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polushina-ei\Desktop\Проекты\SAPER\Модули\Ввод балансов\Тестовые данные\По проверкам\"/>
    </mc:Choice>
  </mc:AlternateContent>
  <xr:revisionPtr revIDLastSave="0" documentId="8_{B6516CC9-EB51-4843-A1EC-DC6EB4ED82FD}" xr6:coauthVersionLast="36" xr6:coauthVersionMax="36" xr10:uidLastSave="{00000000-0000-0000-0000-000000000000}"/>
  <bookViews>
    <workbookView xWindow="405" yWindow="8550" windowWidth="17925" windowHeight="2310" tabRatio="735" activeTab="3" xr2:uid="{00000000-000D-0000-FFFF-FFFF00000000}"/>
  </bookViews>
  <sheets>
    <sheet name="Потребление" sheetId="45" r:id="rId1"/>
    <sheet name="АЭС" sheetId="46" r:id="rId2"/>
    <sheet name="ГЭС" sheetId="47" r:id="rId3"/>
    <sheet name="корпоративный баланс энергии" sheetId="21" r:id="rId4"/>
    <sheet name="Квартальное планирование" sheetId="48" r:id="rId5"/>
    <sheet name="Январь" sheetId="29" r:id="rId6"/>
    <sheet name="Февраль" sheetId="30" r:id="rId7"/>
    <sheet name="Март" sheetId="31" r:id="rId8"/>
    <sheet name="Апрель" sheetId="32" r:id="rId9"/>
    <sheet name="Май" sheetId="33" r:id="rId10"/>
    <sheet name="Июнь" sheetId="34" r:id="rId11"/>
    <sheet name="Июль" sheetId="35" r:id="rId12"/>
    <sheet name="Август" sheetId="36" r:id="rId13"/>
    <sheet name="Сентябрь" sheetId="37" r:id="rId14"/>
    <sheet name="Октябрь" sheetId="38" r:id="rId15"/>
    <sheet name="Ноябрь" sheetId="39" r:id="rId16"/>
    <sheet name="Декабрь" sheetId="40" r:id="rId17"/>
    <sheet name="Год" sheetId="41" r:id="rId18"/>
    <sheet name="Факт Прошлого Года" sheetId="44" r:id="rId19"/>
  </sheets>
  <externalReferences>
    <externalReference r:id="rId20"/>
    <externalReference r:id="rId21"/>
  </externalReferences>
  <definedNames>
    <definedName name="_xlnm.Print_Titles" localSheetId="3">'корпоративный баланс энергии'!$H:$H,'корпоративный баланс энергии'!$11:$12</definedName>
    <definedName name="НСРФ">[1]Регионы!$A$2:$A$88</definedName>
    <definedName name="_xlnm.Print_Area" localSheetId="12">Август!$B$1:$V$68</definedName>
    <definedName name="_xlnm.Print_Area" localSheetId="8">Апрель!$B$1:$V$68</definedName>
    <definedName name="_xlnm.Print_Area" localSheetId="17">Год!$B$1:$V$74</definedName>
    <definedName name="_xlnm.Print_Area" localSheetId="16">Декабрь!$B$1:$V$68</definedName>
    <definedName name="_xlnm.Print_Area" localSheetId="11">Июль!$B$1:$V$68</definedName>
    <definedName name="_xlnm.Print_Area" localSheetId="10">Июнь!$B$1:$V$68</definedName>
    <definedName name="_xlnm.Print_Area" localSheetId="3">'корпоративный баланс энергии'!$F$1:$AZ$1735</definedName>
    <definedName name="_xlnm.Print_Area" localSheetId="9">Май!$B$1:$V$68</definedName>
    <definedName name="_xlnm.Print_Area" localSheetId="7">Март!$B$1:$V$68</definedName>
    <definedName name="_xlnm.Print_Area" localSheetId="15">Ноябрь!$B$1:$V$68</definedName>
    <definedName name="_xlnm.Print_Area" localSheetId="14">Октябрь!$B$1:$V$68</definedName>
    <definedName name="_xlnm.Print_Area" localSheetId="13">Сентябрь!$B$1:$V$68</definedName>
    <definedName name="_xlnm.Print_Area" localSheetId="18">'Факт Прошлого Года'!$B$1:$V$67</definedName>
    <definedName name="_xlnm.Print_Area" localSheetId="6">Февраль!$B$1:$V$68</definedName>
    <definedName name="_xlnm.Print_Area" localSheetId="5">Январь!$B$1:$V$68</definedName>
  </definedNames>
  <calcPr calcId="191029"/>
</workbook>
</file>

<file path=xl/calcChain.xml><?xml version="1.0" encoding="utf-8"?>
<calcChain xmlns="http://schemas.openxmlformats.org/spreadsheetml/2006/main">
  <c r="J1048" i="21" l="1"/>
  <c r="J356" i="21" l="1"/>
  <c r="AQ1200" i="21"/>
  <c r="AN1200" i="21"/>
  <c r="AK1200" i="21"/>
  <c r="AH1200" i="21"/>
  <c r="AE1200" i="21"/>
  <c r="AB1200" i="21"/>
  <c r="Y1200" i="21"/>
  <c r="V1200" i="21"/>
  <c r="S1200" i="21"/>
  <c r="P1200" i="21"/>
  <c r="M1200" i="21"/>
  <c r="J1200" i="21"/>
  <c r="J1371" i="21" l="1"/>
  <c r="J228" i="21" l="1"/>
  <c r="J1694" i="21" l="1"/>
  <c r="J139" i="21" l="1"/>
  <c r="AH1063" i="21" l="1"/>
  <c r="AH1030" i="21"/>
  <c r="P1064" i="21"/>
  <c r="P1030" i="21"/>
  <c r="AH434" i="21"/>
  <c r="Y434" i="21"/>
  <c r="AQ171" i="21"/>
  <c r="AQ261" i="21"/>
  <c r="AQ229" i="21"/>
  <c r="AQ226" i="21"/>
  <c r="AQ223" i="21"/>
  <c r="AQ220" i="21"/>
  <c r="AQ211" i="21"/>
  <c r="AN171" i="21"/>
  <c r="AN261" i="21"/>
  <c r="AN229" i="21"/>
  <c r="AN226" i="21"/>
  <c r="AN223" i="21"/>
  <c r="AN220" i="21"/>
  <c r="AN217" i="21"/>
  <c r="AN213" i="21"/>
  <c r="AN211" i="21"/>
  <c r="AK171" i="21"/>
  <c r="AK234" i="21"/>
  <c r="AK122" i="21"/>
  <c r="AK348" i="21"/>
  <c r="AK224" i="21"/>
  <c r="AK221" i="21"/>
  <c r="AK218" i="21"/>
  <c r="AH171" i="21"/>
  <c r="AH226" i="21"/>
  <c r="AE231" i="21"/>
  <c r="AE234" i="21"/>
  <c r="AE171" i="21"/>
  <c r="AB171" i="21"/>
  <c r="Y171" i="21"/>
  <c r="V171" i="21"/>
  <c r="V226" i="21"/>
  <c r="V224" i="21"/>
  <c r="V223" i="21"/>
  <c r="V221" i="21"/>
  <c r="V218" i="21"/>
  <c r="V211" i="21"/>
  <c r="S171" i="21"/>
  <c r="S234" i="21"/>
  <c r="S229" i="21"/>
  <c r="S226" i="21"/>
  <c r="S224" i="21"/>
  <c r="S221" i="21"/>
  <c r="S211" i="21"/>
  <c r="P171" i="21"/>
  <c r="P122" i="21"/>
  <c r="P264" i="21"/>
  <c r="P263" i="21"/>
  <c r="P234" i="21"/>
  <c r="P227" i="21"/>
  <c r="P218" i="21"/>
  <c r="M231" i="21"/>
  <c r="M224" i="21"/>
  <c r="M217" i="21"/>
  <c r="AN1598" i="21"/>
  <c r="AN1562" i="21"/>
  <c r="AN1555" i="21"/>
  <c r="AN1561" i="21"/>
  <c r="AN1560" i="21"/>
  <c r="AQ741" i="21" l="1"/>
  <c r="AQ752" i="21"/>
  <c r="AQ753" i="21"/>
  <c r="AQ825" i="21"/>
  <c r="AQ826" i="21"/>
  <c r="AQ749" i="21"/>
  <c r="AQ739" i="21"/>
  <c r="AQ737" i="21"/>
  <c r="AQ735" i="21"/>
  <c r="AQ733" i="21"/>
  <c r="AQ734" i="21"/>
  <c r="AQ697" i="21"/>
  <c r="AQ692" i="21"/>
  <c r="AQ693" i="21"/>
  <c r="AQ690" i="21"/>
  <c r="AQ689" i="21"/>
  <c r="AQ688" i="21"/>
  <c r="AQ664" i="21"/>
  <c r="AQ665" i="21"/>
  <c r="AQ661" i="21"/>
  <c r="AQ655" i="21"/>
  <c r="AQ621" i="21"/>
  <c r="AQ614" i="21"/>
  <c r="AQ595" i="21"/>
  <c r="AQ559" i="21"/>
  <c r="AQ556" i="21"/>
  <c r="AQ553" i="21"/>
  <c r="AQ551" i="21"/>
  <c r="AQ482" i="21"/>
  <c r="AQ466" i="21"/>
  <c r="AQ467" i="21"/>
  <c r="AQ447" i="21"/>
  <c r="AQ436" i="21"/>
  <c r="AQ439" i="21"/>
  <c r="AQ438" i="21"/>
  <c r="AQ434" i="21"/>
  <c r="AQ432" i="21"/>
  <c r="AQ1093" i="21"/>
  <c r="AQ1216" i="21"/>
  <c r="AQ1340" i="21"/>
  <c r="AQ1338" i="21"/>
  <c r="AQ1302" i="21"/>
  <c r="AQ1300" i="21"/>
  <c r="AQ1308" i="21"/>
  <c r="AQ1307" i="21"/>
  <c r="AQ1303" i="21"/>
  <c r="AQ1301" i="21"/>
  <c r="AQ1534" i="21"/>
  <c r="AQ1063" i="21"/>
  <c r="AQ1067" i="21"/>
  <c r="AQ1064" i="21"/>
  <c r="AQ1030" i="21"/>
  <c r="AQ1029" i="21"/>
  <c r="AQ1026" i="21"/>
  <c r="AQ1019" i="21"/>
  <c r="AQ1018" i="21"/>
  <c r="AQ1013" i="21"/>
  <c r="AQ1012" i="21"/>
  <c r="AQ983" i="21"/>
  <c r="AQ879" i="21"/>
  <c r="AQ1616" i="21"/>
  <c r="AQ1555" i="21"/>
  <c r="AQ1495" i="21"/>
  <c r="AQ1594" i="21"/>
  <c r="AQ1589" i="21"/>
  <c r="AQ1588" i="21"/>
  <c r="AQ1587" i="21"/>
  <c r="AQ1586" i="21"/>
  <c r="AQ1574" i="21"/>
  <c r="AQ1568" i="21"/>
  <c r="AQ1562" i="21"/>
  <c r="AQ1560" i="21"/>
  <c r="AQ1557" i="21"/>
  <c r="AQ1556" i="21"/>
  <c r="AQ1538" i="21"/>
  <c r="AQ1537" i="21"/>
  <c r="AQ1536" i="21"/>
  <c r="AQ1535" i="21"/>
  <c r="AQ1533" i="21"/>
  <c r="AQ1532" i="21"/>
  <c r="AQ1520" i="21"/>
  <c r="AQ1519" i="21"/>
  <c r="AN1063" i="21" l="1"/>
  <c r="AK1063" i="21"/>
  <c r="AE1064" i="21"/>
  <c r="AB1064" i="21"/>
  <c r="Y1064" i="21"/>
  <c r="V1064" i="21"/>
  <c r="S1064" i="21"/>
  <c r="P1063" i="21"/>
  <c r="J1028" i="21"/>
  <c r="M1064" i="21"/>
  <c r="J1018" i="21"/>
  <c r="J1019" i="21"/>
  <c r="AQ966" i="21"/>
  <c r="AN966" i="21"/>
  <c r="AK966" i="21"/>
  <c r="AH966" i="21"/>
  <c r="AE966" i="21"/>
  <c r="AB966" i="21"/>
  <c r="Y966" i="21"/>
  <c r="V966" i="21"/>
  <c r="S966" i="21"/>
  <c r="P966" i="21"/>
  <c r="M966" i="21"/>
  <c r="J966" i="21"/>
  <c r="M959" i="48"/>
  <c r="J959" i="48"/>
  <c r="G959" i="48"/>
  <c r="D959" i="48"/>
  <c r="M958" i="48"/>
  <c r="J958" i="48"/>
  <c r="G958" i="48"/>
  <c r="G957" i="48" s="1"/>
  <c r="D958" i="48"/>
  <c r="AN741" i="21"/>
  <c r="AN739" i="21"/>
  <c r="AN737" i="21"/>
  <c r="AN735" i="21"/>
  <c r="AN733" i="21"/>
  <c r="AN734" i="21"/>
  <c r="AN697" i="21"/>
  <c r="AN692" i="21"/>
  <c r="AN693" i="21"/>
  <c r="AN690" i="21"/>
  <c r="AN689" i="21"/>
  <c r="AN687" i="21"/>
  <c r="AN688" i="21"/>
  <c r="AN668" i="21"/>
  <c r="AN665" i="21"/>
  <c r="AN664" i="21"/>
  <c r="AN621" i="21"/>
  <c r="AN614" i="21"/>
  <c r="AN561" i="21"/>
  <c r="AN560" i="21"/>
  <c r="AN559" i="21"/>
  <c r="AN558" i="21"/>
  <c r="AN556" i="21"/>
  <c r="AN555" i="21"/>
  <c r="AN553" i="21"/>
  <c r="AN551" i="21"/>
  <c r="AN432" i="21"/>
  <c r="AN531" i="21"/>
  <c r="AN489" i="21"/>
  <c r="AN482" i="21"/>
  <c r="AN434" i="21"/>
  <c r="AN1094" i="21"/>
  <c r="AN1216" i="21"/>
  <c r="AN1338" i="21"/>
  <c r="AN1311" i="21"/>
  <c r="AN1312" i="21"/>
  <c r="AN1308" i="21"/>
  <c r="AN1306" i="21"/>
  <c r="AN1307" i="21"/>
  <c r="AN1237" i="21"/>
  <c r="AN1236" i="21"/>
  <c r="AN1535" i="21"/>
  <c r="AN1533" i="21"/>
  <c r="AN1495" i="21"/>
  <c r="AN1534" i="21"/>
  <c r="AN1068" i="21"/>
  <c r="AN1064" i="21"/>
  <c r="AN1032" i="21"/>
  <c r="AN1033" i="21"/>
  <c r="AN1030" i="21"/>
  <c r="AN1028" i="21"/>
  <c r="AN1029" i="21"/>
  <c r="AN1025" i="21"/>
  <c r="AN1021" i="21"/>
  <c r="AN1012" i="21"/>
  <c r="AN983" i="21"/>
  <c r="AN874" i="21"/>
  <c r="AN1406" i="21"/>
  <c r="AN1557" i="21"/>
  <c r="AN1556" i="21"/>
  <c r="AN1536" i="21"/>
  <c r="AN1519" i="21"/>
  <c r="AN1520" i="21"/>
  <c r="AN1499" i="21"/>
  <c r="AN1500" i="21"/>
  <c r="AN1597" i="21"/>
  <c r="AN1596" i="21"/>
  <c r="AN1594" i="21"/>
  <c r="AN1588" i="21"/>
  <c r="AN1587" i="21"/>
  <c r="AN1585" i="21"/>
  <c r="AN1589" i="21"/>
  <c r="AN1586" i="21"/>
  <c r="AN1574" i="21"/>
  <c r="AN1573" i="21"/>
  <c r="AN1538" i="21"/>
  <c r="AN1537" i="21"/>
  <c r="AN1468" i="21"/>
  <c r="AN1470" i="21"/>
  <c r="C56" i="44"/>
  <c r="F29" i="44"/>
  <c r="P61" i="44"/>
  <c r="P59" i="44"/>
  <c r="P48" i="44"/>
  <c r="AY315" i="21"/>
  <c r="AT319" i="21"/>
  <c r="AY1658" i="21"/>
  <c r="AK826" i="21"/>
  <c r="AK825" i="21"/>
  <c r="AK754" i="21"/>
  <c r="AK752" i="21"/>
  <c r="AK749" i="21"/>
  <c r="AK745" i="21"/>
  <c r="M957" i="48" l="1"/>
  <c r="P958" i="48"/>
  <c r="J957" i="48"/>
  <c r="P959" i="48"/>
  <c r="AK741" i="21"/>
  <c r="AK739" i="21"/>
  <c r="AK733" i="21"/>
  <c r="AK734" i="21"/>
  <c r="AK696" i="21"/>
  <c r="AK693" i="21"/>
  <c r="AK692" i="21"/>
  <c r="AK690" i="21"/>
  <c r="AK689" i="21"/>
  <c r="AK688" i="21"/>
  <c r="AK664" i="21"/>
  <c r="AK621" i="21"/>
  <c r="AK561" i="21"/>
  <c r="AK560" i="21"/>
  <c r="AK556" i="21"/>
  <c r="AK555" i="21"/>
  <c r="AK553" i="21"/>
  <c r="AK551" i="21"/>
  <c r="AK482" i="21"/>
  <c r="AK467" i="21"/>
  <c r="AK466" i="21"/>
  <c r="AK447" i="21"/>
  <c r="AK437" i="21"/>
  <c r="AK432" i="21"/>
  <c r="AK433" i="21"/>
  <c r="AK434" i="21"/>
  <c r="AK328" i="21"/>
  <c r="AK317" i="21"/>
  <c r="AK313" i="21"/>
  <c r="AK270" i="21"/>
  <c r="AK229" i="21"/>
  <c r="AK226" i="21"/>
  <c r="AK223" i="21"/>
  <c r="AK146" i="21"/>
  <c r="AK189" i="21"/>
  <c r="AK1033" i="21"/>
  <c r="AK1306" i="21"/>
  <c r="AK1305" i="21"/>
  <c r="AK1217" i="21"/>
  <c r="AK311" i="21"/>
  <c r="AK261" i="21"/>
  <c r="AK233" i="21"/>
  <c r="AK220" i="21"/>
  <c r="AK213" i="21"/>
  <c r="AK149" i="21"/>
  <c r="AK121" i="21"/>
  <c r="P957" i="48" l="1"/>
  <c r="AK1129" i="21"/>
  <c r="AK1338" i="21"/>
  <c r="AK1302" i="21"/>
  <c r="AK1216" i="21"/>
  <c r="AK1536" i="21"/>
  <c r="AK1534" i="21"/>
  <c r="AK1585" i="21"/>
  <c r="AK873" i="21"/>
  <c r="AK874" i="21"/>
  <c r="AK1451" i="21"/>
  <c r="AK1406" i="21"/>
  <c r="AH1534" i="21"/>
  <c r="AH1470" i="21"/>
  <c r="AH1495" i="21"/>
  <c r="AK1616" i="21"/>
  <c r="AK1614" i="21"/>
  <c r="AK1587" i="21"/>
  <c r="AK1519" i="21"/>
  <c r="AK1520" i="21"/>
  <c r="AK1495" i="21"/>
  <c r="AK1472" i="21"/>
  <c r="AK1470" i="21"/>
  <c r="AH558" i="21" l="1"/>
  <c r="AH749" i="21"/>
  <c r="AH745" i="21"/>
  <c r="AH746" i="21"/>
  <c r="AH739" i="21"/>
  <c r="AH735" i="21"/>
  <c r="AH733" i="21"/>
  <c r="AH734" i="21"/>
  <c r="AH697" i="21"/>
  <c r="AH696" i="21"/>
  <c r="AH692" i="21"/>
  <c r="AH690" i="21"/>
  <c r="AH689" i="21"/>
  <c r="AH688" i="21"/>
  <c r="AH667" i="21"/>
  <c r="AH664" i="21"/>
  <c r="AH665" i="21"/>
  <c r="AH621" i="21"/>
  <c r="AH616" i="21"/>
  <c r="AH617" i="21"/>
  <c r="AH596" i="21"/>
  <c r="AH561" i="21"/>
  <c r="AH560" i="21"/>
  <c r="AH559" i="21"/>
  <c r="AH555" i="21"/>
  <c r="AH553" i="21"/>
  <c r="AH551" i="21"/>
  <c r="AH466" i="21"/>
  <c r="AH464" i="21"/>
  <c r="AH432" i="21"/>
  <c r="AH533" i="21"/>
  <c r="AH491" i="21"/>
  <c r="AH492" i="21"/>
  <c r="AH489" i="21"/>
  <c r="AH482" i="21"/>
  <c r="AH467" i="21"/>
  <c r="AH465" i="21"/>
  <c r="AH447" i="21"/>
  <c r="AH443" i="21"/>
  <c r="AH436" i="21"/>
  <c r="AH439" i="21"/>
  <c r="AH419" i="21"/>
  <c r="AH407" i="21"/>
  <c r="AH1217" i="21"/>
  <c r="AH1096" i="21"/>
  <c r="AH328" i="21"/>
  <c r="AH348" i="21"/>
  <c r="AH306" i="21"/>
  <c r="AH301" i="21"/>
  <c r="AH271" i="21"/>
  <c r="AH268" i="21"/>
  <c r="AH263" i="21"/>
  <c r="AH265" i="21"/>
  <c r="AH233" i="21"/>
  <c r="AH229" i="21"/>
  <c r="AH227" i="21"/>
  <c r="AH189" i="21"/>
  <c r="AH153" i="21"/>
  <c r="AH109" i="21"/>
  <c r="AH108" i="21"/>
  <c r="AH1026" i="21"/>
  <c r="AH1068" i="21"/>
  <c r="AH1032" i="21"/>
  <c r="AH1033" i="21"/>
  <c r="AH1028" i="21"/>
  <c r="AH983" i="21"/>
  <c r="AH873" i="21"/>
  <c r="AH874" i="21"/>
  <c r="AH1533" i="21"/>
  <c r="AH1568" i="21"/>
  <c r="AH1555" i="21"/>
  <c r="AH1519" i="21"/>
  <c r="AH1520" i="21"/>
  <c r="AH1451" i="21"/>
  <c r="AH1406" i="21"/>
  <c r="P1067" i="21"/>
  <c r="P1028" i="21"/>
  <c r="P482" i="21"/>
  <c r="P486" i="21"/>
  <c r="AE741" i="21"/>
  <c r="AE818" i="21"/>
  <c r="AE819" i="21"/>
  <c r="AE753" i="21"/>
  <c r="AE754" i="21"/>
  <c r="AE745" i="21"/>
  <c r="AE746" i="21"/>
  <c r="AE739" i="21"/>
  <c r="AE737" i="21"/>
  <c r="AE735" i="21"/>
  <c r="AE733" i="21"/>
  <c r="AE734" i="21"/>
  <c r="AE697" i="21"/>
  <c r="AE695" i="21"/>
  <c r="AE696" i="21"/>
  <c r="AE692" i="21"/>
  <c r="AE687" i="21"/>
  <c r="AE688" i="21"/>
  <c r="AE667" i="21"/>
  <c r="AE668" i="21"/>
  <c r="AE664" i="21"/>
  <c r="AE665" i="21"/>
  <c r="AE659" i="21"/>
  <c r="AE655" i="21"/>
  <c r="AE621" i="21"/>
  <c r="AE602" i="21"/>
  <c r="AE561" i="21"/>
  <c r="AE560" i="21"/>
  <c r="AE555" i="21"/>
  <c r="AE553" i="21"/>
  <c r="AE551" i="21"/>
  <c r="AE467" i="21"/>
  <c r="AE1129" i="21"/>
  <c r="AE482" i="21"/>
  <c r="AE491" i="21"/>
  <c r="AE489" i="21"/>
  <c r="AE485" i="21"/>
  <c r="AE466" i="21"/>
  <c r="AE447" i="21"/>
  <c r="AE443" i="21"/>
  <c r="AE436" i="21"/>
  <c r="AE434" i="21"/>
  <c r="AE419" i="21"/>
  <c r="AE1033" i="21"/>
  <c r="AE1028" i="21"/>
  <c r="AE1029" i="21"/>
  <c r="AE1019" i="21"/>
  <c r="AE263" i="21"/>
  <c r="AE265" i="21"/>
  <c r="AE261" i="21"/>
  <c r="AE233" i="21"/>
  <c r="AE229" i="21"/>
  <c r="AE226" i="21"/>
  <c r="AE108" i="21"/>
  <c r="AE109" i="21"/>
  <c r="AE146" i="21"/>
  <c r="AE1068" i="21"/>
  <c r="AE1067" i="21"/>
  <c r="AE1030" i="21"/>
  <c r="AE983" i="21"/>
  <c r="AE1338" i="21"/>
  <c r="AE1217" i="21"/>
  <c r="AE1304" i="21"/>
  <c r="AE1306" i="21"/>
  <c r="AE1224" i="21"/>
  <c r="AE1236" i="21"/>
  <c r="AE1237" i="21"/>
  <c r="AE1234" i="21"/>
  <c r="AE1233" i="21"/>
  <c r="AE348" i="21"/>
  <c r="AE328" i="21"/>
  <c r="AE311" i="21"/>
  <c r="AE301" i="21"/>
  <c r="AE302" i="21"/>
  <c r="AE298" i="21"/>
  <c r="AE288" i="21"/>
  <c r="AE271" i="21"/>
  <c r="AE270" i="21"/>
  <c r="AE268" i="21"/>
  <c r="AE214" i="21"/>
  <c r="AE1013" i="21"/>
  <c r="AE1063" i="21"/>
  <c r="AE873" i="21"/>
  <c r="AE874" i="21"/>
  <c r="AE1451" i="21"/>
  <c r="AE1406" i="21"/>
  <c r="AE1495" i="21"/>
  <c r="AE1519" i="21"/>
  <c r="AE1594" i="21"/>
  <c r="AE1569" i="21"/>
  <c r="AE1559" i="21"/>
  <c r="AE1561" i="21"/>
  <c r="AE1555" i="21"/>
  <c r="AE1537" i="21"/>
  <c r="AE1536" i="21"/>
  <c r="AE1534" i="21"/>
  <c r="AE1533" i="21"/>
  <c r="AE1512" i="21"/>
  <c r="AE1616" i="21"/>
  <c r="AE1613" i="21"/>
  <c r="AE1587" i="21"/>
  <c r="AE1585" i="21"/>
  <c r="AE1586" i="21"/>
  <c r="AE1472" i="21"/>
  <c r="AE1470" i="21"/>
  <c r="AB826" i="21" l="1"/>
  <c r="AB823" i="21" l="1"/>
  <c r="AB822" i="21"/>
  <c r="AB819" i="21"/>
  <c r="AB813" i="21"/>
  <c r="AB811" i="21"/>
  <c r="AB754" i="21"/>
  <c r="AB753" i="21"/>
  <c r="AB749" i="21"/>
  <c r="AB748" i="21"/>
  <c r="AB745" i="21"/>
  <c r="AB746" i="21"/>
  <c r="AB739" i="21"/>
  <c r="AB735" i="21"/>
  <c r="AB690" i="21"/>
  <c r="AB689" i="21"/>
  <c r="AB688" i="21"/>
  <c r="AB664" i="21"/>
  <c r="AB665" i="21"/>
  <c r="AB667" i="21"/>
  <c r="AB655" i="21"/>
  <c r="AB621" i="21"/>
  <c r="AB596" i="21"/>
  <c r="AB561" i="21"/>
  <c r="AB560" i="21"/>
  <c r="AB559" i="21"/>
  <c r="AB558" i="21"/>
  <c r="AB555" i="21"/>
  <c r="AB553" i="21"/>
  <c r="AB551" i="21"/>
  <c r="AB265" i="21"/>
  <c r="AB328" i="21"/>
  <c r="AB311" i="21"/>
  <c r="AB306" i="21"/>
  <c r="AB270" i="21"/>
  <c r="AB263" i="21"/>
  <c r="AB231" i="21"/>
  <c r="AB224" i="21"/>
  <c r="AB234" i="21"/>
  <c r="AB491" i="21"/>
  <c r="AB467" i="21"/>
  <c r="AB443" i="21"/>
  <c r="AB434" i="21"/>
  <c r="AB482" i="21"/>
  <c r="AB521" i="21"/>
  <c r="AB492" i="21"/>
  <c r="AB489" i="21"/>
  <c r="AB440" i="21"/>
  <c r="AB439" i="21"/>
  <c r="AB432" i="21"/>
  <c r="AB1128" i="21"/>
  <c r="AB1217" i="21"/>
  <c r="AB1306" i="21"/>
  <c r="AB1304" i="21"/>
  <c r="AB1303" i="21"/>
  <c r="AB1300" i="21"/>
  <c r="AB1338" i="21"/>
  <c r="AB1018" i="21"/>
  <c r="AB1028" i="21"/>
  <c r="AB982" i="21"/>
  <c r="AB983" i="21"/>
  <c r="AB877" i="21"/>
  <c r="AB876" i="21"/>
  <c r="AB873" i="21"/>
  <c r="AB874" i="21"/>
  <c r="AB1451" i="21"/>
  <c r="AB1406" i="21"/>
  <c r="AB1594" i="21"/>
  <c r="AB1520" i="21"/>
  <c r="AB1533" i="21"/>
  <c r="AB1534" i="21"/>
  <c r="AB1555" i="21"/>
  <c r="AB1597" i="21"/>
  <c r="AB1562" i="21"/>
  <c r="AB1512" i="21"/>
  <c r="AB1472" i="21"/>
  <c r="AB1470" i="21"/>
  <c r="Y825" i="21"/>
  <c r="Y819" i="21"/>
  <c r="Y818" i="21"/>
  <c r="Y817" i="21"/>
  <c r="Y808" i="21"/>
  <c r="Y690" i="21"/>
  <c r="Y687" i="21"/>
  <c r="Y664" i="21"/>
  <c r="Y665" i="21"/>
  <c r="Y621" i="21"/>
  <c r="Y596" i="21"/>
  <c r="Y561" i="21"/>
  <c r="Y560" i="21"/>
  <c r="Y559" i="21"/>
  <c r="Y558" i="21"/>
  <c r="Y556" i="21"/>
  <c r="Y555" i="21"/>
  <c r="Y551" i="21"/>
  <c r="Y1019" i="21"/>
  <c r="Y873" i="21"/>
  <c r="Y874" i="21"/>
  <c r="Y489" i="21"/>
  <c r="Y488" i="21"/>
  <c r="V489" i="21"/>
  <c r="V488" i="21"/>
  <c r="Y443" i="21"/>
  <c r="Y439" i="21"/>
  <c r="Y437" i="21"/>
  <c r="Y1127" i="21"/>
  <c r="Y1217" i="21"/>
  <c r="Y1338" i="21"/>
  <c r="Y1300" i="21"/>
  <c r="Y1303" i="21"/>
  <c r="Y1304" i="21"/>
  <c r="Y1306" i="21"/>
  <c r="Y1307" i="21"/>
  <c r="Y1305" i="21"/>
  <c r="Y1302" i="21"/>
  <c r="Y1233" i="21"/>
  <c r="Y1216" i="21"/>
  <c r="Y1451" i="21"/>
  <c r="Y1406" i="21"/>
  <c r="Y1585" i="21"/>
  <c r="Y1533" i="21"/>
  <c r="Y1568" i="21"/>
  <c r="Y1561" i="21"/>
  <c r="Y1587" i="21"/>
  <c r="Y1614" i="21"/>
  <c r="Y1594" i="21"/>
  <c r="Y1519" i="21"/>
  <c r="Y1520" i="21"/>
  <c r="Y1495" i="21"/>
  <c r="Y1616" i="21"/>
  <c r="Y1615" i="21"/>
  <c r="Y1573" i="21"/>
  <c r="Y1571" i="21"/>
  <c r="Y1562" i="21"/>
  <c r="Y1538" i="21"/>
  <c r="Y1534" i="21"/>
  <c r="Y1472" i="21"/>
  <c r="Y1470" i="21"/>
  <c r="Y1468" i="21"/>
  <c r="V621" i="21"/>
  <c r="V664" i="21"/>
  <c r="V687" i="21"/>
  <c r="V689" i="21"/>
  <c r="V826" i="21"/>
  <c r="V823" i="21"/>
  <c r="V821" i="21"/>
  <c r="V817" i="21"/>
  <c r="V818" i="21"/>
  <c r="V819" i="21"/>
  <c r="V810" i="21"/>
  <c r="V811" i="21"/>
  <c r="V808" i="21"/>
  <c r="V795" i="21"/>
  <c r="V794" i="21"/>
  <c r="V752" i="21"/>
  <c r="V753" i="21"/>
  <c r="V745" i="21"/>
  <c r="V746" i="21"/>
  <c r="V739" i="21"/>
  <c r="V741" i="21"/>
  <c r="V735" i="21"/>
  <c r="V695" i="21"/>
  <c r="V692" i="21"/>
  <c r="V693" i="21"/>
  <c r="V690" i="21"/>
  <c r="V665" i="21"/>
  <c r="V561" i="21"/>
  <c r="V560" i="21"/>
  <c r="V559" i="21"/>
  <c r="V558" i="21"/>
  <c r="V556" i="21"/>
  <c r="V555" i="21"/>
  <c r="V551" i="21"/>
  <c r="V482" i="21"/>
  <c r="V443" i="21"/>
  <c r="V442" i="21"/>
  <c r="V438" i="21"/>
  <c r="V434" i="21"/>
  <c r="V1019" i="21"/>
  <c r="V877" i="21"/>
  <c r="V874" i="21"/>
  <c r="V873" i="21"/>
  <c r="V1406" i="21"/>
  <c r="V1451" i="21"/>
  <c r="V1094" i="21"/>
  <c r="V1216" i="21"/>
  <c r="V1217" i="21"/>
  <c r="V1129" i="21"/>
  <c r="V1128" i="21"/>
  <c r="V1097" i="21"/>
  <c r="V1096" i="21"/>
  <c r="V1131" i="21"/>
  <c r="V1127" i="21"/>
  <c r="V1338" i="21"/>
  <c r="V1306" i="21"/>
  <c r="V1305" i="21"/>
  <c r="V1303" i="21"/>
  <c r="V1300" i="21"/>
  <c r="V1302" i="21"/>
  <c r="V1304" i="21"/>
  <c r="V1307" i="21"/>
  <c r="V1534" i="21"/>
  <c r="V1538" i="21"/>
  <c r="V1535" i="21"/>
  <c r="V1533" i="21"/>
  <c r="V1594" i="21"/>
  <c r="V1587" i="21"/>
  <c r="V1536" i="21"/>
  <c r="V1520" i="21"/>
  <c r="V1512" i="21"/>
  <c r="V1495" i="21"/>
  <c r="V1472" i="21"/>
  <c r="V1470" i="21"/>
  <c r="S739" i="21" l="1"/>
  <c r="S693" i="21"/>
  <c r="S690" i="21"/>
  <c r="S689" i="21"/>
  <c r="S687" i="21"/>
  <c r="S688" i="21"/>
  <c r="S664" i="21"/>
  <c r="S665" i="21"/>
  <c r="P616" i="21"/>
  <c r="S621" i="21"/>
  <c r="S555" i="21"/>
  <c r="S553" i="21"/>
  <c r="S551" i="21"/>
  <c r="S434" i="21"/>
  <c r="S482" i="21"/>
  <c r="S531" i="21"/>
  <c r="S485" i="21"/>
  <c r="S400" i="21"/>
  <c r="S270" i="21"/>
  <c r="S218" i="21"/>
  <c r="S217" i="21"/>
  <c r="S213" i="21"/>
  <c r="S271" i="21"/>
  <c r="S265" i="21"/>
  <c r="S264" i="21"/>
  <c r="S223" i="21"/>
  <c r="S189" i="21"/>
  <c r="S1033" i="21"/>
  <c r="S1030" i="21"/>
  <c r="S1028" i="21"/>
  <c r="S1029" i="21"/>
  <c r="S1026" i="21"/>
  <c r="S1018" i="21"/>
  <c r="S1016" i="21"/>
  <c r="S1012" i="21"/>
  <c r="S1013" i="21"/>
  <c r="S880" i="21"/>
  <c r="S874" i="21"/>
  <c r="S873" i="21"/>
  <c r="S876" i="21"/>
  <c r="S877" i="21"/>
  <c r="S1093" i="21"/>
  <c r="S1217" i="21"/>
  <c r="S1338" i="21"/>
  <c r="S1311" i="21"/>
  <c r="S1301" i="21"/>
  <c r="S1307" i="21"/>
  <c r="S1236" i="21"/>
  <c r="S1237" i="21"/>
  <c r="S1234" i="21"/>
  <c r="S1224" i="21"/>
  <c r="S1216" i="21"/>
  <c r="S1588" i="21"/>
  <c r="S1613" i="21"/>
  <c r="S1585" i="21"/>
  <c r="S1568" i="21"/>
  <c r="S1569" i="21"/>
  <c r="S1562" i="21"/>
  <c r="S1559" i="21"/>
  <c r="S1561" i="21"/>
  <c r="S1555" i="21"/>
  <c r="S1556" i="21"/>
  <c r="S1557" i="21"/>
  <c r="S1538" i="21"/>
  <c r="S1537" i="21"/>
  <c r="S1535" i="21"/>
  <c r="S1534" i="21"/>
  <c r="S1533" i="21"/>
  <c r="S1532" i="21"/>
  <c r="S1520" i="21"/>
  <c r="S1500" i="21"/>
  <c r="S1495" i="21"/>
  <c r="S1472" i="21"/>
  <c r="S1470" i="21"/>
  <c r="P689" i="21"/>
  <c r="P664" i="21"/>
  <c r="P665" i="21"/>
  <c r="P621" i="21"/>
  <c r="P614" i="21"/>
  <c r="P551" i="21"/>
  <c r="P826" i="21"/>
  <c r="P817" i="21"/>
  <c r="P795" i="21"/>
  <c r="P794" i="21"/>
  <c r="P741" i="21"/>
  <c r="P739" i="21"/>
  <c r="P737" i="21"/>
  <c r="P738" i="21"/>
  <c r="P752" i="21"/>
  <c r="P754" i="21"/>
  <c r="P753" i="21"/>
  <c r="P735" i="21"/>
  <c r="P733" i="21"/>
  <c r="P734" i="21"/>
  <c r="P697" i="21"/>
  <c r="P696" i="21"/>
  <c r="P692" i="21"/>
  <c r="P693" i="21"/>
  <c r="P690" i="21"/>
  <c r="P687" i="21"/>
  <c r="P688" i="21"/>
  <c r="P668" i="21"/>
  <c r="P655" i="21"/>
  <c r="P602" i="21"/>
  <c r="P561" i="21"/>
  <c r="P559" i="21" l="1"/>
  <c r="P553" i="21"/>
  <c r="P366" i="21" l="1"/>
  <c r="P363" i="21"/>
  <c r="P220" i="21"/>
  <c r="P1129" i="21"/>
  <c r="P447" i="21"/>
  <c r="P467" i="21"/>
  <c r="P492" i="21"/>
  <c r="P491" i="21"/>
  <c r="P485" i="21"/>
  <c r="P436" i="21"/>
  <c r="P434" i="21"/>
  <c r="P432" i="21"/>
  <c r="P419" i="21"/>
  <c r="P407" i="21"/>
  <c r="P400" i="21"/>
  <c r="P1340" i="21"/>
  <c r="P1338" i="21"/>
  <c r="P1312" i="21"/>
  <c r="P1311" i="21"/>
  <c r="P1302" i="21"/>
  <c r="P1306" i="21"/>
  <c r="P1307" i="21"/>
  <c r="P1237" i="21"/>
  <c r="P1236" i="21"/>
  <c r="P1233" i="21"/>
  <c r="P1223" i="21"/>
  <c r="P1224" i="21"/>
  <c r="P1216" i="21"/>
  <c r="P1217" i="21"/>
  <c r="P1029" i="21"/>
  <c r="P1012" i="21"/>
  <c r="P1013" i="21"/>
  <c r="P874" i="21"/>
  <c r="P858" i="21"/>
  <c r="P1536" i="21" l="1"/>
  <c r="P1535" i="21"/>
  <c r="P1534" i="21"/>
  <c r="P1533" i="21"/>
  <c r="P1519" i="21"/>
  <c r="P1512" i="21"/>
  <c r="P1500" i="21"/>
  <c r="P1495" i="21"/>
  <c r="P1472" i="21"/>
  <c r="P1470" i="21"/>
  <c r="P1469" i="21"/>
  <c r="F54" i="31" l="1"/>
  <c r="M741" i="21"/>
  <c r="M739" i="21"/>
  <c r="M692" i="21"/>
  <c r="M693" i="21"/>
  <c r="M690" i="21"/>
  <c r="M689" i="21"/>
  <c r="M687" i="21"/>
  <c r="M667" i="21"/>
  <c r="M668" i="21"/>
  <c r="M665" i="21"/>
  <c r="M655" i="21"/>
  <c r="M621" i="21"/>
  <c r="M559" i="21"/>
  <c r="M558" i="21"/>
  <c r="M553" i="21"/>
  <c r="M551" i="21"/>
  <c r="M825" i="21"/>
  <c r="M826" i="21"/>
  <c r="M821" i="21"/>
  <c r="M817" i="21"/>
  <c r="M818" i="21"/>
  <c r="M819" i="21"/>
  <c r="M795" i="21"/>
  <c r="M794" i="21"/>
  <c r="M752" i="21"/>
  <c r="M754" i="21"/>
  <c r="M737" i="21"/>
  <c r="M738" i="21"/>
  <c r="M735" i="21"/>
  <c r="M733" i="21"/>
  <c r="M734" i="21"/>
  <c r="M697" i="21"/>
  <c r="M696" i="21"/>
  <c r="M695" i="21"/>
  <c r="M688" i="21"/>
  <c r="M602" i="21"/>
  <c r="M596" i="21"/>
  <c r="M561" i="21"/>
  <c r="M233" i="21"/>
  <c r="M234" i="21"/>
  <c r="M229" i="21"/>
  <c r="M226" i="21"/>
  <c r="M227" i="21"/>
  <c r="M155" i="21"/>
  <c r="M328" i="21"/>
  <c r="M317" i="21"/>
  <c r="M261" i="21"/>
  <c r="M230" i="21"/>
  <c r="M223" i="21"/>
  <c r="M173" i="21"/>
  <c r="M171" i="21"/>
  <c r="M874" i="21"/>
  <c r="M1068" i="21"/>
  <c r="M1033" i="21"/>
  <c r="M1028" i="21"/>
  <c r="M1029" i="21"/>
  <c r="M1013" i="21"/>
  <c r="M1030" i="21"/>
  <c r="M860" i="21"/>
  <c r="M858" i="21"/>
  <c r="M1129" i="21"/>
  <c r="M1094" i="21"/>
  <c r="M482" i="21"/>
  <c r="M531" i="21"/>
  <c r="M491" i="21" l="1"/>
  <c r="M492" i="21"/>
  <c r="M489" i="21"/>
  <c r="M467" i="21"/>
  <c r="M447" i="21"/>
  <c r="M434" i="21"/>
  <c r="M432" i="21"/>
  <c r="M408" i="21"/>
  <c r="M400" i="21"/>
  <c r="M402" i="21"/>
  <c r="M401" i="21"/>
  <c r="M387" i="21"/>
  <c r="M1340" i="21"/>
  <c r="M1338" i="21"/>
  <c r="M1302" i="21"/>
  <c r="M1306" i="21"/>
  <c r="M1307" i="21"/>
  <c r="M1314" i="21"/>
  <c r="M1313" i="21"/>
  <c r="M1311" i="21"/>
  <c r="M1312" i="21"/>
  <c r="M1308" i="21"/>
  <c r="M1301" i="21"/>
  <c r="M1304" i="21"/>
  <c r="M1237" i="21"/>
  <c r="M1236" i="21"/>
  <c r="M1234" i="21"/>
  <c r="M1233" i="21"/>
  <c r="M1224" i="21"/>
  <c r="M1216" i="21"/>
  <c r="M1217" i="21"/>
  <c r="M1495" i="21"/>
  <c r="M1537" i="21"/>
  <c r="M1536" i="21"/>
  <c r="M1534" i="21"/>
  <c r="M1533" i="21"/>
  <c r="M1519" i="21"/>
  <c r="M1520" i="21"/>
  <c r="M1512" i="21"/>
  <c r="M1500" i="21"/>
  <c r="M1496" i="21"/>
  <c r="M1472" i="21"/>
  <c r="M1470" i="21"/>
  <c r="M1469" i="21"/>
  <c r="M1615" i="21"/>
  <c r="M1614" i="21"/>
  <c r="M1598" i="21"/>
  <c r="M1594" i="21"/>
  <c r="M1538" i="21"/>
  <c r="M1535" i="21"/>
  <c r="M1532" i="21"/>
  <c r="F54" i="30"/>
  <c r="J270" i="21"/>
  <c r="J220" i="21"/>
  <c r="J229" i="21" l="1"/>
  <c r="J121" i="21" l="1"/>
  <c r="J171" i="21" l="1"/>
  <c r="J1594" i="21"/>
  <c r="F54" i="29" l="1"/>
  <c r="J826" i="21"/>
  <c r="J825" i="21"/>
  <c r="J741" i="21"/>
  <c r="J733" i="21"/>
  <c r="J734" i="21"/>
  <c r="J692" i="21" l="1"/>
  <c r="J693" i="21"/>
  <c r="J690" i="21"/>
  <c r="J689" i="21"/>
  <c r="J655" i="21"/>
  <c r="J665" i="21"/>
  <c r="J551" i="21"/>
  <c r="J419" i="21"/>
  <c r="J1340" i="21"/>
  <c r="J1338" i="21"/>
  <c r="J1314" i="21"/>
  <c r="J1313" i="21"/>
  <c r="J1308" i="21"/>
  <c r="J1307" i="21"/>
  <c r="J1237" i="21"/>
  <c r="J1236" i="21"/>
  <c r="J1233" i="21"/>
  <c r="J1224" i="21"/>
  <c r="J1217" i="21"/>
  <c r="J1216" i="21"/>
  <c r="J1312" i="21"/>
  <c r="J1311" i="21"/>
  <c r="J1306" i="21"/>
  <c r="J1305" i="21"/>
  <c r="J1094" i="21"/>
  <c r="J265" i="21"/>
  <c r="J264" i="21"/>
  <c r="J263" i="21"/>
  <c r="J261" i="21"/>
  <c r="J234" i="21"/>
  <c r="J226" i="21"/>
  <c r="J224" i="21"/>
  <c r="J122" i="21"/>
  <c r="J1067" i="21"/>
  <c r="J1032" i="21"/>
  <c r="J1026" i="21"/>
  <c r="J1022" i="21"/>
  <c r="J1012" i="21"/>
  <c r="J930" i="21"/>
  <c r="J931" i="21"/>
  <c r="J928" i="21"/>
  <c r="J873" i="21"/>
  <c r="J215" i="21"/>
  <c r="J146" i="21"/>
  <c r="J119" i="21"/>
  <c r="J1598" i="21"/>
  <c r="J1534" i="21" l="1"/>
  <c r="J1538" i="21" l="1"/>
  <c r="J1537" i="21"/>
  <c r="J1536" i="21"/>
  <c r="J1533" i="21"/>
  <c r="J1532" i="21"/>
  <c r="J1535" i="21"/>
  <c r="J1519" i="21"/>
  <c r="J1520" i="21"/>
  <c r="J1495" i="21"/>
  <c r="J1496" i="21"/>
  <c r="J1472" i="21"/>
  <c r="J1470" i="21"/>
  <c r="M1426" i="48" l="1"/>
  <c r="J1426" i="48"/>
  <c r="G1426" i="48"/>
  <c r="D1426" i="48"/>
  <c r="M1425" i="48"/>
  <c r="J1425" i="48"/>
  <c r="G1425" i="48"/>
  <c r="D1425" i="48"/>
  <c r="M1424" i="48"/>
  <c r="J1424" i="48"/>
  <c r="G1424" i="48"/>
  <c r="D1424" i="48"/>
  <c r="M1423" i="48"/>
  <c r="J1423" i="48"/>
  <c r="G1423" i="48"/>
  <c r="D1423" i="48"/>
  <c r="M1422" i="48"/>
  <c r="J1422" i="48"/>
  <c r="G1422" i="48"/>
  <c r="D1422" i="48"/>
  <c r="B1426" i="48"/>
  <c r="B1425" i="48"/>
  <c r="B1424" i="48"/>
  <c r="B1423" i="48"/>
  <c r="B1422" i="48"/>
  <c r="B1421" i="48"/>
  <c r="M1397" i="48"/>
  <c r="J1397" i="48"/>
  <c r="G1397" i="48"/>
  <c r="D1397" i="48"/>
  <c r="M1396" i="48"/>
  <c r="J1396" i="48"/>
  <c r="G1396" i="48"/>
  <c r="D1396" i="48"/>
  <c r="M1395" i="48"/>
  <c r="J1395" i="48"/>
  <c r="G1395" i="48"/>
  <c r="D1395" i="48"/>
  <c r="M1394" i="48"/>
  <c r="J1394" i="48"/>
  <c r="G1394" i="48"/>
  <c r="D1394" i="48"/>
  <c r="M1393" i="48"/>
  <c r="J1393" i="48"/>
  <c r="G1393" i="48"/>
  <c r="D1393" i="48"/>
  <c r="M1392" i="48"/>
  <c r="J1392" i="48"/>
  <c r="G1392" i="48"/>
  <c r="D1392" i="48"/>
  <c r="B1397" i="48"/>
  <c r="B1396" i="48"/>
  <c r="B1395" i="48"/>
  <c r="B1394" i="48"/>
  <c r="B1393" i="48"/>
  <c r="B1392" i="48"/>
  <c r="P1393" i="48" l="1"/>
  <c r="G1421" i="48"/>
  <c r="P1426" i="48"/>
  <c r="P1392" i="48"/>
  <c r="J1421" i="48"/>
  <c r="D1421" i="48"/>
  <c r="P1424" i="48"/>
  <c r="P1395" i="48"/>
  <c r="P1422" i="48"/>
  <c r="M1421" i="48"/>
  <c r="P1423" i="48"/>
  <c r="P1425" i="48"/>
  <c r="P1397" i="48"/>
  <c r="P1396" i="48"/>
  <c r="P1394" i="48"/>
  <c r="P1421" i="48" l="1"/>
  <c r="AT1435" i="21"/>
  <c r="AT1434" i="21"/>
  <c r="AT1433" i="21"/>
  <c r="AT1432" i="21"/>
  <c r="AT1431" i="21"/>
  <c r="AQ1430" i="21"/>
  <c r="AN1430" i="21"/>
  <c r="AK1430" i="21"/>
  <c r="AH1430" i="21"/>
  <c r="AE1430" i="21"/>
  <c r="AB1430" i="21"/>
  <c r="Y1430" i="21"/>
  <c r="V1430" i="21"/>
  <c r="S1430" i="21"/>
  <c r="P1430" i="21"/>
  <c r="M1430" i="21"/>
  <c r="J1430" i="21"/>
  <c r="AT1430" i="21" l="1"/>
  <c r="J1396" i="21"/>
  <c r="M1379" i="48"/>
  <c r="J1379" i="48"/>
  <c r="G1379" i="48"/>
  <c r="D1379" i="48"/>
  <c r="P1379" i="48" s="1"/>
  <c r="B1380" i="48"/>
  <c r="B1379" i="48"/>
  <c r="B1378" i="48"/>
  <c r="B1377" i="48"/>
  <c r="AT1388" i="21"/>
  <c r="AQ1386" i="21"/>
  <c r="AQ1384" i="21" s="1"/>
  <c r="AN1386" i="21"/>
  <c r="AN1384" i="21" s="1"/>
  <c r="AK1386" i="21"/>
  <c r="AK1384" i="21" s="1"/>
  <c r="AH1386" i="21"/>
  <c r="AH1384" i="21" s="1"/>
  <c r="AE1386" i="21"/>
  <c r="AE1384" i="21" s="1"/>
  <c r="AB1386" i="21"/>
  <c r="AB1384" i="21" s="1"/>
  <c r="Y1386" i="21"/>
  <c r="Y1384" i="21" s="1"/>
  <c r="V1386" i="21"/>
  <c r="V1384" i="21" s="1"/>
  <c r="S1386" i="21"/>
  <c r="S1384" i="21" s="1"/>
  <c r="P1386" i="21"/>
  <c r="P1384" i="21" s="1"/>
  <c r="M1386" i="21"/>
  <c r="M1384" i="21" s="1"/>
  <c r="J1386" i="21"/>
  <c r="J1384" i="21" s="1"/>
  <c r="M1369" i="48" l="1"/>
  <c r="J1369" i="48"/>
  <c r="G1369" i="48"/>
  <c r="D1369" i="48"/>
  <c r="M1368" i="48"/>
  <c r="J1368" i="48"/>
  <c r="G1368" i="48"/>
  <c r="D1368" i="48"/>
  <c r="M1367" i="48"/>
  <c r="J1367" i="48"/>
  <c r="G1367" i="48"/>
  <c r="D1367" i="48"/>
  <c r="M1366" i="48"/>
  <c r="J1366" i="48"/>
  <c r="G1366" i="48"/>
  <c r="D1366" i="48"/>
  <c r="M1365" i="48"/>
  <c r="J1365" i="48"/>
  <c r="G1365" i="48"/>
  <c r="D1365" i="48"/>
  <c r="M1364" i="48"/>
  <c r="J1364" i="48"/>
  <c r="G1364" i="48"/>
  <c r="D1364" i="48"/>
  <c r="M1363" i="48"/>
  <c r="J1363" i="48"/>
  <c r="G1363" i="48"/>
  <c r="D1363" i="48"/>
  <c r="B1369" i="48"/>
  <c r="B1368" i="48"/>
  <c r="B1367" i="48"/>
  <c r="B1366" i="48"/>
  <c r="B1365" i="48"/>
  <c r="B1364" i="48"/>
  <c r="B1363" i="48"/>
  <c r="B1362" i="48"/>
  <c r="AT1378" i="21"/>
  <c r="AT1377" i="21"/>
  <c r="AT1376" i="21"/>
  <c r="AT1375" i="21"/>
  <c r="AT1374" i="21"/>
  <c r="AT1373" i="21"/>
  <c r="AT1372" i="21"/>
  <c r="AQ1371" i="21"/>
  <c r="AQ1336" i="21" s="1"/>
  <c r="AN1371" i="21"/>
  <c r="AN1336" i="21" s="1"/>
  <c r="AK1371" i="21"/>
  <c r="AK1336" i="21" s="1"/>
  <c r="AH1371" i="21"/>
  <c r="AH1336" i="21" s="1"/>
  <c r="AE1371" i="21"/>
  <c r="AE1336" i="21" s="1"/>
  <c r="AB1371" i="21"/>
  <c r="AB1336" i="21" s="1"/>
  <c r="Y1371" i="21"/>
  <c r="Y1336" i="21" s="1"/>
  <c r="V1371" i="21"/>
  <c r="V1336" i="21" s="1"/>
  <c r="S1371" i="21"/>
  <c r="S1336" i="21" s="1"/>
  <c r="P1371" i="21"/>
  <c r="P1336" i="21" s="1"/>
  <c r="M1371" i="21"/>
  <c r="M1336" i="21" s="1"/>
  <c r="G1362" i="48" l="1"/>
  <c r="G1327" i="48" s="1"/>
  <c r="AT1371" i="21"/>
  <c r="AT1336" i="21" s="1"/>
  <c r="J1362" i="48"/>
  <c r="J1327" i="48" s="1"/>
  <c r="M1362" i="48"/>
  <c r="M1327" i="48" s="1"/>
  <c r="P1365" i="48"/>
  <c r="P1364" i="48"/>
  <c r="P1366" i="48"/>
  <c r="P1368" i="48"/>
  <c r="P1367" i="48"/>
  <c r="P1369" i="48"/>
  <c r="P1363" i="48"/>
  <c r="D1362" i="48"/>
  <c r="D1327" i="48" s="1"/>
  <c r="P1362" i="48" l="1"/>
  <c r="P1327" i="48" s="1"/>
  <c r="J1336" i="21" l="1"/>
  <c r="M1361" i="48"/>
  <c r="J1361" i="48"/>
  <c r="G1361" i="48"/>
  <c r="D1361" i="48"/>
  <c r="M1360" i="48"/>
  <c r="J1360" i="48"/>
  <c r="G1360" i="48"/>
  <c r="D1360" i="48"/>
  <c r="M1359" i="48"/>
  <c r="J1359" i="48"/>
  <c r="G1359" i="48"/>
  <c r="D1359" i="48"/>
  <c r="M1358" i="48"/>
  <c r="J1358" i="48"/>
  <c r="G1358" i="48"/>
  <c r="D1358" i="48"/>
  <c r="M1357" i="48"/>
  <c r="J1357" i="48"/>
  <c r="G1357" i="48"/>
  <c r="D1357" i="48"/>
  <c r="M1356" i="48"/>
  <c r="J1356" i="48"/>
  <c r="G1356" i="48"/>
  <c r="D1356" i="48"/>
  <c r="M1355" i="48"/>
  <c r="J1355" i="48"/>
  <c r="G1355" i="48"/>
  <c r="D1355" i="48"/>
  <c r="M1354" i="48"/>
  <c r="J1354" i="48"/>
  <c r="G1354" i="48"/>
  <c r="D1354" i="48"/>
  <c r="M1353" i="48"/>
  <c r="J1353" i="48"/>
  <c r="G1353" i="48"/>
  <c r="D1353" i="48"/>
  <c r="M1352" i="48"/>
  <c r="J1352" i="48"/>
  <c r="G1352" i="48"/>
  <c r="D1352" i="48"/>
  <c r="M1351" i="48"/>
  <c r="J1351" i="48"/>
  <c r="G1351" i="48"/>
  <c r="D1351" i="48"/>
  <c r="M1349" i="48"/>
  <c r="J1349" i="48"/>
  <c r="G1349" i="48"/>
  <c r="D1349" i="48"/>
  <c r="AT1370" i="21"/>
  <c r="AT1369" i="21"/>
  <c r="AT1368" i="21"/>
  <c r="AT1367" i="21"/>
  <c r="AT1366" i="21"/>
  <c r="AT1365" i="21"/>
  <c r="AT1364" i="21"/>
  <c r="AT1363" i="21"/>
  <c r="AT1362" i="21"/>
  <c r="AT1361" i="21"/>
  <c r="AT1360" i="21"/>
  <c r="AT1358" i="21"/>
  <c r="AQ1359" i="21"/>
  <c r="AQ1335" i="21" s="1"/>
  <c r="AN1359" i="21"/>
  <c r="AN1335" i="21" s="1"/>
  <c r="AK1359" i="21"/>
  <c r="AK1335" i="21" s="1"/>
  <c r="AH1359" i="21"/>
  <c r="AH1335" i="21" s="1"/>
  <c r="AE1359" i="21"/>
  <c r="AE1335" i="21" s="1"/>
  <c r="AB1359" i="21"/>
  <c r="AB1335" i="21" s="1"/>
  <c r="Y1359" i="21"/>
  <c r="Y1335" i="21" s="1"/>
  <c r="V1359" i="21"/>
  <c r="V1335" i="21" s="1"/>
  <c r="S1359" i="21"/>
  <c r="S1335" i="21" s="1"/>
  <c r="P1359" i="21"/>
  <c r="P1335" i="21" s="1"/>
  <c r="M1359" i="21"/>
  <c r="M1335" i="21" s="1"/>
  <c r="J1359" i="21"/>
  <c r="J1335" i="21" s="1"/>
  <c r="B1349" i="48"/>
  <c r="B1361" i="48"/>
  <c r="B1360" i="48"/>
  <c r="B1359" i="48"/>
  <c r="B1358" i="48"/>
  <c r="B1357" i="48"/>
  <c r="B1356" i="48"/>
  <c r="B1355" i="48"/>
  <c r="B1354" i="48"/>
  <c r="B1353" i="48"/>
  <c r="B1352" i="48"/>
  <c r="B1351" i="48"/>
  <c r="B1350" i="48"/>
  <c r="B1348" i="48"/>
  <c r="B1347" i="48"/>
  <c r="B1346" i="48"/>
  <c r="M1348" i="48"/>
  <c r="J1348" i="48"/>
  <c r="G1348" i="48"/>
  <c r="D1348" i="48"/>
  <c r="AT1357" i="21"/>
  <c r="M1310" i="48"/>
  <c r="J1310" i="48"/>
  <c r="G1310" i="48"/>
  <c r="D1310" i="48"/>
  <c r="M1309" i="48"/>
  <c r="J1309" i="48"/>
  <c r="G1309" i="48"/>
  <c r="D1309" i="48"/>
  <c r="M1308" i="48"/>
  <c r="J1308" i="48"/>
  <c r="G1308" i="48"/>
  <c r="D1308" i="48"/>
  <c r="M1307" i="48"/>
  <c r="J1307" i="48"/>
  <c r="G1307" i="48"/>
  <c r="D1307" i="48"/>
  <c r="AQ1292" i="21"/>
  <c r="AN1292" i="21"/>
  <c r="AK1292" i="21"/>
  <c r="AH1292" i="21"/>
  <c r="AE1292" i="21"/>
  <c r="AB1292" i="21"/>
  <c r="Y1292" i="21"/>
  <c r="V1292" i="21"/>
  <c r="S1292" i="21"/>
  <c r="P1292" i="21"/>
  <c r="M1292" i="21"/>
  <c r="J1292" i="21"/>
  <c r="AT1319" i="21"/>
  <c r="AT1318" i="21"/>
  <c r="AT1317" i="21"/>
  <c r="AT1316" i="21"/>
  <c r="B1310" i="48"/>
  <c r="B1309" i="48"/>
  <c r="B1308" i="48"/>
  <c r="B1307" i="48"/>
  <c r="M1296" i="48"/>
  <c r="J1296" i="48"/>
  <c r="G1296" i="48"/>
  <c r="D1296" i="48"/>
  <c r="M1295" i="48"/>
  <c r="J1295" i="48"/>
  <c r="G1295" i="48"/>
  <c r="D1295" i="48"/>
  <c r="M1294" i="48"/>
  <c r="J1294" i="48"/>
  <c r="G1294" i="48"/>
  <c r="D1294" i="48"/>
  <c r="M1293" i="48"/>
  <c r="J1293" i="48"/>
  <c r="G1293" i="48"/>
  <c r="D1293" i="48"/>
  <c r="M1292" i="48"/>
  <c r="J1292" i="48"/>
  <c r="G1292" i="48"/>
  <c r="D1292" i="48"/>
  <c r="B1298" i="48"/>
  <c r="B1297" i="48"/>
  <c r="B1296" i="48"/>
  <c r="B1295" i="48"/>
  <c r="B1294" i="48"/>
  <c r="B1293" i="48"/>
  <c r="B1292" i="48"/>
  <c r="AT1305" i="21"/>
  <c r="AT1304" i="21"/>
  <c r="AT1303" i="21"/>
  <c r="AT1302" i="21"/>
  <c r="AT1301" i="21"/>
  <c r="M1233" i="48"/>
  <c r="J1233" i="48"/>
  <c r="G1233" i="48"/>
  <c r="D1233" i="48"/>
  <c r="B1233" i="48"/>
  <c r="B1232" i="48"/>
  <c r="B1231" i="48"/>
  <c r="M1247" i="48"/>
  <c r="J1247" i="48"/>
  <c r="G1247" i="48"/>
  <c r="D1247" i="48"/>
  <c r="M1246" i="48"/>
  <c r="J1246" i="48"/>
  <c r="G1246" i="48"/>
  <c r="D1246" i="48"/>
  <c r="M1245" i="48"/>
  <c r="J1245" i="48"/>
  <c r="G1245" i="48"/>
  <c r="D1245" i="48"/>
  <c r="M1244" i="48"/>
  <c r="J1244" i="48"/>
  <c r="G1244" i="48"/>
  <c r="D1244" i="48"/>
  <c r="M1243" i="48"/>
  <c r="J1243" i="48"/>
  <c r="G1243" i="48"/>
  <c r="D1243" i="48"/>
  <c r="M1242" i="48"/>
  <c r="J1242" i="48"/>
  <c r="G1242" i="48"/>
  <c r="D1242" i="48"/>
  <c r="M1241" i="48"/>
  <c r="J1241" i="48"/>
  <c r="G1241" i="48"/>
  <c r="D1241" i="48"/>
  <c r="M1240" i="48"/>
  <c r="J1240" i="48"/>
  <c r="G1240" i="48"/>
  <c r="D1240" i="48"/>
  <c r="M1239" i="48"/>
  <c r="J1239" i="48"/>
  <c r="G1239" i="48"/>
  <c r="D1239" i="48"/>
  <c r="M1238" i="48"/>
  <c r="J1238" i="48"/>
  <c r="G1238" i="48"/>
  <c r="D1238" i="48"/>
  <c r="M1237" i="48"/>
  <c r="J1237" i="48"/>
  <c r="G1237" i="48"/>
  <c r="D1237" i="48"/>
  <c r="M1236" i="48"/>
  <c r="J1236" i="48"/>
  <c r="G1236" i="48"/>
  <c r="D1236" i="48"/>
  <c r="B1247" i="48"/>
  <c r="B1246" i="48"/>
  <c r="B1245" i="48"/>
  <c r="B1244" i="48"/>
  <c r="B1243" i="48"/>
  <c r="B1242" i="48"/>
  <c r="B1241" i="48"/>
  <c r="B1240" i="48"/>
  <c r="B1239" i="48"/>
  <c r="B1238" i="48"/>
  <c r="B1237" i="48"/>
  <c r="B1236" i="48"/>
  <c r="M1278" i="48"/>
  <c r="J1278" i="48"/>
  <c r="G1278" i="48"/>
  <c r="D1278" i="48"/>
  <c r="M1277" i="48"/>
  <c r="J1277" i="48"/>
  <c r="G1277" i="48"/>
  <c r="D1277" i="48"/>
  <c r="M1276" i="48"/>
  <c r="J1276" i="48"/>
  <c r="G1276" i="48"/>
  <c r="D1276" i="48"/>
  <c r="M1275" i="48"/>
  <c r="J1275" i="48"/>
  <c r="G1275" i="48"/>
  <c r="D1275" i="48"/>
  <c r="B1278" i="48"/>
  <c r="B1277" i="48"/>
  <c r="B1276" i="48"/>
  <c r="B1275" i="48"/>
  <c r="M1272" i="48"/>
  <c r="J1272" i="48"/>
  <c r="G1272" i="48"/>
  <c r="D1272" i="48"/>
  <c r="M1271" i="48"/>
  <c r="J1271" i="48"/>
  <c r="G1271" i="48"/>
  <c r="D1271" i="48"/>
  <c r="M1270" i="48"/>
  <c r="J1270" i="48"/>
  <c r="G1270" i="48"/>
  <c r="D1270" i="48"/>
  <c r="M1269" i="48"/>
  <c r="J1269" i="48"/>
  <c r="G1269" i="48"/>
  <c r="D1269" i="48"/>
  <c r="M1268" i="48"/>
  <c r="J1268" i="48"/>
  <c r="G1268" i="48"/>
  <c r="D1268" i="48"/>
  <c r="M1267" i="48"/>
  <c r="J1267" i="48"/>
  <c r="G1267" i="48"/>
  <c r="D1267" i="48"/>
  <c r="M1266" i="48"/>
  <c r="J1266" i="48"/>
  <c r="G1266" i="48"/>
  <c r="D1266" i="48"/>
  <c r="M1265" i="48"/>
  <c r="J1265" i="48"/>
  <c r="G1265" i="48"/>
  <c r="D1265" i="48"/>
  <c r="M1264" i="48"/>
  <c r="J1264" i="48"/>
  <c r="G1264" i="48"/>
  <c r="D1264" i="48"/>
  <c r="M1263" i="48"/>
  <c r="J1263" i="48"/>
  <c r="G1263" i="48"/>
  <c r="D1263" i="48"/>
  <c r="M1262" i="48"/>
  <c r="J1262" i="48"/>
  <c r="G1262" i="48"/>
  <c r="D1262" i="48"/>
  <c r="M1261" i="48"/>
  <c r="J1261" i="48"/>
  <c r="G1261" i="48"/>
  <c r="D1261" i="48"/>
  <c r="M1260" i="48"/>
  <c r="J1260" i="48"/>
  <c r="G1260" i="48"/>
  <c r="D1260" i="48"/>
  <c r="M1259" i="48"/>
  <c r="J1259" i="48"/>
  <c r="G1259" i="48"/>
  <c r="D1259" i="48"/>
  <c r="M1258" i="48"/>
  <c r="J1258" i="48"/>
  <c r="G1258" i="48"/>
  <c r="D1258" i="48"/>
  <c r="M1257" i="48"/>
  <c r="J1257" i="48"/>
  <c r="G1257" i="48"/>
  <c r="D1257" i="48"/>
  <c r="M1256" i="48"/>
  <c r="J1256" i="48"/>
  <c r="G1256" i="48"/>
  <c r="D1256" i="48"/>
  <c r="M1255" i="48"/>
  <c r="J1255" i="48"/>
  <c r="G1255" i="48"/>
  <c r="D1255" i="48"/>
  <c r="M1254" i="48"/>
  <c r="J1254" i="48"/>
  <c r="G1254" i="48"/>
  <c r="D1254" i="48"/>
  <c r="M1253" i="48"/>
  <c r="J1253" i="48"/>
  <c r="G1253" i="48"/>
  <c r="D1253" i="48"/>
  <c r="M1252" i="48"/>
  <c r="J1252" i="48"/>
  <c r="G1252" i="48"/>
  <c r="D1252" i="48"/>
  <c r="M1251" i="48"/>
  <c r="J1251" i="48"/>
  <c r="G1251" i="48"/>
  <c r="D1251" i="48"/>
  <c r="M1250" i="48"/>
  <c r="J1250" i="48"/>
  <c r="G1250" i="48"/>
  <c r="D1250" i="48"/>
  <c r="B1272" i="48"/>
  <c r="B1271" i="48"/>
  <c r="B1270" i="48"/>
  <c r="B1269" i="48"/>
  <c r="B1268" i="48"/>
  <c r="B1267" i="48"/>
  <c r="B1266" i="48"/>
  <c r="B1265" i="48"/>
  <c r="B1264" i="48"/>
  <c r="B1263" i="48"/>
  <c r="B1262" i="48"/>
  <c r="B1261" i="48"/>
  <c r="B1260" i="48"/>
  <c r="B1259" i="48"/>
  <c r="B1258" i="48"/>
  <c r="B1257" i="48"/>
  <c r="B1256" i="48"/>
  <c r="B1255" i="48"/>
  <c r="B1254" i="48"/>
  <c r="B1253" i="48"/>
  <c r="B1252" i="48"/>
  <c r="B1251" i="48"/>
  <c r="B1250" i="48"/>
  <c r="AT1287" i="21"/>
  <c r="AT1286" i="21"/>
  <c r="AQ1282" i="21"/>
  <c r="AQ1257" i="21" s="1"/>
  <c r="AN1282" i="21"/>
  <c r="AN1257" i="21" s="1"/>
  <c r="AK1282" i="21"/>
  <c r="AK1257" i="21" s="1"/>
  <c r="AH1282" i="21"/>
  <c r="AH1257" i="21" s="1"/>
  <c r="AE1282" i="21"/>
  <c r="AE1257" i="21" s="1"/>
  <c r="AB1282" i="21"/>
  <c r="AB1257" i="21" s="1"/>
  <c r="Y1282" i="21"/>
  <c r="Y1257" i="21" s="1"/>
  <c r="V1282" i="21"/>
  <c r="V1257" i="21" s="1"/>
  <c r="S1282" i="21"/>
  <c r="S1257" i="21" s="1"/>
  <c r="P1282" i="21"/>
  <c r="P1257" i="21" s="1"/>
  <c r="M1282" i="21"/>
  <c r="M1257" i="21" s="1"/>
  <c r="J1282" i="21"/>
  <c r="AQ1238" i="21"/>
  <c r="AN1238" i="21"/>
  <c r="AK1238" i="21"/>
  <c r="AH1238" i="21"/>
  <c r="AE1238" i="21"/>
  <c r="AB1238" i="21"/>
  <c r="Y1238" i="21"/>
  <c r="V1238" i="21"/>
  <c r="S1238" i="21"/>
  <c r="P1238" i="21"/>
  <c r="M1238" i="21"/>
  <c r="AT1242" i="21"/>
  <c r="AT1256" i="21"/>
  <c r="AT1255" i="21"/>
  <c r="AT1254" i="21"/>
  <c r="AT1253" i="21"/>
  <c r="J1238" i="21"/>
  <c r="AT1205" i="21"/>
  <c r="M1198" i="48"/>
  <c r="J1198" i="48"/>
  <c r="G1198" i="48"/>
  <c r="D1198" i="48"/>
  <c r="M1197" i="48"/>
  <c r="J1197" i="48"/>
  <c r="G1197" i="48"/>
  <c r="D1197" i="48"/>
  <c r="M1196" i="48"/>
  <c r="J1196" i="48"/>
  <c r="G1196" i="48"/>
  <c r="D1196" i="48"/>
  <c r="M1195" i="48"/>
  <c r="J1195" i="48"/>
  <c r="G1195" i="48"/>
  <c r="D1195" i="48"/>
  <c r="M1194" i="48"/>
  <c r="J1194" i="48"/>
  <c r="G1194" i="48"/>
  <c r="D1194" i="48"/>
  <c r="M1193" i="48"/>
  <c r="J1193" i="48"/>
  <c r="G1193" i="48"/>
  <c r="D1193" i="48"/>
  <c r="B1198" i="48"/>
  <c r="B1197" i="48"/>
  <c r="B1196" i="48"/>
  <c r="B1195" i="48"/>
  <c r="B1194" i="48"/>
  <c r="B1193" i="48"/>
  <c r="B1192" i="48"/>
  <c r="J1208" i="21"/>
  <c r="M1208" i="21"/>
  <c r="P1208" i="21"/>
  <c r="S1208" i="21"/>
  <c r="V1208" i="21"/>
  <c r="Y1208" i="21"/>
  <c r="AB1208" i="21"/>
  <c r="AE1208" i="21"/>
  <c r="AH1208" i="21"/>
  <c r="AK1208" i="21"/>
  <c r="AN1208" i="21"/>
  <c r="AQ1208" i="21"/>
  <c r="M1186" i="48"/>
  <c r="J1186" i="48"/>
  <c r="G1186" i="48"/>
  <c r="D1186" i="48"/>
  <c r="M1185" i="48"/>
  <c r="J1185" i="48"/>
  <c r="G1185" i="48"/>
  <c r="D1185" i="48"/>
  <c r="M1184" i="48"/>
  <c r="J1184" i="48"/>
  <c r="G1184" i="48"/>
  <c r="D1184" i="48"/>
  <c r="M1183" i="48"/>
  <c r="J1183" i="48"/>
  <c r="G1183" i="48"/>
  <c r="D1183" i="48"/>
  <c r="M1182" i="48"/>
  <c r="J1182" i="48"/>
  <c r="G1182" i="48"/>
  <c r="D1182" i="48"/>
  <c r="M1181" i="48"/>
  <c r="J1181" i="48"/>
  <c r="G1181" i="48"/>
  <c r="D1181" i="48"/>
  <c r="AQ1185" i="21"/>
  <c r="AQ1184" i="21"/>
  <c r="AQ1183" i="21"/>
  <c r="AN1185" i="21"/>
  <c r="AN1184" i="21"/>
  <c r="AN1183" i="21"/>
  <c r="AK1185" i="21"/>
  <c r="AK1184" i="21"/>
  <c r="AK1183" i="21"/>
  <c r="AH1185" i="21"/>
  <c r="AH1184" i="21"/>
  <c r="AH1183" i="21"/>
  <c r="AE1185" i="21"/>
  <c r="AE1184" i="21"/>
  <c r="AE1183" i="21"/>
  <c r="AB1185" i="21"/>
  <c r="AB1184" i="21"/>
  <c r="AB1183" i="21"/>
  <c r="Y1185" i="21"/>
  <c r="Y1184" i="21"/>
  <c r="Y1183" i="21"/>
  <c r="V1185" i="21"/>
  <c r="V1184" i="21"/>
  <c r="V1183" i="21"/>
  <c r="S1185" i="21"/>
  <c r="S1184" i="21"/>
  <c r="S1183" i="21"/>
  <c r="P1185" i="21"/>
  <c r="P1184" i="21"/>
  <c r="P1183" i="21"/>
  <c r="M1185" i="21"/>
  <c r="M1184" i="21"/>
  <c r="M1183" i="21"/>
  <c r="J1185" i="21"/>
  <c r="J1184" i="21"/>
  <c r="AT1195" i="21"/>
  <c r="AT1194" i="21"/>
  <c r="AT1193" i="21"/>
  <c r="AT1192" i="21"/>
  <c r="AT1191" i="21"/>
  <c r="AT1190" i="21"/>
  <c r="B1186" i="48"/>
  <c r="B1185" i="48"/>
  <c r="B1184" i="48"/>
  <c r="B1183" i="48"/>
  <c r="B1182" i="48"/>
  <c r="B1181" i="48"/>
  <c r="M1140" i="48"/>
  <c r="J1140" i="48"/>
  <c r="G1140" i="48"/>
  <c r="D1140" i="48"/>
  <c r="M1139" i="48"/>
  <c r="J1139" i="48"/>
  <c r="G1139" i="48"/>
  <c r="D1139" i="48"/>
  <c r="M1138" i="48"/>
  <c r="J1138" i="48"/>
  <c r="G1138" i="48"/>
  <c r="D1138" i="48"/>
  <c r="M1137" i="48"/>
  <c r="J1137" i="48"/>
  <c r="G1137" i="48"/>
  <c r="D1137" i="48"/>
  <c r="M1136" i="48"/>
  <c r="J1136" i="48"/>
  <c r="G1136" i="48"/>
  <c r="D1136" i="48"/>
  <c r="M1135" i="48"/>
  <c r="J1135" i="48"/>
  <c r="G1135" i="48"/>
  <c r="D1135" i="48"/>
  <c r="M1134" i="48"/>
  <c r="J1134" i="48"/>
  <c r="G1134" i="48"/>
  <c r="D1134" i="48"/>
  <c r="M1133" i="48"/>
  <c r="J1133" i="48"/>
  <c r="G1133" i="48"/>
  <c r="D1133" i="48"/>
  <c r="M1132" i="48"/>
  <c r="J1132" i="48"/>
  <c r="G1132" i="48"/>
  <c r="D1132" i="48"/>
  <c r="B1140" i="48"/>
  <c r="B1139" i="48"/>
  <c r="B1138" i="48"/>
  <c r="B1137" i="48"/>
  <c r="B1136" i="48"/>
  <c r="B1135" i="48"/>
  <c r="B1134" i="48"/>
  <c r="B1133" i="48"/>
  <c r="B1132" i="48"/>
  <c r="AT1147" i="21"/>
  <c r="AT1146" i="21"/>
  <c r="AQ1125" i="21"/>
  <c r="AN1125" i="21"/>
  <c r="AK1125" i="21"/>
  <c r="AH1125" i="21"/>
  <c r="AE1125" i="21"/>
  <c r="AB1125" i="21"/>
  <c r="Y1125" i="21"/>
  <c r="V1125" i="21"/>
  <c r="S1125" i="21"/>
  <c r="P1125" i="21"/>
  <c r="M1125" i="21"/>
  <c r="J1125" i="21"/>
  <c r="AT1138" i="21"/>
  <c r="AT1137" i="21"/>
  <c r="AT1136" i="21"/>
  <c r="AT1135" i="21"/>
  <c r="M1129" i="48"/>
  <c r="J1129" i="48"/>
  <c r="G1129" i="48"/>
  <c r="D1129" i="48"/>
  <c r="M1128" i="48"/>
  <c r="J1128" i="48"/>
  <c r="G1128" i="48"/>
  <c r="D1128" i="48"/>
  <c r="M1127" i="48"/>
  <c r="J1127" i="48"/>
  <c r="G1127" i="48"/>
  <c r="D1127" i="48"/>
  <c r="M1126" i="48"/>
  <c r="J1126" i="48"/>
  <c r="G1126" i="48"/>
  <c r="D1126" i="48"/>
  <c r="B1129" i="48"/>
  <c r="B1128" i="48"/>
  <c r="B1127" i="48"/>
  <c r="B1126" i="48"/>
  <c r="M1112" i="48"/>
  <c r="J1112" i="48"/>
  <c r="G1112" i="48"/>
  <c r="D1112" i="48"/>
  <c r="M1111" i="48"/>
  <c r="J1111" i="48"/>
  <c r="G1111" i="48"/>
  <c r="D1111" i="48"/>
  <c r="M1110" i="48"/>
  <c r="J1110" i="48"/>
  <c r="G1110" i="48"/>
  <c r="D1110" i="48"/>
  <c r="M1109" i="48"/>
  <c r="J1109" i="48"/>
  <c r="G1109" i="48"/>
  <c r="D1109" i="48"/>
  <c r="M1108" i="48"/>
  <c r="J1108" i="48"/>
  <c r="G1108" i="48"/>
  <c r="D1108" i="48"/>
  <c r="M1107" i="48"/>
  <c r="J1107" i="48"/>
  <c r="G1107" i="48"/>
  <c r="D1107" i="48"/>
  <c r="M1106" i="48"/>
  <c r="J1106" i="48"/>
  <c r="G1106" i="48"/>
  <c r="D1106" i="48"/>
  <c r="M1105" i="48"/>
  <c r="J1105" i="48"/>
  <c r="G1105" i="48"/>
  <c r="D1105" i="48"/>
  <c r="M1104" i="48"/>
  <c r="J1104" i="48"/>
  <c r="G1104" i="48"/>
  <c r="D1104" i="48"/>
  <c r="AT1114" i="21"/>
  <c r="AT1113" i="21"/>
  <c r="AQ1112" i="21"/>
  <c r="AN1112" i="21"/>
  <c r="AK1112" i="21"/>
  <c r="AH1112" i="21"/>
  <c r="AE1112" i="21"/>
  <c r="AB1112" i="21"/>
  <c r="Y1112" i="21"/>
  <c r="V1112" i="21"/>
  <c r="S1112" i="21"/>
  <c r="P1112" i="21"/>
  <c r="M1112" i="21"/>
  <c r="J1112" i="21"/>
  <c r="B1112" i="48"/>
  <c r="B1111" i="48"/>
  <c r="B1110" i="48"/>
  <c r="B1109" i="48"/>
  <c r="B1108" i="48"/>
  <c r="B1107" i="48"/>
  <c r="B1106" i="48"/>
  <c r="B1105" i="48"/>
  <c r="B1104" i="48"/>
  <c r="B1103" i="48"/>
  <c r="B1102" i="48"/>
  <c r="B1101" i="48"/>
  <c r="B1100" i="48"/>
  <c r="V1182" i="21" l="1"/>
  <c r="S1182" i="21"/>
  <c r="AB1182" i="21"/>
  <c r="M1182" i="21"/>
  <c r="AK1182" i="21"/>
  <c r="J1350" i="48"/>
  <c r="J1326" i="48" s="1"/>
  <c r="P1352" i="48"/>
  <c r="AQ1182" i="21"/>
  <c r="P1360" i="48"/>
  <c r="P1353" i="48"/>
  <c r="P1355" i="48"/>
  <c r="P1361" i="48"/>
  <c r="AH1182" i="21"/>
  <c r="AT1359" i="21"/>
  <c r="AT1335" i="21" s="1"/>
  <c r="Y1182" i="21"/>
  <c r="P1354" i="48"/>
  <c r="P1351" i="48"/>
  <c r="AE1182" i="21"/>
  <c r="M1350" i="48"/>
  <c r="M1326" i="48" s="1"/>
  <c r="P1359" i="48"/>
  <c r="P1349" i="48"/>
  <c r="P1357" i="48"/>
  <c r="P1356" i="48"/>
  <c r="P1358" i="48"/>
  <c r="D1350" i="48"/>
  <c r="D1326" i="48" s="1"/>
  <c r="G1350" i="48"/>
  <c r="G1326" i="48" s="1"/>
  <c r="AT1292" i="21"/>
  <c r="M1283" i="48"/>
  <c r="P1348" i="48"/>
  <c r="J1283" i="48"/>
  <c r="D1283" i="48"/>
  <c r="G1283" i="48"/>
  <c r="P1309" i="48"/>
  <c r="P1310" i="48"/>
  <c r="P1308" i="48"/>
  <c r="P1307" i="48"/>
  <c r="P1292" i="48"/>
  <c r="P1294" i="48"/>
  <c r="P1293" i="48"/>
  <c r="P1295" i="48"/>
  <c r="P1296" i="48"/>
  <c r="P1236" i="48"/>
  <c r="P1237" i="48"/>
  <c r="P1239" i="48"/>
  <c r="P1243" i="48"/>
  <c r="P1245" i="48"/>
  <c r="P1233" i="48"/>
  <c r="P1242" i="48"/>
  <c r="P1244" i="48"/>
  <c r="P1275" i="48"/>
  <c r="P1277" i="48"/>
  <c r="P1246" i="48"/>
  <c r="P1238" i="48"/>
  <c r="P1241" i="48"/>
  <c r="P1247" i="48"/>
  <c r="P1240" i="48"/>
  <c r="P1276" i="48"/>
  <c r="P1278" i="48"/>
  <c r="P1256" i="48"/>
  <c r="P1258" i="48"/>
  <c r="P1264" i="48"/>
  <c r="P1266" i="48"/>
  <c r="P1272" i="48"/>
  <c r="P1263" i="48"/>
  <c r="P1271" i="48"/>
  <c r="P1254" i="48"/>
  <c r="P1257" i="48"/>
  <c r="P1255" i="48"/>
  <c r="P1252" i="48"/>
  <c r="P1250" i="48"/>
  <c r="P1265" i="48"/>
  <c r="P1251" i="48"/>
  <c r="P1253" i="48"/>
  <c r="P1260" i="48"/>
  <c r="P1259" i="48"/>
  <c r="P1261" i="48"/>
  <c r="P1268" i="48"/>
  <c r="P1262" i="48"/>
  <c r="P1270" i="48"/>
  <c r="P1267" i="48"/>
  <c r="P1269" i="48"/>
  <c r="AN1182" i="21"/>
  <c r="P1196" i="48"/>
  <c r="P1198" i="48"/>
  <c r="P1182" i="21"/>
  <c r="P1195" i="48"/>
  <c r="J1176" i="48"/>
  <c r="M1176" i="48"/>
  <c r="AT1112" i="21"/>
  <c r="AT1185" i="21"/>
  <c r="P1194" i="48"/>
  <c r="P1181" i="48"/>
  <c r="P1183" i="48"/>
  <c r="P1185" i="48"/>
  <c r="P1193" i="48"/>
  <c r="P1197" i="48"/>
  <c r="D1176" i="48"/>
  <c r="G1176" i="48"/>
  <c r="P1186" i="48"/>
  <c r="P1182" i="48"/>
  <c r="P1184" i="48"/>
  <c r="P1135" i="48"/>
  <c r="P1137" i="48"/>
  <c r="P1139" i="48"/>
  <c r="P1104" i="48"/>
  <c r="P1106" i="48"/>
  <c r="P1138" i="48"/>
  <c r="P1136" i="48"/>
  <c r="P1133" i="48"/>
  <c r="P1132" i="48"/>
  <c r="P1134" i="48"/>
  <c r="P1127" i="48"/>
  <c r="P1140" i="48"/>
  <c r="P1129" i="48"/>
  <c r="P1126" i="48"/>
  <c r="P1128" i="48"/>
  <c r="P1107" i="48"/>
  <c r="P1109" i="48"/>
  <c r="P1111" i="48"/>
  <c r="P1105" i="48"/>
  <c r="G1103" i="48"/>
  <c r="P1110" i="48"/>
  <c r="P1112" i="48"/>
  <c r="J1103" i="48"/>
  <c r="M1103" i="48"/>
  <c r="P1108" i="48"/>
  <c r="D1103" i="48"/>
  <c r="P1350" i="48" l="1"/>
  <c r="P1326" i="48" s="1"/>
  <c r="P1283" i="48"/>
  <c r="P1176" i="48"/>
  <c r="P1103" i="48"/>
  <c r="B1098" i="48" l="1"/>
  <c r="AQ1107" i="21"/>
  <c r="AN1107" i="21"/>
  <c r="AK1107" i="21"/>
  <c r="AH1107" i="21"/>
  <c r="AE1107" i="21"/>
  <c r="AB1107" i="21"/>
  <c r="Y1107" i="21"/>
  <c r="V1107" i="21"/>
  <c r="S1107" i="21"/>
  <c r="P1107" i="21"/>
  <c r="M1107" i="21"/>
  <c r="J1107" i="21"/>
  <c r="B1093" i="48"/>
  <c r="AQ1102" i="21"/>
  <c r="AN1102" i="21"/>
  <c r="AK1102" i="21"/>
  <c r="AH1102" i="21"/>
  <c r="AE1102" i="21"/>
  <c r="AB1102" i="21"/>
  <c r="Y1102" i="21"/>
  <c r="V1102" i="21"/>
  <c r="S1102" i="21"/>
  <c r="P1102" i="21"/>
  <c r="M1102" i="21"/>
  <c r="J1102" i="21"/>
  <c r="Y1092" i="21" l="1"/>
  <c r="AE1092" i="21"/>
  <c r="AB1092" i="21"/>
  <c r="J1092" i="21"/>
  <c r="AH1092" i="21"/>
  <c r="M1092" i="21"/>
  <c r="AK1092" i="21"/>
  <c r="P1092" i="21"/>
  <c r="AN1092" i="21"/>
  <c r="S1092" i="21"/>
  <c r="AQ1092" i="21"/>
  <c r="V1092" i="21"/>
  <c r="J1053" i="21" l="1"/>
  <c r="J1031" i="21"/>
  <c r="M1031" i="21"/>
  <c r="P1031" i="21"/>
  <c r="S1031" i="21"/>
  <c r="V1031" i="21"/>
  <c r="Y1031" i="21"/>
  <c r="AB1031" i="21"/>
  <c r="AE1031" i="21"/>
  <c r="AH1031" i="21"/>
  <c r="AK1031" i="21"/>
  <c r="AN1031" i="21"/>
  <c r="AQ1031" i="21"/>
  <c r="M934" i="48"/>
  <c r="J934" i="48"/>
  <c r="G934" i="48"/>
  <c r="D934" i="48"/>
  <c r="M933" i="48"/>
  <c r="J933" i="48"/>
  <c r="G933" i="48"/>
  <c r="D933" i="48"/>
  <c r="M932" i="48"/>
  <c r="J932" i="48"/>
  <c r="G932" i="48"/>
  <c r="D932" i="48"/>
  <c r="M931" i="48"/>
  <c r="J931" i="48"/>
  <c r="G931" i="48"/>
  <c r="D931" i="48"/>
  <c r="M930" i="48"/>
  <c r="J930" i="48"/>
  <c r="G930" i="48"/>
  <c r="D930" i="48"/>
  <c r="M929" i="48"/>
  <c r="J929" i="48"/>
  <c r="G929" i="48"/>
  <c r="D929" i="48"/>
  <c r="M928" i="48"/>
  <c r="J928" i="48"/>
  <c r="G928" i="48"/>
  <c r="D928" i="48"/>
  <c r="M927" i="48"/>
  <c r="J927" i="48"/>
  <c r="G927" i="48"/>
  <c r="D927" i="48"/>
  <c r="M926" i="48"/>
  <c r="J926" i="48"/>
  <c r="G926" i="48"/>
  <c r="D926" i="48"/>
  <c r="AT909" i="21"/>
  <c r="AT908" i="21"/>
  <c r="AT907" i="21"/>
  <c r="AT906" i="21"/>
  <c r="J910" i="21"/>
  <c r="AT905" i="21" l="1"/>
  <c r="P929" i="48"/>
  <c r="P931" i="48"/>
  <c r="P933" i="48"/>
  <c r="P928" i="48"/>
  <c r="P926" i="48"/>
  <c r="P934" i="48"/>
  <c r="P927" i="48"/>
  <c r="P932" i="48"/>
  <c r="P930" i="48"/>
  <c r="AT889" i="21" l="1"/>
  <c r="AT888" i="21"/>
  <c r="AT887" i="21"/>
  <c r="M880" i="48"/>
  <c r="J880" i="48"/>
  <c r="G880" i="48"/>
  <c r="D880" i="48"/>
  <c r="M879" i="48"/>
  <c r="J879" i="48"/>
  <c r="G879" i="48"/>
  <c r="D879" i="48"/>
  <c r="M878" i="48"/>
  <c r="J878" i="48"/>
  <c r="G878" i="48"/>
  <c r="D878" i="48"/>
  <c r="B880" i="48"/>
  <c r="B879" i="48"/>
  <c r="B878" i="48"/>
  <c r="B877" i="48"/>
  <c r="AQ886" i="21"/>
  <c r="AN886" i="21"/>
  <c r="AK886" i="21"/>
  <c r="AH886" i="21"/>
  <c r="AE886" i="21"/>
  <c r="AB886" i="21"/>
  <c r="Y886" i="21"/>
  <c r="V886" i="21"/>
  <c r="S886" i="21"/>
  <c r="P886" i="21"/>
  <c r="M886" i="21"/>
  <c r="J886" i="21"/>
  <c r="AT886" i="21" l="1"/>
  <c r="J877" i="48"/>
  <c r="M877" i="48"/>
  <c r="P880" i="48"/>
  <c r="G877" i="48"/>
  <c r="P879" i="48"/>
  <c r="D877" i="48"/>
  <c r="P878" i="48"/>
  <c r="P877" i="48" l="1"/>
  <c r="AT524" i="21"/>
  <c r="M515" i="48"/>
  <c r="J515" i="48"/>
  <c r="G515" i="48"/>
  <c r="D515" i="48"/>
  <c r="B515" i="48"/>
  <c r="B514" i="48"/>
  <c r="B513" i="48"/>
  <c r="B512" i="48"/>
  <c r="AQ518" i="21"/>
  <c r="AN518" i="21"/>
  <c r="AK518" i="21"/>
  <c r="AH518" i="21"/>
  <c r="AE518" i="21"/>
  <c r="AB518" i="21"/>
  <c r="Y518" i="21"/>
  <c r="V518" i="21"/>
  <c r="S518" i="21"/>
  <c r="P518" i="21"/>
  <c r="M518" i="21"/>
  <c r="J518" i="21"/>
  <c r="M506" i="48"/>
  <c r="J506" i="48"/>
  <c r="G506" i="48"/>
  <c r="D506" i="48"/>
  <c r="M505" i="48"/>
  <c r="J505" i="48"/>
  <c r="G505" i="48"/>
  <c r="D505" i="48"/>
  <c r="M504" i="48"/>
  <c r="J504" i="48"/>
  <c r="G504" i="48"/>
  <c r="D504" i="48"/>
  <c r="M503" i="48"/>
  <c r="J503" i="48"/>
  <c r="G503" i="48"/>
  <c r="D503" i="48"/>
  <c r="M502" i="48"/>
  <c r="J502" i="48"/>
  <c r="G502" i="48"/>
  <c r="D502" i="48"/>
  <c r="M501" i="48"/>
  <c r="J501" i="48"/>
  <c r="G501" i="48"/>
  <c r="D501" i="48"/>
  <c r="M500" i="48"/>
  <c r="J500" i="48"/>
  <c r="G500" i="48"/>
  <c r="D500" i="48"/>
  <c r="M499" i="48"/>
  <c r="J499" i="48"/>
  <c r="G499" i="48"/>
  <c r="D499" i="48"/>
  <c r="M498" i="48"/>
  <c r="J498" i="48"/>
  <c r="G498" i="48"/>
  <c r="D498" i="48"/>
  <c r="M497" i="48"/>
  <c r="J497" i="48"/>
  <c r="G497" i="48"/>
  <c r="D497" i="48"/>
  <c r="M496" i="48"/>
  <c r="J496" i="48"/>
  <c r="G496" i="48"/>
  <c r="D496" i="48"/>
  <c r="M495" i="48"/>
  <c r="J495" i="48"/>
  <c r="G495" i="48"/>
  <c r="D495" i="48"/>
  <c r="B506" i="48"/>
  <c r="B505" i="48"/>
  <c r="B504" i="48"/>
  <c r="B503" i="48"/>
  <c r="B502" i="48"/>
  <c r="B501" i="48"/>
  <c r="B500" i="48"/>
  <c r="B499" i="48"/>
  <c r="B498" i="48"/>
  <c r="B497" i="48"/>
  <c r="B496" i="48"/>
  <c r="B495" i="48"/>
  <c r="AT513" i="21"/>
  <c r="AT501" i="21"/>
  <c r="M492" i="48"/>
  <c r="J492" i="48"/>
  <c r="G492" i="48"/>
  <c r="D492" i="48"/>
  <c r="B492" i="48"/>
  <c r="AN496" i="21"/>
  <c r="AK496" i="21"/>
  <c r="AH496" i="21"/>
  <c r="AE496" i="21"/>
  <c r="AB496" i="21"/>
  <c r="Y496" i="21"/>
  <c r="V496" i="21"/>
  <c r="S496" i="21"/>
  <c r="P496" i="21"/>
  <c r="AN494" i="21"/>
  <c r="AK494" i="21"/>
  <c r="AH494" i="21"/>
  <c r="AE494" i="21"/>
  <c r="AB494" i="21"/>
  <c r="Y494" i="21"/>
  <c r="V494" i="21"/>
  <c r="S494" i="21"/>
  <c r="P494" i="21"/>
  <c r="AN493" i="21"/>
  <c r="AK493" i="21"/>
  <c r="AH493" i="21"/>
  <c r="AE493" i="21"/>
  <c r="AB493" i="21"/>
  <c r="Y493" i="21"/>
  <c r="V493" i="21"/>
  <c r="S493" i="21"/>
  <c r="P493" i="21"/>
  <c r="M466" i="48"/>
  <c r="J466" i="48"/>
  <c r="G466" i="48"/>
  <c r="D466" i="48"/>
  <c r="AT475" i="21"/>
  <c r="AQ460" i="21"/>
  <c r="AN460" i="21"/>
  <c r="AK460" i="21"/>
  <c r="AH460" i="21"/>
  <c r="AE460" i="21"/>
  <c r="AB460" i="21"/>
  <c r="Y460" i="21"/>
  <c r="V460" i="21"/>
  <c r="S460" i="21"/>
  <c r="P460" i="21"/>
  <c r="M460" i="21"/>
  <c r="J460" i="21"/>
  <c r="B466" i="48"/>
  <c r="AN464" i="21"/>
  <c r="M464" i="21"/>
  <c r="J464" i="21"/>
  <c r="M442" i="48"/>
  <c r="J442" i="48"/>
  <c r="G442" i="48"/>
  <c r="D442" i="48"/>
  <c r="M441" i="48"/>
  <c r="J441" i="48"/>
  <c r="G441" i="48"/>
  <c r="D441" i="48"/>
  <c r="AT451" i="21"/>
  <c r="AT450" i="21"/>
  <c r="AQ430" i="21"/>
  <c r="AN430" i="21"/>
  <c r="AK430" i="21"/>
  <c r="AH430" i="21"/>
  <c r="AE430" i="21"/>
  <c r="AB430" i="21"/>
  <c r="Y430" i="21"/>
  <c r="V430" i="21"/>
  <c r="S430" i="21"/>
  <c r="P430" i="21"/>
  <c r="M430" i="21"/>
  <c r="J430" i="21"/>
  <c r="B442" i="48"/>
  <c r="B441" i="48"/>
  <c r="AN443" i="21"/>
  <c r="AN440" i="21"/>
  <c r="AK440" i="21"/>
  <c r="S440" i="21"/>
  <c r="P440" i="21"/>
  <c r="M440" i="21"/>
  <c r="J440" i="21"/>
  <c r="AN439" i="21"/>
  <c r="AN437" i="21"/>
  <c r="AN436" i="21"/>
  <c r="P505" i="48" l="1"/>
  <c r="P506" i="48"/>
  <c r="P515" i="48"/>
  <c r="P504" i="48"/>
  <c r="P497" i="48"/>
  <c r="P499" i="48"/>
  <c r="P496" i="48"/>
  <c r="P498" i="48"/>
  <c r="P500" i="48"/>
  <c r="P495" i="48"/>
  <c r="P502" i="48"/>
  <c r="P501" i="48"/>
  <c r="P503" i="48"/>
  <c r="P492" i="48"/>
  <c r="P466" i="48"/>
  <c r="P441" i="48"/>
  <c r="P442" i="48"/>
  <c r="AQ410" i="21" l="1"/>
  <c r="AN410" i="21"/>
  <c r="P410" i="21"/>
  <c r="M410" i="21"/>
  <c r="J410" i="21"/>
  <c r="AQ408" i="21"/>
  <c r="AN408" i="21"/>
  <c r="AK408" i="21"/>
  <c r="AH408" i="21"/>
  <c r="AE408" i="21"/>
  <c r="AB408" i="21"/>
  <c r="Y408" i="21"/>
  <c r="V408" i="21"/>
  <c r="S408" i="21"/>
  <c r="P408" i="21"/>
  <c r="J408" i="21"/>
  <c r="AE406" i="21"/>
  <c r="AB406" i="21"/>
  <c r="Y406" i="21"/>
  <c r="AH404" i="21"/>
  <c r="AE404" i="21"/>
  <c r="AB404" i="21"/>
  <c r="Y404" i="21"/>
  <c r="V404" i="21"/>
  <c r="Y380" i="21"/>
  <c r="AQ314" i="21" l="1"/>
  <c r="AN314" i="21"/>
  <c r="AK314" i="21"/>
  <c r="AH314" i="21"/>
  <c r="AE314" i="21"/>
  <c r="AB314" i="21"/>
  <c r="Y314" i="21"/>
  <c r="V314" i="21"/>
  <c r="S314" i="21"/>
  <c r="P314" i="21"/>
  <c r="M314" i="21"/>
  <c r="J314" i="21"/>
  <c r="AQ1699" i="21" l="1"/>
  <c r="AN1699" i="21"/>
  <c r="AK1699" i="21"/>
  <c r="AH1699" i="21"/>
  <c r="AE1699" i="21"/>
  <c r="AB1699" i="21"/>
  <c r="Y1699" i="21"/>
  <c r="V1699" i="21"/>
  <c r="S1699" i="21"/>
  <c r="P1699" i="21"/>
  <c r="M1699" i="21"/>
  <c r="AQ1696" i="21"/>
  <c r="AN1696" i="21"/>
  <c r="AK1696" i="21"/>
  <c r="AH1696" i="21"/>
  <c r="AE1696" i="21"/>
  <c r="AB1696" i="21"/>
  <c r="Y1696" i="21"/>
  <c r="V1696" i="21"/>
  <c r="S1696" i="21"/>
  <c r="P1696" i="21"/>
  <c r="M1696" i="21"/>
  <c r="AQ1695" i="21"/>
  <c r="AN1695" i="21"/>
  <c r="AK1695" i="21"/>
  <c r="AH1695" i="21"/>
  <c r="AE1695" i="21"/>
  <c r="AB1695" i="21"/>
  <c r="Y1695" i="21"/>
  <c r="V1695" i="21"/>
  <c r="S1695" i="21"/>
  <c r="P1695" i="21"/>
  <c r="M1695" i="21"/>
  <c r="AQ1658" i="21" l="1"/>
  <c r="AN1658" i="21"/>
  <c r="AK1658" i="21"/>
  <c r="AH1658" i="21"/>
  <c r="AE1658" i="21"/>
  <c r="AB1658" i="21"/>
  <c r="Y1658" i="21"/>
  <c r="V1658" i="21"/>
  <c r="S1658" i="21"/>
  <c r="P1658" i="21"/>
  <c r="M1658" i="21"/>
  <c r="J1658" i="21"/>
  <c r="M1626" i="48"/>
  <c r="M1612" i="48" s="1"/>
  <c r="J1626" i="48"/>
  <c r="J1612" i="48" s="1"/>
  <c r="G1626" i="48"/>
  <c r="G1612" i="48" s="1"/>
  <c r="D1626" i="48"/>
  <c r="D1612" i="48" s="1"/>
  <c r="B1626" i="48"/>
  <c r="AQ1621" i="21"/>
  <c r="AN1621" i="21"/>
  <c r="AK1621" i="21"/>
  <c r="AH1621" i="21"/>
  <c r="AE1621" i="21"/>
  <c r="AB1621" i="21"/>
  <c r="Y1621" i="21"/>
  <c r="V1621" i="21"/>
  <c r="S1621" i="21"/>
  <c r="P1621" i="21"/>
  <c r="M1621" i="21"/>
  <c r="J1621" i="21"/>
  <c r="AT1635" i="21"/>
  <c r="AT1621" i="21" s="1"/>
  <c r="AT1627" i="21"/>
  <c r="AT1626" i="21"/>
  <c r="M1618" i="48"/>
  <c r="J1618" i="48"/>
  <c r="G1618" i="48"/>
  <c r="D1618" i="48"/>
  <c r="M1617" i="48"/>
  <c r="J1617" i="48"/>
  <c r="G1617" i="48"/>
  <c r="D1617" i="48"/>
  <c r="B1618" i="48"/>
  <c r="B1617" i="48"/>
  <c r="AT1523" i="21"/>
  <c r="AT1522" i="21"/>
  <c r="AT1521" i="21"/>
  <c r="AQ1510" i="21"/>
  <c r="AN1510" i="21"/>
  <c r="AK1510" i="21"/>
  <c r="AH1510" i="21"/>
  <c r="AE1510" i="21"/>
  <c r="AB1510" i="21"/>
  <c r="Y1510" i="21"/>
  <c r="V1510" i="21"/>
  <c r="S1510" i="21"/>
  <c r="P1510" i="21"/>
  <c r="M1510" i="21"/>
  <c r="J1510" i="21"/>
  <c r="M1514" i="48"/>
  <c r="J1514" i="48"/>
  <c r="G1514" i="48"/>
  <c r="D1514" i="48"/>
  <c r="M1513" i="48"/>
  <c r="J1513" i="48"/>
  <c r="G1513" i="48"/>
  <c r="D1513" i="48"/>
  <c r="M1512" i="48"/>
  <c r="J1512" i="48"/>
  <c r="G1512" i="48"/>
  <c r="D1512" i="48"/>
  <c r="B1514" i="48"/>
  <c r="B1513" i="48"/>
  <c r="B1512" i="48"/>
  <c r="M1496" i="48"/>
  <c r="J1496" i="48"/>
  <c r="G1496" i="48"/>
  <c r="D1496" i="48"/>
  <c r="M1495" i="48"/>
  <c r="J1495" i="48"/>
  <c r="G1495" i="48"/>
  <c r="D1495" i="48"/>
  <c r="M1494" i="48"/>
  <c r="J1494" i="48"/>
  <c r="G1494" i="48"/>
  <c r="D1494" i="48"/>
  <c r="B1496" i="48"/>
  <c r="B1495" i="48"/>
  <c r="B1494" i="48"/>
  <c r="B1493" i="48"/>
  <c r="AQ1492" i="21"/>
  <c r="AN1492" i="21"/>
  <c r="AK1492" i="21"/>
  <c r="AH1492" i="21"/>
  <c r="AE1492" i="21"/>
  <c r="AB1492" i="21"/>
  <c r="Y1492" i="21"/>
  <c r="V1492" i="21"/>
  <c r="S1492" i="21"/>
  <c r="P1492" i="21"/>
  <c r="M1492" i="21"/>
  <c r="J1492" i="21"/>
  <c r="AT1505" i="21"/>
  <c r="AT1504" i="21"/>
  <c r="AT1503" i="21"/>
  <c r="AQ1480" i="21"/>
  <c r="AQ1461" i="21" s="1"/>
  <c r="AN1480" i="21"/>
  <c r="AN1461" i="21" s="1"/>
  <c r="AK1480" i="21"/>
  <c r="AK1461" i="21" s="1"/>
  <c r="AH1480" i="21"/>
  <c r="AH1461" i="21" s="1"/>
  <c r="AE1480" i="21"/>
  <c r="AE1461" i="21" s="1"/>
  <c r="AB1480" i="21"/>
  <c r="AB1461" i="21" s="1"/>
  <c r="Y1480" i="21"/>
  <c r="Y1461" i="21" s="1"/>
  <c r="V1480" i="21"/>
  <c r="V1461" i="21" s="1"/>
  <c r="S1480" i="21"/>
  <c r="S1461" i="21" s="1"/>
  <c r="P1480" i="21"/>
  <c r="P1461" i="21" s="1"/>
  <c r="M1480" i="21"/>
  <c r="M1461" i="21" s="1"/>
  <c r="J1480" i="21"/>
  <c r="J1461" i="21" s="1"/>
  <c r="AT1489" i="21"/>
  <c r="AT1488" i="21"/>
  <c r="M1480" i="48"/>
  <c r="J1480" i="48"/>
  <c r="G1480" i="48"/>
  <c r="D1480" i="48"/>
  <c r="M1479" i="48"/>
  <c r="J1479" i="48"/>
  <c r="G1479" i="48"/>
  <c r="D1479" i="48"/>
  <c r="B1480" i="48"/>
  <c r="B1479" i="48"/>
  <c r="P1626" i="48" l="1"/>
  <c r="P1612" i="48" s="1"/>
  <c r="P1617" i="48"/>
  <c r="P1618" i="48"/>
  <c r="AT1510" i="21"/>
  <c r="M1501" i="48"/>
  <c r="J1501" i="48"/>
  <c r="G1501" i="48"/>
  <c r="D1501" i="48"/>
  <c r="P1512" i="48"/>
  <c r="P1513" i="48"/>
  <c r="P1494" i="48"/>
  <c r="P1514" i="48"/>
  <c r="P1496" i="48"/>
  <c r="P1495" i="48"/>
  <c r="P1479" i="48"/>
  <c r="P1480" i="48"/>
  <c r="P1501" i="48" l="1"/>
  <c r="AE829" i="21" l="1"/>
  <c r="AB829" i="21"/>
  <c r="Y828" i="21"/>
  <c r="AN823" i="21"/>
  <c r="AK823" i="21"/>
  <c r="S823" i="21"/>
  <c r="AQ818" i="21"/>
  <c r="AN818" i="21"/>
  <c r="S818" i="21"/>
  <c r="P818" i="21"/>
  <c r="J818" i="21"/>
  <c r="AQ817" i="21"/>
  <c r="AN817" i="21"/>
  <c r="J817" i="21"/>
  <c r="AQ815" i="21"/>
  <c r="AN815" i="21"/>
  <c r="AE815" i="21"/>
  <c r="S815" i="21"/>
  <c r="M815" i="21"/>
  <c r="AQ814" i="21"/>
  <c r="AN814" i="21"/>
  <c r="AK814" i="21"/>
  <c r="AH814" i="21"/>
  <c r="AE814" i="21"/>
  <c r="Y814" i="21"/>
  <c r="J814" i="21"/>
  <c r="AQ813" i="21"/>
  <c r="AN813" i="21"/>
  <c r="AK813" i="21"/>
  <c r="AH813" i="21"/>
  <c r="V813" i="21"/>
  <c r="S813" i="21"/>
  <c r="P813" i="21"/>
  <c r="M813" i="21"/>
  <c r="J813" i="21"/>
  <c r="AQ810" i="21"/>
  <c r="M810" i="21"/>
  <c r="J810" i="21"/>
  <c r="AQ808" i="21"/>
  <c r="AN808" i="21"/>
  <c r="AK808" i="21"/>
  <c r="S808" i="21"/>
  <c r="P808" i="21"/>
  <c r="M808" i="21"/>
  <c r="J808" i="21"/>
  <c r="AQ807" i="21"/>
  <c r="AN807" i="21"/>
  <c r="AK807" i="21"/>
  <c r="AH807" i="21"/>
  <c r="AE807" i="21"/>
  <c r="AB807" i="21"/>
  <c r="Y807" i="21"/>
  <c r="V807" i="21"/>
  <c r="S807" i="21"/>
  <c r="P807" i="21"/>
  <c r="M807" i="21"/>
  <c r="J807" i="21"/>
  <c r="AQ806" i="21"/>
  <c r="AN806" i="21"/>
  <c r="AK806" i="21"/>
  <c r="AH806" i="21"/>
  <c r="AE806" i="21"/>
  <c r="AB806" i="21"/>
  <c r="Y806" i="21"/>
  <c r="V806" i="21"/>
  <c r="S806" i="21"/>
  <c r="P806" i="21"/>
  <c r="M806" i="21"/>
  <c r="J806" i="21"/>
  <c r="AQ796" i="21"/>
  <c r="AN794" i="21"/>
  <c r="J794" i="21"/>
  <c r="AH793" i="21"/>
  <c r="AE793" i="21"/>
  <c r="AB793" i="21"/>
  <c r="Y793" i="21"/>
  <c r="B779" i="48"/>
  <c r="B778" i="48"/>
  <c r="B777" i="48"/>
  <c r="B776" i="48"/>
  <c r="B775" i="48"/>
  <c r="B774" i="48"/>
  <c r="B773" i="48"/>
  <c r="B772" i="48"/>
  <c r="B771" i="48"/>
  <c r="B770" i="48"/>
  <c r="B769" i="48"/>
  <c r="B768" i="48"/>
  <c r="B767" i="48"/>
  <c r="B766" i="48"/>
  <c r="B765" i="48"/>
  <c r="B764" i="48"/>
  <c r="B763" i="48"/>
  <c r="B762" i="48"/>
  <c r="B761" i="48"/>
  <c r="B760" i="48"/>
  <c r="B759" i="48"/>
  <c r="B758" i="48"/>
  <c r="B757" i="48"/>
  <c r="B756" i="48"/>
  <c r="B755" i="48"/>
  <c r="B754" i="48"/>
  <c r="AE760" i="21"/>
  <c r="AB760" i="21"/>
  <c r="Y760" i="21"/>
  <c r="AN759" i="21"/>
  <c r="AE759" i="21"/>
  <c r="AB759" i="21"/>
  <c r="Y759" i="21"/>
  <c r="AH756" i="21"/>
  <c r="AE756" i="21"/>
  <c r="AB756" i="21"/>
  <c r="Y756" i="21"/>
  <c r="V756" i="21"/>
  <c r="Y754" i="21"/>
  <c r="AN753" i="21"/>
  <c r="AK753" i="21"/>
  <c r="AH753" i="21"/>
  <c r="AE752" i="21"/>
  <c r="AE749" i="21"/>
  <c r="Y749" i="21"/>
  <c r="V749" i="21"/>
  <c r="P749" i="21"/>
  <c r="AH738" i="21"/>
  <c r="AE738" i="21"/>
  <c r="AB738" i="21"/>
  <c r="Y738" i="21"/>
  <c r="V738" i="21"/>
  <c r="S738" i="21"/>
  <c r="AK737" i="21"/>
  <c r="AH737" i="21"/>
  <c r="Y737" i="21"/>
  <c r="V737" i="21"/>
  <c r="S737" i="21"/>
  <c r="J737" i="21"/>
  <c r="J735" i="21"/>
  <c r="AN732" i="21"/>
  <c r="AK732" i="21"/>
  <c r="AE732" i="21"/>
  <c r="AB733" i="21"/>
  <c r="AB732" i="21" s="1"/>
  <c r="Y733" i="21"/>
  <c r="Y732" i="21" s="1"/>
  <c r="V733" i="21"/>
  <c r="V732" i="21" s="1"/>
  <c r="S733" i="21"/>
  <c r="S732" i="21" s="1"/>
  <c r="P732" i="21"/>
  <c r="J732" i="21"/>
  <c r="M732" i="21"/>
  <c r="AQ732" i="21"/>
  <c r="AH732" i="21"/>
  <c r="AT726" i="21" l="1"/>
  <c r="M719" i="48"/>
  <c r="J719" i="48"/>
  <c r="G719" i="48"/>
  <c r="D719" i="48"/>
  <c r="M718" i="48"/>
  <c r="J718" i="48"/>
  <c r="G718" i="48"/>
  <c r="D718" i="48"/>
  <c r="M717" i="48"/>
  <c r="J717" i="48"/>
  <c r="G717" i="48"/>
  <c r="D717" i="48"/>
  <c r="M716" i="48"/>
  <c r="J716" i="48"/>
  <c r="G716" i="48"/>
  <c r="D716" i="48"/>
  <c r="M715" i="48"/>
  <c r="J715" i="48"/>
  <c r="G715" i="48"/>
  <c r="D715" i="48"/>
  <c r="M714" i="48"/>
  <c r="J714" i="48"/>
  <c r="G714" i="48"/>
  <c r="D714" i="48"/>
  <c r="M713" i="48"/>
  <c r="J713" i="48"/>
  <c r="G713" i="48"/>
  <c r="D713" i="48"/>
  <c r="M712" i="48"/>
  <c r="J712" i="48"/>
  <c r="G712" i="48"/>
  <c r="D712" i="48"/>
  <c r="M711" i="48"/>
  <c r="J711" i="48"/>
  <c r="G711" i="48"/>
  <c r="D711" i="48"/>
  <c r="M710" i="48"/>
  <c r="J710" i="48"/>
  <c r="G710" i="48"/>
  <c r="D710" i="48"/>
  <c r="M709" i="48"/>
  <c r="J709" i="48"/>
  <c r="G709" i="48"/>
  <c r="D709" i="48"/>
  <c r="M708" i="48"/>
  <c r="J708" i="48"/>
  <c r="G708" i="48"/>
  <c r="D708" i="48"/>
  <c r="M707" i="48"/>
  <c r="J707" i="48"/>
  <c r="G707" i="48"/>
  <c r="D707" i="48"/>
  <c r="M706" i="48"/>
  <c r="J706" i="48"/>
  <c r="G706" i="48"/>
  <c r="D706" i="48"/>
  <c r="B719" i="48"/>
  <c r="B718" i="48"/>
  <c r="B717" i="48"/>
  <c r="B716" i="48"/>
  <c r="B715" i="48"/>
  <c r="B714" i="48"/>
  <c r="B713" i="48"/>
  <c r="B712" i="48"/>
  <c r="B711" i="48"/>
  <c r="B710" i="48"/>
  <c r="B709" i="48"/>
  <c r="B708" i="48"/>
  <c r="B707" i="48"/>
  <c r="B706" i="48"/>
  <c r="M705" i="21"/>
  <c r="J705" i="21"/>
  <c r="AQ704" i="21"/>
  <c r="AN704" i="21"/>
  <c r="AH704" i="21"/>
  <c r="M704" i="21"/>
  <c r="J704" i="21"/>
  <c r="AQ703" i="21"/>
  <c r="AN703" i="21"/>
  <c r="AK703" i="21"/>
  <c r="AH703" i="21"/>
  <c r="Y703" i="21"/>
  <c r="S703" i="21"/>
  <c r="P703" i="21"/>
  <c r="M703" i="21"/>
  <c r="J703" i="21"/>
  <c r="AQ702" i="21"/>
  <c r="AN702" i="21"/>
  <c r="AK702" i="21"/>
  <c r="AH702" i="21"/>
  <c r="S702" i="21"/>
  <c r="M702" i="21"/>
  <c r="J702" i="21"/>
  <c r="AQ701" i="21"/>
  <c r="AK701" i="21"/>
  <c r="AH701" i="21"/>
  <c r="AE701" i="21"/>
  <c r="AB701" i="21"/>
  <c r="Y701" i="21"/>
  <c r="V701" i="21"/>
  <c r="P701" i="21"/>
  <c r="M701" i="21"/>
  <c r="J701" i="21"/>
  <c r="AQ700" i="21"/>
  <c r="AN700" i="21"/>
  <c r="AK700" i="21"/>
  <c r="AH700" i="21"/>
  <c r="AE700" i="21"/>
  <c r="AB700" i="21"/>
  <c r="Y700" i="21"/>
  <c r="V700" i="21"/>
  <c r="S700" i="21"/>
  <c r="P700" i="21"/>
  <c r="M700" i="21"/>
  <c r="J700" i="21"/>
  <c r="Y697" i="21"/>
  <c r="J697" i="21"/>
  <c r="S696" i="21"/>
  <c r="S695" i="21"/>
  <c r="P695" i="21"/>
  <c r="AE693" i="21"/>
  <c r="AB693" i="21"/>
  <c r="Y688" i="21"/>
  <c r="J688" i="21"/>
  <c r="J687" i="21"/>
  <c r="B1052" i="48"/>
  <c r="AT638" i="21"/>
  <c r="AT637" i="21"/>
  <c r="AN620" i="21"/>
  <c r="AK620" i="21"/>
  <c r="AH620" i="21"/>
  <c r="AE620" i="21"/>
  <c r="AB620" i="21"/>
  <c r="Y620" i="21"/>
  <c r="V620" i="21"/>
  <c r="S620" i="21"/>
  <c r="M620" i="21"/>
  <c r="AQ618" i="21"/>
  <c r="AN618" i="21"/>
  <c r="AK618" i="21"/>
  <c r="AH618" i="21"/>
  <c r="AE618" i="21"/>
  <c r="AB618" i="21"/>
  <c r="Y618" i="21"/>
  <c r="S618" i="21"/>
  <c r="P618" i="21"/>
  <c r="M618" i="21"/>
  <c r="J618" i="21"/>
  <c r="AQ617" i="21"/>
  <c r="AK617" i="21"/>
  <c r="AE617" i="21"/>
  <c r="AB617" i="21"/>
  <c r="Y617" i="21"/>
  <c r="V617" i="21"/>
  <c r="M617" i="21"/>
  <c r="J617" i="21"/>
  <c r="AQ616" i="21"/>
  <c r="AN616" i="21"/>
  <c r="S616" i="21"/>
  <c r="M616" i="21"/>
  <c r="J616" i="21"/>
  <c r="AH614" i="21"/>
  <c r="AE614" i="21"/>
  <c r="AB614" i="21"/>
  <c r="Y614" i="21"/>
  <c r="V614" i="21"/>
  <c r="M614" i="21"/>
  <c r="AQ611" i="21"/>
  <c r="AN611" i="21"/>
  <c r="AK611" i="21"/>
  <c r="AH611" i="21"/>
  <c r="AE611" i="21"/>
  <c r="AB611" i="21"/>
  <c r="Y611" i="21"/>
  <c r="V611" i="21"/>
  <c r="S611" i="21"/>
  <c r="P611" i="21"/>
  <c r="M611" i="21"/>
  <c r="J611" i="21"/>
  <c r="M630" i="48"/>
  <c r="J630" i="48"/>
  <c r="G630" i="48"/>
  <c r="D630" i="48"/>
  <c r="M629" i="48"/>
  <c r="J629" i="48"/>
  <c r="G629" i="48"/>
  <c r="D629" i="48"/>
  <c r="M628" i="48"/>
  <c r="J628" i="48"/>
  <c r="G628" i="48"/>
  <c r="D628" i="48"/>
  <c r="B630" i="48"/>
  <c r="B629" i="48"/>
  <c r="B628" i="48"/>
  <c r="B627" i="48"/>
  <c r="B626" i="48"/>
  <c r="B625" i="48"/>
  <c r="B624" i="48"/>
  <c r="B623" i="48"/>
  <c r="B622" i="48"/>
  <c r="B621" i="48"/>
  <c r="B620" i="48"/>
  <c r="B619" i="48"/>
  <c r="B618" i="48"/>
  <c r="B617" i="48"/>
  <c r="B616" i="48"/>
  <c r="B615" i="48"/>
  <c r="M598" i="48"/>
  <c r="J598" i="48"/>
  <c r="G598" i="48"/>
  <c r="D598" i="48"/>
  <c r="B598" i="48"/>
  <c r="AT607" i="21"/>
  <c r="S603" i="21"/>
  <c r="AQ605" i="21"/>
  <c r="AN605" i="21"/>
  <c r="AK605" i="21"/>
  <c r="AH605" i="21"/>
  <c r="AE605" i="21"/>
  <c r="AB605" i="21"/>
  <c r="Y605" i="21"/>
  <c r="V605" i="21"/>
  <c r="S605" i="21"/>
  <c r="P605" i="21"/>
  <c r="M605" i="21"/>
  <c r="J605" i="21"/>
  <c r="P598" i="48" l="1"/>
  <c r="P629" i="48"/>
  <c r="P719" i="48"/>
  <c r="P713" i="48"/>
  <c r="P708" i="48"/>
  <c r="P716" i="48"/>
  <c r="P710" i="48"/>
  <c r="P707" i="48"/>
  <c r="P718" i="48"/>
  <c r="P709" i="48"/>
  <c r="P715" i="48"/>
  <c r="P717" i="48"/>
  <c r="P711" i="48"/>
  <c r="P706" i="48"/>
  <c r="P712" i="48"/>
  <c r="P714" i="48"/>
  <c r="P628" i="48"/>
  <c r="P630" i="48"/>
  <c r="AK596" i="21" l="1"/>
  <c r="S596" i="21"/>
  <c r="AH595" i="21"/>
  <c r="AB595" i="21"/>
  <c r="Y595" i="21"/>
  <c r="S595" i="21"/>
  <c r="M595" i="21"/>
  <c r="AK594" i="21"/>
  <c r="AH594" i="21"/>
  <c r="AE594" i="21"/>
  <c r="Y594" i="21"/>
  <c r="S594" i="21"/>
  <c r="M594" i="21"/>
  <c r="J594" i="21"/>
  <c r="AK593" i="21"/>
  <c r="AH593" i="21"/>
  <c r="AE593" i="21"/>
  <c r="Y593" i="21"/>
  <c r="V593" i="21"/>
  <c r="M593" i="21"/>
  <c r="J593" i="21"/>
  <c r="AQ591" i="21"/>
  <c r="AN591" i="21"/>
  <c r="AB591" i="21"/>
  <c r="Y591" i="21"/>
  <c r="AB590" i="21"/>
  <c r="V590" i="21"/>
  <c r="M590" i="21"/>
  <c r="AT583" i="21"/>
  <c r="AT582" i="21"/>
  <c r="AT577" i="21"/>
  <c r="AT576" i="21"/>
  <c r="AB563" i="21"/>
  <c r="M562" i="21"/>
  <c r="D553" i="48" s="1"/>
  <c r="J552" i="48"/>
  <c r="S561" i="21"/>
  <c r="G552" i="48" s="1"/>
  <c r="J551" i="48"/>
  <c r="S560" i="21"/>
  <c r="G551" i="48" s="1"/>
  <c r="G550" i="48"/>
  <c r="AK558" i="21"/>
  <c r="M549" i="48" s="1"/>
  <c r="AE558" i="21"/>
  <c r="G549" i="48"/>
  <c r="M547" i="48"/>
  <c r="AH556" i="21"/>
  <c r="AE556" i="21"/>
  <c r="AB556" i="21"/>
  <c r="S556" i="21"/>
  <c r="AQ555" i="21"/>
  <c r="M546" i="48" s="1"/>
  <c r="J546" i="48"/>
  <c r="P555" i="21"/>
  <c r="M555" i="21"/>
  <c r="Y553" i="21"/>
  <c r="V553" i="21"/>
  <c r="M574" i="48"/>
  <c r="J574" i="48"/>
  <c r="G574" i="48"/>
  <c r="D574" i="48"/>
  <c r="M573" i="48"/>
  <c r="J573" i="48"/>
  <c r="G573" i="48"/>
  <c r="D573" i="48"/>
  <c r="B575" i="48"/>
  <c r="B574" i="48"/>
  <c r="B573" i="48"/>
  <c r="B572" i="48"/>
  <c r="M569" i="48"/>
  <c r="J569" i="48"/>
  <c r="G569" i="48"/>
  <c r="D569" i="48"/>
  <c r="M568" i="48"/>
  <c r="J568" i="48"/>
  <c r="G568" i="48"/>
  <c r="D568" i="48"/>
  <c r="M567" i="48"/>
  <c r="J567" i="48"/>
  <c r="G567" i="48"/>
  <c r="D567" i="48"/>
  <c r="M566" i="48"/>
  <c r="J566" i="48"/>
  <c r="G566" i="48"/>
  <c r="D566" i="48"/>
  <c r="M565" i="48"/>
  <c r="J565" i="48"/>
  <c r="G565" i="48"/>
  <c r="D565" i="48"/>
  <c r="M564" i="48"/>
  <c r="J564" i="48"/>
  <c r="G564" i="48"/>
  <c r="D564" i="48"/>
  <c r="M563" i="48"/>
  <c r="J563" i="48"/>
  <c r="G563" i="48"/>
  <c r="D563" i="48"/>
  <c r="M562" i="48"/>
  <c r="J562" i="48"/>
  <c r="G562" i="48"/>
  <c r="D562" i="48"/>
  <c r="M559" i="48"/>
  <c r="J559" i="48"/>
  <c r="G559" i="48"/>
  <c r="D559" i="48"/>
  <c r="M558" i="48"/>
  <c r="J558" i="48"/>
  <c r="G558" i="48"/>
  <c r="D558" i="48"/>
  <c r="M557" i="48"/>
  <c r="J557" i="48"/>
  <c r="G557" i="48"/>
  <c r="D557" i="48"/>
  <c r="M556" i="48"/>
  <c r="J556" i="48"/>
  <c r="G556" i="48"/>
  <c r="D556" i="48"/>
  <c r="M555" i="48"/>
  <c r="J555" i="48"/>
  <c r="G555" i="48"/>
  <c r="D555" i="48"/>
  <c r="M554" i="48"/>
  <c r="J554" i="48"/>
  <c r="G554" i="48"/>
  <c r="D554" i="48"/>
  <c r="M553" i="48"/>
  <c r="J553" i="48"/>
  <c r="G553" i="48"/>
  <c r="M552" i="48"/>
  <c r="D552" i="48"/>
  <c r="M551" i="48"/>
  <c r="D551" i="48"/>
  <c r="M550" i="48"/>
  <c r="J550" i="48"/>
  <c r="D550" i="48"/>
  <c r="D549" i="48"/>
  <c r="M548" i="48"/>
  <c r="J548" i="48"/>
  <c r="G548" i="48"/>
  <c r="D548" i="48"/>
  <c r="D547" i="48"/>
  <c r="D546" i="48"/>
  <c r="M545" i="48"/>
  <c r="J545" i="48"/>
  <c r="G545" i="48"/>
  <c r="D545" i="48"/>
  <c r="D544" i="48"/>
  <c r="M543" i="48"/>
  <c r="J543" i="48"/>
  <c r="G543" i="48"/>
  <c r="D543" i="48"/>
  <c r="B569" i="48"/>
  <c r="B568" i="48"/>
  <c r="B567" i="48"/>
  <c r="B566" i="48"/>
  <c r="B565" i="48"/>
  <c r="B564" i="48"/>
  <c r="B563" i="48"/>
  <c r="B562" i="48"/>
  <c r="B561" i="48"/>
  <c r="B560" i="48"/>
  <c r="B559" i="48"/>
  <c r="B558" i="48"/>
  <c r="B557" i="48"/>
  <c r="B556" i="48"/>
  <c r="B555" i="48"/>
  <c r="B554" i="48"/>
  <c r="B553" i="48"/>
  <c r="B552" i="48"/>
  <c r="B551" i="48"/>
  <c r="B550" i="48"/>
  <c r="B549" i="48"/>
  <c r="B548" i="48"/>
  <c r="B547" i="48"/>
  <c r="B546" i="48"/>
  <c r="B545" i="48"/>
  <c r="B544" i="48"/>
  <c r="B543" i="48"/>
  <c r="J546" i="21"/>
  <c r="M544" i="48" l="1"/>
  <c r="G544" i="48"/>
  <c r="G546" i="48"/>
  <c r="P546" i="48" s="1"/>
  <c r="G547" i="48"/>
  <c r="J544" i="48"/>
  <c r="J547" i="48"/>
  <c r="J549" i="48"/>
  <c r="P549" i="48" s="1"/>
  <c r="P543" i="48"/>
  <c r="P573" i="48"/>
  <c r="P574" i="48"/>
  <c r="P550" i="48"/>
  <c r="P558" i="48"/>
  <c r="P562" i="48"/>
  <c r="P566" i="48"/>
  <c r="P568" i="48"/>
  <c r="P548" i="48"/>
  <c r="P553" i="48"/>
  <c r="P551" i="48"/>
  <c r="P556" i="48"/>
  <c r="P545" i="48"/>
  <c r="P555" i="48"/>
  <c r="P557" i="48"/>
  <c r="P564" i="48"/>
  <c r="P559" i="48"/>
  <c r="P563" i="48"/>
  <c r="P565" i="48"/>
  <c r="P567" i="48"/>
  <c r="P552" i="48"/>
  <c r="P554" i="48"/>
  <c r="P569" i="48"/>
  <c r="P547" i="48" l="1"/>
  <c r="P544" i="48"/>
  <c r="AQ1727" i="21"/>
  <c r="AN1727" i="21"/>
  <c r="AK1727" i="21"/>
  <c r="AH1727" i="21"/>
  <c r="AE1727" i="21"/>
  <c r="AB1727" i="21"/>
  <c r="Y1727" i="21"/>
  <c r="V1727" i="21"/>
  <c r="S1727" i="21"/>
  <c r="P1727" i="21"/>
  <c r="M1727" i="21"/>
  <c r="J1727" i="21"/>
  <c r="Y1724" i="21"/>
  <c r="AQ1723" i="21"/>
  <c r="AN1723" i="21"/>
  <c r="AK1723" i="21"/>
  <c r="AE1723" i="21"/>
  <c r="Y1723" i="21"/>
  <c r="V1723" i="21"/>
  <c r="P1723" i="21"/>
  <c r="M1723" i="21"/>
  <c r="AK1719" i="21"/>
  <c r="AH1719" i="21"/>
  <c r="AE1719" i="21"/>
  <c r="AB1719" i="21"/>
  <c r="Y1719" i="21"/>
  <c r="V1719" i="21"/>
  <c r="S1719" i="21"/>
  <c r="P1719" i="21"/>
  <c r="AQ1718" i="21"/>
  <c r="AN1718" i="21"/>
  <c r="AK1718" i="21"/>
  <c r="AH1718" i="21"/>
  <c r="AE1718" i="21"/>
  <c r="AB1718" i="21"/>
  <c r="Y1718" i="21"/>
  <c r="V1718" i="21"/>
  <c r="S1718" i="21"/>
  <c r="P1718" i="21"/>
  <c r="M1718" i="21"/>
  <c r="AH1713" i="21"/>
  <c r="AE1713" i="21"/>
  <c r="Y1713" i="21"/>
  <c r="V1713" i="21"/>
  <c r="S1713" i="21"/>
  <c r="AQ1712" i="21"/>
  <c r="AE1712" i="21"/>
  <c r="AB1712" i="21"/>
  <c r="V1712" i="21"/>
  <c r="S1712" i="21"/>
  <c r="AQ1711" i="21"/>
  <c r="AN1711" i="21"/>
  <c r="AK1711" i="21"/>
  <c r="AE1711" i="21"/>
  <c r="AB1711" i="21"/>
  <c r="Y1711" i="21"/>
  <c r="V1711" i="21"/>
  <c r="S1711" i="21"/>
  <c r="P1711" i="21"/>
  <c r="M1711" i="21"/>
  <c r="AQ1707" i="21"/>
  <c r="AN1707" i="21"/>
  <c r="AK1707" i="21"/>
  <c r="AH1707" i="21"/>
  <c r="AE1707" i="21"/>
  <c r="AB1707" i="21"/>
  <c r="Y1707" i="21"/>
  <c r="V1707" i="21"/>
  <c r="S1707" i="21"/>
  <c r="P1707" i="21"/>
  <c r="M1707" i="21"/>
  <c r="M1706" i="21"/>
  <c r="M1694" i="48"/>
  <c r="J1694" i="48"/>
  <c r="G1694" i="48"/>
  <c r="D1694" i="48"/>
  <c r="M1693" i="48"/>
  <c r="J1693" i="48"/>
  <c r="G1693" i="48"/>
  <c r="D1693" i="48"/>
  <c r="M1692" i="48"/>
  <c r="J1692" i="48"/>
  <c r="G1692" i="48"/>
  <c r="D1692" i="48"/>
  <c r="M1691" i="48"/>
  <c r="J1691" i="48"/>
  <c r="G1691" i="48"/>
  <c r="D1691" i="48"/>
  <c r="M1689" i="48"/>
  <c r="D1689" i="48"/>
  <c r="D1687" i="48"/>
  <c r="B1694" i="48"/>
  <c r="B1693" i="48"/>
  <c r="B1692" i="48"/>
  <c r="B1691" i="48"/>
  <c r="B1690" i="48"/>
  <c r="B1689" i="48"/>
  <c r="B1688" i="48"/>
  <c r="B1687" i="48"/>
  <c r="B1686" i="48"/>
  <c r="P1679" i="48"/>
  <c r="Q1669" i="48"/>
  <c r="B1679" i="48"/>
  <c r="AE1698" i="21"/>
  <c r="AB1698" i="21"/>
  <c r="Y1698" i="21"/>
  <c r="V1698" i="21"/>
  <c r="AQ1697" i="21"/>
  <c r="AN1697" i="21"/>
  <c r="AH1697" i="21"/>
  <c r="AE1697" i="21"/>
  <c r="AB1697" i="21"/>
  <c r="Y1697" i="21"/>
  <c r="V1697" i="21"/>
  <c r="M1687" i="48"/>
  <c r="M1686" i="48"/>
  <c r="M1694" i="21"/>
  <c r="AN1694" i="21"/>
  <c r="AK1694" i="21"/>
  <c r="P1694" i="21"/>
  <c r="AU1678" i="21"/>
  <c r="AT1688" i="21"/>
  <c r="M1685" i="48" l="1"/>
  <c r="M1688" i="48"/>
  <c r="P1693" i="21"/>
  <c r="M1690" i="48"/>
  <c r="J1689" i="48"/>
  <c r="J1687" i="48"/>
  <c r="M1693" i="21"/>
  <c r="S1694" i="21"/>
  <c r="S1693" i="21" s="1"/>
  <c r="G1688" i="48"/>
  <c r="AK1693" i="21"/>
  <c r="AN1693" i="21"/>
  <c r="J1693" i="21"/>
  <c r="G1686" i="48"/>
  <c r="V1694" i="21"/>
  <c r="V1693" i="21" s="1"/>
  <c r="J1690" i="48"/>
  <c r="Y1694" i="21"/>
  <c r="Y1693" i="21" s="1"/>
  <c r="J1688" i="48"/>
  <c r="D1690" i="48"/>
  <c r="AT1697" i="21"/>
  <c r="AT1698" i="21"/>
  <c r="G1690" i="48"/>
  <c r="P1691" i="48"/>
  <c r="P1693" i="48"/>
  <c r="G1687" i="48"/>
  <c r="G1689" i="48"/>
  <c r="D1686" i="48"/>
  <c r="D1685" i="48" s="1"/>
  <c r="D1688" i="48"/>
  <c r="AB1694" i="21"/>
  <c r="AB1693" i="21" s="1"/>
  <c r="P1692" i="48"/>
  <c r="P1694" i="48"/>
  <c r="AE1694" i="21"/>
  <c r="AE1693" i="21" s="1"/>
  <c r="J1686" i="48"/>
  <c r="J1685" i="48" s="1"/>
  <c r="AQ1694" i="21"/>
  <c r="AQ1693" i="21" s="1"/>
  <c r="AH1694" i="21"/>
  <c r="AH1693" i="21" s="1"/>
  <c r="AQ1687" i="21"/>
  <c r="AN1687" i="21"/>
  <c r="AK1687" i="21"/>
  <c r="AQ1686" i="21"/>
  <c r="AN1686" i="21"/>
  <c r="AK1686" i="21"/>
  <c r="AH1686" i="21"/>
  <c r="AE1686" i="21"/>
  <c r="AB1686" i="21"/>
  <c r="Y1686" i="21"/>
  <c r="V1686" i="21"/>
  <c r="S1686" i="21"/>
  <c r="P1686" i="21"/>
  <c r="M1686" i="21"/>
  <c r="AQ1684" i="21"/>
  <c r="AK1684" i="21"/>
  <c r="AH1684" i="21"/>
  <c r="AB1684" i="21"/>
  <c r="Y1684" i="21"/>
  <c r="V1684" i="21"/>
  <c r="G1685" i="48" l="1"/>
  <c r="P1689" i="48"/>
  <c r="P1687" i="48"/>
  <c r="P1690" i="48"/>
  <c r="P1688" i="48"/>
  <c r="P1686" i="48"/>
  <c r="E199" i="47"/>
  <c r="D199" i="47"/>
  <c r="C199" i="47"/>
  <c r="N7" i="46"/>
  <c r="M7" i="46"/>
  <c r="L7" i="46"/>
  <c r="K7" i="46"/>
  <c r="J7" i="46"/>
  <c r="I7" i="46"/>
  <c r="H7" i="46"/>
  <c r="G7" i="46"/>
  <c r="F7" i="46"/>
  <c r="E7" i="46"/>
  <c r="D7" i="46"/>
  <c r="C7" i="46"/>
  <c r="O47" i="46"/>
  <c r="J1059" i="21"/>
  <c r="M1059" i="21"/>
  <c r="P1059" i="21"/>
  <c r="S1059" i="21"/>
  <c r="V1059" i="21"/>
  <c r="Y1059" i="21"/>
  <c r="AB1059" i="21"/>
  <c r="AE1059" i="21"/>
  <c r="AH1059" i="21"/>
  <c r="AK1059" i="21"/>
  <c r="AN1059" i="21"/>
  <c r="AQ1059" i="21"/>
  <c r="J1060" i="21"/>
  <c r="M1060" i="21"/>
  <c r="P1060" i="21"/>
  <c r="S1060" i="21"/>
  <c r="V1060" i="21"/>
  <c r="Y1060" i="21"/>
  <c r="AB1060" i="21"/>
  <c r="AE1060" i="21"/>
  <c r="AH1060" i="21"/>
  <c r="AK1060" i="21"/>
  <c r="AN1060" i="21"/>
  <c r="AQ1060" i="21"/>
  <c r="J1061" i="21"/>
  <c r="M1061" i="21"/>
  <c r="P1061" i="21"/>
  <c r="S1061" i="21"/>
  <c r="V1061" i="21"/>
  <c r="Y1061" i="21"/>
  <c r="AB1061" i="21"/>
  <c r="AE1061" i="21"/>
  <c r="AH1061" i="21"/>
  <c r="AK1061" i="21"/>
  <c r="AN1061" i="21"/>
  <c r="AQ1061" i="21"/>
  <c r="O35" i="46"/>
  <c r="B1717" i="48"/>
  <c r="B1711" i="48"/>
  <c r="B1707" i="48"/>
  <c r="B1706" i="48"/>
  <c r="AY1708" i="21"/>
  <c r="AY1705" i="21" s="1"/>
  <c r="AY1704" i="21" s="1"/>
  <c r="B1725" i="48"/>
  <c r="B1695" i="48"/>
  <c r="B1683" i="48"/>
  <c r="B1672" i="48"/>
  <c r="AQ1729" i="21"/>
  <c r="AQ1730" i="21"/>
  <c r="AQ1689" i="21"/>
  <c r="AQ1690" i="21"/>
  <c r="AQ1691" i="21"/>
  <c r="AS1716" i="21"/>
  <c r="AS1720" i="21"/>
  <c r="AS1726" i="21"/>
  <c r="AS1681" i="21"/>
  <c r="AS1692" i="21"/>
  <c r="AS1704" i="21"/>
  <c r="AS1715" i="21"/>
  <c r="AR1715" i="21" s="1"/>
  <c r="T47" i="40"/>
  <c r="R47" i="40"/>
  <c r="AR79" i="21"/>
  <c r="B1651" i="48"/>
  <c r="B1648" i="48"/>
  <c r="B1631" i="48"/>
  <c r="B1610" i="48"/>
  <c r="B1601" i="48"/>
  <c r="B1571" i="48"/>
  <c r="AY1552" i="21"/>
  <c r="B1542" i="48"/>
  <c r="B1518" i="48"/>
  <c r="B1499" i="48"/>
  <c r="B1481" i="48"/>
  <c r="B1470" i="48"/>
  <c r="B1454" i="48"/>
  <c r="B1450" i="48"/>
  <c r="B1437" i="48"/>
  <c r="B1386" i="48"/>
  <c r="AY1447" i="21"/>
  <c r="AY1384" i="21"/>
  <c r="B1374" i="48"/>
  <c r="B1323" i="48"/>
  <c r="B1313" i="48"/>
  <c r="B1279" i="48"/>
  <c r="B1201" i="48"/>
  <c r="B1187" i="48"/>
  <c r="B1173" i="48"/>
  <c r="B1159" i="48"/>
  <c r="B1158" i="48"/>
  <c r="B1141" i="48"/>
  <c r="B1113" i="48"/>
  <c r="B1080" i="48"/>
  <c r="AY1091" i="21"/>
  <c r="AY1092" i="21"/>
  <c r="B990" i="48"/>
  <c r="B980" i="48"/>
  <c r="B969" i="48"/>
  <c r="B935" i="48"/>
  <c r="B915" i="48"/>
  <c r="B885" i="48"/>
  <c r="AY868" i="21"/>
  <c r="AY853" i="21" s="1"/>
  <c r="B856" i="48"/>
  <c r="B846" i="48"/>
  <c r="B793" i="48"/>
  <c r="B780" i="48"/>
  <c r="B720" i="48"/>
  <c r="B672" i="48"/>
  <c r="B634" i="48"/>
  <c r="B599" i="48"/>
  <c r="B590" i="48"/>
  <c r="B576" i="48"/>
  <c r="B536" i="48"/>
  <c r="B519" i="48"/>
  <c r="B507" i="48"/>
  <c r="B469" i="48"/>
  <c r="B447" i="48"/>
  <c r="B418" i="48"/>
  <c r="B407" i="48"/>
  <c r="B384" i="48"/>
  <c r="B375" i="48"/>
  <c r="B368" i="48"/>
  <c r="B345" i="48"/>
  <c r="B326" i="48"/>
  <c r="B312" i="48"/>
  <c r="B306" i="48"/>
  <c r="B299" i="48"/>
  <c r="B287" i="48"/>
  <c r="B276" i="48"/>
  <c r="B195" i="48"/>
  <c r="B178" i="48"/>
  <c r="B167" i="48"/>
  <c r="B161" i="48"/>
  <c r="B149" i="48"/>
  <c r="B142" i="48"/>
  <c r="B129" i="48"/>
  <c r="B105" i="48"/>
  <c r="B96" i="48"/>
  <c r="B93" i="48"/>
  <c r="B72" i="48"/>
  <c r="B71" i="48"/>
  <c r="B70" i="48"/>
  <c r="B69" i="48"/>
  <c r="B68" i="48"/>
  <c r="B67" i="48"/>
  <c r="B66" i="48"/>
  <c r="B65" i="48"/>
  <c r="B64" i="48"/>
  <c r="B63" i="48"/>
  <c r="B62" i="48"/>
  <c r="B61" i="48"/>
  <c r="B60" i="48"/>
  <c r="B59" i="48"/>
  <c r="B58" i="48"/>
  <c r="B57" i="48"/>
  <c r="B56" i="48"/>
  <c r="B55" i="48"/>
  <c r="B54" i="48"/>
  <c r="B53" i="48"/>
  <c r="B52" i="48"/>
  <c r="B51" i="48"/>
  <c r="B48" i="48"/>
  <c r="B47" i="48"/>
  <c r="B46" i="48"/>
  <c r="B45" i="48"/>
  <c r="B44" i="48"/>
  <c r="B43" i="48"/>
  <c r="B42" i="48"/>
  <c r="B41" i="48"/>
  <c r="B40" i="48"/>
  <c r="B39" i="48"/>
  <c r="B38" i="48"/>
  <c r="B37" i="48"/>
  <c r="B36" i="48"/>
  <c r="B35" i="48"/>
  <c r="B34" i="48"/>
  <c r="B33" i="48"/>
  <c r="B32" i="48"/>
  <c r="B31" i="48"/>
  <c r="B30" i="48"/>
  <c r="B29" i="48"/>
  <c r="B79" i="48"/>
  <c r="B28" i="48"/>
  <c r="B27" i="48"/>
  <c r="B26" i="48"/>
  <c r="B25" i="48"/>
  <c r="B24" i="48"/>
  <c r="B23" i="48"/>
  <c r="B22" i="48"/>
  <c r="B21" i="48"/>
  <c r="B20" i="48"/>
  <c r="B19" i="48"/>
  <c r="B18" i="48"/>
  <c r="B17" i="48"/>
  <c r="B16" i="48"/>
  <c r="B15" i="48"/>
  <c r="O47" i="40"/>
  <c r="O47" i="38"/>
  <c r="O47" i="37"/>
  <c r="O47" i="36"/>
  <c r="O47" i="35"/>
  <c r="O47" i="34"/>
  <c r="O47" i="33"/>
  <c r="O47" i="32"/>
  <c r="O47" i="31"/>
  <c r="O47" i="29"/>
  <c r="O47" i="30"/>
  <c r="O478" i="21"/>
  <c r="L478" i="21"/>
  <c r="R478" i="21"/>
  <c r="AQ502" i="21"/>
  <c r="AQ481" i="21" s="1"/>
  <c r="AN502" i="21"/>
  <c r="AN481" i="21" s="1"/>
  <c r="AK502" i="21"/>
  <c r="AK481" i="21" s="1"/>
  <c r="AH502" i="21"/>
  <c r="AH481" i="21" s="1"/>
  <c r="AE502" i="21"/>
  <c r="AE481" i="21" s="1"/>
  <c r="AB502" i="21"/>
  <c r="AB481" i="21" s="1"/>
  <c r="Y502" i="21"/>
  <c r="V502" i="21"/>
  <c r="S502" i="21"/>
  <c r="S481" i="21" s="1"/>
  <c r="P502" i="21"/>
  <c r="P481" i="21" s="1"/>
  <c r="M502" i="21"/>
  <c r="M481" i="21" s="1"/>
  <c r="J502" i="21"/>
  <c r="J481" i="21" s="1"/>
  <c r="AT515" i="21"/>
  <c r="AT514" i="21"/>
  <c r="AT512" i="21"/>
  <c r="AQ872" i="21"/>
  <c r="AQ824" i="21"/>
  <c r="M257" i="48"/>
  <c r="AQ225" i="21"/>
  <c r="M216" i="48"/>
  <c r="M207" i="48"/>
  <c r="AQ1215" i="21"/>
  <c r="AQ1339" i="21"/>
  <c r="M1214" i="48"/>
  <c r="AQ1066" i="21"/>
  <c r="AQ1027" i="21"/>
  <c r="AQ1020" i="21"/>
  <c r="M1559" i="48"/>
  <c r="AQ1464" i="21"/>
  <c r="AQ1611" i="21"/>
  <c r="M1581" i="48"/>
  <c r="M1560" i="48"/>
  <c r="M1511" i="48"/>
  <c r="AN262" i="21"/>
  <c r="M213" i="48"/>
  <c r="AN487" i="21"/>
  <c r="M1291" i="48"/>
  <c r="M1297" i="48"/>
  <c r="AN1024" i="21"/>
  <c r="M1003" i="48"/>
  <c r="AN1062" i="21"/>
  <c r="M1001" i="48"/>
  <c r="AN1554" i="21"/>
  <c r="M1527" i="48"/>
  <c r="AN1494" i="21"/>
  <c r="AK170" i="21"/>
  <c r="AK169" i="21" s="1"/>
  <c r="M802" i="48"/>
  <c r="AK872" i="21"/>
  <c r="M1625" i="48"/>
  <c r="AH1528" i="21"/>
  <c r="L75" i="37" s="1"/>
  <c r="AH1554" i="21"/>
  <c r="M1565" i="48"/>
  <c r="AK1554" i="21"/>
  <c r="AH872" i="21"/>
  <c r="AH691" i="21"/>
  <c r="AH824" i="21"/>
  <c r="J730" i="48"/>
  <c r="AT667" i="21"/>
  <c r="J743" i="48"/>
  <c r="AH751" i="21"/>
  <c r="AH744" i="21"/>
  <c r="J656" i="48"/>
  <c r="J612" i="48"/>
  <c r="AH1062" i="21"/>
  <c r="AH1027" i="21"/>
  <c r="AH1339" i="21"/>
  <c r="AH1215" i="21"/>
  <c r="AT1616" i="21"/>
  <c r="AH1595" i="21"/>
  <c r="AH1558" i="21"/>
  <c r="AE170" i="21"/>
  <c r="AE169" i="21" s="1"/>
  <c r="AE322" i="21"/>
  <c r="J309" i="48"/>
  <c r="J257" i="48"/>
  <c r="AE222" i="21"/>
  <c r="J207" i="48"/>
  <c r="AE120" i="21"/>
  <c r="J1055" i="48"/>
  <c r="AT1018" i="21"/>
  <c r="AE1027" i="21"/>
  <c r="AE1554" i="21"/>
  <c r="AE1518" i="21"/>
  <c r="AT697" i="21"/>
  <c r="J680" i="48"/>
  <c r="AB686" i="21"/>
  <c r="AB654" i="21"/>
  <c r="J256" i="48"/>
  <c r="J253" i="48"/>
  <c r="AB170" i="21"/>
  <c r="AB169" i="21" s="1"/>
  <c r="AB144" i="21"/>
  <c r="J114" i="48"/>
  <c r="J524" i="48"/>
  <c r="J512" i="48"/>
  <c r="J1297" i="48"/>
  <c r="D1297" i="48"/>
  <c r="AB1215" i="21"/>
  <c r="AB1027" i="21"/>
  <c r="AB1014" i="21"/>
  <c r="AB872" i="21"/>
  <c r="AB1584" i="21"/>
  <c r="AB1558" i="21"/>
  <c r="AB1554" i="21"/>
  <c r="J1529" i="48"/>
  <c r="AB1567" i="21"/>
  <c r="J1503" i="48"/>
  <c r="Y740" i="21"/>
  <c r="G730" i="48"/>
  <c r="G680" i="48"/>
  <c r="G659" i="48"/>
  <c r="G610" i="48"/>
  <c r="Y1027" i="21"/>
  <c r="Y1062" i="21"/>
  <c r="G1025" i="48"/>
  <c r="G1023" i="48"/>
  <c r="G1021" i="48"/>
  <c r="G257" i="48"/>
  <c r="G226" i="48"/>
  <c r="Y228" i="21"/>
  <c r="AT348" i="21"/>
  <c r="Y322" i="21"/>
  <c r="G305" i="48"/>
  <c r="G253" i="48"/>
  <c r="Y225" i="21"/>
  <c r="Y170" i="21"/>
  <c r="Y169" i="21" s="1"/>
  <c r="Y151" i="21"/>
  <c r="Y150" i="21" s="1"/>
  <c r="G138" i="48"/>
  <c r="Y856" i="21"/>
  <c r="G865" i="48"/>
  <c r="Y1339" i="21"/>
  <c r="Y1554" i="21"/>
  <c r="Y1518" i="21"/>
  <c r="Y1623" i="21"/>
  <c r="G1487" i="48"/>
  <c r="Y1466" i="21"/>
  <c r="V222" i="21"/>
  <c r="G165" i="48"/>
  <c r="V120" i="21"/>
  <c r="V228" i="21"/>
  <c r="V219" i="21"/>
  <c r="G163" i="48"/>
  <c r="V1123" i="21"/>
  <c r="V1339" i="21"/>
  <c r="V663" i="21"/>
  <c r="V1062" i="21"/>
  <c r="V1558" i="21"/>
  <c r="G1524" i="48"/>
  <c r="S322" i="21"/>
  <c r="S232" i="21"/>
  <c r="G206" i="48"/>
  <c r="G612" i="48"/>
  <c r="G732" i="48"/>
  <c r="G1084" i="48"/>
  <c r="S878" i="21"/>
  <c r="AT1574" i="21"/>
  <c r="G1553" i="48"/>
  <c r="S1554" i="21"/>
  <c r="G1585" i="48"/>
  <c r="G1528" i="48"/>
  <c r="G1525" i="48"/>
  <c r="S1631" i="21"/>
  <c r="G1564" i="48"/>
  <c r="M779" i="48"/>
  <c r="J779" i="48"/>
  <c r="G779" i="48"/>
  <c r="D779" i="48"/>
  <c r="P225" i="21"/>
  <c r="P216" i="21"/>
  <c r="P740" i="21"/>
  <c r="P686" i="21"/>
  <c r="D656" i="48"/>
  <c r="AT690" i="21"/>
  <c r="D391" i="48"/>
  <c r="AT1341" i="21"/>
  <c r="P1215" i="21"/>
  <c r="P1062" i="21"/>
  <c r="M740" i="21"/>
  <c r="AQ761" i="21"/>
  <c r="AQ731" i="21" s="1"/>
  <c r="AN761" i="21"/>
  <c r="AN731" i="21" s="1"/>
  <c r="AK761" i="21"/>
  <c r="AK731" i="21" s="1"/>
  <c r="AH761" i="21"/>
  <c r="AH731" i="21" s="1"/>
  <c r="AE761" i="21"/>
  <c r="AE731" i="21" s="1"/>
  <c r="AB761" i="21"/>
  <c r="AB731" i="21" s="1"/>
  <c r="Y761" i="21"/>
  <c r="Y731" i="21" s="1"/>
  <c r="V761" i="21"/>
  <c r="V731" i="21" s="1"/>
  <c r="S761" i="21"/>
  <c r="S731" i="21" s="1"/>
  <c r="P761" i="21"/>
  <c r="P731" i="21" s="1"/>
  <c r="M761" i="21"/>
  <c r="M731" i="21" s="1"/>
  <c r="J761" i="21"/>
  <c r="J731" i="21" s="1"/>
  <c r="AT788" i="21"/>
  <c r="D1578" i="48"/>
  <c r="P1497" i="21"/>
  <c r="P1584" i="21"/>
  <c r="P1464" i="21"/>
  <c r="AT1589" i="21"/>
  <c r="M170" i="21"/>
  <c r="D225" i="48"/>
  <c r="M219" i="21"/>
  <c r="M1020" i="21"/>
  <c r="D1004" i="48"/>
  <c r="M872" i="21"/>
  <c r="M1567" i="21"/>
  <c r="D1548" i="48"/>
  <c r="D1524" i="48"/>
  <c r="D1523" i="48"/>
  <c r="D1522" i="48"/>
  <c r="J170" i="21"/>
  <c r="J169" i="21" s="1"/>
  <c r="D1225" i="48"/>
  <c r="D392" i="48"/>
  <c r="AT596" i="21"/>
  <c r="AT591" i="21"/>
  <c r="J1066" i="21"/>
  <c r="J1027" i="21"/>
  <c r="J1584" i="21"/>
  <c r="AT1561" i="21"/>
  <c r="J1497" i="21"/>
  <c r="J1464" i="21"/>
  <c r="J1460" i="21" s="1"/>
  <c r="AQ1091" i="21"/>
  <c r="AN1091" i="21"/>
  <c r="AK1091" i="21"/>
  <c r="AH1091" i="21"/>
  <c r="AE1091" i="21"/>
  <c r="AB1091" i="21"/>
  <c r="Y1091" i="21"/>
  <c r="V1091" i="21"/>
  <c r="S1091" i="21"/>
  <c r="P1091" i="21"/>
  <c r="M1091" i="21"/>
  <c r="J1091" i="21"/>
  <c r="M1082" i="48"/>
  <c r="J1082" i="48"/>
  <c r="G1082" i="48"/>
  <c r="M1477" i="48"/>
  <c r="J1477" i="48"/>
  <c r="G1477" i="48"/>
  <c r="D1477" i="48"/>
  <c r="M1476" i="48"/>
  <c r="J1476" i="48"/>
  <c r="G1476" i="48"/>
  <c r="D1476" i="48"/>
  <c r="B1477" i="48"/>
  <c r="B1476" i="48"/>
  <c r="D1710" i="48"/>
  <c r="AT1486" i="21"/>
  <c r="AT1485" i="21"/>
  <c r="AY1396" i="21"/>
  <c r="AT1181" i="21"/>
  <c r="C135" i="47"/>
  <c r="D135" i="47"/>
  <c r="E135" i="47"/>
  <c r="AT1121" i="21"/>
  <c r="AT1091" i="21" s="1"/>
  <c r="AT1120" i="21"/>
  <c r="AT1119" i="21"/>
  <c r="AT1118" i="21"/>
  <c r="AT1117" i="21"/>
  <c r="AT1116" i="21"/>
  <c r="AT1115" i="21"/>
  <c r="AQ1071" i="21"/>
  <c r="AQ1049" i="21" s="1"/>
  <c r="AN1071" i="21"/>
  <c r="AN1049" i="21" s="1"/>
  <c r="AK1071" i="21"/>
  <c r="AK1049" i="21" s="1"/>
  <c r="AH1071" i="21"/>
  <c r="AH1049" i="21" s="1"/>
  <c r="AE1071" i="21"/>
  <c r="AE1049" i="21" s="1"/>
  <c r="AB1071" i="21"/>
  <c r="AB1049" i="21" s="1"/>
  <c r="Y1071" i="21"/>
  <c r="Y1049" i="21" s="1"/>
  <c r="V1071" i="21"/>
  <c r="V1049" i="21" s="1"/>
  <c r="S1071" i="21"/>
  <c r="S1049" i="21" s="1"/>
  <c r="P1071" i="21"/>
  <c r="P1049" i="21" s="1"/>
  <c r="M1071" i="21"/>
  <c r="M1049" i="21" s="1"/>
  <c r="J1071" i="21"/>
  <c r="J1049" i="21" s="1"/>
  <c r="AT1081" i="21"/>
  <c r="M1072" i="48"/>
  <c r="J1072" i="48"/>
  <c r="G1072" i="48"/>
  <c r="D1072" i="48"/>
  <c r="B1072" i="48"/>
  <c r="B934" i="48"/>
  <c r="B933" i="48"/>
  <c r="B932" i="48"/>
  <c r="B931" i="48"/>
  <c r="B930" i="48"/>
  <c r="B929" i="48"/>
  <c r="B928" i="48"/>
  <c r="B927" i="48"/>
  <c r="B926" i="48"/>
  <c r="AT938" i="21"/>
  <c r="Q75" i="47"/>
  <c r="P75" i="47"/>
  <c r="O75" i="47"/>
  <c r="Q74" i="47"/>
  <c r="P74" i="47"/>
  <c r="O74" i="47"/>
  <c r="M75" i="47"/>
  <c r="L75" i="47"/>
  <c r="K75" i="47"/>
  <c r="I75" i="47"/>
  <c r="H75" i="47"/>
  <c r="G75" i="47"/>
  <c r="M74" i="47"/>
  <c r="L74" i="47"/>
  <c r="K74" i="47"/>
  <c r="I74" i="47"/>
  <c r="H74" i="47"/>
  <c r="G74" i="47"/>
  <c r="E75" i="47"/>
  <c r="E74" i="47"/>
  <c r="D75" i="47"/>
  <c r="D74" i="47"/>
  <c r="M910" i="48"/>
  <c r="J910" i="48"/>
  <c r="G910" i="48"/>
  <c r="D910" i="48"/>
  <c r="M909" i="48"/>
  <c r="J909" i="48"/>
  <c r="G909" i="48"/>
  <c r="D909" i="48"/>
  <c r="B910" i="48"/>
  <c r="B909" i="48"/>
  <c r="B908" i="48"/>
  <c r="C75" i="47"/>
  <c r="C74" i="47"/>
  <c r="AT919" i="21"/>
  <c r="AT918" i="21"/>
  <c r="AY917" i="21"/>
  <c r="AQ917" i="21"/>
  <c r="AN917" i="21"/>
  <c r="AK917" i="21"/>
  <c r="AH917" i="21"/>
  <c r="AE917" i="21"/>
  <c r="AB917" i="21"/>
  <c r="Y917" i="21"/>
  <c r="V917" i="21"/>
  <c r="S917" i="21"/>
  <c r="P917" i="21"/>
  <c r="M917" i="21"/>
  <c r="J917" i="21"/>
  <c r="C70" i="47"/>
  <c r="D70" i="47"/>
  <c r="E70" i="47"/>
  <c r="G70" i="47"/>
  <c r="H70" i="47"/>
  <c r="I70" i="47"/>
  <c r="K70" i="47"/>
  <c r="L70" i="47"/>
  <c r="M70" i="47"/>
  <c r="O70" i="47"/>
  <c r="P70" i="47"/>
  <c r="Q70" i="47"/>
  <c r="C71" i="47"/>
  <c r="D71" i="47"/>
  <c r="E71" i="47"/>
  <c r="G71" i="47"/>
  <c r="H71" i="47"/>
  <c r="I71" i="47"/>
  <c r="K71" i="47"/>
  <c r="L71" i="47"/>
  <c r="M71" i="47"/>
  <c r="O71" i="47"/>
  <c r="P71" i="47"/>
  <c r="Q71" i="47"/>
  <c r="C72" i="47"/>
  <c r="D72" i="47"/>
  <c r="E72" i="47"/>
  <c r="G72" i="47"/>
  <c r="H72" i="47"/>
  <c r="I72" i="47"/>
  <c r="K72" i="47"/>
  <c r="L72" i="47"/>
  <c r="M72" i="47"/>
  <c r="O72" i="47"/>
  <c r="P72" i="47"/>
  <c r="Q72" i="47"/>
  <c r="F13" i="47"/>
  <c r="C10" i="47"/>
  <c r="D10" i="47"/>
  <c r="E10" i="47"/>
  <c r="C11" i="47"/>
  <c r="D11" i="47"/>
  <c r="E11" i="47"/>
  <c r="G10" i="47"/>
  <c r="H10" i="47"/>
  <c r="I10" i="47"/>
  <c r="G11" i="47"/>
  <c r="H11" i="47"/>
  <c r="I11" i="47"/>
  <c r="K10" i="47"/>
  <c r="L10" i="47"/>
  <c r="M10" i="47"/>
  <c r="K11" i="47"/>
  <c r="L11" i="47"/>
  <c r="M11" i="47"/>
  <c r="O10" i="47"/>
  <c r="P10" i="47"/>
  <c r="Q10" i="47"/>
  <c r="O11" i="47"/>
  <c r="P11" i="47"/>
  <c r="Q11" i="47"/>
  <c r="AQ868" i="21"/>
  <c r="AN868" i="21"/>
  <c r="AK868" i="21"/>
  <c r="AH868" i="21"/>
  <c r="AE868" i="21"/>
  <c r="AB868" i="21"/>
  <c r="Y868" i="21"/>
  <c r="V868" i="21"/>
  <c r="S868" i="21"/>
  <c r="P868" i="21"/>
  <c r="M868" i="21"/>
  <c r="J868" i="21"/>
  <c r="M862" i="48"/>
  <c r="J862" i="48"/>
  <c r="G862" i="48"/>
  <c r="D862" i="48"/>
  <c r="B862" i="48"/>
  <c r="AT871" i="21"/>
  <c r="M839" i="48"/>
  <c r="J839" i="48"/>
  <c r="G839" i="48"/>
  <c r="D839" i="48"/>
  <c r="M838" i="48"/>
  <c r="J838" i="48"/>
  <c r="G838" i="48"/>
  <c r="D838" i="48"/>
  <c r="AT848" i="21"/>
  <c r="AT847" i="21"/>
  <c r="B839" i="48"/>
  <c r="B838" i="48"/>
  <c r="B837" i="48"/>
  <c r="AE830" i="21"/>
  <c r="AE804" i="21" s="1"/>
  <c r="M826" i="48"/>
  <c r="G826" i="48"/>
  <c r="G824" i="48"/>
  <c r="M823" i="48"/>
  <c r="Y830" i="21"/>
  <c r="Y804" i="21" s="1"/>
  <c r="G814" i="48"/>
  <c r="AQ820" i="21"/>
  <c r="AN820" i="21"/>
  <c r="P820" i="21"/>
  <c r="M820" i="21"/>
  <c r="J820" i="21"/>
  <c r="J816" i="21"/>
  <c r="J806" i="48"/>
  <c r="D806" i="48"/>
  <c r="D804" i="48"/>
  <c r="AQ805" i="21"/>
  <c r="AK805" i="21"/>
  <c r="P805" i="21"/>
  <c r="M805" i="21"/>
  <c r="M797" i="48"/>
  <c r="AB805" i="21"/>
  <c r="Y805" i="21"/>
  <c r="M786" i="48"/>
  <c r="J784" i="48"/>
  <c r="M778" i="48"/>
  <c r="J778" i="48"/>
  <c r="G778" i="48"/>
  <c r="D778" i="48"/>
  <c r="AT787" i="21"/>
  <c r="G744" i="48"/>
  <c r="AN751" i="21"/>
  <c r="M729" i="48"/>
  <c r="V736" i="21"/>
  <c r="M725" i="48"/>
  <c r="M694" i="48"/>
  <c r="J694" i="48"/>
  <c r="G694" i="48"/>
  <c r="J691" i="48"/>
  <c r="G691" i="48"/>
  <c r="D689" i="48"/>
  <c r="AN694" i="21"/>
  <c r="V686" i="21"/>
  <c r="AT680" i="21"/>
  <c r="AQ672" i="21"/>
  <c r="AQ646" i="21" s="1"/>
  <c r="AN672" i="21"/>
  <c r="AN646" i="21" s="1"/>
  <c r="AK672" i="21"/>
  <c r="AK646" i="21" s="1"/>
  <c r="AH672" i="21"/>
  <c r="AH646" i="21" s="1"/>
  <c r="AE672" i="21"/>
  <c r="AE646" i="21" s="1"/>
  <c r="AB672" i="21"/>
  <c r="AB646" i="21" s="1"/>
  <c r="Y672" i="21"/>
  <c r="Y646" i="21" s="1"/>
  <c r="V672" i="21"/>
  <c r="V646" i="21" s="1"/>
  <c r="S672" i="21"/>
  <c r="S646" i="21" s="1"/>
  <c r="P672" i="21"/>
  <c r="P646" i="21" s="1"/>
  <c r="M672" i="21"/>
  <c r="M646" i="21" s="1"/>
  <c r="J672" i="21"/>
  <c r="J646" i="21" s="1"/>
  <c r="M671" i="48"/>
  <c r="J671" i="48"/>
  <c r="G671" i="48"/>
  <c r="D671" i="48"/>
  <c r="AB830" i="21"/>
  <c r="B671" i="48"/>
  <c r="AT636" i="21"/>
  <c r="AY611" i="21"/>
  <c r="M627" i="48"/>
  <c r="J627" i="48"/>
  <c r="G627" i="48"/>
  <c r="D627" i="48"/>
  <c r="G594" i="48"/>
  <c r="M589" i="48"/>
  <c r="M588" i="48" s="1"/>
  <c r="M578" i="48" s="1"/>
  <c r="J589" i="48"/>
  <c r="J588" i="48" s="1"/>
  <c r="J578" i="48" s="1"/>
  <c r="G589" i="48"/>
  <c r="G588" i="48" s="1"/>
  <c r="G578" i="48" s="1"/>
  <c r="D589" i="48"/>
  <c r="D588" i="48" s="1"/>
  <c r="D578" i="48" s="1"/>
  <c r="B589" i="48"/>
  <c r="AY587" i="21"/>
  <c r="AY586" i="21"/>
  <c r="AT598" i="21"/>
  <c r="AT597" i="21" s="1"/>
  <c r="AT587" i="21" s="1"/>
  <c r="AQ597" i="21"/>
  <c r="AQ587" i="21" s="1"/>
  <c r="AN597" i="21"/>
  <c r="AN587" i="21" s="1"/>
  <c r="AK597" i="21"/>
  <c r="AK587" i="21" s="1"/>
  <c r="AH597" i="21"/>
  <c r="AH587" i="21" s="1"/>
  <c r="AE597" i="21"/>
  <c r="AE587" i="21" s="1"/>
  <c r="AB597" i="21"/>
  <c r="AB587" i="21" s="1"/>
  <c r="Y597" i="21"/>
  <c r="Y587" i="21" s="1"/>
  <c r="V597" i="21"/>
  <c r="V587" i="21" s="1"/>
  <c r="S597" i="21"/>
  <c r="S587" i="21" s="1"/>
  <c r="P597" i="21"/>
  <c r="P587" i="21" s="1"/>
  <c r="M597" i="21"/>
  <c r="M587" i="21" s="1"/>
  <c r="J597" i="21"/>
  <c r="J587" i="21" s="1"/>
  <c r="J584" i="48"/>
  <c r="G584" i="48"/>
  <c r="AT553" i="21"/>
  <c r="J525" i="48"/>
  <c r="AK490" i="21"/>
  <c r="AE490" i="21"/>
  <c r="Y490" i="21"/>
  <c r="AQ490" i="21"/>
  <c r="D482" i="48"/>
  <c r="AB487" i="21"/>
  <c r="Y487" i="21"/>
  <c r="D479" i="48"/>
  <c r="AH457" i="21"/>
  <c r="J397" i="48"/>
  <c r="G397" i="48"/>
  <c r="G396" i="48"/>
  <c r="D396" i="48"/>
  <c r="D393" i="48"/>
  <c r="Y399" i="21"/>
  <c r="AQ281" i="21"/>
  <c r="AQ255" i="21" s="1"/>
  <c r="AN281" i="21"/>
  <c r="AN255" i="21" s="1"/>
  <c r="AK281" i="21"/>
  <c r="AK255" i="21" s="1"/>
  <c r="AH281" i="21"/>
  <c r="AH255" i="21" s="1"/>
  <c r="AE281" i="21"/>
  <c r="AE255" i="21" s="1"/>
  <c r="AB281" i="21"/>
  <c r="AB255" i="21" s="1"/>
  <c r="Y281" i="21"/>
  <c r="Y255" i="21" s="1"/>
  <c r="V281" i="21"/>
  <c r="V255" i="21" s="1"/>
  <c r="S281" i="21"/>
  <c r="S255" i="21" s="1"/>
  <c r="P281" i="21"/>
  <c r="P255" i="21" s="1"/>
  <c r="M281" i="21"/>
  <c r="M255" i="21" s="1"/>
  <c r="J281" i="21"/>
  <c r="J255" i="21" s="1"/>
  <c r="M270" i="48"/>
  <c r="J270" i="48"/>
  <c r="G270" i="48"/>
  <c r="D270" i="48"/>
  <c r="B270" i="48"/>
  <c r="AT278" i="21"/>
  <c r="M242" i="48"/>
  <c r="J242" i="48"/>
  <c r="G242" i="48"/>
  <c r="D242" i="48"/>
  <c r="B242" i="48"/>
  <c r="AT250" i="21"/>
  <c r="AK1558" i="21"/>
  <c r="Y1558" i="21"/>
  <c r="AN1584" i="21"/>
  <c r="V1584" i="21"/>
  <c r="AH1584" i="21"/>
  <c r="AE1584" i="21"/>
  <c r="AQ1524" i="21"/>
  <c r="AQ1511" i="21" s="1"/>
  <c r="AN1524" i="21"/>
  <c r="AN1511" i="21" s="1"/>
  <c r="AK1524" i="21"/>
  <c r="AK1511" i="21" s="1"/>
  <c r="AE1524" i="21"/>
  <c r="AE1511" i="21" s="1"/>
  <c r="AB1524" i="21"/>
  <c r="AB1511" i="21" s="1"/>
  <c r="Y1524" i="21"/>
  <c r="Y1511" i="21" s="1"/>
  <c r="V1524" i="21"/>
  <c r="V1511" i="21" s="1"/>
  <c r="S1524" i="21"/>
  <c r="S1511" i="21" s="1"/>
  <c r="P1524" i="21"/>
  <c r="P1511" i="21" s="1"/>
  <c r="M1524" i="21"/>
  <c r="M1511" i="21" s="1"/>
  <c r="J1524" i="21"/>
  <c r="J1511" i="21" s="1"/>
  <c r="AN1518" i="21"/>
  <c r="AK1518" i="21"/>
  <c r="AH1518" i="21"/>
  <c r="V1518" i="21"/>
  <c r="AQ1513" i="21"/>
  <c r="AN1513" i="21"/>
  <c r="AK1513" i="21"/>
  <c r="AH1513" i="21"/>
  <c r="AE1513" i="21"/>
  <c r="AB1513" i="21"/>
  <c r="Y1513" i="21"/>
  <c r="V1513" i="21"/>
  <c r="V1509" i="21" s="1"/>
  <c r="V1508" i="21" s="1"/>
  <c r="R74" i="33" s="1"/>
  <c r="S1513" i="21"/>
  <c r="P1513" i="21"/>
  <c r="M1513" i="21"/>
  <c r="J1513" i="21"/>
  <c r="AQ1506" i="21"/>
  <c r="AQ1493" i="21" s="1"/>
  <c r="AN1506" i="21"/>
  <c r="AN1493" i="21" s="1"/>
  <c r="AK1506" i="21"/>
  <c r="AK1493" i="21" s="1"/>
  <c r="AH1506" i="21"/>
  <c r="AH1493" i="21" s="1"/>
  <c r="AE1506" i="21"/>
  <c r="AE1493" i="21" s="1"/>
  <c r="AB1506" i="21"/>
  <c r="AB1493" i="21" s="1"/>
  <c r="Y1506" i="21"/>
  <c r="Y1493" i="21" s="1"/>
  <c r="V1506" i="21"/>
  <c r="V1493" i="21" s="1"/>
  <c r="S1506" i="21"/>
  <c r="S1493" i="21" s="1"/>
  <c r="P1506" i="21"/>
  <c r="P1493" i="21" s="1"/>
  <c r="M1506" i="21"/>
  <c r="M1493" i="21" s="1"/>
  <c r="J1506" i="21"/>
  <c r="J1493" i="21" s="1"/>
  <c r="M1497" i="21"/>
  <c r="AQ1497" i="21"/>
  <c r="AN1497" i="21"/>
  <c r="AH1497" i="21"/>
  <c r="AE1497" i="21"/>
  <c r="AB1497" i="21"/>
  <c r="Y1497" i="21"/>
  <c r="S1494" i="21"/>
  <c r="AE1494" i="21"/>
  <c r="V1497" i="21"/>
  <c r="AK1497" i="21"/>
  <c r="J1518" i="21"/>
  <c r="J1509" i="21" s="1"/>
  <c r="S1518" i="21"/>
  <c r="AQ1554" i="21"/>
  <c r="F47" i="44"/>
  <c r="AT1281" i="21"/>
  <c r="AT1443" i="21"/>
  <c r="AT1442" i="21"/>
  <c r="AT1441" i="21"/>
  <c r="AT1440" i="21"/>
  <c r="AT1439" i="21"/>
  <c r="AT1438" i="21"/>
  <c r="AQ1436" i="21"/>
  <c r="AQ1397" i="21" s="1"/>
  <c r="AQ1392" i="21" s="1"/>
  <c r="AN1436" i="21"/>
  <c r="AN1397" i="21" s="1"/>
  <c r="AN1392" i="21" s="1"/>
  <c r="AK1436" i="21"/>
  <c r="AK1397" i="21" s="1"/>
  <c r="AK1392" i="21" s="1"/>
  <c r="AH1436" i="21"/>
  <c r="AH1397" i="21" s="1"/>
  <c r="AH1392" i="21" s="1"/>
  <c r="AE1436" i="21"/>
  <c r="AE1397" i="21" s="1"/>
  <c r="AE1392" i="21" s="1"/>
  <c r="AB1436" i="21"/>
  <c r="AB1397" i="21" s="1"/>
  <c r="AB1392" i="21" s="1"/>
  <c r="Y1436" i="21"/>
  <c r="Y1397" i="21" s="1"/>
  <c r="Y1392" i="21" s="1"/>
  <c r="V1436" i="21"/>
  <c r="V1397" i="21" s="1"/>
  <c r="V1392" i="21" s="1"/>
  <c r="S1436" i="21"/>
  <c r="S1397" i="21" s="1"/>
  <c r="S1392" i="21" s="1"/>
  <c r="P1436" i="21"/>
  <c r="P1397" i="21" s="1"/>
  <c r="P1392" i="21" s="1"/>
  <c r="M1436" i="21"/>
  <c r="M1397" i="21" s="1"/>
  <c r="M1392" i="21" s="1"/>
  <c r="AQ457" i="21"/>
  <c r="M114" i="48"/>
  <c r="AQ378" i="21"/>
  <c r="AN378" i="21"/>
  <c r="AQ417" i="21"/>
  <c r="AN385" i="21"/>
  <c r="M410" i="48"/>
  <c r="AK322" i="21"/>
  <c r="AQ385" i="21"/>
  <c r="AQ1447" i="21"/>
  <c r="AN1447" i="21"/>
  <c r="AK495" i="21"/>
  <c r="M1447" i="21"/>
  <c r="AH441" i="21"/>
  <c r="AE441" i="21"/>
  <c r="AE495" i="21"/>
  <c r="S1447" i="21"/>
  <c r="P1447" i="21"/>
  <c r="AB495" i="21"/>
  <c r="AT485" i="21"/>
  <c r="G427" i="48"/>
  <c r="G429" i="48"/>
  <c r="G137" i="48"/>
  <c r="P517" i="21"/>
  <c r="V322" i="21"/>
  <c r="G511" i="48"/>
  <c r="Z22" i="21"/>
  <c r="D181" i="48"/>
  <c r="D458" i="48"/>
  <c r="J517" i="21"/>
  <c r="J151" i="21"/>
  <c r="J144" i="21"/>
  <c r="D434" i="48"/>
  <c r="J417" i="21"/>
  <c r="M1600" i="48"/>
  <c r="J1600" i="48"/>
  <c r="G1600" i="48"/>
  <c r="D1600" i="48"/>
  <c r="AT1609" i="21"/>
  <c r="B1600" i="48"/>
  <c r="M1442" i="48"/>
  <c r="D1442" i="48"/>
  <c r="B1442" i="48"/>
  <c r="J1436" i="21"/>
  <c r="J1397" i="21" s="1"/>
  <c r="J1392" i="21" s="1"/>
  <c r="M1378" i="48"/>
  <c r="M1377" i="48" s="1"/>
  <c r="M1375" i="48" s="1"/>
  <c r="J1378" i="48"/>
  <c r="J1377" i="48" s="1"/>
  <c r="J1375" i="48" s="1"/>
  <c r="G1378" i="48"/>
  <c r="G1377" i="48" s="1"/>
  <c r="G1375" i="48" s="1"/>
  <c r="D1378" i="48"/>
  <c r="D1377" i="48" s="1"/>
  <c r="D1375" i="48" s="1"/>
  <c r="AT1387" i="21"/>
  <c r="AY1213" i="21"/>
  <c r="AT1252" i="21"/>
  <c r="AT1251" i="21"/>
  <c r="AT1250" i="21"/>
  <c r="AT1249" i="21"/>
  <c r="AT1248" i="21"/>
  <c r="AT1247" i="21"/>
  <c r="AT1246" i="21"/>
  <c r="AT1245" i="21"/>
  <c r="AT1244" i="21"/>
  <c r="M1235" i="48"/>
  <c r="J1235" i="48"/>
  <c r="G1235" i="48"/>
  <c r="D1235" i="48"/>
  <c r="D1234" i="48" s="1"/>
  <c r="B1235" i="48"/>
  <c r="B1234" i="48"/>
  <c r="AQ1243" i="21"/>
  <c r="AN1243" i="21"/>
  <c r="AK1243" i="21"/>
  <c r="AH1243" i="21"/>
  <c r="AE1243" i="21"/>
  <c r="AB1243" i="21"/>
  <c r="Y1243" i="21"/>
  <c r="V1243" i="21"/>
  <c r="S1243" i="21"/>
  <c r="P1243" i="21"/>
  <c r="M1243" i="21"/>
  <c r="J1243" i="21"/>
  <c r="AQ1139" i="21"/>
  <c r="AQ1126" i="21" s="1"/>
  <c r="AN1139" i="21"/>
  <c r="AN1126" i="21" s="1"/>
  <c r="AK1139" i="21"/>
  <c r="AK1126" i="21" s="1"/>
  <c r="AH1139" i="21"/>
  <c r="AH1126" i="21" s="1"/>
  <c r="AE1139" i="21"/>
  <c r="AE1126" i="21" s="1"/>
  <c r="AB1139" i="21"/>
  <c r="AB1126" i="21" s="1"/>
  <c r="Y1139" i="21"/>
  <c r="Y1126" i="21" s="1"/>
  <c r="V1139" i="21"/>
  <c r="V1126" i="21" s="1"/>
  <c r="S1139" i="21"/>
  <c r="S1126" i="21" s="1"/>
  <c r="P1139" i="21"/>
  <c r="P1126" i="21" s="1"/>
  <c r="M1139" i="21"/>
  <c r="M1126" i="21" s="1"/>
  <c r="J1139" i="21"/>
  <c r="J1126" i="21" s="1"/>
  <c r="AT1149" i="21"/>
  <c r="AT1148" i="21"/>
  <c r="AT1145" i="21"/>
  <c r="M1102" i="48"/>
  <c r="J1102" i="48"/>
  <c r="G1102" i="48"/>
  <c r="D1102" i="48"/>
  <c r="M1101" i="48"/>
  <c r="J1101" i="48"/>
  <c r="G1101" i="48"/>
  <c r="D1101" i="48"/>
  <c r="M1100" i="48"/>
  <c r="J1100" i="48"/>
  <c r="G1100" i="48"/>
  <c r="D1100" i="48"/>
  <c r="M1099" i="48"/>
  <c r="J1099" i="48"/>
  <c r="G1099" i="48"/>
  <c r="D1099" i="48"/>
  <c r="M1097" i="48"/>
  <c r="J1097" i="48"/>
  <c r="G1097" i="48"/>
  <c r="D1097" i="48"/>
  <c r="M1096" i="48"/>
  <c r="J1096" i="48"/>
  <c r="G1096" i="48"/>
  <c r="D1096" i="48"/>
  <c r="M1095" i="48"/>
  <c r="J1095" i="48"/>
  <c r="G1095" i="48"/>
  <c r="D1095" i="48"/>
  <c r="M1094" i="48"/>
  <c r="J1094" i="48"/>
  <c r="G1094" i="48"/>
  <c r="D1094" i="48"/>
  <c r="M1092" i="48"/>
  <c r="J1092" i="48"/>
  <c r="G1092" i="48"/>
  <c r="D1092" i="48"/>
  <c r="M1091" i="48"/>
  <c r="J1091" i="48"/>
  <c r="G1091" i="48"/>
  <c r="D1091" i="48"/>
  <c r="B1099" i="48"/>
  <c r="B1097" i="48"/>
  <c r="B1096" i="48"/>
  <c r="B1095" i="48"/>
  <c r="B1094" i="48"/>
  <c r="B1092" i="48"/>
  <c r="B1091" i="48"/>
  <c r="AT1111" i="21"/>
  <c r="AT1110" i="21"/>
  <c r="AT1109" i="21"/>
  <c r="AT1108" i="21"/>
  <c r="AT1106" i="21"/>
  <c r="AT1105" i="21"/>
  <c r="AT1104" i="21"/>
  <c r="AT1103" i="21"/>
  <c r="AT1101" i="21"/>
  <c r="AT1100" i="21"/>
  <c r="AY1090" i="21"/>
  <c r="M979" i="48"/>
  <c r="J979" i="48"/>
  <c r="G979" i="48"/>
  <c r="D979" i="48"/>
  <c r="AT988" i="21"/>
  <c r="AQ985" i="21"/>
  <c r="AQ980" i="21" s="1"/>
  <c r="AN985" i="21"/>
  <c r="AN980" i="21" s="1"/>
  <c r="AK985" i="21"/>
  <c r="AK980" i="21" s="1"/>
  <c r="AH985" i="21"/>
  <c r="AE985" i="21"/>
  <c r="AE980" i="21" s="1"/>
  <c r="AB985" i="21"/>
  <c r="AB980" i="21" s="1"/>
  <c r="Y985" i="21"/>
  <c r="Y980" i="21" s="1"/>
  <c r="V985" i="21"/>
  <c r="V980" i="21" s="1"/>
  <c r="S985" i="21"/>
  <c r="S980" i="21" s="1"/>
  <c r="P985" i="21"/>
  <c r="P980" i="21" s="1"/>
  <c r="M985" i="21"/>
  <c r="M980" i="21" s="1"/>
  <c r="B979" i="48"/>
  <c r="J985" i="21"/>
  <c r="J980" i="21" s="1"/>
  <c r="AL945" i="21"/>
  <c r="AI945" i="21"/>
  <c r="AF945" i="21"/>
  <c r="I53" i="46"/>
  <c r="AC945" i="21"/>
  <c r="Z945" i="21"/>
  <c r="W945" i="21"/>
  <c r="T945" i="21"/>
  <c r="Q945" i="21"/>
  <c r="M968" i="48"/>
  <c r="M967" i="48" s="1"/>
  <c r="M940" i="48" s="1"/>
  <c r="J968" i="48"/>
  <c r="J967" i="48" s="1"/>
  <c r="J940" i="48" s="1"/>
  <c r="G968" i="48"/>
  <c r="G967" i="48" s="1"/>
  <c r="G940" i="48" s="1"/>
  <c r="D968" i="48"/>
  <c r="D967" i="48" s="1"/>
  <c r="D940" i="48" s="1"/>
  <c r="B968" i="48"/>
  <c r="J945" i="21"/>
  <c r="C55" i="46" s="1"/>
  <c r="AT977" i="21"/>
  <c r="AT976" i="21" s="1"/>
  <c r="AT949" i="21" s="1"/>
  <c r="AQ976" i="21"/>
  <c r="AQ949" i="21" s="1"/>
  <c r="AN976" i="21"/>
  <c r="AN949" i="21" s="1"/>
  <c r="AK976" i="21"/>
  <c r="AK949" i="21" s="1"/>
  <c r="AH976" i="21"/>
  <c r="AH949" i="21" s="1"/>
  <c r="AE976" i="21"/>
  <c r="AE949" i="21" s="1"/>
  <c r="AB976" i="21"/>
  <c r="AB949" i="21" s="1"/>
  <c r="Y976" i="21"/>
  <c r="Y949" i="21" s="1"/>
  <c r="V976" i="21"/>
  <c r="V949" i="21" s="1"/>
  <c r="S976" i="21"/>
  <c r="S949" i="21" s="1"/>
  <c r="P976" i="21"/>
  <c r="P949" i="21" s="1"/>
  <c r="M976" i="21"/>
  <c r="M949" i="21" s="1"/>
  <c r="J976" i="21"/>
  <c r="J949" i="21" s="1"/>
  <c r="AN950" i="21"/>
  <c r="AQ925" i="21"/>
  <c r="AN925" i="21"/>
  <c r="AK925" i="21"/>
  <c r="AH925" i="21"/>
  <c r="AE925" i="21"/>
  <c r="AB925" i="21"/>
  <c r="Y925" i="21"/>
  <c r="V925" i="21"/>
  <c r="S925" i="21"/>
  <c r="P925" i="21"/>
  <c r="AT943" i="21"/>
  <c r="AQ933" i="21"/>
  <c r="AQ926" i="21" s="1"/>
  <c r="AN933" i="21"/>
  <c r="AN926" i="21" s="1"/>
  <c r="AK933" i="21"/>
  <c r="AK926" i="21" s="1"/>
  <c r="AH933" i="21"/>
  <c r="AH926" i="21" s="1"/>
  <c r="AE933" i="21"/>
  <c r="AE926" i="21" s="1"/>
  <c r="AB933" i="21"/>
  <c r="AB926" i="21" s="1"/>
  <c r="Y933" i="21"/>
  <c r="V933" i="21"/>
  <c r="V926" i="21" s="1"/>
  <c r="S933" i="21"/>
  <c r="S926" i="21" s="1"/>
  <c r="P933" i="21"/>
  <c r="P926" i="21" s="1"/>
  <c r="M933" i="21"/>
  <c r="M926" i="21" s="1"/>
  <c r="J933" i="21"/>
  <c r="J926" i="21" s="1"/>
  <c r="AY925" i="21"/>
  <c r="AY926" i="21"/>
  <c r="AY866" i="21"/>
  <c r="M876" i="48"/>
  <c r="J876" i="48"/>
  <c r="G876" i="48"/>
  <c r="D876" i="48"/>
  <c r="M875" i="48"/>
  <c r="J875" i="48"/>
  <c r="G875" i="48"/>
  <c r="D875" i="48"/>
  <c r="B876" i="48"/>
  <c r="B875" i="48"/>
  <c r="AT885" i="21"/>
  <c r="AT884" i="21"/>
  <c r="AQ883" i="21"/>
  <c r="AN883" i="21"/>
  <c r="AK883" i="21"/>
  <c r="AH883" i="21"/>
  <c r="AE883" i="21"/>
  <c r="AB883" i="21"/>
  <c r="Y883" i="21"/>
  <c r="V883" i="21"/>
  <c r="S883" i="21"/>
  <c r="P883" i="21"/>
  <c r="M883" i="21"/>
  <c r="J883" i="21"/>
  <c r="M873" i="48"/>
  <c r="J873" i="48"/>
  <c r="G873" i="48"/>
  <c r="D873" i="48"/>
  <c r="M872" i="48"/>
  <c r="J872" i="48"/>
  <c r="G872" i="48"/>
  <c r="D872" i="48"/>
  <c r="M871" i="48"/>
  <c r="J871" i="48"/>
  <c r="D871" i="48"/>
  <c r="M870" i="48"/>
  <c r="J870" i="48"/>
  <c r="D870" i="48"/>
  <c r="B873" i="48"/>
  <c r="B872" i="48"/>
  <c r="B871" i="48"/>
  <c r="B870" i="48"/>
  <c r="AT882" i="21"/>
  <c r="AT881" i="21"/>
  <c r="AQ878" i="21"/>
  <c r="AN878" i="21"/>
  <c r="AK878" i="21"/>
  <c r="AH878" i="21"/>
  <c r="AE878" i="21"/>
  <c r="AB878" i="21"/>
  <c r="Y878" i="21"/>
  <c r="V878" i="21"/>
  <c r="P878" i="21"/>
  <c r="M878" i="21"/>
  <c r="J878" i="21"/>
  <c r="AQ875" i="21"/>
  <c r="AN875" i="21"/>
  <c r="AK875" i="21"/>
  <c r="AH875" i="21"/>
  <c r="AE875" i="21"/>
  <c r="AB875" i="21"/>
  <c r="Y875" i="21"/>
  <c r="V875" i="21"/>
  <c r="S875" i="21"/>
  <c r="P875" i="21"/>
  <c r="M875" i="21"/>
  <c r="J875" i="21"/>
  <c r="M868" i="48"/>
  <c r="J868" i="48"/>
  <c r="G868" i="48"/>
  <c r="D868" i="48"/>
  <c r="M867" i="48"/>
  <c r="J867" i="48"/>
  <c r="G867" i="48"/>
  <c r="D867" i="48"/>
  <c r="B868" i="48"/>
  <c r="B867" i="48"/>
  <c r="AT877" i="21"/>
  <c r="AT876" i="21"/>
  <c r="M777" i="48"/>
  <c r="J777" i="48"/>
  <c r="G777" i="48"/>
  <c r="D777" i="48"/>
  <c r="M776" i="48"/>
  <c r="J776" i="48"/>
  <c r="G776" i="48"/>
  <c r="D776" i="48"/>
  <c r="M775" i="48"/>
  <c r="J775" i="48"/>
  <c r="G775" i="48"/>
  <c r="D775" i="48"/>
  <c r="AT786" i="21"/>
  <c r="AT785" i="21"/>
  <c r="AT784" i="21"/>
  <c r="M751" i="48"/>
  <c r="J751" i="48"/>
  <c r="G751" i="48"/>
  <c r="D751" i="48"/>
  <c r="M750" i="48"/>
  <c r="J750" i="48"/>
  <c r="G750" i="48"/>
  <c r="D750" i="48"/>
  <c r="B751" i="48"/>
  <c r="B750" i="48"/>
  <c r="AY730" i="21"/>
  <c r="AT760" i="21"/>
  <c r="AT759" i="21"/>
  <c r="M837" i="48"/>
  <c r="J837" i="48"/>
  <c r="G837" i="48"/>
  <c r="D837" i="48"/>
  <c r="AT846" i="21"/>
  <c r="AQ713" i="21"/>
  <c r="AN713" i="21"/>
  <c r="AN685" i="21" s="1"/>
  <c r="AK713" i="21"/>
  <c r="AK685" i="21" s="1"/>
  <c r="AH713" i="21"/>
  <c r="AH685" i="21" s="1"/>
  <c r="AE713" i="21"/>
  <c r="AE685" i="21" s="1"/>
  <c r="AB713" i="21"/>
  <c r="AB685" i="21" s="1"/>
  <c r="Y713" i="21"/>
  <c r="Y685" i="21" s="1"/>
  <c r="V713" i="21"/>
  <c r="V685" i="21" s="1"/>
  <c r="S713" i="21"/>
  <c r="S685" i="21" s="1"/>
  <c r="P713" i="21"/>
  <c r="P685" i="21" s="1"/>
  <c r="M713" i="21"/>
  <c r="M685" i="21" s="1"/>
  <c r="J713" i="21"/>
  <c r="J685" i="21" s="1"/>
  <c r="AT728" i="21"/>
  <c r="AY682" i="21"/>
  <c r="M699" i="48"/>
  <c r="J699" i="48"/>
  <c r="G699" i="48"/>
  <c r="D699" i="48"/>
  <c r="B699" i="48"/>
  <c r="AT708" i="21"/>
  <c r="B681" i="48"/>
  <c r="M626" i="48"/>
  <c r="J626" i="48"/>
  <c r="G626" i="48"/>
  <c r="D626" i="48"/>
  <c r="M625" i="48"/>
  <c r="J625" i="48"/>
  <c r="G625" i="48"/>
  <c r="D625" i="48"/>
  <c r="M624" i="48"/>
  <c r="J624" i="48"/>
  <c r="G624" i="48"/>
  <c r="D624" i="48"/>
  <c r="M623" i="48"/>
  <c r="J623" i="48"/>
  <c r="G623" i="48"/>
  <c r="D623" i="48"/>
  <c r="AT635" i="21"/>
  <c r="AT634" i="21"/>
  <c r="AT633" i="21"/>
  <c r="AT632" i="21"/>
  <c r="AT631" i="21"/>
  <c r="AT630" i="21"/>
  <c r="AT629" i="21"/>
  <c r="M611" i="48"/>
  <c r="G609" i="48"/>
  <c r="AN495" i="21"/>
  <c r="AH495" i="21"/>
  <c r="D473" i="48"/>
  <c r="AT523" i="21"/>
  <c r="AY518" i="21"/>
  <c r="AY374" i="21" s="1"/>
  <c r="AN374" i="21"/>
  <c r="AK374" i="21"/>
  <c r="AH374" i="21"/>
  <c r="AE374" i="21"/>
  <c r="AB374" i="21"/>
  <c r="Y374" i="21"/>
  <c r="V374" i="21"/>
  <c r="S374" i="21"/>
  <c r="P374" i="21"/>
  <c r="M374" i="21"/>
  <c r="J374" i="21"/>
  <c r="M514" i="48"/>
  <c r="J514" i="48"/>
  <c r="G514" i="48"/>
  <c r="D514" i="48"/>
  <c r="B440" i="48"/>
  <c r="M440" i="48"/>
  <c r="M421" i="48" s="1"/>
  <c r="J440" i="48"/>
  <c r="J421" i="48" s="1"/>
  <c r="G440" i="48"/>
  <c r="G421" i="48" s="1"/>
  <c r="D440" i="48"/>
  <c r="D421" i="48" s="1"/>
  <c r="AT449" i="21"/>
  <c r="AT430" i="21" s="1"/>
  <c r="AY430" i="21"/>
  <c r="AQ441" i="21"/>
  <c r="D430" i="48"/>
  <c r="M435" i="21"/>
  <c r="G402" i="48"/>
  <c r="G401" i="48"/>
  <c r="M275" i="48"/>
  <c r="J275" i="48"/>
  <c r="G275" i="48"/>
  <c r="D275" i="48"/>
  <c r="B275" i="48"/>
  <c r="AT283" i="21"/>
  <c r="AY254" i="21"/>
  <c r="AY102" i="21"/>
  <c r="AY101" i="21" s="1"/>
  <c r="D338" i="48"/>
  <c r="G338" i="48"/>
  <c r="J338" i="48"/>
  <c r="M338" i="48"/>
  <c r="D339" i="48"/>
  <c r="J339" i="48"/>
  <c r="M339" i="48"/>
  <c r="D340" i="48"/>
  <c r="G340" i="48"/>
  <c r="J340" i="48"/>
  <c r="M340" i="48"/>
  <c r="AQ323" i="21"/>
  <c r="AN323" i="21"/>
  <c r="AK323" i="21"/>
  <c r="AH323" i="21"/>
  <c r="AE323" i="21"/>
  <c r="AB323" i="21"/>
  <c r="Y323" i="21"/>
  <c r="V323" i="21"/>
  <c r="S323" i="21"/>
  <c r="P323" i="21"/>
  <c r="M323" i="21"/>
  <c r="AQ127" i="21"/>
  <c r="AQ116" i="21" s="1"/>
  <c r="AN127" i="21"/>
  <c r="AN116" i="21" s="1"/>
  <c r="AK127" i="21"/>
  <c r="AK116" i="21" s="1"/>
  <c r="AH127" i="21"/>
  <c r="AH116" i="21" s="1"/>
  <c r="AE127" i="21"/>
  <c r="AB127" i="21"/>
  <c r="AB116" i="21" s="1"/>
  <c r="Y127" i="21"/>
  <c r="Y116" i="21" s="1"/>
  <c r="V127" i="21"/>
  <c r="V116" i="21" s="1"/>
  <c r="S127" i="21"/>
  <c r="S116" i="21" s="1"/>
  <c r="P127" i="21"/>
  <c r="P116" i="21" s="1"/>
  <c r="M127" i="21"/>
  <c r="M116" i="21" s="1"/>
  <c r="J127" i="21"/>
  <c r="J116" i="21" s="1"/>
  <c r="AQ110" i="21"/>
  <c r="AQ106" i="21" s="1"/>
  <c r="AN110" i="21"/>
  <c r="AN106" i="21" s="1"/>
  <c r="AK110" i="21"/>
  <c r="AK106" i="21" s="1"/>
  <c r="AH110" i="21"/>
  <c r="AH106" i="21" s="1"/>
  <c r="AE110" i="21"/>
  <c r="AE106" i="21" s="1"/>
  <c r="AB110" i="21"/>
  <c r="AB106" i="21" s="1"/>
  <c r="Y110" i="21"/>
  <c r="Y106" i="21" s="1"/>
  <c r="V110" i="21"/>
  <c r="V106" i="21" s="1"/>
  <c r="S110" i="21"/>
  <c r="S106" i="21" s="1"/>
  <c r="P110" i="21"/>
  <c r="P106" i="21" s="1"/>
  <c r="M110" i="21"/>
  <c r="M106" i="21" s="1"/>
  <c r="J110" i="21"/>
  <c r="J106" i="21" s="1"/>
  <c r="AQ94" i="21"/>
  <c r="AQ89" i="21" s="1"/>
  <c r="AN94" i="21"/>
  <c r="AN89" i="21" s="1"/>
  <c r="AK94" i="21"/>
  <c r="AK89" i="21" s="1"/>
  <c r="AH94" i="21"/>
  <c r="AH89" i="21" s="1"/>
  <c r="AE94" i="21"/>
  <c r="AE89" i="21" s="1"/>
  <c r="AB94" i="21"/>
  <c r="AB89" i="21" s="1"/>
  <c r="Y94" i="21"/>
  <c r="Y89" i="21" s="1"/>
  <c r="V94" i="21"/>
  <c r="V89" i="21" s="1"/>
  <c r="S94" i="21"/>
  <c r="S89" i="21" s="1"/>
  <c r="P94" i="21"/>
  <c r="P89" i="21" s="1"/>
  <c r="M94" i="21"/>
  <c r="M89" i="21" s="1"/>
  <c r="J94" i="21"/>
  <c r="J89" i="21" s="1"/>
  <c r="AQ107" i="21"/>
  <c r="AQ105" i="21" s="1"/>
  <c r="AQ104" i="21" s="1"/>
  <c r="AN107" i="21"/>
  <c r="AN105" i="21" s="1"/>
  <c r="AK107" i="21"/>
  <c r="AK105" i="21" s="1"/>
  <c r="AH107" i="21"/>
  <c r="AH105" i="21" s="1"/>
  <c r="AE107" i="21"/>
  <c r="AE105" i="21" s="1"/>
  <c r="AB107" i="21"/>
  <c r="AB105" i="21" s="1"/>
  <c r="AB104" i="21" s="1"/>
  <c r="Y107" i="21"/>
  <c r="Y105" i="21" s="1"/>
  <c r="V107" i="21"/>
  <c r="V105" i="21" s="1"/>
  <c r="S107" i="21"/>
  <c r="S105" i="21" s="1"/>
  <c r="M107" i="21"/>
  <c r="M105" i="21" s="1"/>
  <c r="Q17" i="47"/>
  <c r="Q16" i="47" s="1"/>
  <c r="P17" i="47"/>
  <c r="O17" i="47"/>
  <c r="O16" i="47" s="1"/>
  <c r="M17" i="47"/>
  <c r="M16" i="47" s="1"/>
  <c r="L17" i="47"/>
  <c r="L16" i="47" s="1"/>
  <c r="K17" i="47"/>
  <c r="K16" i="47" s="1"/>
  <c r="I17" i="47"/>
  <c r="I16" i="47" s="1"/>
  <c r="H17" i="47"/>
  <c r="H16" i="47" s="1"/>
  <c r="G17" i="47"/>
  <c r="E17" i="47"/>
  <c r="E16" i="47" s="1"/>
  <c r="D17" i="47"/>
  <c r="D16" i="47" s="1"/>
  <c r="C17" i="47"/>
  <c r="Q25" i="47"/>
  <c r="Q24" i="47" s="1"/>
  <c r="Q174" i="47" s="1"/>
  <c r="Q27" i="47"/>
  <c r="Q29" i="47"/>
  <c r="Q31" i="47"/>
  <c r="Q33" i="47"/>
  <c r="Q44" i="47"/>
  <c r="P25" i="47"/>
  <c r="P24" i="47" s="1"/>
  <c r="P174" i="47" s="1"/>
  <c r="P27" i="47"/>
  <c r="P29" i="47"/>
  <c r="P31" i="47"/>
  <c r="P33" i="47"/>
  <c r="P44" i="47"/>
  <c r="O25" i="47"/>
  <c r="O24" i="47" s="1"/>
  <c r="O27" i="47"/>
  <c r="O29" i="47"/>
  <c r="O31" i="47"/>
  <c r="O33" i="47"/>
  <c r="O44" i="47"/>
  <c r="M25" i="47"/>
  <c r="M24" i="47" s="1"/>
  <c r="M174" i="47" s="1"/>
  <c r="M27" i="47"/>
  <c r="M29" i="47"/>
  <c r="M31" i="47"/>
  <c r="M33" i="47"/>
  <c r="M44" i="47"/>
  <c r="L25" i="47"/>
  <c r="L24" i="47" s="1"/>
  <c r="L174" i="47" s="1"/>
  <c r="L27" i="47"/>
  <c r="L29" i="47"/>
  <c r="L31" i="47"/>
  <c r="L33" i="47"/>
  <c r="L44" i="47"/>
  <c r="K25" i="47"/>
  <c r="K24" i="47" s="1"/>
  <c r="K27" i="47"/>
  <c r="K29" i="47"/>
  <c r="K31" i="47"/>
  <c r="K33" i="47"/>
  <c r="K44" i="47"/>
  <c r="I25" i="47"/>
  <c r="I24" i="47" s="1"/>
  <c r="I174" i="47" s="1"/>
  <c r="I27" i="47"/>
  <c r="I29" i="47"/>
  <c r="I31" i="47"/>
  <c r="I33" i="47"/>
  <c r="I44" i="47"/>
  <c r="H25" i="47"/>
  <c r="H24" i="47" s="1"/>
  <c r="H174" i="47" s="1"/>
  <c r="H27" i="47"/>
  <c r="H29" i="47"/>
  <c r="H31" i="47"/>
  <c r="H33" i="47"/>
  <c r="H44" i="47"/>
  <c r="G25" i="47"/>
  <c r="G24" i="47" s="1"/>
  <c r="G27" i="47"/>
  <c r="G29" i="47"/>
  <c r="G31" i="47"/>
  <c r="G33" i="47"/>
  <c r="G44" i="47"/>
  <c r="E25" i="47"/>
  <c r="E24" i="47" s="1"/>
  <c r="E174" i="47" s="1"/>
  <c r="E27" i="47"/>
  <c r="E29" i="47"/>
  <c r="E31" i="47"/>
  <c r="E33" i="47"/>
  <c r="E44" i="47"/>
  <c r="D25" i="47"/>
  <c r="D24" i="47" s="1"/>
  <c r="D174" i="47" s="1"/>
  <c r="D27" i="47"/>
  <c r="D29" i="47"/>
  <c r="D31" i="47"/>
  <c r="D33" i="47"/>
  <c r="D44" i="47"/>
  <c r="C25" i="47"/>
  <c r="C24" i="47" s="1"/>
  <c r="C27" i="47"/>
  <c r="C29" i="47"/>
  <c r="C31" i="47"/>
  <c r="C33" i="47"/>
  <c r="C44" i="47"/>
  <c r="M1347" i="48"/>
  <c r="J1347" i="48"/>
  <c r="G1347" i="48"/>
  <c r="D1347" i="48"/>
  <c r="AT1356" i="21"/>
  <c r="Q171" i="47"/>
  <c r="P171" i="47"/>
  <c r="O171" i="47"/>
  <c r="M171" i="47"/>
  <c r="L171" i="47"/>
  <c r="K171" i="47"/>
  <c r="I171" i="47"/>
  <c r="H171" i="47"/>
  <c r="G171" i="47"/>
  <c r="E171" i="47"/>
  <c r="D171" i="47"/>
  <c r="C171" i="47"/>
  <c r="M1321" i="48"/>
  <c r="J1321" i="48"/>
  <c r="G1321" i="48"/>
  <c r="D1321" i="48"/>
  <c r="AT1330" i="21"/>
  <c r="Q156" i="47"/>
  <c r="P156" i="47"/>
  <c r="O156" i="47"/>
  <c r="M156" i="47"/>
  <c r="L156" i="47"/>
  <c r="K156" i="47"/>
  <c r="I156" i="47"/>
  <c r="H156" i="47"/>
  <c r="G156" i="47"/>
  <c r="E156" i="47"/>
  <c r="D156" i="47"/>
  <c r="C156" i="47"/>
  <c r="Q155" i="47"/>
  <c r="P155" i="47"/>
  <c r="O155" i="47"/>
  <c r="M155" i="47"/>
  <c r="L155" i="47"/>
  <c r="K155" i="47"/>
  <c r="I155" i="47"/>
  <c r="H155" i="47"/>
  <c r="G155" i="47"/>
  <c r="E155" i="47"/>
  <c r="D155" i="47"/>
  <c r="C155" i="47"/>
  <c r="B1321" i="48"/>
  <c r="AT1207" i="21"/>
  <c r="Q142" i="47"/>
  <c r="P142" i="47"/>
  <c r="O142" i="47"/>
  <c r="M142" i="47"/>
  <c r="L142" i="47"/>
  <c r="K142" i="47"/>
  <c r="I142" i="47"/>
  <c r="H142" i="47"/>
  <c r="G142" i="47"/>
  <c r="E142" i="47"/>
  <c r="D142" i="47"/>
  <c r="C142" i="47"/>
  <c r="AY1198" i="21"/>
  <c r="AT1206" i="21"/>
  <c r="AT1204" i="21"/>
  <c r="Q141" i="47"/>
  <c r="P141" i="47"/>
  <c r="O141" i="47"/>
  <c r="M141" i="47"/>
  <c r="L141" i="47"/>
  <c r="K141" i="47"/>
  <c r="I141" i="47"/>
  <c r="H141" i="47"/>
  <c r="G141" i="47"/>
  <c r="E141" i="47"/>
  <c r="D141" i="47"/>
  <c r="C141" i="47"/>
  <c r="Q131" i="47"/>
  <c r="P131" i="47"/>
  <c r="O131" i="47"/>
  <c r="M131" i="47"/>
  <c r="L131" i="47"/>
  <c r="K131" i="47"/>
  <c r="I131" i="47"/>
  <c r="H131" i="47"/>
  <c r="G131" i="47"/>
  <c r="E131" i="47"/>
  <c r="D131" i="47"/>
  <c r="C131" i="47"/>
  <c r="AT1178" i="21"/>
  <c r="Q135" i="47"/>
  <c r="P135" i="47"/>
  <c r="O135" i="47"/>
  <c r="M135" i="47"/>
  <c r="L135" i="47"/>
  <c r="K135" i="47"/>
  <c r="I135" i="47"/>
  <c r="H135" i="47"/>
  <c r="G135" i="47"/>
  <c r="AY1169" i="21"/>
  <c r="M1169" i="48"/>
  <c r="J1169" i="48"/>
  <c r="G1169" i="48"/>
  <c r="D1169" i="48"/>
  <c r="B1169" i="48"/>
  <c r="Q124" i="47"/>
  <c r="P124" i="47"/>
  <c r="O124" i="47"/>
  <c r="M124" i="47"/>
  <c r="L124" i="47"/>
  <c r="K124" i="47"/>
  <c r="I124" i="47"/>
  <c r="H124" i="47"/>
  <c r="G124" i="47"/>
  <c r="E124" i="47"/>
  <c r="D124" i="47"/>
  <c r="C124" i="47"/>
  <c r="Q20" i="47"/>
  <c r="P20" i="47"/>
  <c r="O20" i="47"/>
  <c r="M20" i="47"/>
  <c r="L20" i="47"/>
  <c r="K20" i="47"/>
  <c r="I20" i="47"/>
  <c r="H20" i="47"/>
  <c r="G20" i="47"/>
  <c r="E20" i="47"/>
  <c r="D20" i="47"/>
  <c r="C20" i="47"/>
  <c r="M325" i="48"/>
  <c r="J325" i="48"/>
  <c r="G325" i="48"/>
  <c r="D325" i="48"/>
  <c r="AT334" i="21"/>
  <c r="J323" i="21"/>
  <c r="B325" i="48"/>
  <c r="AQ143" i="21"/>
  <c r="AN143" i="21"/>
  <c r="AK143" i="21"/>
  <c r="AH143" i="21"/>
  <c r="AE143" i="21"/>
  <c r="AB143" i="21"/>
  <c r="Y143" i="21"/>
  <c r="V143" i="21"/>
  <c r="S143" i="21"/>
  <c r="P143" i="21"/>
  <c r="M143" i="21"/>
  <c r="J143" i="21"/>
  <c r="O13" i="46"/>
  <c r="B135" i="48"/>
  <c r="B134" i="48"/>
  <c r="AO79" i="21"/>
  <c r="AL79" i="21"/>
  <c r="AI79" i="21"/>
  <c r="AF79" i="21"/>
  <c r="AC79" i="21"/>
  <c r="Z79" i="21"/>
  <c r="W79" i="21"/>
  <c r="T79" i="21"/>
  <c r="Q79" i="21"/>
  <c r="N79" i="21"/>
  <c r="K79" i="21"/>
  <c r="AV53" i="21"/>
  <c r="M1125" i="48"/>
  <c r="M1116" i="48" s="1"/>
  <c r="J1125" i="48"/>
  <c r="J1116" i="48" s="1"/>
  <c r="G1125" i="48"/>
  <c r="G1116" i="48" s="1"/>
  <c r="D1125" i="48"/>
  <c r="D1116" i="48" s="1"/>
  <c r="B1125" i="48"/>
  <c r="M1090" i="48"/>
  <c r="J1090" i="48"/>
  <c r="G1090" i="48"/>
  <c r="D1090" i="48"/>
  <c r="B1090" i="48"/>
  <c r="M1493" i="48"/>
  <c r="J1493" i="48"/>
  <c r="G1493" i="48"/>
  <c r="D1493" i="48"/>
  <c r="AY1657" i="21"/>
  <c r="M1657" i="21"/>
  <c r="V1657" i="21"/>
  <c r="AE1657" i="21"/>
  <c r="AQ1657" i="21"/>
  <c r="AT1502" i="21"/>
  <c r="AY1491" i="21"/>
  <c r="AY1492" i="21"/>
  <c r="AY1125" i="21"/>
  <c r="AT1134" i="21"/>
  <c r="AT1125" i="21" s="1"/>
  <c r="AT1099" i="21"/>
  <c r="AY1053" i="21"/>
  <c r="AT829" i="21"/>
  <c r="M820" i="48"/>
  <c r="J820" i="48"/>
  <c r="G820" i="48"/>
  <c r="D820" i="48"/>
  <c r="B820" i="48"/>
  <c r="AY803" i="21"/>
  <c r="AY549" i="21"/>
  <c r="AY546" i="21"/>
  <c r="AY479" i="21"/>
  <c r="AT499" i="21"/>
  <c r="M490" i="48"/>
  <c r="J490" i="48"/>
  <c r="G490" i="48"/>
  <c r="D490" i="48"/>
  <c r="B490" i="48"/>
  <c r="G477" i="48"/>
  <c r="D477" i="48"/>
  <c r="D476" i="48"/>
  <c r="D475" i="48"/>
  <c r="B477" i="48"/>
  <c r="B476" i="48"/>
  <c r="B475" i="48"/>
  <c r="AY394" i="21"/>
  <c r="M403" i="48"/>
  <c r="J403" i="48"/>
  <c r="G403" i="48"/>
  <c r="D403" i="48"/>
  <c r="AT412" i="21"/>
  <c r="AQ414" i="21"/>
  <c r="AQ396" i="21" s="1"/>
  <c r="AN414" i="21"/>
  <c r="AN396" i="21" s="1"/>
  <c r="AK414" i="21"/>
  <c r="AK396" i="21" s="1"/>
  <c r="AH414" i="21"/>
  <c r="AH396" i="21" s="1"/>
  <c r="AE414" i="21"/>
  <c r="AE396" i="21" s="1"/>
  <c r="AB414" i="21"/>
  <c r="AB396" i="21" s="1"/>
  <c r="Y414" i="21"/>
  <c r="Y396" i="21" s="1"/>
  <c r="V414" i="21"/>
  <c r="V396" i="21" s="1"/>
  <c r="S414" i="21"/>
  <c r="S396" i="21" s="1"/>
  <c r="P414" i="21"/>
  <c r="P396" i="21" s="1"/>
  <c r="M414" i="21"/>
  <c r="M396" i="21" s="1"/>
  <c r="J414" i="21"/>
  <c r="J396" i="21" s="1"/>
  <c r="B403" i="48"/>
  <c r="M402" i="48"/>
  <c r="J401" i="48"/>
  <c r="D401" i="48"/>
  <c r="B402" i="48"/>
  <c r="B401" i="48"/>
  <c r="AY355" i="21"/>
  <c r="AY286" i="21"/>
  <c r="B1443" i="48"/>
  <c r="B1441" i="48"/>
  <c r="B1440" i="48"/>
  <c r="AT510" i="21"/>
  <c r="M835" i="48"/>
  <c r="M834" i="48"/>
  <c r="M832" i="48"/>
  <c r="J835" i="48"/>
  <c r="J834" i="48"/>
  <c r="J832" i="48"/>
  <c r="G835" i="48"/>
  <c r="G832" i="48"/>
  <c r="D835" i="48"/>
  <c r="D834" i="48"/>
  <c r="D832" i="48"/>
  <c r="AT844" i="21"/>
  <c r="AT841" i="21"/>
  <c r="B835" i="48"/>
  <c r="B834" i="48"/>
  <c r="B833" i="48"/>
  <c r="B832" i="48"/>
  <c r="M622" i="48"/>
  <c r="M621" i="48"/>
  <c r="M620" i="48"/>
  <c r="J622" i="48"/>
  <c r="J621" i="48"/>
  <c r="J620" i="48"/>
  <c r="G622" i="48"/>
  <c r="G621" i="48"/>
  <c r="G620" i="48"/>
  <c r="D622" i="48"/>
  <c r="D621" i="48"/>
  <c r="D620" i="48"/>
  <c r="G476" i="48"/>
  <c r="P950" i="21"/>
  <c r="P947" i="21" s="1"/>
  <c r="AQ525" i="21"/>
  <c r="AQ519" i="21" s="1"/>
  <c r="AN525" i="21"/>
  <c r="AN519" i="21" s="1"/>
  <c r="AK525" i="21"/>
  <c r="AK519" i="21" s="1"/>
  <c r="AH525" i="21"/>
  <c r="AH519" i="21" s="1"/>
  <c r="AE525" i="21"/>
  <c r="AE519" i="21" s="1"/>
  <c r="AB525" i="21"/>
  <c r="AB519" i="21" s="1"/>
  <c r="Y525" i="21"/>
  <c r="Y519" i="21" s="1"/>
  <c r="V525" i="21"/>
  <c r="V519" i="21" s="1"/>
  <c r="S525" i="21"/>
  <c r="S519" i="21" s="1"/>
  <c r="P525" i="21"/>
  <c r="P519" i="21" s="1"/>
  <c r="M525" i="21"/>
  <c r="M519" i="21" s="1"/>
  <c r="J525" i="21"/>
  <c r="B391" i="48"/>
  <c r="B378" i="48"/>
  <c r="R198" i="47"/>
  <c r="N198" i="47"/>
  <c r="J198" i="47"/>
  <c r="F198" i="47"/>
  <c r="R197" i="47"/>
  <c r="N197" i="47"/>
  <c r="J197" i="47"/>
  <c r="F197" i="47"/>
  <c r="R196" i="47"/>
  <c r="N196" i="47"/>
  <c r="J196" i="47"/>
  <c r="F196" i="47"/>
  <c r="N67" i="48"/>
  <c r="K67" i="48"/>
  <c r="H67" i="48"/>
  <c r="E67" i="48"/>
  <c r="N56" i="48"/>
  <c r="K56" i="48"/>
  <c r="H56" i="48"/>
  <c r="E56" i="48"/>
  <c r="N20" i="48"/>
  <c r="K20" i="48"/>
  <c r="H20" i="48"/>
  <c r="E20" i="48"/>
  <c r="M55" i="44"/>
  <c r="S59" i="44" s="1"/>
  <c r="M46" i="44"/>
  <c r="U19" i="44" s="1"/>
  <c r="E34" i="44"/>
  <c r="F35" i="44" s="1"/>
  <c r="M1729" i="21"/>
  <c r="P1729" i="21"/>
  <c r="S1729" i="21"/>
  <c r="V1729" i="21"/>
  <c r="Y1729" i="21"/>
  <c r="AB1729" i="21"/>
  <c r="AE1729" i="21"/>
  <c r="AH1729" i="21"/>
  <c r="AK1729" i="21"/>
  <c r="AN1729" i="21"/>
  <c r="M1730" i="21"/>
  <c r="P1730" i="21"/>
  <c r="S1730" i="21"/>
  <c r="V1730" i="21"/>
  <c r="Y1730" i="21"/>
  <c r="AB1730" i="21"/>
  <c r="AE1730" i="21"/>
  <c r="AH1730" i="21"/>
  <c r="AK1730" i="21"/>
  <c r="AN1730" i="21"/>
  <c r="M1570" i="48"/>
  <c r="J1570" i="48"/>
  <c r="G1570" i="48"/>
  <c r="D1570" i="48"/>
  <c r="B1570" i="48"/>
  <c r="AT1579" i="21"/>
  <c r="AQ1575" i="21"/>
  <c r="AQ1553" i="21" s="1"/>
  <c r="AN1575" i="21"/>
  <c r="AN1553" i="21" s="1"/>
  <c r="AK1575" i="21"/>
  <c r="AK1553" i="21" s="1"/>
  <c r="AH1575" i="21"/>
  <c r="AH1553" i="21" s="1"/>
  <c r="AE1575" i="21"/>
  <c r="AE1553" i="21" s="1"/>
  <c r="AB1575" i="21"/>
  <c r="AB1553" i="21" s="1"/>
  <c r="Y1575" i="21"/>
  <c r="Y1553" i="21" s="1"/>
  <c r="V1575" i="21"/>
  <c r="V1553" i="21" s="1"/>
  <c r="S1575" i="21"/>
  <c r="S1553" i="21" s="1"/>
  <c r="P1575" i="21"/>
  <c r="P1553" i="21" s="1"/>
  <c r="M1575" i="21"/>
  <c r="M1553" i="21" s="1"/>
  <c r="J1575" i="21"/>
  <c r="J1553" i="21" s="1"/>
  <c r="M1475" i="48"/>
  <c r="J1475" i="48"/>
  <c r="G1475" i="48"/>
  <c r="D1475" i="48"/>
  <c r="B1475" i="48"/>
  <c r="AT1484" i="21"/>
  <c r="M1436" i="48"/>
  <c r="J1436" i="48"/>
  <c r="G1436" i="48"/>
  <c r="D1436" i="48"/>
  <c r="M1435" i="48"/>
  <c r="J1435" i="48"/>
  <c r="G1435" i="48"/>
  <c r="D1435" i="48"/>
  <c r="M1434" i="48"/>
  <c r="J1434" i="48"/>
  <c r="G1434" i="48"/>
  <c r="D1434" i="48"/>
  <c r="M1433" i="48"/>
  <c r="J1433" i="48"/>
  <c r="G1433" i="48"/>
  <c r="D1433" i="48"/>
  <c r="M1432" i="48"/>
  <c r="J1432" i="48"/>
  <c r="G1432" i="48"/>
  <c r="D1432" i="48"/>
  <c r="M1431" i="48"/>
  <c r="J1431" i="48"/>
  <c r="G1431" i="48"/>
  <c r="D1431" i="48"/>
  <c r="M1430" i="48"/>
  <c r="J1430" i="48"/>
  <c r="G1430" i="48"/>
  <c r="D1430" i="48"/>
  <c r="M1429" i="48"/>
  <c r="J1429" i="48"/>
  <c r="G1429" i="48"/>
  <c r="D1429" i="48"/>
  <c r="M1428" i="48"/>
  <c r="J1428" i="48"/>
  <c r="G1428" i="48"/>
  <c r="D1428" i="48"/>
  <c r="M1420" i="48"/>
  <c r="J1420" i="48"/>
  <c r="G1420" i="48"/>
  <c r="D1420" i="48"/>
  <c r="M1419" i="48"/>
  <c r="J1419" i="48"/>
  <c r="G1419" i="48"/>
  <c r="D1419" i="48"/>
  <c r="M1418" i="48"/>
  <c r="J1418" i="48"/>
  <c r="G1418" i="48"/>
  <c r="D1418" i="48"/>
  <c r="B1436" i="48"/>
  <c r="B1435" i="48"/>
  <c r="B1434" i="48"/>
  <c r="B1433" i="48"/>
  <c r="B1432" i="48"/>
  <c r="B1431" i="48"/>
  <c r="B1430" i="48"/>
  <c r="B1429" i="48"/>
  <c r="B1428" i="48"/>
  <c r="B1427" i="48"/>
  <c r="B1420" i="48"/>
  <c r="M1416" i="48"/>
  <c r="J1416" i="48"/>
  <c r="G1416" i="48"/>
  <c r="D1416" i="48"/>
  <c r="M1415" i="48"/>
  <c r="J1415" i="48"/>
  <c r="G1415" i="48"/>
  <c r="D1415" i="48"/>
  <c r="M1414" i="48"/>
  <c r="J1414" i="48"/>
  <c r="G1414" i="48"/>
  <c r="D1414" i="48"/>
  <c r="M1413" i="48"/>
  <c r="J1413" i="48"/>
  <c r="G1413" i="48"/>
  <c r="D1413" i="48"/>
  <c r="M1412" i="48"/>
  <c r="J1412" i="48"/>
  <c r="G1412" i="48"/>
  <c r="D1412" i="48"/>
  <c r="B1419" i="48"/>
  <c r="B1418" i="48"/>
  <c r="B1417" i="48"/>
  <c r="B1416" i="48"/>
  <c r="B1415" i="48"/>
  <c r="B1414" i="48"/>
  <c r="B1413" i="48"/>
  <c r="M1410" i="48"/>
  <c r="J1410" i="48"/>
  <c r="G1410" i="48"/>
  <c r="D1410" i="48"/>
  <c r="M1409" i="48"/>
  <c r="J1409" i="48"/>
  <c r="G1409" i="48"/>
  <c r="D1409" i="48"/>
  <c r="M1408" i="48"/>
  <c r="J1408" i="48"/>
  <c r="G1408" i="48"/>
  <c r="D1408" i="48"/>
  <c r="M1407" i="48"/>
  <c r="J1407" i="48"/>
  <c r="G1407" i="48"/>
  <c r="D1407" i="48"/>
  <c r="B1412" i="48"/>
  <c r="B1411" i="48"/>
  <c r="B1410" i="48"/>
  <c r="B1409" i="48"/>
  <c r="B1408" i="48"/>
  <c r="B1407" i="48"/>
  <c r="M1405" i="48"/>
  <c r="J1405" i="48"/>
  <c r="J1404" i="48" s="1"/>
  <c r="G1405" i="48"/>
  <c r="G1404" i="48" s="1"/>
  <c r="D1405" i="48"/>
  <c r="D1404" i="48" s="1"/>
  <c r="M1403" i="48"/>
  <c r="J1403" i="48"/>
  <c r="G1403" i="48"/>
  <c r="D1403" i="48"/>
  <c r="M1402" i="48"/>
  <c r="J1402" i="48"/>
  <c r="G1402" i="48"/>
  <c r="D1402" i="48"/>
  <c r="M1401" i="48"/>
  <c r="J1401" i="48"/>
  <c r="G1401" i="48"/>
  <c r="D1401" i="48"/>
  <c r="M1400" i="48"/>
  <c r="J1400" i="48"/>
  <c r="G1400" i="48"/>
  <c r="D1400" i="48"/>
  <c r="M1399" i="48"/>
  <c r="J1399" i="48"/>
  <c r="G1399" i="48"/>
  <c r="D1399" i="48"/>
  <c r="B1406" i="48"/>
  <c r="B1405" i="48"/>
  <c r="B1404" i="48"/>
  <c r="B1403" i="48"/>
  <c r="B1402" i="48"/>
  <c r="B1401" i="48"/>
  <c r="B1400" i="48"/>
  <c r="B1399" i="48"/>
  <c r="B1398" i="48"/>
  <c r="B1391" i="48"/>
  <c r="AT1437" i="21"/>
  <c r="AT1429" i="21"/>
  <c r="AT1428" i="21"/>
  <c r="AT1427" i="21"/>
  <c r="AQ1426" i="21"/>
  <c r="AN1426" i="21"/>
  <c r="AK1426" i="21"/>
  <c r="AH1426" i="21"/>
  <c r="AE1426" i="21"/>
  <c r="AB1426" i="21"/>
  <c r="Y1426" i="21"/>
  <c r="V1426" i="21"/>
  <c r="S1426" i="21"/>
  <c r="P1426" i="21"/>
  <c r="M1426" i="21"/>
  <c r="J1426" i="21"/>
  <c r="AT1425" i="21"/>
  <c r="AT1424" i="21"/>
  <c r="AT1423" i="21"/>
  <c r="AT1422" i="21"/>
  <c r="AT1421" i="21"/>
  <c r="AQ1420" i="21"/>
  <c r="AN1420" i="21"/>
  <c r="AK1420" i="21"/>
  <c r="AH1420" i="21"/>
  <c r="AE1420" i="21"/>
  <c r="AB1420" i="21"/>
  <c r="Y1420" i="21"/>
  <c r="V1420" i="21"/>
  <c r="S1420" i="21"/>
  <c r="P1420" i="21"/>
  <c r="M1420" i="21"/>
  <c r="J1420" i="21"/>
  <c r="AT1419" i="21"/>
  <c r="AT1418" i="21"/>
  <c r="AT1417" i="21"/>
  <c r="AT1416" i="21"/>
  <c r="AQ1415" i="21"/>
  <c r="AN1415" i="21"/>
  <c r="AK1415" i="21"/>
  <c r="AH1415" i="21"/>
  <c r="AE1415" i="21"/>
  <c r="AB1415" i="21"/>
  <c r="Y1415" i="21"/>
  <c r="V1415" i="21"/>
  <c r="S1415" i="21"/>
  <c r="P1415" i="21"/>
  <c r="M1415" i="21"/>
  <c r="J1415" i="21"/>
  <c r="AT1414" i="21"/>
  <c r="AT1413" i="21" s="1"/>
  <c r="AQ1413" i="21"/>
  <c r="AN1413" i="21"/>
  <c r="AK1413" i="21"/>
  <c r="AH1413" i="21"/>
  <c r="AE1413" i="21"/>
  <c r="AB1413" i="21"/>
  <c r="Y1413" i="21"/>
  <c r="V1413" i="21"/>
  <c r="S1413" i="21"/>
  <c r="P1413" i="21"/>
  <c r="M1413" i="21"/>
  <c r="J1413" i="21"/>
  <c r="AT1412" i="21"/>
  <c r="AT1411" i="21"/>
  <c r="AT1410" i="21"/>
  <c r="AT1409" i="21"/>
  <c r="AT1408" i="21"/>
  <c r="AQ1407" i="21"/>
  <c r="AN1407" i="21"/>
  <c r="AK1407" i="21"/>
  <c r="AH1407" i="21"/>
  <c r="AE1407" i="21"/>
  <c r="AB1407" i="21"/>
  <c r="Y1407" i="21"/>
  <c r="V1407" i="21"/>
  <c r="S1407" i="21"/>
  <c r="P1407" i="21"/>
  <c r="M1407" i="21"/>
  <c r="J1407" i="21"/>
  <c r="J1398" i="21" s="1"/>
  <c r="B1289" i="48"/>
  <c r="O43" i="46"/>
  <c r="AQ1298" i="21"/>
  <c r="AN1298" i="21"/>
  <c r="AK1298" i="21"/>
  <c r="AH1298" i="21"/>
  <c r="AE1298" i="21"/>
  <c r="AB1298" i="21"/>
  <c r="Y1298" i="21"/>
  <c r="V1298" i="21"/>
  <c r="S1298" i="21"/>
  <c r="P1298" i="21"/>
  <c r="M1298" i="21"/>
  <c r="J1298" i="21"/>
  <c r="B1274" i="48"/>
  <c r="B1273" i="48"/>
  <c r="AQ1214" i="21"/>
  <c r="AN1214" i="21"/>
  <c r="AK1214" i="21"/>
  <c r="AH1214" i="21"/>
  <c r="AE1214" i="21"/>
  <c r="AB1214" i="21"/>
  <c r="V1214" i="21"/>
  <c r="S1214" i="21"/>
  <c r="P1214" i="21"/>
  <c r="M1232" i="48"/>
  <c r="J1232" i="48"/>
  <c r="G1232" i="48"/>
  <c r="D1232" i="48"/>
  <c r="M1231" i="48"/>
  <c r="J1231" i="48"/>
  <c r="G1231" i="48"/>
  <c r="D1231" i="48"/>
  <c r="M1230" i="48"/>
  <c r="J1230" i="48"/>
  <c r="G1230" i="48"/>
  <c r="D1230" i="48"/>
  <c r="B1230" i="48"/>
  <c r="B1229" i="48"/>
  <c r="AT1241" i="21"/>
  <c r="AT1240" i="21"/>
  <c r="AT1239" i="21"/>
  <c r="J1060" i="48"/>
  <c r="G1060" i="48"/>
  <c r="D1060" i="48"/>
  <c r="M1059" i="48"/>
  <c r="J1059" i="48"/>
  <c r="D1059" i="48"/>
  <c r="M1058" i="48"/>
  <c r="J1058" i="48"/>
  <c r="G1058" i="48"/>
  <c r="B1060" i="48"/>
  <c r="B1059" i="48"/>
  <c r="B1058" i="48"/>
  <c r="AK1066" i="21"/>
  <c r="AH1066" i="21"/>
  <c r="AE1066" i="21"/>
  <c r="AB1066" i="21"/>
  <c r="V1066" i="21"/>
  <c r="S1066" i="21"/>
  <c r="P1066" i="21"/>
  <c r="M1066" i="21"/>
  <c r="B1051" i="48"/>
  <c r="D999" i="48"/>
  <c r="G999" i="48"/>
  <c r="J999" i="48"/>
  <c r="M999" i="48"/>
  <c r="D1000" i="48"/>
  <c r="G1000" i="48"/>
  <c r="J1000" i="48"/>
  <c r="M1000" i="48"/>
  <c r="AT1009" i="21"/>
  <c r="AT1008" i="21"/>
  <c r="AQ1007" i="21"/>
  <c r="AN1007" i="21"/>
  <c r="AK1007" i="21"/>
  <c r="AH1007" i="21"/>
  <c r="AE1007" i="21"/>
  <c r="AB1007" i="21"/>
  <c r="Y1007" i="21"/>
  <c r="V1007" i="21"/>
  <c r="S1007" i="21"/>
  <c r="P1007" i="21"/>
  <c r="M1007" i="21"/>
  <c r="J1007" i="21"/>
  <c r="B1000" i="48"/>
  <c r="B999" i="48"/>
  <c r="AT942" i="21"/>
  <c r="B874" i="48"/>
  <c r="B869" i="48"/>
  <c r="M773" i="48"/>
  <c r="J773" i="48"/>
  <c r="G773" i="48"/>
  <c r="D773" i="48"/>
  <c r="M772" i="48"/>
  <c r="J772" i="48"/>
  <c r="G772" i="48"/>
  <c r="D772" i="48"/>
  <c r="M771" i="48"/>
  <c r="J771" i="48"/>
  <c r="G771" i="48"/>
  <c r="D771" i="48"/>
  <c r="AT782" i="21"/>
  <c r="AT781" i="21"/>
  <c r="AT780" i="21"/>
  <c r="M819" i="48"/>
  <c r="J819" i="48"/>
  <c r="G819" i="48"/>
  <c r="D819" i="48"/>
  <c r="AT828" i="21"/>
  <c r="AT662" i="21"/>
  <c r="M653" i="48"/>
  <c r="J653" i="48"/>
  <c r="G653" i="48"/>
  <c r="D653" i="48"/>
  <c r="B653" i="48"/>
  <c r="AQ549" i="21"/>
  <c r="AQ543" i="21" s="1"/>
  <c r="AN549" i="21"/>
  <c r="AN543" i="21" s="1"/>
  <c r="AK549" i="21"/>
  <c r="AK543" i="21" s="1"/>
  <c r="AH549" i="21"/>
  <c r="AH543" i="21" s="1"/>
  <c r="AE549" i="21"/>
  <c r="AE543" i="21" s="1"/>
  <c r="AB549" i="21"/>
  <c r="Y549" i="21"/>
  <c r="Y543" i="21" s="1"/>
  <c r="V549" i="21"/>
  <c r="S549" i="21"/>
  <c r="S543" i="21" s="1"/>
  <c r="P549" i="21"/>
  <c r="P543" i="21" s="1"/>
  <c r="M549" i="21"/>
  <c r="M543" i="21" s="1"/>
  <c r="J549" i="21"/>
  <c r="J543" i="21" s="1"/>
  <c r="P546" i="21"/>
  <c r="M539" i="48"/>
  <c r="J539" i="48"/>
  <c r="D539" i="48"/>
  <c r="AQ546" i="21"/>
  <c r="S546" i="21"/>
  <c r="AN546" i="21"/>
  <c r="AY460" i="21"/>
  <c r="M513" i="48"/>
  <c r="J513" i="48"/>
  <c r="G513" i="48"/>
  <c r="D513" i="48"/>
  <c r="M465" i="48"/>
  <c r="J465" i="48"/>
  <c r="G465" i="48"/>
  <c r="D465" i="48"/>
  <c r="M464" i="48"/>
  <c r="J464" i="48"/>
  <c r="G464" i="48"/>
  <c r="D464" i="48"/>
  <c r="M463" i="48"/>
  <c r="J463" i="48"/>
  <c r="G463" i="48"/>
  <c r="D463" i="48"/>
  <c r="B465" i="48"/>
  <c r="B464" i="48"/>
  <c r="B463" i="48"/>
  <c r="M417" i="48"/>
  <c r="J417" i="48"/>
  <c r="G417" i="48"/>
  <c r="D417" i="48"/>
  <c r="B417" i="48"/>
  <c r="M285" i="48"/>
  <c r="M278" i="48" s="1"/>
  <c r="J285" i="48"/>
  <c r="J278" i="48" s="1"/>
  <c r="G285" i="48"/>
  <c r="G278" i="48" s="1"/>
  <c r="D285" i="48"/>
  <c r="M1043" i="48"/>
  <c r="J1043" i="48"/>
  <c r="G1043" i="48"/>
  <c r="D1043" i="48"/>
  <c r="M1042" i="48"/>
  <c r="J1042" i="48"/>
  <c r="G1042" i="48"/>
  <c r="D1042" i="48"/>
  <c r="B285" i="48"/>
  <c r="AT509" i="21"/>
  <c r="M477" i="48"/>
  <c r="M475" i="48"/>
  <c r="AE483" i="21"/>
  <c r="AN483" i="21"/>
  <c r="S483" i="21"/>
  <c r="P483" i="21"/>
  <c r="M483" i="21"/>
  <c r="J483" i="21"/>
  <c r="AE375" i="21"/>
  <c r="AT474" i="21"/>
  <c r="AT473" i="21"/>
  <c r="AT472" i="21"/>
  <c r="AQ374" i="21"/>
  <c r="AT522" i="21"/>
  <c r="AT426" i="21"/>
  <c r="AQ422" i="21"/>
  <c r="AQ418" i="21" s="1"/>
  <c r="AN422" i="21"/>
  <c r="AN418" i="21" s="1"/>
  <c r="AK422" i="21"/>
  <c r="AK418" i="21" s="1"/>
  <c r="AH422" i="21"/>
  <c r="AH418" i="21" s="1"/>
  <c r="AE422" i="21"/>
  <c r="AE418" i="21" s="1"/>
  <c r="AB422" i="21"/>
  <c r="AB418" i="21" s="1"/>
  <c r="Y422" i="21"/>
  <c r="Y418" i="21" s="1"/>
  <c r="V422" i="21"/>
  <c r="V418" i="21" s="1"/>
  <c r="S422" i="21"/>
  <c r="S418" i="21" s="1"/>
  <c r="P422" i="21"/>
  <c r="P418" i="21" s="1"/>
  <c r="M422" i="21"/>
  <c r="M418" i="21" s="1"/>
  <c r="J422" i="21"/>
  <c r="J418" i="21" s="1"/>
  <c r="AQ409" i="21"/>
  <c r="AN409" i="21"/>
  <c r="AH409" i="21"/>
  <c r="V409" i="21"/>
  <c r="S409" i="21"/>
  <c r="M409" i="21"/>
  <c r="J409" i="21"/>
  <c r="M476" i="48"/>
  <c r="V483" i="21"/>
  <c r="G475" i="48"/>
  <c r="J475" i="48"/>
  <c r="AH483" i="21"/>
  <c r="AQ483" i="21"/>
  <c r="Y483" i="21"/>
  <c r="AK483" i="21"/>
  <c r="AT484" i="21"/>
  <c r="AQ286" i="21"/>
  <c r="AN286" i="21"/>
  <c r="AK286" i="21"/>
  <c r="AH286" i="21"/>
  <c r="AE286" i="21"/>
  <c r="AB286" i="21"/>
  <c r="Y286" i="21"/>
  <c r="V286" i="21"/>
  <c r="S286" i="21"/>
  <c r="P286" i="21"/>
  <c r="M286" i="21"/>
  <c r="J286" i="21"/>
  <c r="AT293" i="21"/>
  <c r="AT286" i="21" s="1"/>
  <c r="AQ1389" i="21"/>
  <c r="AQ1385" i="21" s="1"/>
  <c r="AN1389" i="21"/>
  <c r="AN1385" i="21" s="1"/>
  <c r="AK1389" i="21"/>
  <c r="AH1389" i="21"/>
  <c r="AH1385" i="21" s="1"/>
  <c r="AE1389" i="21"/>
  <c r="AE1385" i="21" s="1"/>
  <c r="AB1389" i="21"/>
  <c r="Y1389" i="21"/>
  <c r="Y1385" i="21" s="1"/>
  <c r="V1389" i="21"/>
  <c r="V1385" i="21" s="1"/>
  <c r="S1389" i="21"/>
  <c r="P1389" i="21"/>
  <c r="P1385" i="21" s="1"/>
  <c r="M1389" i="21"/>
  <c r="J1389" i="21"/>
  <c r="Q172" i="47"/>
  <c r="P172" i="47"/>
  <c r="O172" i="47"/>
  <c r="M172" i="47"/>
  <c r="L172" i="47"/>
  <c r="K172" i="47"/>
  <c r="N172" i="47" s="1"/>
  <c r="I172" i="47"/>
  <c r="J172" i="47" s="1"/>
  <c r="H172" i="47"/>
  <c r="G172" i="47"/>
  <c r="E172" i="47"/>
  <c r="D172" i="47"/>
  <c r="C172" i="47"/>
  <c r="F172" i="47" s="1"/>
  <c r="R173" i="47"/>
  <c r="V173" i="47"/>
  <c r="V172" i="47"/>
  <c r="N173" i="47"/>
  <c r="U173" i="47" s="1"/>
  <c r="U172" i="47" s="1"/>
  <c r="J173" i="47"/>
  <c r="T173" i="47"/>
  <c r="T172" i="47" s="1"/>
  <c r="F173" i="47"/>
  <c r="S173" i="47" s="1"/>
  <c r="R172" i="47"/>
  <c r="AT1052" i="21"/>
  <c r="AT1051" i="21"/>
  <c r="N58" i="46"/>
  <c r="M58" i="46"/>
  <c r="L58" i="46"/>
  <c r="K58" i="46"/>
  <c r="J58" i="46"/>
  <c r="I58" i="46"/>
  <c r="H58" i="46"/>
  <c r="G58" i="46"/>
  <c r="F58" i="46"/>
  <c r="E58" i="46"/>
  <c r="D58" i="46"/>
  <c r="N53" i="46"/>
  <c r="N59" i="46" s="1"/>
  <c r="M53" i="46"/>
  <c r="M59" i="46" s="1"/>
  <c r="L53" i="46"/>
  <c r="L59" i="46" s="1"/>
  <c r="K53" i="46"/>
  <c r="J53" i="46"/>
  <c r="J59" i="46" s="1"/>
  <c r="H53" i="46"/>
  <c r="G53" i="46"/>
  <c r="F53" i="46"/>
  <c r="F59" i="46" s="1"/>
  <c r="E53" i="46"/>
  <c r="E59" i="46" s="1"/>
  <c r="D53" i="46"/>
  <c r="D59" i="46" s="1"/>
  <c r="C53" i="46"/>
  <c r="N52" i="46"/>
  <c r="M52" i="46"/>
  <c r="L52" i="46"/>
  <c r="K52" i="46"/>
  <c r="J52" i="46"/>
  <c r="I52" i="46"/>
  <c r="H52" i="46"/>
  <c r="G52" i="46"/>
  <c r="F52" i="46"/>
  <c r="E52" i="46"/>
  <c r="D52" i="46"/>
  <c r="C52" i="46"/>
  <c r="C58" i="46"/>
  <c r="O58" i="46" s="1"/>
  <c r="O33" i="46"/>
  <c r="AT758" i="21"/>
  <c r="AT707" i="21"/>
  <c r="M749" i="48"/>
  <c r="J749" i="48"/>
  <c r="G749" i="48"/>
  <c r="D749" i="48"/>
  <c r="B749" i="48"/>
  <c r="B819" i="48"/>
  <c r="M698" i="48"/>
  <c r="J698" i="48"/>
  <c r="G698" i="48"/>
  <c r="D698" i="48"/>
  <c r="B698" i="48"/>
  <c r="M187" i="48"/>
  <c r="J187" i="48"/>
  <c r="G187" i="48"/>
  <c r="D187" i="48"/>
  <c r="B187" i="48"/>
  <c r="AQ194" i="21"/>
  <c r="AQ188" i="21" s="1"/>
  <c r="AN194" i="21"/>
  <c r="AN188" i="21" s="1"/>
  <c r="AK194" i="21"/>
  <c r="AK188" i="21" s="1"/>
  <c r="AH194" i="21"/>
  <c r="AH188" i="21" s="1"/>
  <c r="AE194" i="21"/>
  <c r="AE188" i="21" s="1"/>
  <c r="AB194" i="21"/>
  <c r="AB188" i="21" s="1"/>
  <c r="Y194" i="21"/>
  <c r="Y188" i="21" s="1"/>
  <c r="V194" i="21"/>
  <c r="V188" i="21" s="1"/>
  <c r="S194" i="21"/>
  <c r="S188" i="21" s="1"/>
  <c r="P194" i="21"/>
  <c r="P188" i="21" s="1"/>
  <c r="M194" i="21"/>
  <c r="M188" i="21" s="1"/>
  <c r="J194" i="21"/>
  <c r="J188" i="21" s="1"/>
  <c r="AT195" i="21"/>
  <c r="M156" i="48"/>
  <c r="J156" i="48"/>
  <c r="G156" i="48"/>
  <c r="D156" i="48"/>
  <c r="AY158" i="21"/>
  <c r="AT164" i="21"/>
  <c r="B156" i="48"/>
  <c r="M144" i="48"/>
  <c r="J144" i="48"/>
  <c r="G144" i="48"/>
  <c r="D144" i="48"/>
  <c r="B144" i="48"/>
  <c r="AQ151" i="21"/>
  <c r="AQ150" i="21" s="1"/>
  <c r="AN151" i="21"/>
  <c r="AN150" i="21" s="1"/>
  <c r="AK151" i="21"/>
  <c r="AK150" i="21" s="1"/>
  <c r="AH151" i="21"/>
  <c r="AH150" i="21" s="1"/>
  <c r="AE151" i="21"/>
  <c r="AE150" i="21" s="1"/>
  <c r="S151" i="21"/>
  <c r="S150" i="21" s="1"/>
  <c r="P151" i="21"/>
  <c r="P150" i="21" s="1"/>
  <c r="M151" i="21"/>
  <c r="M150" i="21" s="1"/>
  <c r="AY151" i="21"/>
  <c r="AY150" i="21" s="1"/>
  <c r="U24" i="40"/>
  <c r="U22" i="40"/>
  <c r="M56" i="40"/>
  <c r="M47" i="40"/>
  <c r="U21" i="40" s="1"/>
  <c r="U24" i="39"/>
  <c r="U22" i="39"/>
  <c r="M56" i="39"/>
  <c r="M47" i="39"/>
  <c r="U21" i="39" s="1"/>
  <c r="U24" i="38"/>
  <c r="U22" i="38"/>
  <c r="M56" i="38"/>
  <c r="M56" i="37"/>
  <c r="M47" i="38"/>
  <c r="U21" i="38" s="1"/>
  <c r="U24" i="37"/>
  <c r="U22" i="37"/>
  <c r="M47" i="37"/>
  <c r="U21" i="37" s="1"/>
  <c r="M56" i="36"/>
  <c r="U24" i="36"/>
  <c r="M47" i="36"/>
  <c r="U22" i="36"/>
  <c r="M56" i="35"/>
  <c r="U24" i="35"/>
  <c r="U22" i="35"/>
  <c r="M47" i="35"/>
  <c r="U21" i="35" s="1"/>
  <c r="U24" i="34"/>
  <c r="U22" i="34"/>
  <c r="M56" i="34"/>
  <c r="M47" i="34"/>
  <c r="U21" i="34" s="1"/>
  <c r="U22" i="33"/>
  <c r="U24" i="33"/>
  <c r="M56" i="33"/>
  <c r="M47" i="33"/>
  <c r="U21" i="33" s="1"/>
  <c r="U24" i="32"/>
  <c r="U22" i="32"/>
  <c r="M56" i="32"/>
  <c r="M47" i="32"/>
  <c r="U21" i="32" s="1"/>
  <c r="M56" i="31"/>
  <c r="M47" i="31"/>
  <c r="U21" i="31" s="1"/>
  <c r="U22" i="31"/>
  <c r="U24" i="31"/>
  <c r="U24" i="30"/>
  <c r="U24" i="29"/>
  <c r="U22" i="30"/>
  <c r="M56" i="30"/>
  <c r="M47" i="30"/>
  <c r="U21" i="30" s="1"/>
  <c r="AU75" i="21"/>
  <c r="M56" i="29"/>
  <c r="M47" i="29"/>
  <c r="U22" i="29"/>
  <c r="AU64" i="21"/>
  <c r="F30" i="40"/>
  <c r="F30" i="39"/>
  <c r="F30" i="38"/>
  <c r="F30" i="37"/>
  <c r="F30" i="36"/>
  <c r="F30" i="35"/>
  <c r="F30" i="34"/>
  <c r="F30" i="33"/>
  <c r="F30" i="32"/>
  <c r="F30" i="31"/>
  <c r="F30" i="30"/>
  <c r="F30" i="29"/>
  <c r="AU28" i="21"/>
  <c r="R46" i="44"/>
  <c r="R47" i="39"/>
  <c r="R47" i="38"/>
  <c r="R47" i="37"/>
  <c r="R47" i="36"/>
  <c r="R47" i="35"/>
  <c r="R47" i="34"/>
  <c r="R47" i="33"/>
  <c r="R47" i="32"/>
  <c r="R47" i="31"/>
  <c r="R47" i="30"/>
  <c r="R47" i="29"/>
  <c r="K22" i="21"/>
  <c r="K1668" i="48"/>
  <c r="H1668" i="48"/>
  <c r="M1705" i="48"/>
  <c r="J1705" i="48"/>
  <c r="G1705" i="48"/>
  <c r="D1705" i="48"/>
  <c r="B1705" i="48"/>
  <c r="B1704" i="48"/>
  <c r="B1703" i="48"/>
  <c r="B1702" i="48"/>
  <c r="B1701" i="48"/>
  <c r="B1700" i="48"/>
  <c r="B1699" i="48"/>
  <c r="B1698" i="48"/>
  <c r="B1697" i="48"/>
  <c r="B1685" i="48"/>
  <c r="B1682" i="48"/>
  <c r="B1681" i="48"/>
  <c r="B1680" i="48"/>
  <c r="B1678" i="48"/>
  <c r="B1677" i="48"/>
  <c r="B1676" i="48"/>
  <c r="B1675" i="48"/>
  <c r="B1722" i="48"/>
  <c r="B1721" i="48"/>
  <c r="B1720" i="48"/>
  <c r="B1716" i="48"/>
  <c r="B1715" i="48"/>
  <c r="B1714" i="48"/>
  <c r="B1713" i="48"/>
  <c r="B1710" i="48"/>
  <c r="B1709" i="48"/>
  <c r="B1664" i="48"/>
  <c r="B1663" i="48"/>
  <c r="B1661" i="48"/>
  <c r="B1660" i="48"/>
  <c r="B1659" i="48"/>
  <c r="B1658" i="48"/>
  <c r="B1657" i="48"/>
  <c r="B1656" i="48"/>
  <c r="M1646" i="48"/>
  <c r="J1646" i="48"/>
  <c r="G1646" i="48"/>
  <c r="D1646" i="48"/>
  <c r="B1647" i="48"/>
  <c r="B1646" i="48"/>
  <c r="B1645" i="48"/>
  <c r="B1644" i="48"/>
  <c r="B1643" i="48"/>
  <c r="B1642" i="48"/>
  <c r="B1641" i="48"/>
  <c r="B1640" i="48"/>
  <c r="B1638" i="48"/>
  <c r="B1637" i="48"/>
  <c r="B1636" i="48"/>
  <c r="B1635" i="48"/>
  <c r="B1634" i="48"/>
  <c r="B1630" i="48"/>
  <c r="B1629" i="48"/>
  <c r="B1628" i="48"/>
  <c r="B1625" i="48"/>
  <c r="B1624" i="48"/>
  <c r="B1623" i="48"/>
  <c r="B1622" i="48"/>
  <c r="B1621" i="48"/>
  <c r="B1620" i="48"/>
  <c r="B1619" i="48"/>
  <c r="B1616" i="48"/>
  <c r="B1615" i="48"/>
  <c r="B1614" i="48"/>
  <c r="B1609" i="48"/>
  <c r="B1608" i="48"/>
  <c r="B1607" i="48"/>
  <c r="B1606" i="48"/>
  <c r="B1605" i="48"/>
  <c r="B1604" i="48"/>
  <c r="B1569" i="48"/>
  <c r="B1568" i="48"/>
  <c r="B1567" i="48"/>
  <c r="B1565" i="48"/>
  <c r="B1564" i="48"/>
  <c r="B1563" i="48"/>
  <c r="B1562" i="48"/>
  <c r="B1561" i="48"/>
  <c r="B1560" i="48"/>
  <c r="B1559" i="48"/>
  <c r="B1558" i="48"/>
  <c r="B1557" i="48"/>
  <c r="B1556" i="48"/>
  <c r="B1555" i="48"/>
  <c r="B1554" i="48"/>
  <c r="B1553" i="48"/>
  <c r="B1552" i="48"/>
  <c r="B1551" i="48"/>
  <c r="B1550" i="48"/>
  <c r="B1549" i="48"/>
  <c r="B1548" i="48"/>
  <c r="B1547" i="48"/>
  <c r="B1546" i="48"/>
  <c r="B1545" i="48"/>
  <c r="B1650" i="48"/>
  <c r="B1599" i="48"/>
  <c r="B1598" i="48"/>
  <c r="B1597" i="48"/>
  <c r="B1596" i="48"/>
  <c r="B1595" i="48"/>
  <c r="B1594" i="48"/>
  <c r="B1592" i="48"/>
  <c r="B1591" i="48"/>
  <c r="B1590" i="48"/>
  <c r="B1589" i="48"/>
  <c r="B1588" i="48"/>
  <c r="B1587" i="48"/>
  <c r="B1586" i="48"/>
  <c r="B1585" i="48"/>
  <c r="B1584" i="48"/>
  <c r="B1583" i="48"/>
  <c r="B1582" i="48"/>
  <c r="B1581" i="48"/>
  <c r="B1580" i="48"/>
  <c r="B1579" i="48"/>
  <c r="B1578" i="48"/>
  <c r="B1577" i="48"/>
  <c r="B1576" i="48"/>
  <c r="B1575" i="48"/>
  <c r="B1541" i="48"/>
  <c r="B1540" i="48"/>
  <c r="B1538" i="48"/>
  <c r="B1537" i="48"/>
  <c r="B1536" i="48"/>
  <c r="B1535" i="48"/>
  <c r="B1534" i="48"/>
  <c r="B1533" i="48"/>
  <c r="B1532" i="48"/>
  <c r="B1531" i="48"/>
  <c r="B1530" i="48"/>
  <c r="B1529" i="48"/>
  <c r="B1528" i="48"/>
  <c r="B1527" i="48"/>
  <c r="B1526" i="48"/>
  <c r="B1525" i="48"/>
  <c r="B1524" i="48"/>
  <c r="B1523" i="48"/>
  <c r="B1522" i="48"/>
  <c r="B1517" i="48"/>
  <c r="B1516" i="48"/>
  <c r="B1511" i="48"/>
  <c r="B1510" i="48"/>
  <c r="B1509" i="48"/>
  <c r="B1508" i="48"/>
  <c r="B1507" i="48"/>
  <c r="B1506" i="48"/>
  <c r="B1505" i="48"/>
  <c r="B1504" i="48"/>
  <c r="B1503" i="48"/>
  <c r="B1498" i="48"/>
  <c r="B1492" i="48"/>
  <c r="B1491" i="48"/>
  <c r="B1490" i="48"/>
  <c r="B1489" i="48"/>
  <c r="B1488" i="48"/>
  <c r="B1487" i="48"/>
  <c r="B1486" i="48"/>
  <c r="B1485" i="48"/>
  <c r="B1478" i="48"/>
  <c r="B1474" i="48"/>
  <c r="B1473" i="48"/>
  <c r="B1472" i="48"/>
  <c r="B1469" i="48"/>
  <c r="B1468" i="48"/>
  <c r="B1467" i="48"/>
  <c r="B1466" i="48"/>
  <c r="B1464" i="48"/>
  <c r="B1463" i="48"/>
  <c r="B1462" i="48"/>
  <c r="B1461" i="48"/>
  <c r="B1460" i="48"/>
  <c r="B1459" i="48"/>
  <c r="B1458" i="48"/>
  <c r="B1457" i="48"/>
  <c r="B1373" i="48"/>
  <c r="B1372" i="48"/>
  <c r="B1371" i="48"/>
  <c r="B1345" i="48"/>
  <c r="B1344" i="48"/>
  <c r="B1343" i="48"/>
  <c r="B1342" i="48"/>
  <c r="B1341" i="48"/>
  <c r="B1340" i="48"/>
  <c r="B1339" i="48"/>
  <c r="B1338" i="48"/>
  <c r="B1337" i="48"/>
  <c r="B1336" i="48"/>
  <c r="B1335" i="48"/>
  <c r="B1334" i="48"/>
  <c r="B1333" i="48"/>
  <c r="B1332" i="48"/>
  <c r="B1331" i="48"/>
  <c r="B1330" i="48"/>
  <c r="B1329" i="48"/>
  <c r="B1322" i="48"/>
  <c r="B1320" i="48"/>
  <c r="B1319" i="48"/>
  <c r="B1318" i="48"/>
  <c r="B1317" i="48"/>
  <c r="B1316" i="48"/>
  <c r="B1315" i="48"/>
  <c r="B1312" i="48"/>
  <c r="B1306" i="48"/>
  <c r="B1305" i="48"/>
  <c r="B1304" i="48"/>
  <c r="B1303" i="48"/>
  <c r="B1302" i="48"/>
  <c r="B1301" i="48"/>
  <c r="B1300" i="48"/>
  <c r="B1299" i="48"/>
  <c r="B1291" i="48"/>
  <c r="B1290" i="48"/>
  <c r="B1288" i="48"/>
  <c r="B1287" i="48"/>
  <c r="B1286" i="48"/>
  <c r="B1285" i="48"/>
  <c r="B1249" i="48"/>
  <c r="B1228" i="48"/>
  <c r="B1227" i="48"/>
  <c r="B1226" i="48"/>
  <c r="B1225" i="48"/>
  <c r="B1224" i="48"/>
  <c r="B1223" i="48"/>
  <c r="B1222" i="48"/>
  <c r="B1221" i="48"/>
  <c r="B1220" i="48"/>
  <c r="B1219" i="48"/>
  <c r="B1218" i="48"/>
  <c r="B1217" i="48"/>
  <c r="B1216" i="48"/>
  <c r="B1215" i="48"/>
  <c r="B1214" i="48"/>
  <c r="B1213" i="48"/>
  <c r="B1212" i="48"/>
  <c r="B1211" i="48"/>
  <c r="B1210" i="48"/>
  <c r="B1209" i="48"/>
  <c r="B1208" i="48"/>
  <c r="B1207" i="48"/>
  <c r="B1206" i="48"/>
  <c r="B1200" i="48"/>
  <c r="B1191" i="48"/>
  <c r="B1180" i="48"/>
  <c r="B1179" i="48"/>
  <c r="B1178" i="48"/>
  <c r="B1177" i="48"/>
  <c r="B1172" i="48"/>
  <c r="B1171" i="48"/>
  <c r="B1168" i="48"/>
  <c r="B1167" i="48"/>
  <c r="B1166" i="48"/>
  <c r="B1165" i="48"/>
  <c r="B1164" i="48"/>
  <c r="B1163" i="48"/>
  <c r="B1162" i="48"/>
  <c r="B1157" i="48"/>
  <c r="B1156" i="48"/>
  <c r="B1155" i="48"/>
  <c r="B1154" i="48"/>
  <c r="B1153" i="48"/>
  <c r="B1152" i="48"/>
  <c r="B1151" i="48"/>
  <c r="B1150" i="48"/>
  <c r="B1149" i="48"/>
  <c r="B1148" i="48"/>
  <c r="B1147" i="48"/>
  <c r="B1146" i="48"/>
  <c r="B1145" i="48"/>
  <c r="B1131" i="48"/>
  <c r="B1124" i="48"/>
  <c r="B1123" i="48"/>
  <c r="B1122" i="48"/>
  <c r="B1121" i="48"/>
  <c r="B1120" i="48"/>
  <c r="B1119" i="48"/>
  <c r="B1118" i="48"/>
  <c r="B1089" i="48"/>
  <c r="B1088" i="48"/>
  <c r="B1087" i="48"/>
  <c r="B1086" i="48"/>
  <c r="B1085" i="48"/>
  <c r="B1084" i="48"/>
  <c r="M1071" i="48"/>
  <c r="J1071" i="48"/>
  <c r="G1071" i="48"/>
  <c r="D1071" i="48"/>
  <c r="M1070" i="48"/>
  <c r="J1070" i="48"/>
  <c r="G1070" i="48"/>
  <c r="D1070" i="48"/>
  <c r="M1069" i="48"/>
  <c r="J1069" i="48"/>
  <c r="G1069" i="48"/>
  <c r="D1069" i="48"/>
  <c r="B1071" i="48"/>
  <c r="B1070" i="48"/>
  <c r="B1069" i="48"/>
  <c r="B1068" i="48"/>
  <c r="B1067" i="48"/>
  <c r="B1066" i="48"/>
  <c r="B1065" i="48"/>
  <c r="B1064" i="48"/>
  <c r="B1063" i="48"/>
  <c r="B1061" i="48"/>
  <c r="B1057" i="48"/>
  <c r="B1056" i="48"/>
  <c r="B1055" i="48"/>
  <c r="B1054" i="48"/>
  <c r="B1053" i="48"/>
  <c r="B1050" i="48"/>
  <c r="B1049" i="48"/>
  <c r="B1048" i="48"/>
  <c r="B1047" i="48"/>
  <c r="B1046" i="48"/>
  <c r="B1045" i="48"/>
  <c r="B1044" i="48"/>
  <c r="B1043" i="48"/>
  <c r="B1042" i="48"/>
  <c r="B1041" i="48"/>
  <c r="B1035" i="48"/>
  <c r="B1034" i="48"/>
  <c r="B1033" i="48"/>
  <c r="B1032" i="48"/>
  <c r="B1031" i="48"/>
  <c r="B1030" i="48"/>
  <c r="B1029" i="48"/>
  <c r="B1028" i="48"/>
  <c r="B1026" i="48"/>
  <c r="B1025" i="48"/>
  <c r="B1024" i="48"/>
  <c r="B1023" i="48"/>
  <c r="B1022" i="48"/>
  <c r="B1021" i="48"/>
  <c r="B1020" i="48"/>
  <c r="B1019" i="48"/>
  <c r="B1018" i="48"/>
  <c r="B1017" i="48"/>
  <c r="B1016" i="48"/>
  <c r="B1015" i="48"/>
  <c r="B1014" i="48"/>
  <c r="B1013" i="48"/>
  <c r="B1012" i="48"/>
  <c r="B1011" i="48"/>
  <c r="B1010" i="48"/>
  <c r="B1009" i="48"/>
  <c r="B1008" i="48"/>
  <c r="B1007" i="48"/>
  <c r="B1006" i="48"/>
  <c r="B1005" i="48"/>
  <c r="B1004" i="48"/>
  <c r="B1003" i="48"/>
  <c r="B1002" i="48"/>
  <c r="B1001" i="48"/>
  <c r="B998" i="48"/>
  <c r="B989" i="48"/>
  <c r="B987" i="48"/>
  <c r="B986" i="48"/>
  <c r="B985" i="48"/>
  <c r="B984" i="48"/>
  <c r="B978" i="48"/>
  <c r="B977" i="48"/>
  <c r="B975" i="48"/>
  <c r="B974" i="48"/>
  <c r="B973" i="48"/>
  <c r="B972" i="48"/>
  <c r="B925" i="48"/>
  <c r="B923" i="48"/>
  <c r="B922" i="48"/>
  <c r="B921" i="48"/>
  <c r="B920" i="48"/>
  <c r="B919" i="48"/>
  <c r="B918" i="48"/>
  <c r="B966" i="48"/>
  <c r="B965" i="48"/>
  <c r="B964" i="48"/>
  <c r="B963" i="48"/>
  <c r="B962" i="48"/>
  <c r="B961" i="48"/>
  <c r="B960" i="48"/>
  <c r="B959" i="48"/>
  <c r="B958" i="48"/>
  <c r="B957" i="48"/>
  <c r="B956" i="48"/>
  <c r="B955" i="48"/>
  <c r="B954" i="48"/>
  <c r="B953" i="48"/>
  <c r="B952" i="48"/>
  <c r="B951" i="48"/>
  <c r="B950" i="48"/>
  <c r="B949" i="48"/>
  <c r="B948" i="48"/>
  <c r="B947" i="48"/>
  <c r="B946" i="48"/>
  <c r="B945" i="48"/>
  <c r="B944" i="48"/>
  <c r="B943" i="48"/>
  <c r="B942" i="48"/>
  <c r="B941" i="48"/>
  <c r="B914" i="48"/>
  <c r="B913" i="48"/>
  <c r="B912" i="48"/>
  <c r="B907" i="48"/>
  <c r="B906" i="48"/>
  <c r="B905" i="48"/>
  <c r="B904" i="48"/>
  <c r="B903" i="48"/>
  <c r="B902" i="48"/>
  <c r="B901" i="48"/>
  <c r="B900" i="48"/>
  <c r="B899" i="48"/>
  <c r="B898" i="48"/>
  <c r="B897" i="48"/>
  <c r="B896" i="48"/>
  <c r="B895" i="48"/>
  <c r="B894" i="48"/>
  <c r="B893" i="48"/>
  <c r="B892" i="48"/>
  <c r="B891" i="48"/>
  <c r="B890" i="48"/>
  <c r="B889" i="48"/>
  <c r="B884" i="48"/>
  <c r="B882" i="48"/>
  <c r="B881" i="48"/>
  <c r="B866" i="48"/>
  <c r="B865" i="48"/>
  <c r="B864" i="48"/>
  <c r="B863" i="48"/>
  <c r="B861" i="48"/>
  <c r="B855" i="48"/>
  <c r="B854" i="48"/>
  <c r="B852" i="48"/>
  <c r="B851" i="48"/>
  <c r="B850" i="48"/>
  <c r="B849" i="48"/>
  <c r="B753" i="48"/>
  <c r="B748" i="48"/>
  <c r="B747" i="48"/>
  <c r="B746" i="48"/>
  <c r="B745" i="48"/>
  <c r="B744" i="48"/>
  <c r="B743" i="48"/>
  <c r="B742" i="48"/>
  <c r="B741" i="48"/>
  <c r="B740" i="48"/>
  <c r="B739" i="48"/>
  <c r="B738" i="48"/>
  <c r="B737" i="48"/>
  <c r="B736" i="48"/>
  <c r="B735" i="48"/>
  <c r="B734" i="48"/>
  <c r="B733" i="48"/>
  <c r="B732" i="48"/>
  <c r="B731" i="48"/>
  <c r="B730" i="48"/>
  <c r="B729" i="48"/>
  <c r="B728" i="48"/>
  <c r="B727" i="48"/>
  <c r="B726" i="48"/>
  <c r="B725" i="48"/>
  <c r="B724" i="48"/>
  <c r="B723" i="48"/>
  <c r="B836" i="48"/>
  <c r="B831" i="48"/>
  <c r="B830" i="48"/>
  <c r="B829" i="48"/>
  <c r="B828" i="48"/>
  <c r="B827" i="48"/>
  <c r="B826" i="48"/>
  <c r="B825" i="48"/>
  <c r="B824" i="48"/>
  <c r="B823" i="48"/>
  <c r="B822" i="48"/>
  <c r="B818" i="48"/>
  <c r="B817" i="48"/>
  <c r="B816" i="48"/>
  <c r="B815" i="48"/>
  <c r="B814" i="48"/>
  <c r="B813" i="48"/>
  <c r="B812" i="48"/>
  <c r="B811" i="48"/>
  <c r="B810" i="48"/>
  <c r="B809" i="48"/>
  <c r="B808" i="48"/>
  <c r="B807" i="48"/>
  <c r="B806" i="48"/>
  <c r="B805" i="48"/>
  <c r="B804" i="48"/>
  <c r="B803" i="48"/>
  <c r="B802" i="48"/>
  <c r="B801" i="48"/>
  <c r="B800" i="48"/>
  <c r="B799" i="48"/>
  <c r="B798" i="48"/>
  <c r="B797" i="48"/>
  <c r="B796" i="48"/>
  <c r="B792" i="48"/>
  <c r="B791" i="48"/>
  <c r="B790" i="48"/>
  <c r="B789" i="48"/>
  <c r="B787" i="48"/>
  <c r="B786" i="48"/>
  <c r="B785" i="48"/>
  <c r="B784" i="48"/>
  <c r="B783" i="48"/>
  <c r="B705" i="48"/>
  <c r="B703" i="48"/>
  <c r="B702" i="48"/>
  <c r="B701" i="48"/>
  <c r="B700" i="48"/>
  <c r="B697" i="48"/>
  <c r="B696" i="48"/>
  <c r="B695" i="48"/>
  <c r="B694" i="48"/>
  <c r="B693" i="48"/>
  <c r="B692" i="48"/>
  <c r="B691" i="48"/>
  <c r="B690" i="48"/>
  <c r="B689" i="48"/>
  <c r="B688" i="48"/>
  <c r="B687" i="48"/>
  <c r="B686" i="48"/>
  <c r="B685" i="48"/>
  <c r="B684" i="48"/>
  <c r="B683" i="48"/>
  <c r="B682" i="48"/>
  <c r="B680" i="48"/>
  <c r="B679" i="48"/>
  <c r="B678" i="48"/>
  <c r="B677" i="48"/>
  <c r="B670" i="48"/>
  <c r="B669" i="48"/>
  <c r="B668" i="48"/>
  <c r="B667" i="48"/>
  <c r="B666" i="48"/>
  <c r="B665" i="48"/>
  <c r="B664" i="48"/>
  <c r="B662" i="48"/>
  <c r="B661" i="48"/>
  <c r="B660" i="48"/>
  <c r="B659" i="48"/>
  <c r="B658" i="48"/>
  <c r="B657" i="48"/>
  <c r="B656" i="48"/>
  <c r="B655" i="48"/>
  <c r="B654" i="48"/>
  <c r="B652" i="48"/>
  <c r="B651" i="48"/>
  <c r="B650" i="48"/>
  <c r="B649" i="48"/>
  <c r="B648" i="48"/>
  <c r="B647" i="48"/>
  <c r="B646" i="48"/>
  <c r="B645" i="48"/>
  <c r="B644" i="48"/>
  <c r="B643" i="48"/>
  <c r="B642" i="48"/>
  <c r="B641" i="48"/>
  <c r="B640" i="48"/>
  <c r="B639" i="48"/>
  <c r="B638" i="48"/>
  <c r="B633" i="48"/>
  <c r="B632" i="48"/>
  <c r="B614" i="48"/>
  <c r="B613" i="48"/>
  <c r="B612" i="48"/>
  <c r="B611" i="48"/>
  <c r="B610" i="48"/>
  <c r="B609" i="48"/>
  <c r="B608" i="48"/>
  <c r="B607" i="48"/>
  <c r="B606" i="48"/>
  <c r="B605" i="48"/>
  <c r="B597" i="48"/>
  <c r="B595" i="48"/>
  <c r="B594" i="48"/>
  <c r="B593" i="48"/>
  <c r="B587" i="48"/>
  <c r="B586" i="48"/>
  <c r="B585" i="48"/>
  <c r="B584" i="48"/>
  <c r="B583" i="48"/>
  <c r="B582" i="48"/>
  <c r="B581" i="48"/>
  <c r="B580" i="48"/>
  <c r="B579" i="48"/>
  <c r="B571" i="48"/>
  <c r="B542" i="48"/>
  <c r="B494" i="48"/>
  <c r="B491" i="48"/>
  <c r="B489" i="48"/>
  <c r="B488" i="48"/>
  <c r="B487" i="48"/>
  <c r="B486" i="48"/>
  <c r="B485" i="48"/>
  <c r="B484" i="48"/>
  <c r="B483" i="48"/>
  <c r="B482" i="48"/>
  <c r="B481" i="48"/>
  <c r="B480" i="48"/>
  <c r="B479" i="48"/>
  <c r="B478" i="48"/>
  <c r="B474" i="48"/>
  <c r="B473" i="48"/>
  <c r="B528" i="48"/>
  <c r="B527" i="48"/>
  <c r="B526" i="48"/>
  <c r="B525" i="48"/>
  <c r="B524" i="48"/>
  <c r="B523" i="48"/>
  <c r="B522" i="48"/>
  <c r="B518" i="48"/>
  <c r="B517" i="48"/>
  <c r="B511" i="48"/>
  <c r="B468" i="48"/>
  <c r="B462" i="48"/>
  <c r="B461" i="48"/>
  <c r="B460" i="48"/>
  <c r="B459" i="48"/>
  <c r="B458" i="48"/>
  <c r="B457" i="48"/>
  <c r="B456" i="48"/>
  <c r="B455" i="48"/>
  <c r="B454" i="48"/>
  <c r="B453" i="48"/>
  <c r="B446" i="48"/>
  <c r="B445" i="48"/>
  <c r="B444" i="48"/>
  <c r="B439" i="48"/>
  <c r="B438" i="48"/>
  <c r="B437" i="48"/>
  <c r="B436" i="48"/>
  <c r="B435" i="48"/>
  <c r="B434" i="48"/>
  <c r="B433" i="48"/>
  <c r="B432" i="48"/>
  <c r="B431" i="48"/>
  <c r="B430" i="48"/>
  <c r="B429" i="48"/>
  <c r="B428" i="48"/>
  <c r="B427" i="48"/>
  <c r="B426" i="48"/>
  <c r="B425" i="48"/>
  <c r="B424" i="48"/>
  <c r="B423" i="48"/>
  <c r="B416" i="48"/>
  <c r="B415" i="48"/>
  <c r="B414" i="48"/>
  <c r="B412" i="48"/>
  <c r="B411" i="48"/>
  <c r="B410" i="48"/>
  <c r="B406" i="48"/>
  <c r="B404" i="48"/>
  <c r="B400" i="48"/>
  <c r="B399" i="48"/>
  <c r="B398" i="48"/>
  <c r="B397" i="48"/>
  <c r="B396" i="48"/>
  <c r="B395" i="48"/>
  <c r="B394" i="48"/>
  <c r="B393" i="48"/>
  <c r="B392" i="48"/>
  <c r="B390" i="48"/>
  <c r="B388" i="48"/>
  <c r="B383" i="48"/>
  <c r="B382" i="48"/>
  <c r="B381" i="48"/>
  <c r="B379" i="48"/>
  <c r="B374" i="48"/>
  <c r="B372" i="48"/>
  <c r="B371" i="48"/>
  <c r="B274" i="48"/>
  <c r="B272" i="48"/>
  <c r="B271" i="48"/>
  <c r="B269" i="48"/>
  <c r="B268" i="48"/>
  <c r="B267" i="48"/>
  <c r="B266" i="48"/>
  <c r="B265" i="48"/>
  <c r="B264" i="48"/>
  <c r="B263" i="48"/>
  <c r="B262" i="48"/>
  <c r="B261" i="48"/>
  <c r="B260" i="48"/>
  <c r="B259" i="48"/>
  <c r="B258" i="48"/>
  <c r="B257" i="48"/>
  <c r="B256" i="48"/>
  <c r="B255" i="48"/>
  <c r="B254" i="48"/>
  <c r="B253" i="48"/>
  <c r="B252" i="48"/>
  <c r="B251" i="48"/>
  <c r="B250" i="48"/>
  <c r="B249" i="48"/>
  <c r="B248" i="48"/>
  <c r="B243" i="48"/>
  <c r="B241" i="48"/>
  <c r="B240" i="48"/>
  <c r="B239" i="48"/>
  <c r="B238" i="48"/>
  <c r="B237" i="48"/>
  <c r="B235" i="48"/>
  <c r="B234" i="48"/>
  <c r="B233" i="48"/>
  <c r="B232" i="48"/>
  <c r="B231" i="48"/>
  <c r="B230" i="48"/>
  <c r="B229" i="48"/>
  <c r="B228" i="48"/>
  <c r="B227" i="48"/>
  <c r="B226" i="48"/>
  <c r="B225" i="48"/>
  <c r="B224" i="48"/>
  <c r="B223" i="48"/>
  <c r="B222" i="48"/>
  <c r="B221" i="48"/>
  <c r="B220" i="48"/>
  <c r="B219" i="48"/>
  <c r="B218" i="48"/>
  <c r="B217" i="48"/>
  <c r="B216" i="48"/>
  <c r="B215" i="48"/>
  <c r="B214" i="48"/>
  <c r="B213" i="48"/>
  <c r="B212" i="48"/>
  <c r="B211" i="48"/>
  <c r="B210" i="48"/>
  <c r="B209" i="48"/>
  <c r="B208" i="48"/>
  <c r="B207" i="48"/>
  <c r="B206" i="48"/>
  <c r="B205" i="48"/>
  <c r="B204" i="48"/>
  <c r="B203" i="48"/>
  <c r="B202" i="48"/>
  <c r="B360" i="48"/>
  <c r="B359" i="48"/>
  <c r="B357" i="48"/>
  <c r="B356" i="48"/>
  <c r="B355" i="48"/>
  <c r="B354" i="48"/>
  <c r="B353" i="48"/>
  <c r="B349" i="48"/>
  <c r="B344" i="48"/>
  <c r="B343" i="48"/>
  <c r="B342" i="48"/>
  <c r="B340" i="48"/>
  <c r="B339" i="48"/>
  <c r="B338" i="48"/>
  <c r="B337" i="48"/>
  <c r="B336" i="48"/>
  <c r="B335" i="48"/>
  <c r="B334" i="48"/>
  <c r="B333" i="48"/>
  <c r="B332" i="48"/>
  <c r="B331" i="48"/>
  <c r="B330" i="48"/>
  <c r="B329" i="48"/>
  <c r="B324" i="48"/>
  <c r="B323" i="48"/>
  <c r="B322" i="48"/>
  <c r="B321" i="48"/>
  <c r="B320" i="48"/>
  <c r="B319" i="48"/>
  <c r="B318" i="48"/>
  <c r="B317" i="48"/>
  <c r="B316" i="48"/>
  <c r="B310" i="48"/>
  <c r="B309" i="48"/>
  <c r="B305" i="48"/>
  <c r="B304" i="48"/>
  <c r="B303" i="48"/>
  <c r="B302" i="48"/>
  <c r="B298" i="48"/>
  <c r="B297" i="48"/>
  <c r="B296" i="48"/>
  <c r="B295" i="48"/>
  <c r="B294" i="48"/>
  <c r="B293" i="48"/>
  <c r="B292" i="48"/>
  <c r="B291" i="48"/>
  <c r="B290" i="48"/>
  <c r="B289" i="48"/>
  <c r="B286" i="48"/>
  <c r="B284" i="48"/>
  <c r="B283" i="48"/>
  <c r="B282" i="48"/>
  <c r="B281" i="48"/>
  <c r="B280" i="48"/>
  <c r="B194" i="48"/>
  <c r="B193" i="48"/>
  <c r="B192" i="48"/>
  <c r="B191" i="48"/>
  <c r="B190" i="48"/>
  <c r="B189" i="48"/>
  <c r="B188" i="48"/>
  <c r="B185" i="48"/>
  <c r="B184" i="48"/>
  <c r="B183" i="48"/>
  <c r="B182" i="48"/>
  <c r="B181" i="48"/>
  <c r="B177" i="48"/>
  <c r="B176" i="48"/>
  <c r="B174" i="48"/>
  <c r="B173" i="48"/>
  <c r="B172" i="48"/>
  <c r="B171" i="48"/>
  <c r="B166" i="48"/>
  <c r="B165" i="48"/>
  <c r="B164" i="48"/>
  <c r="B163" i="48"/>
  <c r="B160" i="48"/>
  <c r="B159" i="48"/>
  <c r="B158" i="48"/>
  <c r="B155" i="48"/>
  <c r="B154" i="48"/>
  <c r="B153" i="48"/>
  <c r="B152" i="48"/>
  <c r="B148" i="48"/>
  <c r="B147" i="48"/>
  <c r="B146" i="48"/>
  <c r="B145" i="48"/>
  <c r="B141" i="48"/>
  <c r="B140" i="48"/>
  <c r="B139" i="48"/>
  <c r="B138" i="48"/>
  <c r="B137" i="48"/>
  <c r="B136" i="48"/>
  <c r="B133" i="48"/>
  <c r="B132" i="48"/>
  <c r="M124" i="48"/>
  <c r="J124" i="48"/>
  <c r="G124" i="48"/>
  <c r="D124" i="48"/>
  <c r="B128" i="48"/>
  <c r="B127" i="48"/>
  <c r="B126" i="48"/>
  <c r="B125" i="48"/>
  <c r="B124" i="48"/>
  <c r="B123" i="48"/>
  <c r="B122" i="48"/>
  <c r="B121" i="48"/>
  <c r="B120" i="48"/>
  <c r="B118" i="48"/>
  <c r="B117" i="48"/>
  <c r="B116" i="48"/>
  <c r="B114" i="48"/>
  <c r="B113" i="48"/>
  <c r="B112" i="48"/>
  <c r="B111" i="48"/>
  <c r="B110" i="48"/>
  <c r="B109" i="48"/>
  <c r="B104" i="48"/>
  <c r="B103" i="48"/>
  <c r="B92" i="48"/>
  <c r="B91" i="48"/>
  <c r="B90" i="48"/>
  <c r="B89" i="48"/>
  <c r="B88" i="48"/>
  <c r="B101" i="48"/>
  <c r="B100" i="48"/>
  <c r="B99" i="48"/>
  <c r="B95" i="48"/>
  <c r="B87" i="48"/>
  <c r="B85" i="48"/>
  <c r="B84" i="48"/>
  <c r="B83" i="48"/>
  <c r="B82" i="48"/>
  <c r="D1706" i="48"/>
  <c r="P1706" i="48" s="1"/>
  <c r="AT1079" i="21"/>
  <c r="AT1714" i="21"/>
  <c r="L1715" i="21"/>
  <c r="O1715" i="21"/>
  <c r="N1715" i="21" s="1"/>
  <c r="R1715" i="21"/>
  <c r="Q1715" i="21" s="1"/>
  <c r="U1715" i="21"/>
  <c r="X1715" i="21"/>
  <c r="AA1715" i="21"/>
  <c r="Z1715" i="21" s="1"/>
  <c r="AD1715" i="21"/>
  <c r="AC1715" i="21" s="1"/>
  <c r="AG1715" i="21"/>
  <c r="AF1715" i="21" s="1"/>
  <c r="AJ1715" i="21"/>
  <c r="AM1715" i="21"/>
  <c r="AP1715" i="21"/>
  <c r="AO1715" i="21" s="1"/>
  <c r="AT1655" i="21"/>
  <c r="O77" i="45"/>
  <c r="N77" i="45"/>
  <c r="M77" i="45"/>
  <c r="L77" i="45"/>
  <c r="K77" i="45"/>
  <c r="J77" i="45"/>
  <c r="I77" i="45"/>
  <c r="H77" i="45"/>
  <c r="G77" i="45"/>
  <c r="F77" i="45"/>
  <c r="E77" i="45"/>
  <c r="D77" i="45"/>
  <c r="P79" i="45"/>
  <c r="P78" i="45"/>
  <c r="P67" i="45"/>
  <c r="P76" i="45"/>
  <c r="P68" i="45"/>
  <c r="P74" i="45"/>
  <c r="P69" i="45"/>
  <c r="P71" i="45"/>
  <c r="P75" i="45"/>
  <c r="P72" i="45"/>
  <c r="P70" i="45"/>
  <c r="P73" i="45"/>
  <c r="P66" i="45"/>
  <c r="P65" i="45"/>
  <c r="AR945" i="21"/>
  <c r="AO945" i="21"/>
  <c r="K945" i="21"/>
  <c r="N945" i="21"/>
  <c r="AQ570" i="21"/>
  <c r="AN570" i="21"/>
  <c r="AK570" i="21"/>
  <c r="AH570" i="21"/>
  <c r="AE570" i="21"/>
  <c r="AB570" i="21"/>
  <c r="Y570" i="21"/>
  <c r="V570" i="21"/>
  <c r="S570" i="21"/>
  <c r="P570" i="21"/>
  <c r="M570" i="21"/>
  <c r="J570" i="21"/>
  <c r="AQ569" i="21"/>
  <c r="AN569" i="21"/>
  <c r="AK569" i="21"/>
  <c r="AH569" i="21"/>
  <c r="AE569" i="21"/>
  <c r="AB569" i="21"/>
  <c r="Y569" i="21"/>
  <c r="V569" i="21"/>
  <c r="S569" i="21"/>
  <c r="P569" i="21"/>
  <c r="M569" i="21"/>
  <c r="J569" i="21"/>
  <c r="AT511" i="21"/>
  <c r="AT508" i="21"/>
  <c r="AT507" i="21"/>
  <c r="AT506" i="21"/>
  <c r="AQ470" i="21"/>
  <c r="AQ459" i="21" s="1"/>
  <c r="AQ373" i="21" s="1"/>
  <c r="AN470" i="21"/>
  <c r="AN459" i="21" s="1"/>
  <c r="AQ327" i="21"/>
  <c r="AN327" i="21"/>
  <c r="AK327" i="21"/>
  <c r="AH327" i="21"/>
  <c r="AE327" i="21"/>
  <c r="AB327" i="21"/>
  <c r="Y327" i="21"/>
  <c r="V327" i="21"/>
  <c r="S327" i="21"/>
  <c r="P327" i="21"/>
  <c r="M327" i="21"/>
  <c r="J327" i="21"/>
  <c r="AQ326" i="21"/>
  <c r="AN326" i="21"/>
  <c r="AK326" i="21"/>
  <c r="AH326" i="21"/>
  <c r="AE326" i="21"/>
  <c r="AB326" i="21"/>
  <c r="Y326" i="21"/>
  <c r="V326" i="21"/>
  <c r="S326" i="21"/>
  <c r="P326" i="21"/>
  <c r="M326" i="21"/>
  <c r="J326" i="21"/>
  <c r="AQ310" i="21"/>
  <c r="AN310" i="21"/>
  <c r="AK310" i="21"/>
  <c r="AK309" i="21" s="1"/>
  <c r="AH310" i="21"/>
  <c r="AE310" i="21"/>
  <c r="AB310" i="21"/>
  <c r="AB307" i="21" s="1"/>
  <c r="Y310" i="21"/>
  <c r="V310" i="21"/>
  <c r="V309" i="21" s="1"/>
  <c r="S310" i="21"/>
  <c r="S307" i="21" s="1"/>
  <c r="P310" i="21"/>
  <c r="P309" i="21" s="1"/>
  <c r="M310" i="21"/>
  <c r="M309" i="21" s="1"/>
  <c r="J310" i="21"/>
  <c r="J309" i="21" s="1"/>
  <c r="AQ179" i="21"/>
  <c r="AN179" i="21"/>
  <c r="AN177" i="21" s="1"/>
  <c r="AK179" i="21"/>
  <c r="AK177" i="21" s="1"/>
  <c r="AH179" i="21"/>
  <c r="AH177" i="21" s="1"/>
  <c r="AE179" i="21"/>
  <c r="AE177" i="21" s="1"/>
  <c r="AB179" i="21"/>
  <c r="Y179" i="21"/>
  <c r="Y177" i="21" s="1"/>
  <c r="V179" i="21"/>
  <c r="V177" i="21" s="1"/>
  <c r="S179" i="21"/>
  <c r="P179" i="21"/>
  <c r="P177" i="21" s="1"/>
  <c r="M179" i="21"/>
  <c r="M177" i="21" s="1"/>
  <c r="J179" i="21"/>
  <c r="J177" i="21" s="1"/>
  <c r="AQ142" i="21"/>
  <c r="AN142" i="21"/>
  <c r="AK142" i="21"/>
  <c r="AH142" i="21"/>
  <c r="AE142" i="21"/>
  <c r="AB142" i="21"/>
  <c r="Y142" i="21"/>
  <c r="V142" i="21"/>
  <c r="S142" i="21"/>
  <c r="P142" i="21"/>
  <c r="M142" i="21"/>
  <c r="J142" i="21"/>
  <c r="AQ140" i="21"/>
  <c r="AN140" i="21"/>
  <c r="AK140" i="21"/>
  <c r="AH140" i="21"/>
  <c r="AE140" i="21"/>
  <c r="AB140" i="21"/>
  <c r="Y140" i="21"/>
  <c r="V140" i="21"/>
  <c r="S140" i="21"/>
  <c r="P140" i="21"/>
  <c r="M140" i="21"/>
  <c r="J140" i="21"/>
  <c r="V151" i="21"/>
  <c r="V150" i="21" s="1"/>
  <c r="L137" i="21"/>
  <c r="O137" i="21"/>
  <c r="R137" i="21"/>
  <c r="U137" i="21"/>
  <c r="X137" i="21"/>
  <c r="AA137" i="21"/>
  <c r="AD137" i="21"/>
  <c r="AG137" i="21"/>
  <c r="AJ137" i="21"/>
  <c r="AM137" i="21"/>
  <c r="AP137" i="21"/>
  <c r="AT132" i="21"/>
  <c r="D542" i="48"/>
  <c r="P824" i="21"/>
  <c r="M457" i="21"/>
  <c r="AT1625" i="21"/>
  <c r="AE1611" i="21"/>
  <c r="AB1631" i="21"/>
  <c r="AQ1595" i="21"/>
  <c r="AN816" i="21"/>
  <c r="S816" i="21"/>
  <c r="G638" i="48"/>
  <c r="M587" i="48"/>
  <c r="N48" i="44"/>
  <c r="G10" i="44"/>
  <c r="I10" i="44"/>
  <c r="J12" i="44"/>
  <c r="J14" i="44"/>
  <c r="E13" i="44"/>
  <c r="F22" i="44"/>
  <c r="M813" i="48"/>
  <c r="M1120" i="48"/>
  <c r="AQ1570" i="21"/>
  <c r="AQ1564" i="21"/>
  <c r="AQ1591" i="21"/>
  <c r="AT1236" i="21"/>
  <c r="AQ747" i="21"/>
  <c r="AQ744" i="21"/>
  <c r="AQ740" i="21"/>
  <c r="AQ736" i="21"/>
  <c r="M489" i="48"/>
  <c r="M488" i="48"/>
  <c r="AQ487" i="21"/>
  <c r="AQ532" i="21"/>
  <c r="AQ529" i="21" s="1"/>
  <c r="M512" i="48"/>
  <c r="M438" i="48"/>
  <c r="AQ444" i="21"/>
  <c r="AQ435" i="21"/>
  <c r="AQ269" i="21"/>
  <c r="AQ266" i="21"/>
  <c r="AN666" i="21"/>
  <c r="M809" i="48"/>
  <c r="AN232" i="21"/>
  <c r="AN269" i="21"/>
  <c r="AN238" i="21"/>
  <c r="AN228" i="21"/>
  <c r="AN222" i="21"/>
  <c r="AN212" i="21"/>
  <c r="AN1570" i="21"/>
  <c r="AN1567" i="21"/>
  <c r="AN1564" i="21"/>
  <c r="AN1466" i="21"/>
  <c r="M1085" i="48"/>
  <c r="AT1016" i="21"/>
  <c r="AN990" i="21"/>
  <c r="AN444" i="21"/>
  <c r="AN441" i="21"/>
  <c r="AN435" i="21"/>
  <c r="AN417" i="21"/>
  <c r="AN403" i="21"/>
  <c r="AN244" i="21"/>
  <c r="AN209" i="21" s="1"/>
  <c r="AK1339" i="21"/>
  <c r="AK1215" i="21"/>
  <c r="AK232" i="21"/>
  <c r="M165" i="48"/>
  <c r="M101" i="48"/>
  <c r="AK417" i="21"/>
  <c r="AK378" i="21"/>
  <c r="M434" i="48"/>
  <c r="J398" i="48"/>
  <c r="Y824" i="21"/>
  <c r="Y820" i="21"/>
  <c r="V824" i="21"/>
  <c r="G684" i="48"/>
  <c r="S824" i="21"/>
  <c r="P816" i="21"/>
  <c r="M984" i="48"/>
  <c r="M981" i="48" s="1"/>
  <c r="AK981" i="21"/>
  <c r="AK979" i="21" s="1"/>
  <c r="M922" i="48"/>
  <c r="AK1595" i="21"/>
  <c r="M1606" i="48"/>
  <c r="AK950" i="21"/>
  <c r="AK947" i="21" s="1"/>
  <c r="G11" i="38"/>
  <c r="M1553" i="48"/>
  <c r="M1562" i="48"/>
  <c r="M1491" i="48"/>
  <c r="AB300" i="21"/>
  <c r="J388" i="48"/>
  <c r="AH322" i="21"/>
  <c r="AH300" i="21"/>
  <c r="AH1123" i="21"/>
  <c r="J659" i="48"/>
  <c r="J1458" i="48"/>
  <c r="J1460" i="48"/>
  <c r="J1459" i="48"/>
  <c r="AE517" i="21"/>
  <c r="AE403" i="21"/>
  <c r="AE378" i="21"/>
  <c r="J922" i="48"/>
  <c r="J921" i="48"/>
  <c r="J1012" i="48"/>
  <c r="AE1631" i="21"/>
  <c r="J457" i="48"/>
  <c r="J438" i="48"/>
  <c r="J511" i="48"/>
  <c r="J329" i="48"/>
  <c r="J280" i="48"/>
  <c r="AB176" i="21"/>
  <c r="J141" i="48"/>
  <c r="J137" i="48"/>
  <c r="J101" i="48"/>
  <c r="J1010" i="48"/>
  <c r="AB1011" i="21"/>
  <c r="J849" i="48"/>
  <c r="J850" i="48"/>
  <c r="J1553" i="48"/>
  <c r="J1606" i="48"/>
  <c r="J1588" i="48"/>
  <c r="Y147" i="21"/>
  <c r="G525" i="48"/>
  <c r="Y417" i="21"/>
  <c r="G1120" i="48"/>
  <c r="G1088" i="48"/>
  <c r="G1024" i="48"/>
  <c r="G1009" i="48"/>
  <c r="G489" i="48"/>
  <c r="G219" i="48"/>
  <c r="G802" i="48"/>
  <c r="G1208" i="48"/>
  <c r="G1637" i="48"/>
  <c r="G1635" i="48"/>
  <c r="V1631" i="21"/>
  <c r="G542" i="48"/>
  <c r="G921" i="48"/>
  <c r="G919" i="48"/>
  <c r="S487" i="21"/>
  <c r="G512" i="48"/>
  <c r="G438" i="48"/>
  <c r="S441" i="21"/>
  <c r="S417" i="21"/>
  <c r="G291" i="48"/>
  <c r="S228" i="21"/>
  <c r="G203" i="48"/>
  <c r="S1339" i="21"/>
  <c r="G1119" i="48"/>
  <c r="G263" i="48"/>
  <c r="G353" i="48"/>
  <c r="G336" i="48"/>
  <c r="G334" i="48"/>
  <c r="S315" i="21"/>
  <c r="G1551" i="48"/>
  <c r="G1587" i="48"/>
  <c r="G1463" i="48"/>
  <c r="G1458" i="48"/>
  <c r="P495" i="21"/>
  <c r="D399" i="48"/>
  <c r="P266" i="21"/>
  <c r="AT362" i="21"/>
  <c r="P346" i="21"/>
  <c r="D332" i="48"/>
  <c r="AT180" i="21"/>
  <c r="P1123" i="21"/>
  <c r="D1298" i="48"/>
  <c r="AT1633" i="21"/>
  <c r="D1604" i="48"/>
  <c r="M1123" i="21"/>
  <c r="D1577" i="48"/>
  <c r="D1460" i="48"/>
  <c r="M1062" i="21"/>
  <c r="J1299" i="21"/>
  <c r="J1289" i="21" s="1"/>
  <c r="D388" i="48"/>
  <c r="J385" i="21"/>
  <c r="J266" i="21"/>
  <c r="D207" i="48"/>
  <c r="D257" i="48"/>
  <c r="D252" i="48"/>
  <c r="AT363" i="21"/>
  <c r="D321" i="48"/>
  <c r="AT312" i="21"/>
  <c r="D298" i="48"/>
  <c r="D280" i="48"/>
  <c r="D146" i="48"/>
  <c r="D141" i="48"/>
  <c r="J1123" i="21"/>
  <c r="AT92" i="21"/>
  <c r="AT559" i="21"/>
  <c r="AT692" i="21"/>
  <c r="J339" i="21"/>
  <c r="J1631" i="21"/>
  <c r="J981" i="21"/>
  <c r="J979" i="21" s="1"/>
  <c r="M237" i="48"/>
  <c r="M238" i="48"/>
  <c r="M239" i="48"/>
  <c r="M240" i="48"/>
  <c r="M241" i="48"/>
  <c r="M243" i="48"/>
  <c r="M1212" i="48"/>
  <c r="D140" i="48"/>
  <c r="D155" i="48"/>
  <c r="D174" i="48"/>
  <c r="D305" i="48"/>
  <c r="D331" i="48"/>
  <c r="G743" i="48"/>
  <c r="G658" i="48"/>
  <c r="G801" i="48"/>
  <c r="G984" i="48"/>
  <c r="G981" i="48" s="1"/>
  <c r="G303" i="48"/>
  <c r="G100" i="48"/>
  <c r="J744" i="48"/>
  <c r="J728" i="48"/>
  <c r="J100" i="48"/>
  <c r="J212" i="48"/>
  <c r="J226" i="48"/>
  <c r="J1552" i="48"/>
  <c r="J1560" i="48"/>
  <c r="M734" i="48"/>
  <c r="M724" i="48"/>
  <c r="M728" i="48"/>
  <c r="M736" i="48"/>
  <c r="M737" i="48"/>
  <c r="M739" i="48"/>
  <c r="M740" i="48"/>
  <c r="M741" i="48"/>
  <c r="M746" i="48"/>
  <c r="M747" i="48"/>
  <c r="M748" i="48"/>
  <c r="M595" i="48"/>
  <c r="M787" i="48"/>
  <c r="M303" i="48"/>
  <c r="M206" i="48"/>
  <c r="M202" i="48"/>
  <c r="M203" i="48"/>
  <c r="M219" i="48"/>
  <c r="M223" i="48"/>
  <c r="M227" i="48"/>
  <c r="M228" i="48"/>
  <c r="M229" i="48"/>
  <c r="M231" i="48"/>
  <c r="M232" i="48"/>
  <c r="M233" i="48"/>
  <c r="M234" i="48"/>
  <c r="M235" i="48"/>
  <c r="M260" i="48"/>
  <c r="M262" i="48"/>
  <c r="M248" i="48"/>
  <c r="M249" i="48"/>
  <c r="M250" i="48"/>
  <c r="M251" i="48"/>
  <c r="M252" i="48"/>
  <c r="M433" i="48"/>
  <c r="M427" i="48"/>
  <c r="M428" i="48"/>
  <c r="M429" i="48"/>
  <c r="M430" i="48"/>
  <c r="M436" i="48"/>
  <c r="M524" i="48"/>
  <c r="M453" i="48"/>
  <c r="M454" i="48"/>
  <c r="M456" i="48"/>
  <c r="M459" i="48"/>
  <c r="M460" i="48"/>
  <c r="M411" i="48"/>
  <c r="M412" i="48"/>
  <c r="M1462" i="48"/>
  <c r="M1464" i="48"/>
  <c r="M1489" i="48"/>
  <c r="M1530" i="48"/>
  <c r="M1531" i="48"/>
  <c r="M1532" i="48"/>
  <c r="M1533" i="48"/>
  <c r="M1534" i="48"/>
  <c r="M1588" i="48"/>
  <c r="M1589" i="48"/>
  <c r="M1578" i="48"/>
  <c r="M1583" i="48"/>
  <c r="M1584" i="48"/>
  <c r="M1547" i="48"/>
  <c r="M1548" i="48"/>
  <c r="M1563" i="48"/>
  <c r="M1554" i="48"/>
  <c r="M1556" i="48"/>
  <c r="M1557" i="48"/>
  <c r="M1564" i="48"/>
  <c r="M918" i="48"/>
  <c r="M920" i="48"/>
  <c r="M923" i="48"/>
  <c r="M1014" i="48"/>
  <c r="M1006" i="48"/>
  <c r="M1017" i="48"/>
  <c r="M1026" i="48"/>
  <c r="M1056" i="48"/>
  <c r="M1061" i="48"/>
  <c r="M849" i="48"/>
  <c r="M1216" i="48"/>
  <c r="M1217" i="48"/>
  <c r="M1218" i="48"/>
  <c r="M1219" i="48"/>
  <c r="M1220" i="48"/>
  <c r="M1221" i="48"/>
  <c r="M1222" i="48"/>
  <c r="M1332" i="48"/>
  <c r="M1333" i="48"/>
  <c r="M1334" i="48"/>
  <c r="M1335" i="48"/>
  <c r="M1089" i="48"/>
  <c r="M1440" i="48"/>
  <c r="M1443" i="48"/>
  <c r="M1439" i="48" s="1"/>
  <c r="J1440" i="48"/>
  <c r="J1443" i="48"/>
  <c r="J1439" i="48" s="1"/>
  <c r="G1440" i="48"/>
  <c r="G1443" i="48"/>
  <c r="G1439" i="48" s="1"/>
  <c r="D1440" i="48"/>
  <c r="D1443" i="48"/>
  <c r="D1439" i="48" s="1"/>
  <c r="D82" i="48"/>
  <c r="G82" i="48"/>
  <c r="J82" i="48"/>
  <c r="M82" i="48"/>
  <c r="D83" i="48"/>
  <c r="G83" i="48"/>
  <c r="J83" i="48"/>
  <c r="M83" i="48"/>
  <c r="G84" i="48"/>
  <c r="J84" i="48"/>
  <c r="M84" i="48"/>
  <c r="D85" i="48"/>
  <c r="G85" i="48"/>
  <c r="J85" i="48"/>
  <c r="M85" i="48"/>
  <c r="D95" i="48"/>
  <c r="D94" i="48" s="1"/>
  <c r="D93" i="48" s="1"/>
  <c r="G95" i="48"/>
  <c r="J95" i="48"/>
  <c r="J94" i="48" s="1"/>
  <c r="J93" i="48" s="1"/>
  <c r="M95" i="48"/>
  <c r="M94" i="48" s="1"/>
  <c r="M93" i="48" s="1"/>
  <c r="D110" i="48"/>
  <c r="G110" i="48"/>
  <c r="J110" i="48"/>
  <c r="M110" i="48"/>
  <c r="J111" i="48"/>
  <c r="M111" i="48"/>
  <c r="D114" i="48"/>
  <c r="D115" i="48"/>
  <c r="G115" i="48"/>
  <c r="J115" i="48"/>
  <c r="M115" i="48"/>
  <c r="D116" i="48"/>
  <c r="G116" i="48"/>
  <c r="J116" i="48"/>
  <c r="M116" i="48"/>
  <c r="M137" i="48"/>
  <c r="D138" i="48"/>
  <c r="M138" i="48"/>
  <c r="G140" i="48"/>
  <c r="J140" i="48"/>
  <c r="M140" i="48"/>
  <c r="M141" i="48"/>
  <c r="D145" i="48"/>
  <c r="M145" i="48"/>
  <c r="G146" i="48"/>
  <c r="J146" i="48"/>
  <c r="M146" i="48"/>
  <c r="J147" i="48"/>
  <c r="M147" i="48"/>
  <c r="D148" i="48"/>
  <c r="G148" i="48"/>
  <c r="J148" i="48"/>
  <c r="M148" i="48"/>
  <c r="G153" i="48"/>
  <c r="J153" i="48"/>
  <c r="M153" i="48"/>
  <c r="D154" i="48"/>
  <c r="G154" i="48"/>
  <c r="J154" i="48"/>
  <c r="M154" i="48"/>
  <c r="G155" i="48"/>
  <c r="J155" i="48"/>
  <c r="M155" i="48"/>
  <c r="D164" i="48"/>
  <c r="G164" i="48"/>
  <c r="J164" i="48"/>
  <c r="M164" i="48"/>
  <c r="J165" i="48"/>
  <c r="D166" i="48"/>
  <c r="G166" i="48"/>
  <c r="J166" i="48"/>
  <c r="M166" i="48"/>
  <c r="G172" i="48"/>
  <c r="J172" i="48"/>
  <c r="M172" i="48"/>
  <c r="D173" i="48"/>
  <c r="G173" i="48"/>
  <c r="J173" i="48"/>
  <c r="M173" i="48"/>
  <c r="M174" i="48"/>
  <c r="J181" i="48"/>
  <c r="M181" i="48"/>
  <c r="D183" i="48"/>
  <c r="G183" i="48"/>
  <c r="J183" i="48"/>
  <c r="M183" i="48"/>
  <c r="G184" i="48"/>
  <c r="J184" i="48"/>
  <c r="M184" i="48"/>
  <c r="D185" i="48"/>
  <c r="G185" i="48"/>
  <c r="J185" i="48"/>
  <c r="M185" i="48"/>
  <c r="M280" i="48"/>
  <c r="D282" i="48"/>
  <c r="G282" i="48"/>
  <c r="J282" i="48"/>
  <c r="M282" i="48"/>
  <c r="D283" i="48"/>
  <c r="G283" i="48"/>
  <c r="J283" i="48"/>
  <c r="M283" i="48"/>
  <c r="G284" i="48"/>
  <c r="J284" i="48"/>
  <c r="M284" i="48"/>
  <c r="J290" i="48"/>
  <c r="M290" i="48"/>
  <c r="J291" i="48"/>
  <c r="M291" i="48"/>
  <c r="J294" i="48"/>
  <c r="M294" i="48"/>
  <c r="D295" i="48"/>
  <c r="G295" i="48"/>
  <c r="J295" i="48"/>
  <c r="M295" i="48"/>
  <c r="G296" i="48"/>
  <c r="J296" i="48"/>
  <c r="M296" i="48"/>
  <c r="D297" i="48"/>
  <c r="G297" i="48"/>
  <c r="J297" i="48"/>
  <c r="M297" i="48"/>
  <c r="G298" i="48"/>
  <c r="J298" i="48"/>
  <c r="M298" i="48"/>
  <c r="G304" i="48"/>
  <c r="J304" i="48"/>
  <c r="M304" i="48"/>
  <c r="J305" i="48"/>
  <c r="M305" i="48"/>
  <c r="M309" i="48"/>
  <c r="G310" i="48"/>
  <c r="J310" i="48"/>
  <c r="M310" i="48"/>
  <c r="G320" i="48"/>
  <c r="J320" i="48"/>
  <c r="M320" i="48"/>
  <c r="G321" i="48"/>
  <c r="J321" i="48"/>
  <c r="M321" i="48"/>
  <c r="D322" i="48"/>
  <c r="G322" i="48"/>
  <c r="J322" i="48"/>
  <c r="M322" i="48"/>
  <c r="D323" i="48"/>
  <c r="G323" i="48"/>
  <c r="J323" i="48"/>
  <c r="M323" i="48"/>
  <c r="G331" i="48"/>
  <c r="J331" i="48"/>
  <c r="M331" i="48"/>
  <c r="J332" i="48"/>
  <c r="M332" i="48"/>
  <c r="D334" i="48"/>
  <c r="J334" i="48"/>
  <c r="M334" i="48"/>
  <c r="D335" i="48"/>
  <c r="G335" i="48"/>
  <c r="J335" i="48"/>
  <c r="M335" i="48"/>
  <c r="J336" i="48"/>
  <c r="M336" i="48"/>
  <c r="J353" i="48"/>
  <c r="M353" i="48"/>
  <c r="G354" i="48"/>
  <c r="J354" i="48"/>
  <c r="M354" i="48"/>
  <c r="G355" i="48"/>
  <c r="J355" i="48"/>
  <c r="M355" i="48"/>
  <c r="J356" i="48"/>
  <c r="M356" i="48"/>
  <c r="J357" i="48"/>
  <c r="M357" i="48"/>
  <c r="G202" i="48"/>
  <c r="J202" i="48"/>
  <c r="D203" i="48"/>
  <c r="J205" i="48"/>
  <c r="J206" i="48"/>
  <c r="J209" i="48"/>
  <c r="J210" i="48"/>
  <c r="G212" i="48"/>
  <c r="J213" i="48"/>
  <c r="J215" i="48"/>
  <c r="D216" i="48"/>
  <c r="J218" i="48"/>
  <c r="D222" i="48"/>
  <c r="G222" i="48"/>
  <c r="J222" i="48"/>
  <c r="J223" i="48"/>
  <c r="D227" i="48"/>
  <c r="G227" i="48"/>
  <c r="J227" i="48"/>
  <c r="D228" i="48"/>
  <c r="G228" i="48"/>
  <c r="J228" i="48"/>
  <c r="D229" i="48"/>
  <c r="G229" i="48"/>
  <c r="J229" i="48"/>
  <c r="D231" i="48"/>
  <c r="G231" i="48"/>
  <c r="J231" i="48"/>
  <c r="D232" i="48"/>
  <c r="G232" i="48"/>
  <c r="J232" i="48"/>
  <c r="D233" i="48"/>
  <c r="G233" i="48"/>
  <c r="J233" i="48"/>
  <c r="D234" i="48"/>
  <c r="G234" i="48"/>
  <c r="J234" i="48"/>
  <c r="D235" i="48"/>
  <c r="G235" i="48"/>
  <c r="J235" i="48"/>
  <c r="D248" i="48"/>
  <c r="G248" i="48"/>
  <c r="J248" i="48"/>
  <c r="G249" i="48"/>
  <c r="J249" i="48"/>
  <c r="D250" i="48"/>
  <c r="G250" i="48"/>
  <c r="J250" i="48"/>
  <c r="D251" i="48"/>
  <c r="G251" i="48"/>
  <c r="J251" i="48"/>
  <c r="G252" i="48"/>
  <c r="J252" i="48"/>
  <c r="G255" i="48"/>
  <c r="J255" i="48"/>
  <c r="J259" i="48"/>
  <c r="D260" i="48"/>
  <c r="G260" i="48"/>
  <c r="J260" i="48"/>
  <c r="J262" i="48"/>
  <c r="J263" i="48"/>
  <c r="D265" i="48"/>
  <c r="G265" i="48"/>
  <c r="J265" i="48"/>
  <c r="M265" i="48"/>
  <c r="D266" i="48"/>
  <c r="G266" i="48"/>
  <c r="J266" i="48"/>
  <c r="M266" i="48"/>
  <c r="D267" i="48"/>
  <c r="G267" i="48"/>
  <c r="J267" i="48"/>
  <c r="M267" i="48"/>
  <c r="D268" i="48"/>
  <c r="G268" i="48"/>
  <c r="J268" i="48"/>
  <c r="M268" i="48"/>
  <c r="D269" i="48"/>
  <c r="G269" i="48"/>
  <c r="J269" i="48"/>
  <c r="M269" i="48"/>
  <c r="D372" i="48"/>
  <c r="G372" i="48"/>
  <c r="J372" i="48"/>
  <c r="M372" i="48"/>
  <c r="G379" i="48"/>
  <c r="J379" i="48"/>
  <c r="M379" i="48"/>
  <c r="G388" i="48"/>
  <c r="D395" i="48"/>
  <c r="G395" i="48"/>
  <c r="J395" i="48"/>
  <c r="J396" i="48"/>
  <c r="D411" i="48"/>
  <c r="G411" i="48"/>
  <c r="J411" i="48"/>
  <c r="D412" i="48"/>
  <c r="G412" i="48"/>
  <c r="J412" i="48"/>
  <c r="J431" i="48"/>
  <c r="D436" i="48"/>
  <c r="G436" i="48"/>
  <c r="J436" i="48"/>
  <c r="G437" i="48"/>
  <c r="D453" i="48"/>
  <c r="G453" i="48"/>
  <c r="J453" i="48"/>
  <c r="D454" i="48"/>
  <c r="G454" i="48"/>
  <c r="J454" i="48"/>
  <c r="D455" i="48"/>
  <c r="D459" i="48"/>
  <c r="G459" i="48"/>
  <c r="J459" i="48"/>
  <c r="D460" i="48"/>
  <c r="G460" i="48"/>
  <c r="J460" i="48"/>
  <c r="D524" i="48"/>
  <c r="G524" i="48"/>
  <c r="D525" i="48"/>
  <c r="D527" i="48"/>
  <c r="G527" i="48"/>
  <c r="J527" i="48"/>
  <c r="M527" i="48"/>
  <c r="J479" i="48"/>
  <c r="J488" i="48"/>
  <c r="J489" i="48"/>
  <c r="D579" i="48"/>
  <c r="G579" i="48"/>
  <c r="J579" i="48"/>
  <c r="M579" i="48"/>
  <c r="D581" i="48"/>
  <c r="G581" i="48"/>
  <c r="M581" i="48"/>
  <c r="G582" i="48"/>
  <c r="D584" i="48"/>
  <c r="M584" i="48"/>
  <c r="D585" i="48"/>
  <c r="G585" i="48"/>
  <c r="M585" i="48"/>
  <c r="D586" i="48"/>
  <c r="G586" i="48"/>
  <c r="J586" i="48"/>
  <c r="M586" i="48"/>
  <c r="G587" i="48"/>
  <c r="J587" i="48"/>
  <c r="D593" i="48"/>
  <c r="G593" i="48"/>
  <c r="J593" i="48"/>
  <c r="D594" i="48"/>
  <c r="D595" i="48"/>
  <c r="G595" i="48"/>
  <c r="J595" i="48"/>
  <c r="D605" i="48"/>
  <c r="G605" i="48"/>
  <c r="J605" i="48"/>
  <c r="M605" i="48"/>
  <c r="D607" i="48"/>
  <c r="G607" i="48"/>
  <c r="M607" i="48"/>
  <c r="D608" i="48"/>
  <c r="J608" i="48"/>
  <c r="M608" i="48"/>
  <c r="M609" i="48"/>
  <c r="J610" i="48"/>
  <c r="M610" i="48"/>
  <c r="J638" i="48"/>
  <c r="M638" i="48"/>
  <c r="D639" i="48"/>
  <c r="G639" i="48"/>
  <c r="J639" i="48"/>
  <c r="M639" i="48"/>
  <c r="D640" i="48"/>
  <c r="G640" i="48"/>
  <c r="J640" i="48"/>
  <c r="M640" i="48"/>
  <c r="D641" i="48"/>
  <c r="G641" i="48"/>
  <c r="J641" i="48"/>
  <c r="M641" i="48"/>
  <c r="D643" i="48"/>
  <c r="G643" i="48"/>
  <c r="J643" i="48"/>
  <c r="M643" i="48"/>
  <c r="G644" i="48"/>
  <c r="J644" i="48"/>
  <c r="M644" i="48"/>
  <c r="M646" i="48"/>
  <c r="G647" i="48"/>
  <c r="J647" i="48"/>
  <c r="M647" i="48"/>
  <c r="D648" i="48"/>
  <c r="G648" i="48"/>
  <c r="J648" i="48"/>
  <c r="M648" i="48"/>
  <c r="G650" i="48"/>
  <c r="M650" i="48"/>
  <c r="D651" i="48"/>
  <c r="G651" i="48"/>
  <c r="J651" i="48"/>
  <c r="M651" i="48"/>
  <c r="G652" i="48"/>
  <c r="J652" i="48"/>
  <c r="M652" i="48"/>
  <c r="D655" i="48"/>
  <c r="D659" i="48"/>
  <c r="M659" i="48"/>
  <c r="J679" i="48"/>
  <c r="M680" i="48"/>
  <c r="J683" i="48"/>
  <c r="M683" i="48"/>
  <c r="M684" i="48"/>
  <c r="M686" i="48"/>
  <c r="D687" i="48"/>
  <c r="D688" i="48"/>
  <c r="G688" i="48"/>
  <c r="M688" i="48"/>
  <c r="G689" i="48"/>
  <c r="J689" i="48"/>
  <c r="D690" i="48"/>
  <c r="G690" i="48"/>
  <c r="J690" i="48"/>
  <c r="M692" i="48"/>
  <c r="J693" i="48"/>
  <c r="D694" i="48"/>
  <c r="D695" i="48"/>
  <c r="G695" i="48"/>
  <c r="J695" i="48"/>
  <c r="M695" i="48"/>
  <c r="G696" i="48"/>
  <c r="J696" i="48"/>
  <c r="M696" i="48"/>
  <c r="D697" i="48"/>
  <c r="G697" i="48"/>
  <c r="J697" i="48"/>
  <c r="M697" i="48"/>
  <c r="J785" i="48"/>
  <c r="G786" i="48"/>
  <c r="J786" i="48"/>
  <c r="D787" i="48"/>
  <c r="G787" i="48"/>
  <c r="J787" i="48"/>
  <c r="G799" i="48"/>
  <c r="J799" i="48"/>
  <c r="M799" i="48"/>
  <c r="J801" i="48"/>
  <c r="J802" i="48"/>
  <c r="G804" i="48"/>
  <c r="M804" i="48"/>
  <c r="G806" i="48"/>
  <c r="D814" i="48"/>
  <c r="J814" i="48"/>
  <c r="D818" i="48"/>
  <c r="G818" i="48"/>
  <c r="J818" i="48"/>
  <c r="M818" i="48"/>
  <c r="D724" i="48"/>
  <c r="G725" i="48"/>
  <c r="G726" i="48"/>
  <c r="D729" i="48"/>
  <c r="J729" i="48"/>
  <c r="D733" i="48"/>
  <c r="G733" i="48"/>
  <c r="J733" i="48"/>
  <c r="D734" i="48"/>
  <c r="G734" i="48"/>
  <c r="J734" i="48"/>
  <c r="D736" i="48"/>
  <c r="G736" i="48"/>
  <c r="D737" i="48"/>
  <c r="G737" i="48"/>
  <c r="J737" i="48"/>
  <c r="D739" i="48"/>
  <c r="G739" i="48"/>
  <c r="D740" i="48"/>
  <c r="G740" i="48"/>
  <c r="D741" i="48"/>
  <c r="G741" i="48"/>
  <c r="J741" i="48"/>
  <c r="D746" i="48"/>
  <c r="G746" i="48"/>
  <c r="J746" i="48"/>
  <c r="D747" i="48"/>
  <c r="G747" i="48"/>
  <c r="J747" i="48"/>
  <c r="D748" i="48"/>
  <c r="G748" i="48"/>
  <c r="J748" i="48"/>
  <c r="D849" i="48"/>
  <c r="D850" i="48"/>
  <c r="G850" i="48"/>
  <c r="D851" i="48"/>
  <c r="G851" i="48"/>
  <c r="M851" i="48"/>
  <c r="D852" i="48"/>
  <c r="G852" i="48"/>
  <c r="J852" i="48"/>
  <c r="M852" i="48"/>
  <c r="D882" i="48"/>
  <c r="G882" i="48"/>
  <c r="J882" i="48"/>
  <c r="M882" i="48"/>
  <c r="D889" i="48"/>
  <c r="D886" i="48" s="1"/>
  <c r="G889" i="48"/>
  <c r="G886" i="48" s="1"/>
  <c r="J889" i="48"/>
  <c r="J886" i="48" s="1"/>
  <c r="D942" i="48"/>
  <c r="G942" i="48"/>
  <c r="J942" i="48"/>
  <c r="M942" i="48"/>
  <c r="D943" i="48"/>
  <c r="G943" i="48"/>
  <c r="J943" i="48"/>
  <c r="M943" i="48"/>
  <c r="D918" i="48"/>
  <c r="G918" i="48"/>
  <c r="J918" i="48"/>
  <c r="J919" i="48"/>
  <c r="D920" i="48"/>
  <c r="G920" i="48"/>
  <c r="J920" i="48"/>
  <c r="D923" i="48"/>
  <c r="G923" i="48"/>
  <c r="J923" i="48"/>
  <c r="D973" i="48"/>
  <c r="J973" i="48"/>
  <c r="M973" i="48"/>
  <c r="J974" i="48"/>
  <c r="D975" i="48"/>
  <c r="G975" i="48"/>
  <c r="J975" i="48"/>
  <c r="M975" i="48"/>
  <c r="J984" i="48"/>
  <c r="J981" i="48" s="1"/>
  <c r="D1001" i="48"/>
  <c r="G1001" i="48"/>
  <c r="J1001" i="48"/>
  <c r="G1003" i="48"/>
  <c r="J1003" i="48"/>
  <c r="D1006" i="48"/>
  <c r="G1006" i="48"/>
  <c r="D1007" i="48"/>
  <c r="G1010" i="48"/>
  <c r="D1013" i="48"/>
  <c r="G1013" i="48"/>
  <c r="J1013" i="48"/>
  <c r="D1014" i="48"/>
  <c r="G1014" i="48"/>
  <c r="J1014" i="48"/>
  <c r="J1016" i="48"/>
  <c r="D1017" i="48"/>
  <c r="G1017" i="48"/>
  <c r="J1017" i="48"/>
  <c r="D1019" i="48"/>
  <c r="J1023" i="48"/>
  <c r="J1025" i="48"/>
  <c r="D1026" i="48"/>
  <c r="G1026" i="48"/>
  <c r="J1026" i="48"/>
  <c r="D1049" i="48"/>
  <c r="G1049" i="48"/>
  <c r="J1049" i="48"/>
  <c r="M1049" i="48"/>
  <c r="G1054" i="48"/>
  <c r="J1054" i="48"/>
  <c r="D1056" i="48"/>
  <c r="G1056" i="48"/>
  <c r="J1056" i="48"/>
  <c r="D1061" i="48"/>
  <c r="G1061" i="48"/>
  <c r="J1061" i="48"/>
  <c r="D1085" i="48"/>
  <c r="D1087" i="48"/>
  <c r="D1088" i="48"/>
  <c r="D1089" i="48"/>
  <c r="G1089" i="48"/>
  <c r="J1089" i="48"/>
  <c r="D1118" i="48"/>
  <c r="J1119" i="48"/>
  <c r="D1120" i="48"/>
  <c r="D1121" i="48"/>
  <c r="G1121" i="48"/>
  <c r="J1121" i="48"/>
  <c r="M1121" i="48"/>
  <c r="D1122" i="48"/>
  <c r="M1122" i="48"/>
  <c r="D1145" i="48"/>
  <c r="D1142" i="48" s="1"/>
  <c r="G1145" i="48"/>
  <c r="G1142" i="48" s="1"/>
  <c r="J1145" i="48"/>
  <c r="J1142" i="48" s="1"/>
  <c r="M1145" i="48"/>
  <c r="M1142" i="48" s="1"/>
  <c r="D1177" i="48"/>
  <c r="D1174" i="48" s="1"/>
  <c r="G1177" i="48"/>
  <c r="G1174" i="48" s="1"/>
  <c r="J1177" i="48"/>
  <c r="J1174" i="48" s="1"/>
  <c r="M1177" i="48"/>
  <c r="M1174" i="48" s="1"/>
  <c r="G1188" i="48"/>
  <c r="J1188" i="48"/>
  <c r="M1188" i="48"/>
  <c r="G1214" i="48"/>
  <c r="J1214" i="48"/>
  <c r="G1215" i="48"/>
  <c r="J1215" i="48"/>
  <c r="D1216" i="48"/>
  <c r="G1216" i="48"/>
  <c r="J1216" i="48"/>
  <c r="D1217" i="48"/>
  <c r="G1217" i="48"/>
  <c r="J1217" i="48"/>
  <c r="D1218" i="48"/>
  <c r="G1218" i="48"/>
  <c r="J1218" i="48"/>
  <c r="D1219" i="48"/>
  <c r="G1219" i="48"/>
  <c r="J1219" i="48"/>
  <c r="D1220" i="48"/>
  <c r="G1220" i="48"/>
  <c r="J1220" i="48"/>
  <c r="D1221" i="48"/>
  <c r="G1221" i="48"/>
  <c r="J1221" i="48"/>
  <c r="D1222" i="48"/>
  <c r="G1222" i="48"/>
  <c r="J1222" i="48"/>
  <c r="G1224" i="48"/>
  <c r="J1224" i="48"/>
  <c r="G1225" i="48"/>
  <c r="J1225" i="48"/>
  <c r="D1227" i="48"/>
  <c r="G1227" i="48"/>
  <c r="J1227" i="48"/>
  <c r="D1228" i="48"/>
  <c r="G1228" i="48"/>
  <c r="J1228" i="48"/>
  <c r="J1298" i="48"/>
  <c r="G1299" i="48"/>
  <c r="J1299" i="48"/>
  <c r="D1302" i="48"/>
  <c r="J1302" i="48"/>
  <c r="M1302" i="48"/>
  <c r="D1303" i="48"/>
  <c r="G1303" i="48"/>
  <c r="J1303" i="48"/>
  <c r="M1303" i="48"/>
  <c r="D1304" i="48"/>
  <c r="G1304" i="48"/>
  <c r="J1304" i="48"/>
  <c r="M1304" i="48"/>
  <c r="D1305" i="48"/>
  <c r="G1305" i="48"/>
  <c r="J1305" i="48"/>
  <c r="M1305" i="48"/>
  <c r="D1306" i="48"/>
  <c r="G1306" i="48"/>
  <c r="J1306" i="48"/>
  <c r="M1306" i="48"/>
  <c r="G1332" i="48"/>
  <c r="J1332" i="48"/>
  <c r="D1333" i="48"/>
  <c r="G1333" i="48"/>
  <c r="J1333" i="48"/>
  <c r="D1334" i="48"/>
  <c r="G1334" i="48"/>
  <c r="J1334" i="48"/>
  <c r="D1335" i="48"/>
  <c r="G1335" i="48"/>
  <c r="J1335" i="48"/>
  <c r="D1462" i="48"/>
  <c r="G1462" i="48"/>
  <c r="J1462" i="48"/>
  <c r="D1464" i="48"/>
  <c r="G1464" i="48"/>
  <c r="J1464" i="48"/>
  <c r="J1489" i="48"/>
  <c r="D1490" i="48"/>
  <c r="G1490" i="48"/>
  <c r="J1490" i="48"/>
  <c r="J1491" i="48"/>
  <c r="D1507" i="48"/>
  <c r="G1507" i="48"/>
  <c r="J1507" i="48"/>
  <c r="M1507" i="48"/>
  <c r="D1508" i="48"/>
  <c r="G1508" i="48"/>
  <c r="J1508" i="48"/>
  <c r="M1508" i="48"/>
  <c r="J1523" i="48"/>
  <c r="J1526" i="48"/>
  <c r="J1527" i="48"/>
  <c r="J1528" i="48"/>
  <c r="D1530" i="48"/>
  <c r="G1530" i="48"/>
  <c r="J1530" i="48"/>
  <c r="D1531" i="48"/>
  <c r="G1531" i="48"/>
  <c r="J1531" i="48"/>
  <c r="D1532" i="48"/>
  <c r="G1532" i="48"/>
  <c r="J1532" i="48"/>
  <c r="D1533" i="48"/>
  <c r="G1533" i="48"/>
  <c r="J1533" i="48"/>
  <c r="D1534" i="48"/>
  <c r="G1534" i="48"/>
  <c r="J1534" i="48"/>
  <c r="J1577" i="48"/>
  <c r="J1580" i="48"/>
  <c r="J1581" i="48"/>
  <c r="D1583" i="48"/>
  <c r="G1583" i="48"/>
  <c r="J1583" i="48"/>
  <c r="D1584" i="48"/>
  <c r="G1584" i="48"/>
  <c r="J1584" i="48"/>
  <c r="D1589" i="48"/>
  <c r="G1589" i="48"/>
  <c r="D1650" i="48"/>
  <c r="D1649" i="48" s="1"/>
  <c r="G1650" i="48"/>
  <c r="G1649" i="48" s="1"/>
  <c r="J1650" i="48"/>
  <c r="J1649" i="48" s="1"/>
  <c r="M1650" i="48"/>
  <c r="M1649" i="48" s="1"/>
  <c r="G1547" i="48"/>
  <c r="J1547" i="48"/>
  <c r="G1548" i="48"/>
  <c r="J1548" i="48"/>
  <c r="D1554" i="48"/>
  <c r="G1554" i="48"/>
  <c r="J1554" i="48"/>
  <c r="D1556" i="48"/>
  <c r="G1556" i="48"/>
  <c r="J1556" i="48"/>
  <c r="D1557" i="48"/>
  <c r="G1557" i="48"/>
  <c r="J1557" i="48"/>
  <c r="J1562" i="48"/>
  <c r="D1563" i="48"/>
  <c r="G1563" i="48"/>
  <c r="J1563" i="48"/>
  <c r="J1564" i="48"/>
  <c r="J1565" i="48"/>
  <c r="M1604" i="48"/>
  <c r="M1607" i="48"/>
  <c r="D1608" i="48"/>
  <c r="G1608" i="48"/>
  <c r="J1608" i="48"/>
  <c r="D1615" i="48"/>
  <c r="J1615" i="48"/>
  <c r="D1616" i="48"/>
  <c r="G1616" i="48"/>
  <c r="J1616" i="48"/>
  <c r="M1616" i="48"/>
  <c r="D1619" i="48"/>
  <c r="G1619" i="48"/>
  <c r="J1619" i="48"/>
  <c r="M1619" i="48"/>
  <c r="D1620" i="48"/>
  <c r="G1620" i="48"/>
  <c r="J1621" i="48"/>
  <c r="G1624" i="48"/>
  <c r="J1624" i="48"/>
  <c r="M1624" i="48"/>
  <c r="G1625" i="48"/>
  <c r="J1625" i="48"/>
  <c r="J1635" i="48"/>
  <c r="M1635" i="48"/>
  <c r="D1636" i="48"/>
  <c r="G1636" i="48"/>
  <c r="J1636" i="48"/>
  <c r="M1636" i="48"/>
  <c r="D1637" i="48"/>
  <c r="J1637" i="48"/>
  <c r="M1637" i="48"/>
  <c r="D1638" i="48"/>
  <c r="G1638" i="48"/>
  <c r="J1638" i="48"/>
  <c r="M1638" i="48"/>
  <c r="D1659" i="48"/>
  <c r="G1659" i="48"/>
  <c r="J1659" i="48"/>
  <c r="M1659" i="48"/>
  <c r="D1660" i="48"/>
  <c r="G1660" i="48"/>
  <c r="J1660" i="48"/>
  <c r="M1660" i="48"/>
  <c r="D1722" i="48"/>
  <c r="D1718" i="48" s="1"/>
  <c r="D1675" i="48"/>
  <c r="D1677" i="48"/>
  <c r="D1678" i="48"/>
  <c r="D1684" i="48"/>
  <c r="D1697" i="48"/>
  <c r="D1700" i="48"/>
  <c r="G1722" i="48"/>
  <c r="G1718" i="48" s="1"/>
  <c r="G1677" i="48"/>
  <c r="G1678" i="48"/>
  <c r="G1697" i="48"/>
  <c r="G1700" i="48"/>
  <c r="J1709" i="48"/>
  <c r="J1710" i="48"/>
  <c r="J1722" i="48"/>
  <c r="J1718" i="48" s="1"/>
  <c r="J1677" i="48"/>
  <c r="J1678" i="48"/>
  <c r="J1697" i="48"/>
  <c r="J1700" i="48"/>
  <c r="M1722" i="48"/>
  <c r="M1718" i="48" s="1"/>
  <c r="M1678" i="48"/>
  <c r="M1684" i="48"/>
  <c r="M1697" i="48"/>
  <c r="M1700" i="48"/>
  <c r="G117" i="48"/>
  <c r="J117" i="48"/>
  <c r="M117" i="48"/>
  <c r="D118" i="48"/>
  <c r="G118" i="48"/>
  <c r="J118" i="48"/>
  <c r="M118" i="48"/>
  <c r="D324" i="48"/>
  <c r="G324" i="48"/>
  <c r="J324" i="48"/>
  <c r="M324" i="48"/>
  <c r="D271" i="48"/>
  <c r="G271" i="48"/>
  <c r="J271" i="48"/>
  <c r="M271" i="48"/>
  <c r="D272" i="48"/>
  <c r="G272" i="48"/>
  <c r="J272" i="48"/>
  <c r="M272" i="48"/>
  <c r="D891" i="48"/>
  <c r="G891" i="48"/>
  <c r="J891" i="48"/>
  <c r="M891" i="48"/>
  <c r="D892" i="48"/>
  <c r="G892" i="48"/>
  <c r="J892" i="48"/>
  <c r="M892" i="48"/>
  <c r="D893" i="48"/>
  <c r="G893" i="48"/>
  <c r="J893" i="48"/>
  <c r="M893" i="48"/>
  <c r="D894" i="48"/>
  <c r="G894" i="48"/>
  <c r="J894" i="48"/>
  <c r="M894" i="48"/>
  <c r="D895" i="48"/>
  <c r="G895" i="48"/>
  <c r="J895" i="48"/>
  <c r="M895" i="48"/>
  <c r="D897" i="48"/>
  <c r="G897" i="48"/>
  <c r="J897" i="48"/>
  <c r="M897" i="48"/>
  <c r="D898" i="48"/>
  <c r="G898" i="48"/>
  <c r="J898" i="48"/>
  <c r="M898" i="48"/>
  <c r="D899" i="48"/>
  <c r="G899" i="48"/>
  <c r="J899" i="48"/>
  <c r="M899" i="48"/>
  <c r="D900" i="48"/>
  <c r="G900" i="48"/>
  <c r="J900" i="48"/>
  <c r="M900" i="48"/>
  <c r="D902" i="48"/>
  <c r="G902" i="48"/>
  <c r="J902" i="48"/>
  <c r="M902" i="48"/>
  <c r="D903" i="48"/>
  <c r="G903" i="48"/>
  <c r="J903" i="48"/>
  <c r="M903" i="48"/>
  <c r="D904" i="48"/>
  <c r="G904" i="48"/>
  <c r="J904" i="48"/>
  <c r="M904" i="48"/>
  <c r="D905" i="48"/>
  <c r="G905" i="48"/>
  <c r="J905" i="48"/>
  <c r="M905" i="48"/>
  <c r="D906" i="48"/>
  <c r="G906" i="48"/>
  <c r="J906" i="48"/>
  <c r="M906" i="48"/>
  <c r="D907" i="48"/>
  <c r="G907" i="48"/>
  <c r="J907" i="48"/>
  <c r="M907" i="48"/>
  <c r="D945" i="48"/>
  <c r="G945" i="48"/>
  <c r="J945" i="48"/>
  <c r="M945" i="48"/>
  <c r="D946" i="48"/>
  <c r="G946" i="48"/>
  <c r="J946" i="48"/>
  <c r="M946" i="48"/>
  <c r="D947" i="48"/>
  <c r="G947" i="48"/>
  <c r="J947" i="48"/>
  <c r="M947" i="48"/>
  <c r="D948" i="48"/>
  <c r="G948" i="48"/>
  <c r="J948" i="48"/>
  <c r="M948" i="48"/>
  <c r="D949" i="48"/>
  <c r="G949" i="48"/>
  <c r="J949" i="48"/>
  <c r="M949" i="48"/>
  <c r="D950" i="48"/>
  <c r="G950" i="48"/>
  <c r="J950" i="48"/>
  <c r="M950" i="48"/>
  <c r="D952" i="48"/>
  <c r="G952" i="48"/>
  <c r="J952" i="48"/>
  <c r="M952" i="48"/>
  <c r="D953" i="48"/>
  <c r="G953" i="48"/>
  <c r="J953" i="48"/>
  <c r="M953" i="48"/>
  <c r="D954" i="48"/>
  <c r="G954" i="48"/>
  <c r="J954" i="48"/>
  <c r="M954" i="48"/>
  <c r="D955" i="48"/>
  <c r="G955" i="48"/>
  <c r="J955" i="48"/>
  <c r="M955" i="48"/>
  <c r="D956" i="48"/>
  <c r="G956" i="48"/>
  <c r="J956" i="48"/>
  <c r="M956" i="48"/>
  <c r="D961" i="48"/>
  <c r="G961" i="48"/>
  <c r="J961" i="48"/>
  <c r="M961" i="48"/>
  <c r="D962" i="48"/>
  <c r="G962" i="48"/>
  <c r="J962" i="48"/>
  <c r="M962" i="48"/>
  <c r="D963" i="48"/>
  <c r="G963" i="48"/>
  <c r="J963" i="48"/>
  <c r="M963" i="48"/>
  <c r="D964" i="48"/>
  <c r="G964" i="48"/>
  <c r="J964" i="48"/>
  <c r="M964" i="48"/>
  <c r="D965" i="48"/>
  <c r="G965" i="48"/>
  <c r="J965" i="48"/>
  <c r="M965" i="48"/>
  <c r="D986" i="48"/>
  <c r="G986" i="48"/>
  <c r="J986" i="48"/>
  <c r="M986" i="48"/>
  <c r="D987" i="48"/>
  <c r="G987" i="48"/>
  <c r="J987" i="48"/>
  <c r="M987" i="48"/>
  <c r="D1045" i="48"/>
  <c r="G1045" i="48"/>
  <c r="J1045" i="48"/>
  <c r="M1045" i="48"/>
  <c r="D1046" i="48"/>
  <c r="G1046" i="48"/>
  <c r="J1046" i="48"/>
  <c r="M1046" i="48"/>
  <c r="D1047" i="48"/>
  <c r="G1047" i="48"/>
  <c r="J1047" i="48"/>
  <c r="M1047" i="48"/>
  <c r="D1124" i="48"/>
  <c r="G1124" i="48"/>
  <c r="J1124" i="48"/>
  <c r="M1124" i="48"/>
  <c r="D1151" i="48"/>
  <c r="G1151" i="48"/>
  <c r="J1151" i="48"/>
  <c r="M1151" i="48"/>
  <c r="D1152" i="48"/>
  <c r="G1152" i="48"/>
  <c r="J1152" i="48"/>
  <c r="M1152" i="48"/>
  <c r="D1154" i="48"/>
  <c r="G1154" i="48"/>
  <c r="J1154" i="48"/>
  <c r="M1154" i="48"/>
  <c r="D1155" i="48"/>
  <c r="G1155" i="48"/>
  <c r="J1155" i="48"/>
  <c r="M1155" i="48"/>
  <c r="D1164" i="48"/>
  <c r="G1164" i="48"/>
  <c r="J1164" i="48"/>
  <c r="M1164" i="48"/>
  <c r="D1165" i="48"/>
  <c r="G1165" i="48"/>
  <c r="J1165" i="48"/>
  <c r="M1165" i="48"/>
  <c r="D1168" i="48"/>
  <c r="G1168" i="48"/>
  <c r="J1168" i="48"/>
  <c r="M1168" i="48"/>
  <c r="D1212" i="48"/>
  <c r="G1212" i="48"/>
  <c r="J1212" i="48"/>
  <c r="D1318" i="48"/>
  <c r="G1318" i="48"/>
  <c r="J1318" i="48"/>
  <c r="M1318" i="48"/>
  <c r="D1319" i="48"/>
  <c r="G1319" i="48"/>
  <c r="J1319" i="48"/>
  <c r="M1319" i="48"/>
  <c r="D1322" i="48"/>
  <c r="G1322" i="48"/>
  <c r="J1322" i="48"/>
  <c r="M1322" i="48"/>
  <c r="D1337" i="48"/>
  <c r="G1337" i="48"/>
  <c r="J1337" i="48"/>
  <c r="M1337" i="48"/>
  <c r="D1338" i="48"/>
  <c r="G1338" i="48"/>
  <c r="J1338" i="48"/>
  <c r="M1338" i="48"/>
  <c r="D1339" i="48"/>
  <c r="G1339" i="48"/>
  <c r="J1339" i="48"/>
  <c r="M1339" i="48"/>
  <c r="D1340" i="48"/>
  <c r="G1340" i="48"/>
  <c r="J1340" i="48"/>
  <c r="M1340" i="48"/>
  <c r="D1341" i="48"/>
  <c r="G1341" i="48"/>
  <c r="J1341" i="48"/>
  <c r="M1341" i="48"/>
  <c r="D1342" i="48"/>
  <c r="G1342" i="48"/>
  <c r="J1342" i="48"/>
  <c r="M1342" i="48"/>
  <c r="D1343" i="48"/>
  <c r="G1343" i="48"/>
  <c r="J1343" i="48"/>
  <c r="M1343" i="48"/>
  <c r="D1344" i="48"/>
  <c r="G1344" i="48"/>
  <c r="J1344" i="48"/>
  <c r="M1344" i="48"/>
  <c r="D1345" i="48"/>
  <c r="G1345" i="48"/>
  <c r="J1345" i="48"/>
  <c r="M1345" i="48"/>
  <c r="D1346" i="48"/>
  <c r="G1346" i="48"/>
  <c r="J1346" i="48"/>
  <c r="M1346" i="48"/>
  <c r="D1592" i="48"/>
  <c r="G1592" i="48"/>
  <c r="J1592" i="48"/>
  <c r="M1592" i="48"/>
  <c r="D603" i="48"/>
  <c r="J603" i="48"/>
  <c r="M603" i="48"/>
  <c r="D861" i="48"/>
  <c r="G861" i="48"/>
  <c r="J861" i="48"/>
  <c r="M861" i="48"/>
  <c r="D966" i="48"/>
  <c r="D939" i="48" s="1"/>
  <c r="G966" i="48"/>
  <c r="G939" i="48" s="1"/>
  <c r="J966" i="48"/>
  <c r="J939" i="48" s="1"/>
  <c r="M966" i="48"/>
  <c r="M939" i="48" s="1"/>
  <c r="D1178" i="48"/>
  <c r="G1178" i="48"/>
  <c r="J1178" i="48"/>
  <c r="M1178" i="48"/>
  <c r="D1179" i="48"/>
  <c r="G1179" i="48"/>
  <c r="J1179" i="48"/>
  <c r="M1179" i="48"/>
  <c r="D1180" i="48"/>
  <c r="G1180" i="48"/>
  <c r="J1180" i="48"/>
  <c r="M1180" i="48"/>
  <c r="D614" i="48"/>
  <c r="G614" i="48"/>
  <c r="J614" i="48"/>
  <c r="M614" i="48"/>
  <c r="D615" i="48"/>
  <c r="G615" i="48"/>
  <c r="J615" i="48"/>
  <c r="M615" i="48"/>
  <c r="D616" i="48"/>
  <c r="G616" i="48"/>
  <c r="J616" i="48"/>
  <c r="M616" i="48"/>
  <c r="D617" i="48"/>
  <c r="G617" i="48"/>
  <c r="J617" i="48"/>
  <c r="M617" i="48"/>
  <c r="D618" i="48"/>
  <c r="G618" i="48"/>
  <c r="J618" i="48"/>
  <c r="M618" i="48"/>
  <c r="D619" i="48"/>
  <c r="G619" i="48"/>
  <c r="J619" i="48"/>
  <c r="M619" i="48"/>
  <c r="D1157" i="48"/>
  <c r="D1144" i="48" s="1"/>
  <c r="G1157" i="48"/>
  <c r="G1144" i="48" s="1"/>
  <c r="J1157" i="48"/>
  <c r="J1144" i="48" s="1"/>
  <c r="M1157" i="48"/>
  <c r="M1144" i="48" s="1"/>
  <c r="D1472" i="48"/>
  <c r="G1472" i="48"/>
  <c r="J1472" i="48"/>
  <c r="M1472" i="48"/>
  <c r="D1473" i="48"/>
  <c r="G1473" i="48"/>
  <c r="J1473" i="48"/>
  <c r="M1473" i="48"/>
  <c r="D1474" i="48"/>
  <c r="G1474" i="48"/>
  <c r="J1474" i="48"/>
  <c r="M1474" i="48"/>
  <c r="D1478" i="48"/>
  <c r="G1478" i="48"/>
  <c r="J1478" i="48"/>
  <c r="M1478" i="48"/>
  <c r="D1661" i="48"/>
  <c r="D1654" i="48" s="1"/>
  <c r="G1661" i="48"/>
  <c r="G1654" i="48" s="1"/>
  <c r="J1661" i="48"/>
  <c r="J1654" i="48" s="1"/>
  <c r="M1661" i="48"/>
  <c r="M1654" i="48" s="1"/>
  <c r="D87" i="48"/>
  <c r="G87" i="48"/>
  <c r="J87" i="48"/>
  <c r="M87" i="48"/>
  <c r="D88" i="48"/>
  <c r="G88" i="48"/>
  <c r="J88" i="48"/>
  <c r="M88" i="48"/>
  <c r="D89" i="48"/>
  <c r="G89" i="48"/>
  <c r="J89" i="48"/>
  <c r="M89" i="48"/>
  <c r="D90" i="48"/>
  <c r="G90" i="48"/>
  <c r="J90" i="48"/>
  <c r="M90" i="48"/>
  <c r="D91" i="48"/>
  <c r="G91" i="48"/>
  <c r="J91" i="48"/>
  <c r="M91" i="48"/>
  <c r="D92" i="48"/>
  <c r="G92" i="48"/>
  <c r="J92" i="48"/>
  <c r="M92" i="48"/>
  <c r="D103" i="48"/>
  <c r="G103" i="48"/>
  <c r="J103" i="48"/>
  <c r="M103" i="48"/>
  <c r="D104" i="48"/>
  <c r="G104" i="48"/>
  <c r="J104" i="48"/>
  <c r="M104" i="48"/>
  <c r="D120" i="48"/>
  <c r="G120" i="48"/>
  <c r="J120" i="48"/>
  <c r="M120" i="48"/>
  <c r="D121" i="48"/>
  <c r="G121" i="48"/>
  <c r="J121" i="48"/>
  <c r="M121" i="48"/>
  <c r="D122" i="48"/>
  <c r="G122" i="48"/>
  <c r="J122" i="48"/>
  <c r="M122" i="48"/>
  <c r="D123" i="48"/>
  <c r="G123" i="48"/>
  <c r="J123" i="48"/>
  <c r="M123" i="48"/>
  <c r="D125" i="48"/>
  <c r="G125" i="48"/>
  <c r="J125" i="48"/>
  <c r="M125" i="48"/>
  <c r="D126" i="48"/>
  <c r="G126" i="48"/>
  <c r="J126" i="48"/>
  <c r="M126" i="48"/>
  <c r="D127" i="48"/>
  <c r="G127" i="48"/>
  <c r="J127" i="48"/>
  <c r="M127" i="48"/>
  <c r="D128" i="48"/>
  <c r="G128" i="48"/>
  <c r="J128" i="48"/>
  <c r="M128" i="48"/>
  <c r="D158" i="48"/>
  <c r="G158" i="48"/>
  <c r="J158" i="48"/>
  <c r="M158" i="48"/>
  <c r="D159" i="48"/>
  <c r="G159" i="48"/>
  <c r="J159" i="48"/>
  <c r="M159" i="48"/>
  <c r="D160" i="48"/>
  <c r="G160" i="48"/>
  <c r="J160" i="48"/>
  <c r="M160" i="48"/>
  <c r="D176" i="48"/>
  <c r="G176" i="48"/>
  <c r="J176" i="48"/>
  <c r="M176" i="48"/>
  <c r="D177" i="48"/>
  <c r="G177" i="48"/>
  <c r="J177" i="48"/>
  <c r="M177" i="48"/>
  <c r="D188" i="48"/>
  <c r="G188" i="48"/>
  <c r="J188" i="48"/>
  <c r="M188" i="48"/>
  <c r="D189" i="48"/>
  <c r="G189" i="48"/>
  <c r="J189" i="48"/>
  <c r="M189" i="48"/>
  <c r="D190" i="48"/>
  <c r="G190" i="48"/>
  <c r="J190" i="48"/>
  <c r="M190" i="48"/>
  <c r="D191" i="48"/>
  <c r="G191" i="48"/>
  <c r="J191" i="48"/>
  <c r="M191" i="48"/>
  <c r="D192" i="48"/>
  <c r="G192" i="48"/>
  <c r="J192" i="48"/>
  <c r="M192" i="48"/>
  <c r="D193" i="48"/>
  <c r="G193" i="48"/>
  <c r="J193" i="48"/>
  <c r="M193" i="48"/>
  <c r="D194" i="48"/>
  <c r="G194" i="48"/>
  <c r="J194" i="48"/>
  <c r="M194" i="48"/>
  <c r="D286" i="48"/>
  <c r="D279" i="48" s="1"/>
  <c r="G286" i="48"/>
  <c r="G279" i="48" s="1"/>
  <c r="J286" i="48"/>
  <c r="J279" i="48" s="1"/>
  <c r="M286" i="48"/>
  <c r="M279" i="48" s="1"/>
  <c r="D311" i="48"/>
  <c r="D308" i="48" s="1"/>
  <c r="G311" i="48"/>
  <c r="G308" i="48" s="1"/>
  <c r="J311" i="48"/>
  <c r="J308" i="48" s="1"/>
  <c r="M311" i="48"/>
  <c r="M308" i="48" s="1"/>
  <c r="D342" i="48"/>
  <c r="G342" i="48"/>
  <c r="J342" i="48"/>
  <c r="M342" i="48"/>
  <c r="D343" i="48"/>
  <c r="G343" i="48"/>
  <c r="J343" i="48"/>
  <c r="M343" i="48"/>
  <c r="D344" i="48"/>
  <c r="G344" i="48"/>
  <c r="J344" i="48"/>
  <c r="M344" i="48"/>
  <c r="D359" i="48"/>
  <c r="G359" i="48"/>
  <c r="J359" i="48"/>
  <c r="M359" i="48"/>
  <c r="D360" i="48"/>
  <c r="G360" i="48"/>
  <c r="J360" i="48"/>
  <c r="M360" i="48"/>
  <c r="D237" i="48"/>
  <c r="G237" i="48"/>
  <c r="J237" i="48"/>
  <c r="D238" i="48"/>
  <c r="G238" i="48"/>
  <c r="J238" i="48"/>
  <c r="D239" i="48"/>
  <c r="G239" i="48"/>
  <c r="J239" i="48"/>
  <c r="D240" i="48"/>
  <c r="G240" i="48"/>
  <c r="J240" i="48"/>
  <c r="D241" i="48"/>
  <c r="G241" i="48"/>
  <c r="J241" i="48"/>
  <c r="D243" i="48"/>
  <c r="G243" i="48"/>
  <c r="J243" i="48"/>
  <c r="D274" i="48"/>
  <c r="G274" i="48"/>
  <c r="J274" i="48"/>
  <c r="M274" i="48"/>
  <c r="D374" i="48"/>
  <c r="D373" i="48" s="1"/>
  <c r="D370" i="48" s="1"/>
  <c r="G374" i="48"/>
  <c r="G373" i="48" s="1"/>
  <c r="G370" i="48" s="1"/>
  <c r="J374" i="48"/>
  <c r="M374" i="48"/>
  <c r="M373" i="48" s="1"/>
  <c r="M370" i="48" s="1"/>
  <c r="D381" i="48"/>
  <c r="G381" i="48"/>
  <c r="J381" i="48"/>
  <c r="M381" i="48"/>
  <c r="D382" i="48"/>
  <c r="G382" i="48"/>
  <c r="J382" i="48"/>
  <c r="M382" i="48"/>
  <c r="D383" i="48"/>
  <c r="G383" i="48"/>
  <c r="J383" i="48"/>
  <c r="M383" i="48"/>
  <c r="D406" i="48"/>
  <c r="D405" i="48" s="1"/>
  <c r="D387" i="48" s="1"/>
  <c r="G406" i="48"/>
  <c r="G405" i="48" s="1"/>
  <c r="G387" i="48" s="1"/>
  <c r="J406" i="48"/>
  <c r="J405" i="48" s="1"/>
  <c r="J387" i="48" s="1"/>
  <c r="M406" i="48"/>
  <c r="M405" i="48" s="1"/>
  <c r="M387" i="48" s="1"/>
  <c r="D414" i="48"/>
  <c r="G414" i="48"/>
  <c r="J414" i="48"/>
  <c r="M414" i="48"/>
  <c r="D415" i="48"/>
  <c r="G415" i="48"/>
  <c r="J415" i="48"/>
  <c r="M415" i="48"/>
  <c r="D416" i="48"/>
  <c r="G416" i="48"/>
  <c r="J416" i="48"/>
  <c r="M416" i="48"/>
  <c r="D444" i="48"/>
  <c r="G444" i="48"/>
  <c r="J444" i="48"/>
  <c r="M444" i="48"/>
  <c r="D445" i="48"/>
  <c r="G445" i="48"/>
  <c r="J445" i="48"/>
  <c r="M445" i="48"/>
  <c r="D468" i="48"/>
  <c r="D467" i="48" s="1"/>
  <c r="D452" i="48" s="1"/>
  <c r="G468" i="48"/>
  <c r="G467" i="48" s="1"/>
  <c r="G452" i="48" s="1"/>
  <c r="J468" i="48"/>
  <c r="M468" i="48"/>
  <c r="M467" i="48" s="1"/>
  <c r="M452" i="48" s="1"/>
  <c r="D494" i="48"/>
  <c r="G494" i="48"/>
  <c r="J494" i="48"/>
  <c r="M494" i="48"/>
  <c r="D571" i="48"/>
  <c r="G571" i="48"/>
  <c r="J571" i="48"/>
  <c r="M571" i="48"/>
  <c r="D572" i="48"/>
  <c r="G572" i="48"/>
  <c r="J572" i="48"/>
  <c r="M572" i="48"/>
  <c r="D575" i="48"/>
  <c r="G575" i="48"/>
  <c r="J575" i="48"/>
  <c r="M575" i="48"/>
  <c r="D597" i="48"/>
  <c r="G597" i="48"/>
  <c r="J597" i="48"/>
  <c r="M597" i="48"/>
  <c r="M596" i="48" s="1"/>
  <c r="D632" i="48"/>
  <c r="G632" i="48"/>
  <c r="J632" i="48"/>
  <c r="M632" i="48"/>
  <c r="D633" i="48"/>
  <c r="G633" i="48"/>
  <c r="J633" i="48"/>
  <c r="M633" i="48"/>
  <c r="D664" i="48"/>
  <c r="G664" i="48"/>
  <c r="J664" i="48"/>
  <c r="M664" i="48"/>
  <c r="D665" i="48"/>
  <c r="G665" i="48"/>
  <c r="J665" i="48"/>
  <c r="M665" i="48"/>
  <c r="D666" i="48"/>
  <c r="G666" i="48"/>
  <c r="J666" i="48"/>
  <c r="M666" i="48"/>
  <c r="D667" i="48"/>
  <c r="G667" i="48"/>
  <c r="J667" i="48"/>
  <c r="M667" i="48"/>
  <c r="D668" i="48"/>
  <c r="G668" i="48"/>
  <c r="J668" i="48"/>
  <c r="M668" i="48"/>
  <c r="D669" i="48"/>
  <c r="G669" i="48"/>
  <c r="J669" i="48"/>
  <c r="M669" i="48"/>
  <c r="D670" i="48"/>
  <c r="G670" i="48"/>
  <c r="J670" i="48"/>
  <c r="M670" i="48"/>
  <c r="D705" i="48"/>
  <c r="G705" i="48"/>
  <c r="J705" i="48"/>
  <c r="M705" i="48"/>
  <c r="D789" i="48"/>
  <c r="G789" i="48"/>
  <c r="J789" i="48"/>
  <c r="M789" i="48"/>
  <c r="D790" i="48"/>
  <c r="G790" i="48"/>
  <c r="J790" i="48"/>
  <c r="M790" i="48"/>
  <c r="D791" i="48"/>
  <c r="G791" i="48"/>
  <c r="J791" i="48"/>
  <c r="M791" i="48"/>
  <c r="D792" i="48"/>
  <c r="G792" i="48"/>
  <c r="J792" i="48"/>
  <c r="M792" i="48"/>
  <c r="D822" i="48"/>
  <c r="G822" i="48"/>
  <c r="J822" i="48"/>
  <c r="J823" i="48"/>
  <c r="J824" i="48"/>
  <c r="M824" i="48"/>
  <c r="D825" i="48"/>
  <c r="G825" i="48"/>
  <c r="J825" i="48"/>
  <c r="M825" i="48"/>
  <c r="D827" i="48"/>
  <c r="G827" i="48"/>
  <c r="J827" i="48"/>
  <c r="M827" i="48"/>
  <c r="D828" i="48"/>
  <c r="G828" i="48"/>
  <c r="J828" i="48"/>
  <c r="M828" i="48"/>
  <c r="D829" i="48"/>
  <c r="G829" i="48"/>
  <c r="J829" i="48"/>
  <c r="M829" i="48"/>
  <c r="D830" i="48"/>
  <c r="G830" i="48"/>
  <c r="M830" i="48"/>
  <c r="D831" i="48"/>
  <c r="G831" i="48"/>
  <c r="J831" i="48"/>
  <c r="M831" i="48"/>
  <c r="D836" i="48"/>
  <c r="G836" i="48"/>
  <c r="J836" i="48"/>
  <c r="M836" i="48"/>
  <c r="D753" i="48"/>
  <c r="G753" i="48"/>
  <c r="J753" i="48"/>
  <c r="M753" i="48"/>
  <c r="D754" i="48"/>
  <c r="G754" i="48"/>
  <c r="J754" i="48"/>
  <c r="M754" i="48"/>
  <c r="D755" i="48"/>
  <c r="G755" i="48"/>
  <c r="J755" i="48"/>
  <c r="M755" i="48"/>
  <c r="D756" i="48"/>
  <c r="G756" i="48"/>
  <c r="J756" i="48"/>
  <c r="M756" i="48"/>
  <c r="D757" i="48"/>
  <c r="G757" i="48"/>
  <c r="J757" i="48"/>
  <c r="M757" i="48"/>
  <c r="D758" i="48"/>
  <c r="G758" i="48"/>
  <c r="J758" i="48"/>
  <c r="M758" i="48"/>
  <c r="D759" i="48"/>
  <c r="G759" i="48"/>
  <c r="J759" i="48"/>
  <c r="M759" i="48"/>
  <c r="D760" i="48"/>
  <c r="G760" i="48"/>
  <c r="J760" i="48"/>
  <c r="M760" i="48"/>
  <c r="D761" i="48"/>
  <c r="G761" i="48"/>
  <c r="J761" i="48"/>
  <c r="M761" i="48"/>
  <c r="D762" i="48"/>
  <c r="G762" i="48"/>
  <c r="J762" i="48"/>
  <c r="M762" i="48"/>
  <c r="D763" i="48"/>
  <c r="G763" i="48"/>
  <c r="J763" i="48"/>
  <c r="M763" i="48"/>
  <c r="D764" i="48"/>
  <c r="G764" i="48"/>
  <c r="J764" i="48"/>
  <c r="M764" i="48"/>
  <c r="D765" i="48"/>
  <c r="G765" i="48"/>
  <c r="J765" i="48"/>
  <c r="M765" i="48"/>
  <c r="D766" i="48"/>
  <c r="G766" i="48"/>
  <c r="J766" i="48"/>
  <c r="M766" i="48"/>
  <c r="D767" i="48"/>
  <c r="G767" i="48"/>
  <c r="J767" i="48"/>
  <c r="M767" i="48"/>
  <c r="D768" i="48"/>
  <c r="G768" i="48"/>
  <c r="J768" i="48"/>
  <c r="M768" i="48"/>
  <c r="D769" i="48"/>
  <c r="G769" i="48"/>
  <c r="J769" i="48"/>
  <c r="M769" i="48"/>
  <c r="D770" i="48"/>
  <c r="G770" i="48"/>
  <c r="J770" i="48"/>
  <c r="M770" i="48"/>
  <c r="D774" i="48"/>
  <c r="G774" i="48"/>
  <c r="J774" i="48"/>
  <c r="M774" i="48"/>
  <c r="D854" i="48"/>
  <c r="G854" i="48"/>
  <c r="J854" i="48"/>
  <c r="M854" i="48"/>
  <c r="D855" i="48"/>
  <c r="G855" i="48"/>
  <c r="J855" i="48"/>
  <c r="M855" i="48"/>
  <c r="D884" i="48"/>
  <c r="D883" i="48" s="1"/>
  <c r="D860" i="48" s="1"/>
  <c r="G884" i="48"/>
  <c r="G883" i="48" s="1"/>
  <c r="G860" i="48" s="1"/>
  <c r="J884" i="48"/>
  <c r="J883" i="48" s="1"/>
  <c r="J860" i="48" s="1"/>
  <c r="M884" i="48"/>
  <c r="M883" i="48" s="1"/>
  <c r="M860" i="48" s="1"/>
  <c r="D912" i="48"/>
  <c r="G912" i="48"/>
  <c r="J912" i="48"/>
  <c r="M912" i="48"/>
  <c r="D913" i="48"/>
  <c r="G913" i="48"/>
  <c r="J913" i="48"/>
  <c r="M913" i="48"/>
  <c r="D914" i="48"/>
  <c r="G914" i="48"/>
  <c r="J914" i="48"/>
  <c r="M914" i="48"/>
  <c r="D925" i="48"/>
  <c r="G925" i="48"/>
  <c r="J925" i="48"/>
  <c r="M925" i="48"/>
  <c r="D977" i="48"/>
  <c r="G977" i="48"/>
  <c r="J977" i="48"/>
  <c r="M977" i="48"/>
  <c r="D978" i="48"/>
  <c r="G978" i="48"/>
  <c r="J978" i="48"/>
  <c r="M978" i="48"/>
  <c r="D989" i="48"/>
  <c r="D988" i="48" s="1"/>
  <c r="D983" i="48" s="1"/>
  <c r="G989" i="48"/>
  <c r="G988" i="48" s="1"/>
  <c r="G983" i="48" s="1"/>
  <c r="J989" i="48"/>
  <c r="J988" i="48" s="1"/>
  <c r="J983" i="48" s="1"/>
  <c r="M989" i="48"/>
  <c r="M988" i="48" s="1"/>
  <c r="M983" i="48" s="1"/>
  <c r="D1028" i="48"/>
  <c r="G1028" i="48"/>
  <c r="J1028" i="48"/>
  <c r="M1028" i="48"/>
  <c r="D1029" i="48"/>
  <c r="G1029" i="48"/>
  <c r="J1029" i="48"/>
  <c r="M1029" i="48"/>
  <c r="D1030" i="48"/>
  <c r="G1030" i="48"/>
  <c r="J1030" i="48"/>
  <c r="M1030" i="48"/>
  <c r="D1031" i="48"/>
  <c r="G1031" i="48"/>
  <c r="J1031" i="48"/>
  <c r="M1031" i="48"/>
  <c r="D1032" i="48"/>
  <c r="G1032" i="48"/>
  <c r="J1032" i="48"/>
  <c r="M1032" i="48"/>
  <c r="D1033" i="48"/>
  <c r="G1033" i="48"/>
  <c r="J1033" i="48"/>
  <c r="M1033" i="48"/>
  <c r="D1034" i="48"/>
  <c r="G1034" i="48"/>
  <c r="J1034" i="48"/>
  <c r="M1034" i="48"/>
  <c r="D1035" i="48"/>
  <c r="G1035" i="48"/>
  <c r="J1035" i="48"/>
  <c r="M1035" i="48"/>
  <c r="D1063" i="48"/>
  <c r="G1063" i="48"/>
  <c r="J1063" i="48"/>
  <c r="M1063" i="48"/>
  <c r="D1064" i="48"/>
  <c r="G1064" i="48"/>
  <c r="J1064" i="48"/>
  <c r="M1064" i="48"/>
  <c r="D1065" i="48"/>
  <c r="G1065" i="48"/>
  <c r="J1065" i="48"/>
  <c r="M1065" i="48"/>
  <c r="D1066" i="48"/>
  <c r="G1066" i="48"/>
  <c r="J1066" i="48"/>
  <c r="M1066" i="48"/>
  <c r="D1067" i="48"/>
  <c r="G1067" i="48"/>
  <c r="J1067" i="48"/>
  <c r="M1067" i="48"/>
  <c r="D1068" i="48"/>
  <c r="G1068" i="48"/>
  <c r="J1068" i="48"/>
  <c r="M1068" i="48"/>
  <c r="D1131" i="48"/>
  <c r="G1131" i="48"/>
  <c r="J1131" i="48"/>
  <c r="M1131" i="48"/>
  <c r="D1171" i="48"/>
  <c r="G1171" i="48"/>
  <c r="J1171" i="48"/>
  <c r="M1171" i="48"/>
  <c r="D1172" i="48"/>
  <c r="G1172" i="48"/>
  <c r="J1172" i="48"/>
  <c r="M1172" i="48"/>
  <c r="D1200" i="48"/>
  <c r="D1199" i="48" s="1"/>
  <c r="D1190" i="48" s="1"/>
  <c r="G1200" i="48"/>
  <c r="G1199" i="48" s="1"/>
  <c r="G1190" i="48" s="1"/>
  <c r="J1200" i="48"/>
  <c r="J1199" i="48" s="1"/>
  <c r="J1190" i="48" s="1"/>
  <c r="M1200" i="48"/>
  <c r="D1249" i="48"/>
  <c r="G1249" i="48"/>
  <c r="J1249" i="48"/>
  <c r="M1249" i="48"/>
  <c r="D1274" i="48"/>
  <c r="D1273" i="48" s="1"/>
  <c r="G1274" i="48"/>
  <c r="G1273" i="48" s="1"/>
  <c r="J1274" i="48"/>
  <c r="J1273" i="48" s="1"/>
  <c r="M1274" i="48"/>
  <c r="M1273" i="48" s="1"/>
  <c r="D1312" i="48"/>
  <c r="D1311" i="48" s="1"/>
  <c r="D1284" i="48" s="1"/>
  <c r="G1312" i="48"/>
  <c r="G1311" i="48" s="1"/>
  <c r="G1284" i="48" s="1"/>
  <c r="J1312" i="48"/>
  <c r="M1312" i="48"/>
  <c r="M1311" i="48" s="1"/>
  <c r="M1284" i="48" s="1"/>
  <c r="D1371" i="48"/>
  <c r="G1371" i="48"/>
  <c r="J1371" i="48"/>
  <c r="M1371" i="48"/>
  <c r="D1372" i="48"/>
  <c r="G1372" i="48"/>
  <c r="J1372" i="48"/>
  <c r="M1372" i="48"/>
  <c r="D1373" i="48"/>
  <c r="G1373" i="48"/>
  <c r="J1373" i="48"/>
  <c r="M1373" i="48"/>
  <c r="D1466" i="48"/>
  <c r="G1466" i="48"/>
  <c r="J1466" i="48"/>
  <c r="M1466" i="48"/>
  <c r="D1467" i="48"/>
  <c r="G1467" i="48"/>
  <c r="J1467" i="48"/>
  <c r="M1467" i="48"/>
  <c r="D1468" i="48"/>
  <c r="G1468" i="48"/>
  <c r="J1468" i="48"/>
  <c r="M1468" i="48"/>
  <c r="D1469" i="48"/>
  <c r="G1469" i="48"/>
  <c r="J1469" i="48"/>
  <c r="M1469" i="48"/>
  <c r="D1498" i="48"/>
  <c r="D1497" i="48" s="1"/>
  <c r="D1484" i="48" s="1"/>
  <c r="G1498" i="48"/>
  <c r="G1497" i="48" s="1"/>
  <c r="G1484" i="48" s="1"/>
  <c r="J1498" i="48"/>
  <c r="J1497" i="48" s="1"/>
  <c r="J1484" i="48" s="1"/>
  <c r="M1498" i="48"/>
  <c r="M1497" i="48" s="1"/>
  <c r="M1484" i="48" s="1"/>
  <c r="D1516" i="48"/>
  <c r="G1516" i="48"/>
  <c r="M1516" i="48"/>
  <c r="D1517" i="48"/>
  <c r="G1517" i="48"/>
  <c r="J1517" i="48"/>
  <c r="M1517" i="48"/>
  <c r="D1540" i="48"/>
  <c r="G1540" i="48"/>
  <c r="J1540" i="48"/>
  <c r="M1540" i="48"/>
  <c r="D1541" i="48"/>
  <c r="G1541" i="48"/>
  <c r="J1541" i="48"/>
  <c r="M1541" i="48"/>
  <c r="D1594" i="48"/>
  <c r="G1594" i="48"/>
  <c r="J1594" i="48"/>
  <c r="M1594" i="48"/>
  <c r="D1595" i="48"/>
  <c r="G1595" i="48"/>
  <c r="J1595" i="48"/>
  <c r="M1595" i="48"/>
  <c r="D1596" i="48"/>
  <c r="G1596" i="48"/>
  <c r="J1596" i="48"/>
  <c r="M1596" i="48"/>
  <c r="D1597" i="48"/>
  <c r="G1597" i="48"/>
  <c r="J1597" i="48"/>
  <c r="M1597" i="48"/>
  <c r="D1598" i="48"/>
  <c r="G1598" i="48"/>
  <c r="J1598" i="48"/>
  <c r="M1598" i="48"/>
  <c r="D1599" i="48"/>
  <c r="G1599" i="48"/>
  <c r="J1599" i="48"/>
  <c r="M1599" i="48"/>
  <c r="D1567" i="48"/>
  <c r="G1567" i="48"/>
  <c r="J1567" i="48"/>
  <c r="M1567" i="48"/>
  <c r="D1568" i="48"/>
  <c r="G1568" i="48"/>
  <c r="J1568" i="48"/>
  <c r="M1568" i="48"/>
  <c r="D1569" i="48"/>
  <c r="G1569" i="48"/>
  <c r="J1569" i="48"/>
  <c r="M1569" i="48"/>
  <c r="D1628" i="48"/>
  <c r="G1628" i="48"/>
  <c r="J1628" i="48"/>
  <c r="M1628" i="48"/>
  <c r="D1629" i="48"/>
  <c r="G1629" i="48"/>
  <c r="J1629" i="48"/>
  <c r="M1629" i="48"/>
  <c r="D1630" i="48"/>
  <c r="G1630" i="48"/>
  <c r="J1630" i="48"/>
  <c r="M1630" i="48"/>
  <c r="D1641" i="48"/>
  <c r="G1641" i="48"/>
  <c r="J1641" i="48"/>
  <c r="M1641" i="48"/>
  <c r="D1642" i="48"/>
  <c r="G1642" i="48"/>
  <c r="J1642" i="48"/>
  <c r="M1642" i="48"/>
  <c r="D1643" i="48"/>
  <c r="G1643" i="48"/>
  <c r="J1643" i="48"/>
  <c r="M1643" i="48"/>
  <c r="D1644" i="48"/>
  <c r="G1644" i="48"/>
  <c r="J1644" i="48"/>
  <c r="M1644" i="48"/>
  <c r="D1645" i="48"/>
  <c r="G1645" i="48"/>
  <c r="J1645" i="48"/>
  <c r="M1645" i="48"/>
  <c r="D1647" i="48"/>
  <c r="G1647" i="48"/>
  <c r="J1647" i="48"/>
  <c r="M1647" i="48"/>
  <c r="D1663" i="48"/>
  <c r="G1663" i="48"/>
  <c r="J1663" i="48"/>
  <c r="M1663" i="48"/>
  <c r="D1664" i="48"/>
  <c r="G1664" i="48"/>
  <c r="J1664" i="48"/>
  <c r="M1664" i="48"/>
  <c r="E15" i="48"/>
  <c r="E16" i="48"/>
  <c r="E17" i="48"/>
  <c r="E18" i="48"/>
  <c r="E19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45" i="48"/>
  <c r="E38" i="48"/>
  <c r="E39" i="48"/>
  <c r="E43" i="48"/>
  <c r="E40" i="48"/>
  <c r="E44" i="48"/>
  <c r="E41" i="48"/>
  <c r="E42" i="48"/>
  <c r="E46" i="48"/>
  <c r="E47" i="48"/>
  <c r="E48" i="48"/>
  <c r="E51" i="48"/>
  <c r="E52" i="48"/>
  <c r="E53" i="48"/>
  <c r="E54" i="48"/>
  <c r="E55" i="48"/>
  <c r="E57" i="48"/>
  <c r="E58" i="48"/>
  <c r="E59" i="48"/>
  <c r="E60" i="48"/>
  <c r="E61" i="48"/>
  <c r="E62" i="48"/>
  <c r="E63" i="48"/>
  <c r="E64" i="48"/>
  <c r="E65" i="48"/>
  <c r="E66" i="48"/>
  <c r="E68" i="48"/>
  <c r="E69" i="48"/>
  <c r="E70" i="48"/>
  <c r="E72" i="48"/>
  <c r="M1677" i="48"/>
  <c r="AN1692" i="21"/>
  <c r="Y1692" i="21"/>
  <c r="S1692" i="21"/>
  <c r="M1692" i="21"/>
  <c r="J1692" i="21"/>
  <c r="AY1683" i="21"/>
  <c r="D1716" i="48"/>
  <c r="G1716" i="48"/>
  <c r="J1716" i="48"/>
  <c r="M1716" i="48"/>
  <c r="D1715" i="48"/>
  <c r="G1715" i="48"/>
  <c r="J1715" i="48"/>
  <c r="M1715" i="48"/>
  <c r="D1714" i="48"/>
  <c r="G1714" i="48"/>
  <c r="J1714" i="48"/>
  <c r="M1714" i="48"/>
  <c r="D1713" i="48"/>
  <c r="G1713" i="48"/>
  <c r="J1713" i="48"/>
  <c r="M1713" i="48"/>
  <c r="D1492" i="48"/>
  <c r="G1492" i="48"/>
  <c r="J1492" i="48"/>
  <c r="M1492" i="48"/>
  <c r="N62" i="48"/>
  <c r="K62" i="48"/>
  <c r="H62" i="48"/>
  <c r="D1025" i="48"/>
  <c r="D253" i="48"/>
  <c r="AY1397" i="21"/>
  <c r="AY1728" i="21"/>
  <c r="AY1721" i="21"/>
  <c r="AY1720" i="21" s="1"/>
  <c r="AY1727" i="21"/>
  <c r="AY139" i="21"/>
  <c r="AY177" i="21"/>
  <c r="AY309" i="21"/>
  <c r="AY324" i="21"/>
  <c r="AY459" i="21"/>
  <c r="AY373" i="21" s="1"/>
  <c r="AY684" i="21"/>
  <c r="AY541" i="21" s="1"/>
  <c r="AY947" i="21"/>
  <c r="AY1048" i="21"/>
  <c r="AY1002" i="21" s="1"/>
  <c r="AY1291" i="21"/>
  <c r="AY1085" i="21" s="1"/>
  <c r="AY548" i="21"/>
  <c r="AY612" i="21"/>
  <c r="AY1184" i="21"/>
  <c r="AY1153" i="21"/>
  <c r="AY1398" i="21"/>
  <c r="AY1448" i="21"/>
  <c r="AY1480" i="21"/>
  <c r="AY1479" i="21" s="1"/>
  <c r="AY1663" i="21"/>
  <c r="AY89" i="21"/>
  <c r="AY106" i="21"/>
  <c r="AY116" i="21"/>
  <c r="AY159" i="21"/>
  <c r="AY178" i="21"/>
  <c r="AY188" i="21"/>
  <c r="AY287" i="21"/>
  <c r="AY316" i="21"/>
  <c r="AY337" i="21"/>
  <c r="AY357" i="21"/>
  <c r="AY209" i="21"/>
  <c r="AY255" i="21"/>
  <c r="AY379" i="21"/>
  <c r="AY386" i="21"/>
  <c r="AY396" i="21"/>
  <c r="AY418" i="21"/>
  <c r="AY431" i="21"/>
  <c r="AY461" i="21"/>
  <c r="AY519" i="21"/>
  <c r="AY481" i="21"/>
  <c r="AY550" i="21"/>
  <c r="AY601" i="21"/>
  <c r="AY613" i="21"/>
  <c r="AY646" i="21"/>
  <c r="AY685" i="21"/>
  <c r="AY791" i="21"/>
  <c r="AY804" i="21"/>
  <c r="AY731" i="21"/>
  <c r="AY857" i="21"/>
  <c r="AY869" i="21"/>
  <c r="AY897" i="21"/>
  <c r="AY949" i="21"/>
  <c r="AY980" i="21"/>
  <c r="AY992" i="21"/>
  <c r="AY1006" i="21"/>
  <c r="AY1049" i="21"/>
  <c r="AY1126" i="21"/>
  <c r="AY1170" i="21"/>
  <c r="AY1199" i="21"/>
  <c r="AY1214" i="21"/>
  <c r="AY1293" i="21"/>
  <c r="AY1337" i="21"/>
  <c r="AY1399" i="21"/>
  <c r="AY1394" i="21" s="1"/>
  <c r="AY1465" i="21"/>
  <c r="AY1462" i="21" s="1"/>
  <c r="AY1493" i="21"/>
  <c r="AY1511" i="21"/>
  <c r="AY1530" i="21"/>
  <c r="AY1583" i="21"/>
  <c r="AY1553" i="21"/>
  <c r="AY1622" i="21"/>
  <c r="AY1642" i="21"/>
  <c r="AY1664" i="21"/>
  <c r="AY88" i="21"/>
  <c r="AY105" i="21"/>
  <c r="AY114" i="21"/>
  <c r="AY138" i="21"/>
  <c r="AY137" i="21" s="1"/>
  <c r="AY170" i="21"/>
  <c r="AY169" i="21" s="1"/>
  <c r="AY176" i="21"/>
  <c r="AY187" i="21"/>
  <c r="AY285" i="21"/>
  <c r="AY296" i="21"/>
  <c r="AY295" i="21" s="1"/>
  <c r="AY308" i="21"/>
  <c r="AY322" i="21"/>
  <c r="AY336" i="21"/>
  <c r="AY208" i="21"/>
  <c r="AY253" i="21"/>
  <c r="AY378" i="21"/>
  <c r="AY385" i="21"/>
  <c r="AY417" i="21"/>
  <c r="AY428" i="21"/>
  <c r="AY457" i="21"/>
  <c r="AY517" i="21"/>
  <c r="AY529" i="21"/>
  <c r="AY600" i="21"/>
  <c r="AY609" i="21"/>
  <c r="AY644" i="21"/>
  <c r="AY790" i="21"/>
  <c r="AY856" i="21"/>
  <c r="AY855" i="21" s="1"/>
  <c r="AY895" i="21"/>
  <c r="AY945" i="21"/>
  <c r="AY979" i="21"/>
  <c r="AY990" i="21"/>
  <c r="AY1005" i="21"/>
  <c r="AY1046" i="21"/>
  <c r="AY1123" i="21"/>
  <c r="AY1151" i="21"/>
  <c r="AY1183" i="21"/>
  <c r="AY1197" i="21"/>
  <c r="AY1211" i="21"/>
  <c r="AY1289" i="21"/>
  <c r="AY1333" i="21"/>
  <c r="AY1464" i="21"/>
  <c r="AY1460" i="21" s="1"/>
  <c r="AY1509" i="21"/>
  <c r="AY1528" i="21"/>
  <c r="AY1581" i="21"/>
  <c r="AY1611" i="21"/>
  <c r="AY1620" i="21"/>
  <c r="AY1641" i="21"/>
  <c r="AY1661" i="21"/>
  <c r="AY1717" i="21"/>
  <c r="AY1716" i="21" s="1"/>
  <c r="AY1682" i="21"/>
  <c r="AY1693" i="21"/>
  <c r="AY1692" i="21" s="1"/>
  <c r="AY115" i="21"/>
  <c r="AY323" i="21"/>
  <c r="AY356" i="21"/>
  <c r="AY205" i="21"/>
  <c r="AY395" i="21"/>
  <c r="AY429" i="21"/>
  <c r="AY458" i="21"/>
  <c r="AY530" i="21"/>
  <c r="AY480" i="21"/>
  <c r="AY547" i="21"/>
  <c r="AY610" i="21"/>
  <c r="AY645" i="21"/>
  <c r="AY683" i="21"/>
  <c r="AY867" i="21"/>
  <c r="AY899" i="21"/>
  <c r="AY905" i="21"/>
  <c r="AY910" i="21"/>
  <c r="AY953" i="21"/>
  <c r="AY960" i="21"/>
  <c r="AY966" i="21"/>
  <c r="AY969" i="21"/>
  <c r="AY991" i="21"/>
  <c r="AY1050" i="21"/>
  <c r="AY1124" i="21"/>
  <c r="AY1385" i="21"/>
  <c r="AY1159" i="21"/>
  <c r="AY1152" i="21" s="1"/>
  <c r="AY1212" i="21"/>
  <c r="AY1290" i="21"/>
  <c r="AY1323" i="21"/>
  <c r="AY1322" i="21" s="1"/>
  <c r="AY1345" i="21"/>
  <c r="AY1334" i="21" s="1"/>
  <c r="AY1529" i="21"/>
  <c r="AY1582" i="21"/>
  <c r="AY1612" i="21"/>
  <c r="AY1662" i="21"/>
  <c r="AX82" i="21"/>
  <c r="AX370" i="21"/>
  <c r="K34" i="44" s="1"/>
  <c r="AX538" i="21"/>
  <c r="N34" i="44" s="1"/>
  <c r="AX849" i="21"/>
  <c r="D6" i="44" s="1"/>
  <c r="AX1082" i="21"/>
  <c r="D62" i="44" s="1"/>
  <c r="AX1459" i="21"/>
  <c r="AX1454" i="21" s="1"/>
  <c r="Q34" i="44" s="1"/>
  <c r="AX1674" i="21"/>
  <c r="T34" i="44" s="1"/>
  <c r="L87" i="21"/>
  <c r="L101" i="21"/>
  <c r="L104" i="21"/>
  <c r="L113" i="21"/>
  <c r="L150" i="21"/>
  <c r="L157" i="21"/>
  <c r="L169" i="21"/>
  <c r="L175" i="21"/>
  <c r="L186" i="21"/>
  <c r="L284" i="21"/>
  <c r="L295" i="21"/>
  <c r="L307" i="21"/>
  <c r="L314" i="21"/>
  <c r="L321" i="21"/>
  <c r="L335" i="21"/>
  <c r="L354" i="21"/>
  <c r="L207" i="21"/>
  <c r="L252" i="21"/>
  <c r="O87" i="21"/>
  <c r="O101" i="21"/>
  <c r="O104" i="21"/>
  <c r="O113" i="21"/>
  <c r="O150" i="21"/>
  <c r="O157" i="21"/>
  <c r="O169" i="21"/>
  <c r="O175" i="21"/>
  <c r="O186" i="21"/>
  <c r="O284" i="21"/>
  <c r="O295" i="21"/>
  <c r="O307" i="21"/>
  <c r="O314" i="21"/>
  <c r="O321" i="21"/>
  <c r="O335" i="21"/>
  <c r="O354" i="21"/>
  <c r="O207" i="21"/>
  <c r="O252" i="21"/>
  <c r="R87" i="21"/>
  <c r="R101" i="21"/>
  <c r="R104" i="21"/>
  <c r="R113" i="21"/>
  <c r="R150" i="21"/>
  <c r="R157" i="21"/>
  <c r="R169" i="21"/>
  <c r="R175" i="21"/>
  <c r="R186" i="21"/>
  <c r="R284" i="21"/>
  <c r="R295" i="21"/>
  <c r="R307" i="21"/>
  <c r="R314" i="21"/>
  <c r="R321" i="21"/>
  <c r="R335" i="21"/>
  <c r="R354" i="21"/>
  <c r="R207" i="21"/>
  <c r="R252" i="21"/>
  <c r="U87" i="21"/>
  <c r="U101" i="21"/>
  <c r="U104" i="21"/>
  <c r="U113" i="21"/>
  <c r="U150" i="21"/>
  <c r="U157" i="21"/>
  <c r="U169" i="21"/>
  <c r="U175" i="21"/>
  <c r="U186" i="21"/>
  <c r="U284" i="21"/>
  <c r="U295" i="21"/>
  <c r="U307" i="21"/>
  <c r="U314" i="21"/>
  <c r="U321" i="21"/>
  <c r="U335" i="21"/>
  <c r="U354" i="21"/>
  <c r="U207" i="21"/>
  <c r="U252" i="21"/>
  <c r="X87" i="21"/>
  <c r="X101" i="21"/>
  <c r="X104" i="21"/>
  <c r="X113" i="21"/>
  <c r="X150" i="21"/>
  <c r="X157" i="21"/>
  <c r="X169" i="21"/>
  <c r="X175" i="21"/>
  <c r="X186" i="21"/>
  <c r="X284" i="21"/>
  <c r="X295" i="21"/>
  <c r="X307" i="21"/>
  <c r="X314" i="21"/>
  <c r="X321" i="21"/>
  <c r="X335" i="21"/>
  <c r="X354" i="21"/>
  <c r="X207" i="21"/>
  <c r="X252" i="21"/>
  <c r="AA87" i="21"/>
  <c r="AA101" i="21"/>
  <c r="AA104" i="21"/>
  <c r="AA113" i="21"/>
  <c r="AA150" i="21"/>
  <c r="AA157" i="21"/>
  <c r="AA169" i="21"/>
  <c r="AA175" i="21"/>
  <c r="AA186" i="21"/>
  <c r="AA284" i="21"/>
  <c r="AA295" i="21"/>
  <c r="AA307" i="21"/>
  <c r="AA314" i="21"/>
  <c r="AA321" i="21"/>
  <c r="AA335" i="21"/>
  <c r="AA354" i="21"/>
  <c r="AA207" i="21"/>
  <c r="AA252" i="21"/>
  <c r="AD87" i="21"/>
  <c r="AD101" i="21"/>
  <c r="AD104" i="21"/>
  <c r="AD113" i="21"/>
  <c r="AD150" i="21"/>
  <c r="AD157" i="21"/>
  <c r="AD169" i="21"/>
  <c r="AD175" i="21"/>
  <c r="AD186" i="21"/>
  <c r="AD284" i="21"/>
  <c r="AD295" i="21"/>
  <c r="AD307" i="21"/>
  <c r="AD314" i="21"/>
  <c r="AD321" i="21"/>
  <c r="AD335" i="21"/>
  <c r="AD354" i="21"/>
  <c r="AD207" i="21"/>
  <c r="AD252" i="21"/>
  <c r="AG87" i="21"/>
  <c r="AG101" i="21"/>
  <c r="AG104" i="21"/>
  <c r="AG113" i="21"/>
  <c r="AG150" i="21"/>
  <c r="AG157" i="21"/>
  <c r="AG169" i="21"/>
  <c r="AG175" i="21"/>
  <c r="AG186" i="21"/>
  <c r="AG284" i="21"/>
  <c r="AG295" i="21"/>
  <c r="AG307" i="21"/>
  <c r="AG314" i="21"/>
  <c r="AG321" i="21"/>
  <c r="AG335" i="21"/>
  <c r="AG354" i="21"/>
  <c r="AG207" i="21"/>
  <c r="AG252" i="21"/>
  <c r="AJ87" i="21"/>
  <c r="AJ101" i="21"/>
  <c r="AJ104" i="21"/>
  <c r="AJ113" i="21"/>
  <c r="AJ150" i="21"/>
  <c r="AJ157" i="21"/>
  <c r="AJ169" i="21"/>
  <c r="AJ175" i="21"/>
  <c r="AJ186" i="21"/>
  <c r="AJ284" i="21"/>
  <c r="AJ295" i="21"/>
  <c r="AJ307" i="21"/>
  <c r="AJ314" i="21"/>
  <c r="AJ321" i="21"/>
  <c r="AJ335" i="21"/>
  <c r="AJ354" i="21"/>
  <c r="AJ207" i="21"/>
  <c r="AJ252" i="21"/>
  <c r="AM87" i="21"/>
  <c r="AM101" i="21"/>
  <c r="AM104" i="21"/>
  <c r="AM113" i="21"/>
  <c r="AM150" i="21"/>
  <c r="AM157" i="21"/>
  <c r="AM169" i="21"/>
  <c r="AM175" i="21"/>
  <c r="AM186" i="21"/>
  <c r="AM284" i="21"/>
  <c r="AM295" i="21"/>
  <c r="AM307" i="21"/>
  <c r="AM314" i="21"/>
  <c r="AM321" i="21"/>
  <c r="AM335" i="21"/>
  <c r="AM354" i="21"/>
  <c r="AM207" i="21"/>
  <c r="AM252" i="21"/>
  <c r="AP87" i="21"/>
  <c r="AP101" i="21"/>
  <c r="AP104" i="21"/>
  <c r="AP113" i="21"/>
  <c r="AP150" i="21"/>
  <c r="AP157" i="21"/>
  <c r="AP169" i="21"/>
  <c r="AP175" i="21"/>
  <c r="AP186" i="21"/>
  <c r="AP284" i="21"/>
  <c r="AP295" i="21"/>
  <c r="AP307" i="21"/>
  <c r="AP314" i="21"/>
  <c r="AP321" i="21"/>
  <c r="AP335" i="21"/>
  <c r="AP354" i="21"/>
  <c r="AP207" i="21"/>
  <c r="AP252" i="21"/>
  <c r="AS87" i="21"/>
  <c r="AS101" i="21"/>
  <c r="AS104" i="21"/>
  <c r="AS113" i="21"/>
  <c r="AS137" i="21"/>
  <c r="AS150" i="21"/>
  <c r="AS157" i="21"/>
  <c r="AS169" i="21"/>
  <c r="AS175" i="21"/>
  <c r="AS186" i="21"/>
  <c r="AS284" i="21"/>
  <c r="AS295" i="21"/>
  <c r="AS307" i="21"/>
  <c r="AS314" i="21"/>
  <c r="AS321" i="21"/>
  <c r="AS335" i="21"/>
  <c r="AS354" i="21"/>
  <c r="AS207" i="21"/>
  <c r="AS252" i="21"/>
  <c r="L377" i="21"/>
  <c r="L384" i="21"/>
  <c r="L393" i="21"/>
  <c r="L416" i="21"/>
  <c r="L427" i="21"/>
  <c r="L456" i="21"/>
  <c r="L516" i="21"/>
  <c r="L528" i="21"/>
  <c r="O377" i="21"/>
  <c r="O384" i="21"/>
  <c r="O393" i="21"/>
  <c r="O416" i="21"/>
  <c r="O427" i="21"/>
  <c r="O456" i="21"/>
  <c r="O516" i="21"/>
  <c r="O528" i="21"/>
  <c r="R377" i="21"/>
  <c r="R384" i="21"/>
  <c r="R393" i="21"/>
  <c r="R416" i="21"/>
  <c r="R427" i="21"/>
  <c r="R456" i="21"/>
  <c r="R516" i="21"/>
  <c r="R528" i="21"/>
  <c r="U377" i="21"/>
  <c r="U384" i="21"/>
  <c r="U393" i="21"/>
  <c r="U416" i="21"/>
  <c r="U427" i="21"/>
  <c r="U456" i="21"/>
  <c r="U516" i="21"/>
  <c r="U528" i="21"/>
  <c r="U478" i="21"/>
  <c r="X377" i="21"/>
  <c r="X384" i="21"/>
  <c r="X393" i="21"/>
  <c r="X416" i="21"/>
  <c r="X427" i="21"/>
  <c r="X456" i="21"/>
  <c r="X516" i="21"/>
  <c r="X528" i="21"/>
  <c r="X478" i="21"/>
  <c r="AA377" i="21"/>
  <c r="AA384" i="21"/>
  <c r="AA393" i="21"/>
  <c r="AA416" i="21"/>
  <c r="AA427" i="21"/>
  <c r="AA456" i="21"/>
  <c r="AA516" i="21"/>
  <c r="AA528" i="21"/>
  <c r="AA478" i="21"/>
  <c r="AD377" i="21"/>
  <c r="AD384" i="21"/>
  <c r="AD393" i="21"/>
  <c r="AD416" i="21"/>
  <c r="AD427" i="21"/>
  <c r="AD456" i="21"/>
  <c r="AD516" i="21"/>
  <c r="AD528" i="21"/>
  <c r="AD478" i="21"/>
  <c r="AG377" i="21"/>
  <c r="AG384" i="21"/>
  <c r="AG393" i="21"/>
  <c r="AG416" i="21"/>
  <c r="AG427" i="21"/>
  <c r="AG456" i="21"/>
  <c r="AG516" i="21"/>
  <c r="AG528" i="21"/>
  <c r="AG478" i="21"/>
  <c r="AJ377" i="21"/>
  <c r="AJ384" i="21"/>
  <c r="AJ393" i="21"/>
  <c r="AJ416" i="21"/>
  <c r="AJ427" i="21"/>
  <c r="AJ456" i="21"/>
  <c r="AJ516" i="21"/>
  <c r="AJ528" i="21"/>
  <c r="AJ478" i="21"/>
  <c r="AM377" i="21"/>
  <c r="AM384" i="21"/>
  <c r="AM393" i="21"/>
  <c r="AM416" i="21"/>
  <c r="AM427" i="21"/>
  <c r="AM456" i="21"/>
  <c r="AM516" i="21"/>
  <c r="AM528" i="21"/>
  <c r="AM478" i="21"/>
  <c r="AP377" i="21"/>
  <c r="AP384" i="21"/>
  <c r="AP393" i="21"/>
  <c r="AP416" i="21"/>
  <c r="AP427" i="21"/>
  <c r="AP456" i="21"/>
  <c r="AP516" i="21"/>
  <c r="AP528" i="21"/>
  <c r="AP478" i="21"/>
  <c r="AS377" i="21"/>
  <c r="AS384" i="21"/>
  <c r="AS393" i="21"/>
  <c r="AS416" i="21"/>
  <c r="AS427" i="21"/>
  <c r="AS456" i="21"/>
  <c r="AS516" i="21"/>
  <c r="AS528" i="21"/>
  <c r="AS478" i="21"/>
  <c r="L585" i="21"/>
  <c r="L599" i="21"/>
  <c r="L608" i="21"/>
  <c r="L643" i="21"/>
  <c r="L681" i="21"/>
  <c r="L789" i="21"/>
  <c r="L802" i="21"/>
  <c r="L729" i="21"/>
  <c r="O585" i="21"/>
  <c r="O599" i="21"/>
  <c r="O608" i="21"/>
  <c r="O643" i="21"/>
  <c r="O681" i="21"/>
  <c r="O789" i="21"/>
  <c r="O802" i="21"/>
  <c r="O729" i="21"/>
  <c r="R585" i="21"/>
  <c r="R599" i="21"/>
  <c r="R608" i="21"/>
  <c r="R643" i="21"/>
  <c r="R681" i="21"/>
  <c r="R789" i="21"/>
  <c r="R802" i="21"/>
  <c r="R729" i="21"/>
  <c r="U585" i="21"/>
  <c r="U599" i="21"/>
  <c r="U608" i="21"/>
  <c r="U643" i="21"/>
  <c r="U681" i="21"/>
  <c r="U789" i="21"/>
  <c r="U802" i="21"/>
  <c r="U729" i="21"/>
  <c r="X585" i="21"/>
  <c r="X599" i="21"/>
  <c r="X608" i="21"/>
  <c r="X643" i="21"/>
  <c r="X681" i="21"/>
  <c r="X789" i="21"/>
  <c r="X802" i="21"/>
  <c r="X729" i="21"/>
  <c r="AA585" i="21"/>
  <c r="AA599" i="21"/>
  <c r="AA608" i="21"/>
  <c r="AA643" i="21"/>
  <c r="AA681" i="21"/>
  <c r="AA789" i="21"/>
  <c r="AA802" i="21"/>
  <c r="AA729" i="21"/>
  <c r="AD585" i="21"/>
  <c r="AD599" i="21"/>
  <c r="AD608" i="21"/>
  <c r="AD643" i="21"/>
  <c r="AD681" i="21"/>
  <c r="AD789" i="21"/>
  <c r="AD802" i="21"/>
  <c r="AD729" i="21"/>
  <c r="AG585" i="21"/>
  <c r="AG599" i="21"/>
  <c r="AG608" i="21"/>
  <c r="AG643" i="21"/>
  <c r="AG681" i="21"/>
  <c r="AG789" i="21"/>
  <c r="AG802" i="21"/>
  <c r="AG729" i="21"/>
  <c r="AJ585" i="21"/>
  <c r="AJ599" i="21"/>
  <c r="AJ608" i="21"/>
  <c r="AJ643" i="21"/>
  <c r="AJ681" i="21"/>
  <c r="AJ789" i="21"/>
  <c r="AJ802" i="21"/>
  <c r="AJ729" i="21"/>
  <c r="AM585" i="21"/>
  <c r="AM599" i="21"/>
  <c r="AM608" i="21"/>
  <c r="AM643" i="21"/>
  <c r="AM681" i="21"/>
  <c r="AM789" i="21"/>
  <c r="AM802" i="21"/>
  <c r="AM729" i="21"/>
  <c r="AP585" i="21"/>
  <c r="AP599" i="21"/>
  <c r="AP608" i="21"/>
  <c r="AP643" i="21"/>
  <c r="AP681" i="21"/>
  <c r="AP789" i="21"/>
  <c r="AP802" i="21"/>
  <c r="AP729" i="21"/>
  <c r="AS585" i="21"/>
  <c r="AS599" i="21"/>
  <c r="AS608" i="21"/>
  <c r="AS643" i="21"/>
  <c r="AS681" i="21"/>
  <c r="AS789" i="21"/>
  <c r="AS802" i="21"/>
  <c r="AS729" i="21"/>
  <c r="L855" i="21"/>
  <c r="L865" i="21"/>
  <c r="L894" i="21"/>
  <c r="L944" i="21"/>
  <c r="L924" i="21"/>
  <c r="L978" i="21"/>
  <c r="L989" i="21"/>
  <c r="L1004" i="21"/>
  <c r="L1045" i="21"/>
  <c r="O855" i="21"/>
  <c r="O865" i="21"/>
  <c r="F23" i="30" s="1"/>
  <c r="O894" i="21"/>
  <c r="O944" i="21"/>
  <c r="O924" i="21"/>
  <c r="O978" i="21"/>
  <c r="O989" i="21"/>
  <c r="O1004" i="21"/>
  <c r="O1045" i="21"/>
  <c r="R855" i="21"/>
  <c r="R865" i="21"/>
  <c r="R894" i="21"/>
  <c r="R944" i="21"/>
  <c r="R924" i="21"/>
  <c r="R978" i="21"/>
  <c r="R989" i="21"/>
  <c r="R1004" i="21"/>
  <c r="R1045" i="21"/>
  <c r="U855" i="21"/>
  <c r="U865" i="21"/>
  <c r="U894" i="21"/>
  <c r="U944" i="21"/>
  <c r="U924" i="21"/>
  <c r="U978" i="21"/>
  <c r="U989" i="21"/>
  <c r="U1004" i="21"/>
  <c r="U1045" i="21"/>
  <c r="X855" i="21"/>
  <c r="X865" i="21"/>
  <c r="F23" i="33" s="1"/>
  <c r="X894" i="21"/>
  <c r="X944" i="21"/>
  <c r="X924" i="21"/>
  <c r="X978" i="21"/>
  <c r="X989" i="21"/>
  <c r="X1004" i="21"/>
  <c r="X1045" i="21"/>
  <c r="AA855" i="21"/>
  <c r="AA865" i="21"/>
  <c r="F23" i="34" s="1"/>
  <c r="AA894" i="21"/>
  <c r="AA944" i="21"/>
  <c r="AA924" i="21"/>
  <c r="AA978" i="21"/>
  <c r="AA989" i="21"/>
  <c r="AA1004" i="21"/>
  <c r="AA1045" i="21"/>
  <c r="AD855" i="21"/>
  <c r="AD865" i="21"/>
  <c r="F23" i="35" s="1"/>
  <c r="AD894" i="21"/>
  <c r="AD944" i="21"/>
  <c r="AD924" i="21"/>
  <c r="AD978" i="21"/>
  <c r="AD989" i="21"/>
  <c r="AD1004" i="21"/>
  <c r="AD1045" i="21"/>
  <c r="AG855" i="21"/>
  <c r="AG865" i="21"/>
  <c r="AG894" i="21"/>
  <c r="AG944" i="21"/>
  <c r="AG924" i="21"/>
  <c r="AG978" i="21"/>
  <c r="AG989" i="21"/>
  <c r="AG1004" i="21"/>
  <c r="AG1045" i="21"/>
  <c r="AJ855" i="21"/>
  <c r="AJ865" i="21"/>
  <c r="F23" i="37" s="1"/>
  <c r="AJ894" i="21"/>
  <c r="AJ944" i="21"/>
  <c r="AJ924" i="21"/>
  <c r="AJ978" i="21"/>
  <c r="AJ989" i="21"/>
  <c r="AJ1004" i="21"/>
  <c r="AJ1045" i="21"/>
  <c r="AM855" i="21"/>
  <c r="AM865" i="21"/>
  <c r="AM894" i="21"/>
  <c r="AM944" i="21"/>
  <c r="AM924" i="21"/>
  <c r="AM978" i="21"/>
  <c r="AM989" i="21"/>
  <c r="AM1004" i="21"/>
  <c r="AM1045" i="21"/>
  <c r="AP855" i="21"/>
  <c r="AP865" i="21"/>
  <c r="F23" i="39" s="1"/>
  <c r="AP894" i="21"/>
  <c r="AP944" i="21"/>
  <c r="AP924" i="21"/>
  <c r="AP978" i="21"/>
  <c r="AP989" i="21"/>
  <c r="AP1004" i="21"/>
  <c r="AP1045" i="21"/>
  <c r="AS855" i="21"/>
  <c r="AS865" i="21"/>
  <c r="F23" i="40" s="1"/>
  <c r="AS894" i="21"/>
  <c r="AS944" i="21"/>
  <c r="AS924" i="21"/>
  <c r="AS978" i="21"/>
  <c r="AS989" i="21"/>
  <c r="AS1004" i="21"/>
  <c r="AS1045" i="21"/>
  <c r="L1089" i="21"/>
  <c r="O1089" i="21"/>
  <c r="R1089" i="21"/>
  <c r="U1089" i="21"/>
  <c r="X1089" i="21"/>
  <c r="AA1089" i="21"/>
  <c r="AD1089" i="21"/>
  <c r="AG1089" i="21"/>
  <c r="AJ1089" i="21"/>
  <c r="AM1089" i="21"/>
  <c r="AP1089" i="21"/>
  <c r="AS1089" i="21"/>
  <c r="L1122" i="21"/>
  <c r="O1122" i="21"/>
  <c r="R1122" i="21"/>
  <c r="U1122" i="21"/>
  <c r="X1122" i="21"/>
  <c r="AA1122" i="21"/>
  <c r="AD1122" i="21"/>
  <c r="AG1122" i="21"/>
  <c r="AJ1122" i="21"/>
  <c r="AM1122" i="21"/>
  <c r="AP1122" i="21"/>
  <c r="AS1122" i="21"/>
  <c r="L1383" i="21"/>
  <c r="O1383" i="21"/>
  <c r="R1383" i="21"/>
  <c r="U1383" i="21"/>
  <c r="X1383" i="21"/>
  <c r="AA1383" i="21"/>
  <c r="AD1383" i="21"/>
  <c r="AG1383" i="21"/>
  <c r="AJ1383" i="21"/>
  <c r="AM1383" i="21"/>
  <c r="AP1383" i="21"/>
  <c r="AS1383" i="21"/>
  <c r="L1150" i="21"/>
  <c r="O1150" i="21"/>
  <c r="R1150" i="21"/>
  <c r="U1150" i="21"/>
  <c r="X1150" i="21"/>
  <c r="AA1150" i="21"/>
  <c r="AD1150" i="21"/>
  <c r="AG1150" i="21"/>
  <c r="AJ1150" i="21"/>
  <c r="AM1150" i="21"/>
  <c r="AP1150" i="21"/>
  <c r="AS1150" i="21"/>
  <c r="L1167" i="21"/>
  <c r="O1167" i="21"/>
  <c r="N1167" i="21" s="1"/>
  <c r="R1167" i="21"/>
  <c r="Q1167" i="21" s="1"/>
  <c r="U1167" i="21"/>
  <c r="T1167" i="21" s="1"/>
  <c r="X1167" i="21"/>
  <c r="AA1167" i="21"/>
  <c r="Z1167" i="21" s="1"/>
  <c r="AD1167" i="21"/>
  <c r="AG1167" i="21"/>
  <c r="AF1167" i="21" s="1"/>
  <c r="AJ1167" i="21"/>
  <c r="AI1167" i="21" s="1"/>
  <c r="AM1167" i="21"/>
  <c r="AP1167" i="21"/>
  <c r="AO1167" i="21" s="1"/>
  <c r="AS1167" i="21"/>
  <c r="AR1167" i="21" s="1"/>
  <c r="L1168" i="21"/>
  <c r="O1168" i="21"/>
  <c r="R1168" i="21"/>
  <c r="U1168" i="21"/>
  <c r="X1168" i="21"/>
  <c r="AA1168" i="21"/>
  <c r="AD1168" i="21"/>
  <c r="AG1168" i="21"/>
  <c r="AJ1168" i="21"/>
  <c r="AM1168" i="21"/>
  <c r="AP1168" i="21"/>
  <c r="AS1168" i="21"/>
  <c r="L1182" i="21"/>
  <c r="O1182" i="21"/>
  <c r="R1182" i="21"/>
  <c r="U1182" i="21"/>
  <c r="X1182" i="21"/>
  <c r="AA1182" i="21"/>
  <c r="AD1182" i="21"/>
  <c r="AG1182" i="21"/>
  <c r="AJ1182" i="21"/>
  <c r="AM1182" i="21"/>
  <c r="AP1182" i="21"/>
  <c r="AS1182" i="21"/>
  <c r="L1196" i="21"/>
  <c r="O1196" i="21"/>
  <c r="R1196" i="21"/>
  <c r="U1196" i="21"/>
  <c r="X1196" i="21"/>
  <c r="AA1196" i="21"/>
  <c r="AD1196" i="21"/>
  <c r="AG1196" i="21"/>
  <c r="AJ1196" i="21"/>
  <c r="AM1196" i="21"/>
  <c r="AP1196" i="21"/>
  <c r="AS1196" i="21"/>
  <c r="L1210" i="21"/>
  <c r="O1210" i="21"/>
  <c r="R1210" i="21"/>
  <c r="U1210" i="21"/>
  <c r="X1210" i="21"/>
  <c r="AA1210" i="21"/>
  <c r="AD1210" i="21"/>
  <c r="AG1210" i="21"/>
  <c r="AJ1210" i="21"/>
  <c r="AM1210" i="21"/>
  <c r="AP1210" i="21"/>
  <c r="AS1210" i="21"/>
  <c r="L1288" i="21"/>
  <c r="O1288" i="21"/>
  <c r="R1288" i="21"/>
  <c r="U1288" i="21"/>
  <c r="X1288" i="21"/>
  <c r="AA1288" i="21"/>
  <c r="AD1288" i="21"/>
  <c r="AG1288" i="21"/>
  <c r="AJ1288" i="21"/>
  <c r="AM1288" i="21"/>
  <c r="AP1288" i="21"/>
  <c r="AS1288" i="21"/>
  <c r="L1322" i="21"/>
  <c r="O1322" i="21"/>
  <c r="R1322" i="21"/>
  <c r="U1322" i="21"/>
  <c r="X1322" i="21"/>
  <c r="AA1322" i="21"/>
  <c r="AD1322" i="21"/>
  <c r="AG1322" i="21"/>
  <c r="AJ1322" i="21"/>
  <c r="AM1322" i="21"/>
  <c r="AP1322" i="21"/>
  <c r="AS1322" i="21"/>
  <c r="L1332" i="21"/>
  <c r="O1332" i="21"/>
  <c r="R1332" i="21"/>
  <c r="U1332" i="21"/>
  <c r="X1332" i="21"/>
  <c r="AA1332" i="21"/>
  <c r="AD1332" i="21"/>
  <c r="AG1332" i="21"/>
  <c r="AJ1332" i="21"/>
  <c r="AM1332" i="21"/>
  <c r="AP1332" i="21"/>
  <c r="AS1332" i="21"/>
  <c r="L1395" i="21"/>
  <c r="L1446" i="21"/>
  <c r="O1395" i="21"/>
  <c r="O1446" i="21"/>
  <c r="R1395" i="21"/>
  <c r="R1446" i="21"/>
  <c r="U1395" i="21"/>
  <c r="U1446" i="21"/>
  <c r="X1395" i="21"/>
  <c r="X1446" i="21"/>
  <c r="AA1395" i="21"/>
  <c r="AA1446" i="21"/>
  <c r="AD1395" i="21"/>
  <c r="AD1446" i="21"/>
  <c r="AG1395" i="21"/>
  <c r="AG1446" i="21"/>
  <c r="AJ1395" i="21"/>
  <c r="AJ1446" i="21"/>
  <c r="AM1395" i="21"/>
  <c r="AM1446" i="21"/>
  <c r="AP1395" i="21"/>
  <c r="AP1446" i="21"/>
  <c r="AS1395" i="21"/>
  <c r="AS1446" i="21"/>
  <c r="L1463" i="21"/>
  <c r="O1463" i="21"/>
  <c r="R1463" i="21"/>
  <c r="U1463" i="21"/>
  <c r="X1463" i="21"/>
  <c r="AA1463" i="21"/>
  <c r="AD1463" i="21"/>
  <c r="AG1463" i="21"/>
  <c r="AJ1463" i="21"/>
  <c r="AM1463" i="21"/>
  <c r="AP1463" i="21"/>
  <c r="AS1463" i="21"/>
  <c r="L1479" i="21"/>
  <c r="O1479" i="21"/>
  <c r="R1479" i="21"/>
  <c r="U1479" i="21"/>
  <c r="X1479" i="21"/>
  <c r="AA1479" i="21"/>
  <c r="AD1479" i="21"/>
  <c r="AG1479" i="21"/>
  <c r="AJ1479" i="21"/>
  <c r="AM1479" i="21"/>
  <c r="AP1479" i="21"/>
  <c r="AS1479" i="21"/>
  <c r="L1490" i="21"/>
  <c r="O1490" i="21"/>
  <c r="O75" i="30" s="1"/>
  <c r="R1490" i="21"/>
  <c r="O75" i="31" s="1"/>
  <c r="U1490" i="21"/>
  <c r="O75" i="32" s="1"/>
  <c r="X1490" i="21"/>
  <c r="O75" i="33" s="1"/>
  <c r="AA1490" i="21"/>
  <c r="O75" i="34" s="1"/>
  <c r="AD1490" i="21"/>
  <c r="O75" i="35" s="1"/>
  <c r="AG1490" i="21"/>
  <c r="AJ1490" i="21"/>
  <c r="O75" i="37" s="1"/>
  <c r="AM1490" i="21"/>
  <c r="O75" i="38" s="1"/>
  <c r="AP1490" i="21"/>
  <c r="O75" i="39" s="1"/>
  <c r="AS1490" i="21"/>
  <c r="O75" i="40" s="1"/>
  <c r="L1508" i="21"/>
  <c r="R75" i="29" s="1"/>
  <c r="O1508" i="21"/>
  <c r="R76" i="30" s="1"/>
  <c r="R1508" i="21"/>
  <c r="R76" i="31" s="1"/>
  <c r="U1508" i="21"/>
  <c r="R76" i="32" s="1"/>
  <c r="X1508" i="21"/>
  <c r="AA1508" i="21"/>
  <c r="R75" i="34" s="1"/>
  <c r="AD1508" i="21"/>
  <c r="R75" i="35" s="1"/>
  <c r="AG1508" i="21"/>
  <c r="R75" i="36" s="1"/>
  <c r="AJ1508" i="21"/>
  <c r="R75" i="37" s="1"/>
  <c r="AM1508" i="21"/>
  <c r="R75" i="38" s="1"/>
  <c r="AP1508" i="21"/>
  <c r="R75" i="39" s="1"/>
  <c r="AS1508" i="21"/>
  <c r="R75" i="40" s="1"/>
  <c r="L1527" i="21"/>
  <c r="O1527" i="21"/>
  <c r="L78" i="30" s="1"/>
  <c r="R1527" i="21"/>
  <c r="L78" i="31" s="1"/>
  <c r="U1527" i="21"/>
  <c r="L78" i="32" s="1"/>
  <c r="X1527" i="21"/>
  <c r="AA1527" i="21"/>
  <c r="L78" i="34" s="1"/>
  <c r="AD1527" i="21"/>
  <c r="AG1527" i="21"/>
  <c r="L78" i="36" s="1"/>
  <c r="AJ1527" i="21"/>
  <c r="L78" i="37" s="1"/>
  <c r="AM1527" i="21"/>
  <c r="L78" i="38" s="1"/>
  <c r="AP1527" i="21"/>
  <c r="L78" i="39" s="1"/>
  <c r="AS1527" i="21"/>
  <c r="L78" i="40" s="1"/>
  <c r="L1580" i="21"/>
  <c r="O1580" i="21"/>
  <c r="R1580" i="21"/>
  <c r="U1580" i="21"/>
  <c r="X1580" i="21"/>
  <c r="AA1580" i="21"/>
  <c r="AD1580" i="21"/>
  <c r="AG1580" i="21"/>
  <c r="AJ1580" i="21"/>
  <c r="AM1580" i="21"/>
  <c r="AP1580" i="21"/>
  <c r="AS1580" i="21"/>
  <c r="L1657" i="21"/>
  <c r="O1657" i="21"/>
  <c r="R1657" i="21"/>
  <c r="U1657" i="21"/>
  <c r="X1657" i="21"/>
  <c r="AA1657" i="21"/>
  <c r="AD1657" i="21"/>
  <c r="AG1657" i="21"/>
  <c r="AJ1657" i="21"/>
  <c r="AM1657" i="21"/>
  <c r="AP1657" i="21"/>
  <c r="AS1657" i="21"/>
  <c r="L1551" i="21"/>
  <c r="O1551" i="21"/>
  <c r="R1551" i="21"/>
  <c r="U1551" i="21"/>
  <c r="X1551" i="21"/>
  <c r="AA1551" i="21"/>
  <c r="AD1551" i="21"/>
  <c r="AG1551" i="21"/>
  <c r="AJ1551" i="21"/>
  <c r="AM1551" i="21"/>
  <c r="AP1551" i="21"/>
  <c r="AS1551" i="21"/>
  <c r="L1610" i="21"/>
  <c r="O1610" i="21"/>
  <c r="R1610" i="21"/>
  <c r="U1610" i="21"/>
  <c r="X1610" i="21"/>
  <c r="AA1610" i="21"/>
  <c r="AD1610" i="21"/>
  <c r="AG1610" i="21"/>
  <c r="AJ1610" i="21"/>
  <c r="AM1610" i="21"/>
  <c r="AP1610" i="21"/>
  <c r="AS1610" i="21"/>
  <c r="L1619" i="21"/>
  <c r="O1619" i="21"/>
  <c r="R1619" i="21"/>
  <c r="U1619" i="21"/>
  <c r="X1619" i="21"/>
  <c r="AA1619" i="21"/>
  <c r="AD1619" i="21"/>
  <c r="AG1619" i="21"/>
  <c r="AJ1619" i="21"/>
  <c r="AM1619" i="21"/>
  <c r="AP1619" i="21"/>
  <c r="AS1619" i="21"/>
  <c r="L1640" i="21"/>
  <c r="O1640" i="21"/>
  <c r="R1640" i="21"/>
  <c r="U1640" i="21"/>
  <c r="X1640" i="21"/>
  <c r="AA1640" i="21"/>
  <c r="AD1640" i="21"/>
  <c r="AG1640" i="21"/>
  <c r="AJ1640" i="21"/>
  <c r="AM1640" i="21"/>
  <c r="AP1640" i="21"/>
  <c r="AS1640" i="21"/>
  <c r="L1660" i="21"/>
  <c r="O1660" i="21"/>
  <c r="R1660" i="21"/>
  <c r="U1660" i="21"/>
  <c r="X1660" i="21"/>
  <c r="AA1660" i="21"/>
  <c r="AD1660" i="21"/>
  <c r="AG1660" i="21"/>
  <c r="AJ1660" i="21"/>
  <c r="AM1660" i="21"/>
  <c r="AP1660" i="21"/>
  <c r="AS1660" i="21"/>
  <c r="L1716" i="21"/>
  <c r="L1726" i="21"/>
  <c r="L1681" i="21"/>
  <c r="L1692" i="21"/>
  <c r="L1704" i="21"/>
  <c r="O1716" i="21"/>
  <c r="O1726" i="21"/>
  <c r="O1681" i="21"/>
  <c r="O1692" i="21"/>
  <c r="O1704" i="21"/>
  <c r="R1716" i="21"/>
  <c r="R1726" i="21"/>
  <c r="R1681" i="21"/>
  <c r="R1692" i="21"/>
  <c r="R1704" i="21"/>
  <c r="U1716" i="21"/>
  <c r="U1726" i="21"/>
  <c r="U1681" i="21"/>
  <c r="U1692" i="21"/>
  <c r="U1704" i="21"/>
  <c r="X1716" i="21"/>
  <c r="X1726" i="21"/>
  <c r="X1681" i="21"/>
  <c r="X1692" i="21"/>
  <c r="X1704" i="21"/>
  <c r="AA1716" i="21"/>
  <c r="AA1726" i="21"/>
  <c r="AA1681" i="21"/>
  <c r="AA1692" i="21"/>
  <c r="AA1704" i="21"/>
  <c r="AD1716" i="21"/>
  <c r="AD1726" i="21"/>
  <c r="AD1681" i="21"/>
  <c r="AD1692" i="21"/>
  <c r="AD1704" i="21"/>
  <c r="AG1716" i="21"/>
  <c r="AG1726" i="21"/>
  <c r="AG1681" i="21"/>
  <c r="AG1692" i="21"/>
  <c r="AG1704" i="21"/>
  <c r="AJ1716" i="21"/>
  <c r="AJ1726" i="21"/>
  <c r="AJ1681" i="21"/>
  <c r="AJ1692" i="21"/>
  <c r="AJ1704" i="21"/>
  <c r="AM1716" i="21"/>
  <c r="AM1726" i="21"/>
  <c r="AM1681" i="21"/>
  <c r="AM1692" i="21"/>
  <c r="AM1704" i="21"/>
  <c r="AP1716" i="21"/>
  <c r="AP1726" i="21"/>
  <c r="AP1681" i="21"/>
  <c r="AP1692" i="21"/>
  <c r="AP1704" i="21"/>
  <c r="J358" i="21"/>
  <c r="M358" i="21"/>
  <c r="M356" i="21" s="1"/>
  <c r="P358" i="21"/>
  <c r="P356" i="21" s="1"/>
  <c r="S358" i="21"/>
  <c r="S356" i="21" s="1"/>
  <c r="V358" i="21"/>
  <c r="V356" i="21" s="1"/>
  <c r="Y358" i="21"/>
  <c r="Y356" i="21" s="1"/>
  <c r="AB358" i="21"/>
  <c r="AE358" i="21"/>
  <c r="AE356" i="21" s="1"/>
  <c r="AH358" i="21"/>
  <c r="AH356" i="21" s="1"/>
  <c r="AK358" i="21"/>
  <c r="AK356" i="21" s="1"/>
  <c r="AN358" i="21"/>
  <c r="AQ358" i="21"/>
  <c r="AQ356" i="21" s="1"/>
  <c r="J272" i="21"/>
  <c r="J254" i="21" s="1"/>
  <c r="M272" i="21"/>
  <c r="P272" i="21"/>
  <c r="P254" i="21" s="1"/>
  <c r="S272" i="21"/>
  <c r="S254" i="21" s="1"/>
  <c r="S205" i="21" s="1"/>
  <c r="V272" i="21"/>
  <c r="V254" i="21" s="1"/>
  <c r="V205" i="21" s="1"/>
  <c r="Y272" i="21"/>
  <c r="Y254" i="21" s="1"/>
  <c r="Y205" i="21" s="1"/>
  <c r="AB272" i="21"/>
  <c r="AE272" i="21"/>
  <c r="AE254" i="21" s="1"/>
  <c r="AE205" i="21" s="1"/>
  <c r="AH272" i="21"/>
  <c r="AH254" i="21" s="1"/>
  <c r="AH205" i="21" s="1"/>
  <c r="AK272" i="21"/>
  <c r="AN272" i="21"/>
  <c r="AN254" i="21" s="1"/>
  <c r="AN205" i="21" s="1"/>
  <c r="AQ272" i="21"/>
  <c r="AQ254" i="21" s="1"/>
  <c r="AQ205" i="21" s="1"/>
  <c r="AT279" i="21"/>
  <c r="AT280" i="21"/>
  <c r="AT126" i="21"/>
  <c r="AT333" i="21"/>
  <c r="J413" i="21"/>
  <c r="J395" i="21" s="1"/>
  <c r="M413" i="21"/>
  <c r="M395" i="21" s="1"/>
  <c r="P413" i="21"/>
  <c r="P395" i="21" s="1"/>
  <c r="S413" i="21"/>
  <c r="S395" i="21" s="1"/>
  <c r="V413" i="21"/>
  <c r="V395" i="21" s="1"/>
  <c r="Y413" i="21"/>
  <c r="Y395" i="21" s="1"/>
  <c r="AB413" i="21"/>
  <c r="AE413" i="21"/>
  <c r="AE395" i="21" s="1"/>
  <c r="AH413" i="21"/>
  <c r="AH395" i="21" s="1"/>
  <c r="AK413" i="21"/>
  <c r="AN413" i="21"/>
  <c r="AN395" i="21" s="1"/>
  <c r="AQ413" i="21"/>
  <c r="AQ395" i="21" s="1"/>
  <c r="J448" i="21"/>
  <c r="J429" i="21" s="1"/>
  <c r="M448" i="21"/>
  <c r="M429" i="21" s="1"/>
  <c r="P448" i="21"/>
  <c r="P429" i="21" s="1"/>
  <c r="S448" i="21"/>
  <c r="S429" i="21" s="1"/>
  <c r="V448" i="21"/>
  <c r="V429" i="21" s="1"/>
  <c r="Y448" i="21"/>
  <c r="Y429" i="21" s="1"/>
  <c r="AB448" i="21"/>
  <c r="AE448" i="21"/>
  <c r="AE429" i="21" s="1"/>
  <c r="AH448" i="21"/>
  <c r="AH429" i="21" s="1"/>
  <c r="AK448" i="21"/>
  <c r="AN448" i="21"/>
  <c r="AN429" i="21" s="1"/>
  <c r="AQ448" i="21"/>
  <c r="AQ429" i="21" s="1"/>
  <c r="J471" i="21"/>
  <c r="J458" i="21" s="1"/>
  <c r="M471" i="21"/>
  <c r="P471" i="21"/>
  <c r="P458" i="21" s="1"/>
  <c r="S471" i="21"/>
  <c r="V471" i="21"/>
  <c r="V458" i="21" s="1"/>
  <c r="Y471" i="21"/>
  <c r="Y458" i="21" s="1"/>
  <c r="AB471" i="21"/>
  <c r="AB458" i="21" s="1"/>
  <c r="AE471" i="21"/>
  <c r="AH471" i="21"/>
  <c r="AH458" i="21" s="1"/>
  <c r="AK471" i="21"/>
  <c r="AK458" i="21" s="1"/>
  <c r="AN471" i="21"/>
  <c r="AN458" i="21" s="1"/>
  <c r="AQ471" i="21"/>
  <c r="AQ458" i="21" s="1"/>
  <c r="J537" i="21"/>
  <c r="J530" i="21" s="1"/>
  <c r="M537" i="21"/>
  <c r="M530" i="21" s="1"/>
  <c r="P537" i="21"/>
  <c r="P530" i="21" s="1"/>
  <c r="S537" i="21"/>
  <c r="S530" i="21" s="1"/>
  <c r="V537" i="21"/>
  <c r="Y537" i="21"/>
  <c r="Y530" i="21" s="1"/>
  <c r="AB537" i="21"/>
  <c r="AE537" i="21"/>
  <c r="AE530" i="21" s="1"/>
  <c r="AH537" i="21"/>
  <c r="AH530" i="21" s="1"/>
  <c r="AK537" i="21"/>
  <c r="AK530" i="21" s="1"/>
  <c r="AN537" i="21"/>
  <c r="AN530" i="21" s="1"/>
  <c r="AQ537" i="21"/>
  <c r="J500" i="21"/>
  <c r="J480" i="21" s="1"/>
  <c r="M500" i="21"/>
  <c r="M480" i="21" s="1"/>
  <c r="P500" i="21"/>
  <c r="S500" i="21"/>
  <c r="S480" i="21" s="1"/>
  <c r="V500" i="21"/>
  <c r="Y500" i="21"/>
  <c r="AB500" i="21"/>
  <c r="AB480" i="21" s="1"/>
  <c r="AE500" i="21"/>
  <c r="AE480" i="21" s="1"/>
  <c r="AH500" i="21"/>
  <c r="AK500" i="21"/>
  <c r="AK480" i="21" s="1"/>
  <c r="AN500" i="21"/>
  <c r="AN480" i="21" s="1"/>
  <c r="AQ500" i="21"/>
  <c r="J622" i="21"/>
  <c r="M622" i="21"/>
  <c r="M610" i="21" s="1"/>
  <c r="P622" i="21"/>
  <c r="P610" i="21" s="1"/>
  <c r="S622" i="21"/>
  <c r="S610" i="21" s="1"/>
  <c r="V622" i="21"/>
  <c r="V610" i="21" s="1"/>
  <c r="Y622" i="21"/>
  <c r="Y610" i="21" s="1"/>
  <c r="AB622" i="21"/>
  <c r="AB610" i="21" s="1"/>
  <c r="AE622" i="21"/>
  <c r="AH622" i="21"/>
  <c r="AH610" i="21" s="1"/>
  <c r="AK622" i="21"/>
  <c r="AK610" i="21" s="1"/>
  <c r="AN622" i="21"/>
  <c r="AN610" i="21" s="1"/>
  <c r="AQ622" i="21"/>
  <c r="J669" i="21"/>
  <c r="M669" i="21"/>
  <c r="P669" i="21"/>
  <c r="S669" i="21"/>
  <c r="V669" i="21"/>
  <c r="Y669" i="21"/>
  <c r="AB669" i="21"/>
  <c r="AE669" i="21"/>
  <c r="AH669" i="21"/>
  <c r="AK669" i="21"/>
  <c r="AN669" i="21"/>
  <c r="AQ669" i="21"/>
  <c r="J670" i="21"/>
  <c r="M670" i="21"/>
  <c r="P670" i="21"/>
  <c r="S670" i="21"/>
  <c r="V670" i="21"/>
  <c r="Y670" i="21"/>
  <c r="AB670" i="21"/>
  <c r="AE670" i="21"/>
  <c r="AH670" i="21"/>
  <c r="AK670" i="21"/>
  <c r="AN670" i="21"/>
  <c r="AQ670" i="21"/>
  <c r="J671" i="21"/>
  <c r="M671" i="21"/>
  <c r="P671" i="21"/>
  <c r="S671" i="21"/>
  <c r="V671" i="21"/>
  <c r="Y671" i="21"/>
  <c r="AB671" i="21"/>
  <c r="AE671" i="21"/>
  <c r="AH671" i="21"/>
  <c r="AK671" i="21"/>
  <c r="AN671" i="21"/>
  <c r="AQ671" i="21"/>
  <c r="J709" i="21"/>
  <c r="J683" i="21" s="1"/>
  <c r="M709" i="21"/>
  <c r="M683" i="21" s="1"/>
  <c r="P709" i="21"/>
  <c r="P683" i="21" s="1"/>
  <c r="S709" i="21"/>
  <c r="V709" i="21"/>
  <c r="V683" i="21" s="1"/>
  <c r="Y709" i="21"/>
  <c r="Y683" i="21" s="1"/>
  <c r="AB709" i="21"/>
  <c r="AE709" i="21"/>
  <c r="AE683" i="21" s="1"/>
  <c r="AH709" i="21"/>
  <c r="AH683" i="21" s="1"/>
  <c r="AK709" i="21"/>
  <c r="AN709" i="21"/>
  <c r="AN683" i="21" s="1"/>
  <c r="AQ709" i="21"/>
  <c r="AQ683" i="21" s="1"/>
  <c r="AT572" i="21"/>
  <c r="AT573" i="21"/>
  <c r="J890" i="21"/>
  <c r="J867" i="21" s="1"/>
  <c r="M890" i="21"/>
  <c r="P890" i="21"/>
  <c r="P867" i="21" s="1"/>
  <c r="S890" i="21"/>
  <c r="S867" i="21" s="1"/>
  <c r="V890" i="21"/>
  <c r="Y890" i="21"/>
  <c r="Y867" i="21" s="1"/>
  <c r="AB890" i="21"/>
  <c r="AB867" i="21" s="1"/>
  <c r="AE890" i="21"/>
  <c r="AH890" i="21"/>
  <c r="AH867" i="21" s="1"/>
  <c r="AK890" i="21"/>
  <c r="AN890" i="21"/>
  <c r="AN867" i="21" s="1"/>
  <c r="AQ890" i="21"/>
  <c r="AQ867" i="21" s="1"/>
  <c r="J1057" i="21"/>
  <c r="M1057" i="21"/>
  <c r="P1057" i="21"/>
  <c r="S1057" i="21"/>
  <c r="V1057" i="21"/>
  <c r="Y1057" i="21"/>
  <c r="AB1057" i="21"/>
  <c r="AE1057" i="21"/>
  <c r="AH1057" i="21"/>
  <c r="AK1057" i="21"/>
  <c r="AN1057" i="21"/>
  <c r="AQ1057" i="21"/>
  <c r="AT1054" i="21"/>
  <c r="AT1055" i="21"/>
  <c r="AT1056" i="21"/>
  <c r="AT900" i="21"/>
  <c r="AT901" i="21"/>
  <c r="AT902" i="21"/>
  <c r="AT903" i="21"/>
  <c r="AT904" i="21"/>
  <c r="AT911" i="21"/>
  <c r="AT912" i="21"/>
  <c r="AT913" i="21"/>
  <c r="AT914" i="21"/>
  <c r="AT915" i="21"/>
  <c r="AT916" i="21"/>
  <c r="AT954" i="21"/>
  <c r="AT955" i="21"/>
  <c r="AT956" i="21"/>
  <c r="AT957" i="21"/>
  <c r="AT958" i="21"/>
  <c r="AT959" i="21"/>
  <c r="AT961" i="21"/>
  <c r="AT962" i="21"/>
  <c r="AT963" i="21"/>
  <c r="AT964" i="21"/>
  <c r="AT965" i="21"/>
  <c r="AT967" i="21"/>
  <c r="AT968" i="21"/>
  <c r="AT970" i="21"/>
  <c r="AT971" i="21"/>
  <c r="AT972" i="21"/>
  <c r="AT973" i="21"/>
  <c r="AT974" i="21"/>
  <c r="AT995" i="21"/>
  <c r="AT996" i="21"/>
  <c r="J1132" i="21"/>
  <c r="M1132" i="21"/>
  <c r="M1124" i="21" s="1"/>
  <c r="P1132" i="21"/>
  <c r="P1124" i="21" s="1"/>
  <c r="S1132" i="21"/>
  <c r="S1124" i="21" s="1"/>
  <c r="V1132" i="21"/>
  <c r="V1124" i="21" s="1"/>
  <c r="Y1132" i="21"/>
  <c r="AB1132" i="21"/>
  <c r="AB1124" i="21" s="1"/>
  <c r="AE1132" i="21"/>
  <c r="AH1132" i="21"/>
  <c r="AH1124" i="21" s="1"/>
  <c r="AK1132" i="21"/>
  <c r="AK1124" i="21" s="1"/>
  <c r="AN1132" i="21"/>
  <c r="AN1124" i="21" s="1"/>
  <c r="AQ1132" i="21"/>
  <c r="AQ1124" i="21" s="1"/>
  <c r="AT1133" i="21"/>
  <c r="J1155" i="21"/>
  <c r="M1155" i="21"/>
  <c r="P1155" i="21"/>
  <c r="S1155" i="21"/>
  <c r="V1155" i="21"/>
  <c r="Y1155" i="21"/>
  <c r="AB1155" i="21"/>
  <c r="AE1155" i="21"/>
  <c r="AH1155" i="21"/>
  <c r="AK1155" i="21"/>
  <c r="AN1155" i="21"/>
  <c r="AQ1155" i="21"/>
  <c r="J1156" i="21"/>
  <c r="M1156" i="21"/>
  <c r="P1156" i="21"/>
  <c r="S1156" i="21"/>
  <c r="V1156" i="21"/>
  <c r="Y1156" i="21"/>
  <c r="AB1156" i="21"/>
  <c r="AE1156" i="21"/>
  <c r="AH1156" i="21"/>
  <c r="AK1156" i="21"/>
  <c r="AN1156" i="21"/>
  <c r="AQ1156" i="21"/>
  <c r="J1157" i="21"/>
  <c r="M1157" i="21"/>
  <c r="P1157" i="21"/>
  <c r="S1157" i="21"/>
  <c r="V1157" i="21"/>
  <c r="Y1157" i="21"/>
  <c r="AB1157" i="21"/>
  <c r="AE1157" i="21"/>
  <c r="AH1157" i="21"/>
  <c r="AK1157" i="21"/>
  <c r="AN1157" i="21"/>
  <c r="AQ1157" i="21"/>
  <c r="J1158" i="21"/>
  <c r="M1158" i="21"/>
  <c r="P1158" i="21"/>
  <c r="S1158" i="21"/>
  <c r="V1158" i="21"/>
  <c r="Y1158" i="21"/>
  <c r="AB1158" i="21"/>
  <c r="AE1158" i="21"/>
  <c r="AH1158" i="21"/>
  <c r="AK1158" i="21"/>
  <c r="AN1158" i="21"/>
  <c r="AQ1158" i="21"/>
  <c r="J1162" i="21"/>
  <c r="M1162" i="21"/>
  <c r="P1162" i="21"/>
  <c r="S1162" i="21"/>
  <c r="V1162" i="21"/>
  <c r="Y1162" i="21"/>
  <c r="AB1162" i="21"/>
  <c r="AE1162" i="21"/>
  <c r="AH1162" i="21"/>
  <c r="AK1162" i="21"/>
  <c r="AN1162" i="21"/>
  <c r="AQ1162" i="21"/>
  <c r="J1165" i="21"/>
  <c r="M1165" i="21"/>
  <c r="P1165" i="21"/>
  <c r="S1165" i="21"/>
  <c r="V1165" i="21"/>
  <c r="Y1165" i="21"/>
  <c r="AB1165" i="21"/>
  <c r="AE1165" i="21"/>
  <c r="AH1165" i="21"/>
  <c r="AK1165" i="21"/>
  <c r="AN1165" i="21"/>
  <c r="AQ1165" i="21"/>
  <c r="AT1160" i="21"/>
  <c r="AT1161" i="21"/>
  <c r="AT1163" i="21"/>
  <c r="AT1164" i="21"/>
  <c r="J1171" i="21"/>
  <c r="M1171" i="21"/>
  <c r="P1171" i="21"/>
  <c r="S1171" i="21"/>
  <c r="V1171" i="21"/>
  <c r="Y1171" i="21"/>
  <c r="AB1171" i="21"/>
  <c r="AE1171" i="21"/>
  <c r="AH1171" i="21"/>
  <c r="AK1171" i="21"/>
  <c r="AN1171" i="21"/>
  <c r="AQ1171" i="21"/>
  <c r="J1172" i="21"/>
  <c r="M1172" i="21"/>
  <c r="P1172" i="21"/>
  <c r="S1172" i="21"/>
  <c r="V1172" i="21"/>
  <c r="Y1172" i="21"/>
  <c r="AB1172" i="21"/>
  <c r="AE1172" i="21"/>
  <c r="AH1172" i="21"/>
  <c r="AK1172" i="21"/>
  <c r="AN1172" i="21"/>
  <c r="AQ1172" i="21"/>
  <c r="J1176" i="21"/>
  <c r="M1176" i="21"/>
  <c r="P1176" i="21"/>
  <c r="S1176" i="21"/>
  <c r="V1176" i="21"/>
  <c r="Y1176" i="21"/>
  <c r="AB1176" i="21"/>
  <c r="AE1176" i="21"/>
  <c r="AH1176" i="21"/>
  <c r="AK1176" i="21"/>
  <c r="AN1176" i="21"/>
  <c r="AQ1176" i="21"/>
  <c r="AT1173" i="21"/>
  <c r="AT1174" i="21"/>
  <c r="AT1177" i="21"/>
  <c r="AT1203" i="21"/>
  <c r="J1218" i="21"/>
  <c r="M1218" i="21"/>
  <c r="P1218" i="21"/>
  <c r="S1218" i="21"/>
  <c r="V1218" i="21"/>
  <c r="Y1218" i="21"/>
  <c r="AB1218" i="21"/>
  <c r="AE1218" i="21"/>
  <c r="AH1218" i="21"/>
  <c r="AK1218" i="21"/>
  <c r="AN1218" i="21"/>
  <c r="AQ1218" i="21"/>
  <c r="J1219" i="21"/>
  <c r="M1219" i="21"/>
  <c r="P1219" i="21"/>
  <c r="S1219" i="21"/>
  <c r="V1219" i="21"/>
  <c r="Y1219" i="21"/>
  <c r="AB1219" i="21"/>
  <c r="AE1219" i="21"/>
  <c r="AH1219" i="21"/>
  <c r="AK1219" i="21"/>
  <c r="AN1219" i="21"/>
  <c r="AQ1219" i="21"/>
  <c r="J1220" i="21"/>
  <c r="M1220" i="21"/>
  <c r="P1220" i="21"/>
  <c r="S1220" i="21"/>
  <c r="V1220" i="21"/>
  <c r="Y1220" i="21"/>
  <c r="AB1220" i="21"/>
  <c r="AE1220" i="21"/>
  <c r="AH1220" i="21"/>
  <c r="AK1220" i="21"/>
  <c r="AN1220" i="21"/>
  <c r="AQ1220" i="21"/>
  <c r="AT1221" i="21"/>
  <c r="J1309" i="21"/>
  <c r="M1309" i="21"/>
  <c r="M1290" i="21" s="1"/>
  <c r="P1309" i="21"/>
  <c r="P1290" i="21" s="1"/>
  <c r="S1309" i="21"/>
  <c r="S1290" i="21" s="1"/>
  <c r="V1309" i="21"/>
  <c r="Y1309" i="21"/>
  <c r="Y1290" i="21" s="1"/>
  <c r="AB1309" i="21"/>
  <c r="AB1290" i="21" s="1"/>
  <c r="AE1309" i="21"/>
  <c r="AE1290" i="21" s="1"/>
  <c r="AH1309" i="21"/>
  <c r="AK1309" i="21"/>
  <c r="AN1309" i="21"/>
  <c r="AN1290" i="21" s="1"/>
  <c r="AQ1309" i="21"/>
  <c r="AQ1290" i="21" s="1"/>
  <c r="J1324" i="21"/>
  <c r="M1324" i="21"/>
  <c r="P1324" i="21"/>
  <c r="S1324" i="21"/>
  <c r="V1324" i="21"/>
  <c r="Y1324" i="21"/>
  <c r="AB1324" i="21"/>
  <c r="AE1324" i="21"/>
  <c r="AH1324" i="21"/>
  <c r="AK1324" i="21"/>
  <c r="AN1324" i="21"/>
  <c r="AQ1324" i="21"/>
  <c r="J1325" i="21"/>
  <c r="M1325" i="21"/>
  <c r="P1325" i="21"/>
  <c r="S1325" i="21"/>
  <c r="V1325" i="21"/>
  <c r="Y1325" i="21"/>
  <c r="AB1325" i="21"/>
  <c r="AE1325" i="21"/>
  <c r="AH1325" i="21"/>
  <c r="AK1325" i="21"/>
  <c r="AN1325" i="21"/>
  <c r="AQ1325" i="21"/>
  <c r="J1326" i="21"/>
  <c r="M1326" i="21"/>
  <c r="P1326" i="21"/>
  <c r="S1326" i="21"/>
  <c r="V1326" i="21"/>
  <c r="Y1326" i="21"/>
  <c r="AB1326" i="21"/>
  <c r="AE1326" i="21"/>
  <c r="AH1326" i="21"/>
  <c r="AK1326" i="21"/>
  <c r="AN1326" i="21"/>
  <c r="AQ1326" i="21"/>
  <c r="AT1327" i="21"/>
  <c r="AT1328" i="21"/>
  <c r="AT1331" i="21"/>
  <c r="AT1346" i="21"/>
  <c r="AT1347" i="21"/>
  <c r="AT1348" i="21"/>
  <c r="AT1349" i="21"/>
  <c r="AT1350" i="21"/>
  <c r="AT1351" i="21"/>
  <c r="AT1352" i="21"/>
  <c r="AT1353" i="21"/>
  <c r="AT1354" i="21"/>
  <c r="AT1355" i="21"/>
  <c r="J1544" i="21"/>
  <c r="M1544" i="21"/>
  <c r="P1544" i="21"/>
  <c r="S1544" i="21"/>
  <c r="V1544" i="21"/>
  <c r="Y1544" i="21"/>
  <c r="AB1544" i="21"/>
  <c r="AE1544" i="21"/>
  <c r="AH1544" i="21"/>
  <c r="AK1544" i="21"/>
  <c r="AN1544" i="21"/>
  <c r="AQ1544" i="21"/>
  <c r="J1545" i="21"/>
  <c r="M1545" i="21"/>
  <c r="P1545" i="21"/>
  <c r="S1545" i="21"/>
  <c r="V1545" i="21"/>
  <c r="Y1545" i="21"/>
  <c r="AB1545" i="21"/>
  <c r="AE1545" i="21"/>
  <c r="AH1545" i="21"/>
  <c r="AK1545" i="21"/>
  <c r="AN1545" i="21"/>
  <c r="AQ1545" i="21"/>
  <c r="J1546" i="21"/>
  <c r="M1546" i="21"/>
  <c r="P1546" i="21"/>
  <c r="S1546" i="21"/>
  <c r="V1546" i="21"/>
  <c r="Y1546" i="21"/>
  <c r="AB1546" i="21"/>
  <c r="AE1546" i="21"/>
  <c r="AH1546" i="21"/>
  <c r="AK1546" i="21"/>
  <c r="AN1546" i="21"/>
  <c r="AQ1546" i="21"/>
  <c r="J1547" i="21"/>
  <c r="M1547" i="21"/>
  <c r="P1547" i="21"/>
  <c r="S1547" i="21"/>
  <c r="V1547" i="21"/>
  <c r="Y1547" i="21"/>
  <c r="AB1547" i="21"/>
  <c r="AE1547" i="21"/>
  <c r="AH1547" i="21"/>
  <c r="AK1547" i="21"/>
  <c r="AN1547" i="21"/>
  <c r="AQ1547" i="21"/>
  <c r="J1599" i="21"/>
  <c r="M1599" i="21"/>
  <c r="P1599" i="21"/>
  <c r="S1599" i="21"/>
  <c r="V1599" i="21"/>
  <c r="Y1599" i="21"/>
  <c r="AB1599" i="21"/>
  <c r="AE1599" i="21"/>
  <c r="AH1599" i="21"/>
  <c r="AK1599" i="21"/>
  <c r="AN1599" i="21"/>
  <c r="AQ1599" i="21"/>
  <c r="J1600" i="21"/>
  <c r="M1600" i="21"/>
  <c r="P1600" i="21"/>
  <c r="S1600" i="21"/>
  <c r="V1600" i="21"/>
  <c r="Y1600" i="21"/>
  <c r="AB1600" i="21"/>
  <c r="AE1600" i="21"/>
  <c r="AH1600" i="21"/>
  <c r="AK1600" i="21"/>
  <c r="AN1600" i="21"/>
  <c r="AQ1600" i="21"/>
  <c r="AT1601" i="21"/>
  <c r="J1618" i="21"/>
  <c r="M1618" i="21"/>
  <c r="M1612" i="21" s="1"/>
  <c r="P1618" i="21"/>
  <c r="S1618" i="21"/>
  <c r="V1618" i="21"/>
  <c r="V1612" i="21" s="1"/>
  <c r="Y1618" i="21"/>
  <c r="Y1612" i="21" s="1"/>
  <c r="AB1618" i="21"/>
  <c r="AB1612" i="21" s="1"/>
  <c r="AE1618" i="21"/>
  <c r="AH1618" i="21"/>
  <c r="AH1612" i="21" s="1"/>
  <c r="AK1618" i="21"/>
  <c r="AK1612" i="21" s="1"/>
  <c r="AN1618" i="21"/>
  <c r="AN1612" i="21" s="1"/>
  <c r="AQ1618" i="21"/>
  <c r="AQ1612" i="21" s="1"/>
  <c r="J1665" i="21"/>
  <c r="M1665" i="21"/>
  <c r="P1665" i="21"/>
  <c r="S1665" i="21"/>
  <c r="V1665" i="21"/>
  <c r="Y1665" i="21"/>
  <c r="AB1665" i="21"/>
  <c r="AE1665" i="21"/>
  <c r="AH1665" i="21"/>
  <c r="AK1665" i="21"/>
  <c r="AN1665" i="21"/>
  <c r="AQ1665" i="21"/>
  <c r="J1666" i="21"/>
  <c r="M1666" i="21"/>
  <c r="P1666" i="21"/>
  <c r="S1666" i="21"/>
  <c r="V1666" i="21"/>
  <c r="Y1666" i="21"/>
  <c r="AB1666" i="21"/>
  <c r="AE1666" i="21"/>
  <c r="AH1666" i="21"/>
  <c r="AK1666" i="21"/>
  <c r="AN1666" i="21"/>
  <c r="AQ1666" i="21"/>
  <c r="M1689" i="21"/>
  <c r="M1690" i="21"/>
  <c r="P1689" i="21"/>
  <c r="P1690" i="21"/>
  <c r="S1689" i="21"/>
  <c r="S1690" i="21"/>
  <c r="V1689" i="21"/>
  <c r="V1690" i="21"/>
  <c r="Y1689" i="21"/>
  <c r="Y1690" i="21"/>
  <c r="AB1689" i="21"/>
  <c r="AB1690" i="21"/>
  <c r="AE1689" i="21"/>
  <c r="AE1690" i="21"/>
  <c r="AH1689" i="21"/>
  <c r="AH1690" i="21"/>
  <c r="AK1689" i="21"/>
  <c r="AK1690" i="21"/>
  <c r="AN1689" i="21"/>
  <c r="AN1690" i="21"/>
  <c r="J470" i="21"/>
  <c r="M470" i="21"/>
  <c r="M459" i="21" s="1"/>
  <c r="M373" i="21" s="1"/>
  <c r="P470" i="21"/>
  <c r="P459" i="21" s="1"/>
  <c r="P373" i="21" s="1"/>
  <c r="S470" i="21"/>
  <c r="V470" i="21"/>
  <c r="V459" i="21" s="1"/>
  <c r="V373" i="21" s="1"/>
  <c r="Y470" i="21"/>
  <c r="Y459" i="21" s="1"/>
  <c r="Y373" i="21" s="1"/>
  <c r="AB470" i="21"/>
  <c r="AB459" i="21" s="1"/>
  <c r="AE470" i="21"/>
  <c r="AE459" i="21" s="1"/>
  <c r="AE373" i="21" s="1"/>
  <c r="AH470" i="21"/>
  <c r="AH459" i="21" s="1"/>
  <c r="AH373" i="21" s="1"/>
  <c r="AK470" i="21"/>
  <c r="AK459" i="21" s="1"/>
  <c r="AK373" i="21" s="1"/>
  <c r="J711" i="21"/>
  <c r="M711" i="21"/>
  <c r="P711" i="21"/>
  <c r="S711" i="21"/>
  <c r="V711" i="21"/>
  <c r="Y711" i="21"/>
  <c r="AB711" i="21"/>
  <c r="AE711" i="21"/>
  <c r="AH711" i="21"/>
  <c r="AK711" i="21"/>
  <c r="AN711" i="21"/>
  <c r="AQ711" i="21"/>
  <c r="J712" i="21"/>
  <c r="M712" i="21"/>
  <c r="P712" i="21"/>
  <c r="S712" i="21"/>
  <c r="V712" i="21"/>
  <c r="Y712" i="21"/>
  <c r="AB712" i="21"/>
  <c r="AE712" i="21"/>
  <c r="AH712" i="21"/>
  <c r="AK712" i="21"/>
  <c r="AN712" i="21"/>
  <c r="AQ712" i="21"/>
  <c r="J950" i="21"/>
  <c r="M950" i="21"/>
  <c r="M947" i="21" s="1"/>
  <c r="S950" i="21"/>
  <c r="S947" i="21" s="1"/>
  <c r="V950" i="21"/>
  <c r="V947" i="21" s="1"/>
  <c r="Y950" i="21"/>
  <c r="AB950" i="21"/>
  <c r="AB947" i="21" s="1"/>
  <c r="AE950" i="21"/>
  <c r="AE947" i="21" s="1"/>
  <c r="AH950" i="21"/>
  <c r="AH947" i="21" s="1"/>
  <c r="AQ950" i="21"/>
  <c r="AQ947" i="21" s="1"/>
  <c r="J1295" i="21"/>
  <c r="M1295" i="21"/>
  <c r="P1295" i="21"/>
  <c r="S1295" i="21"/>
  <c r="V1295" i="21"/>
  <c r="Y1295" i="21"/>
  <c r="AB1295" i="21"/>
  <c r="AE1295" i="21"/>
  <c r="AH1295" i="21"/>
  <c r="AK1295" i="21"/>
  <c r="AN1295" i="21"/>
  <c r="AQ1295" i="21"/>
  <c r="J1296" i="21"/>
  <c r="M1296" i="21"/>
  <c r="P1296" i="21"/>
  <c r="S1296" i="21"/>
  <c r="V1296" i="21"/>
  <c r="Y1296" i="21"/>
  <c r="AB1296" i="21"/>
  <c r="AE1296" i="21"/>
  <c r="AH1296" i="21"/>
  <c r="AK1296" i="21"/>
  <c r="AN1296" i="21"/>
  <c r="AQ1296" i="21"/>
  <c r="J1297" i="21"/>
  <c r="M1297" i="21"/>
  <c r="P1297" i="21"/>
  <c r="S1297" i="21"/>
  <c r="V1297" i="21"/>
  <c r="Y1297" i="21"/>
  <c r="AB1297" i="21"/>
  <c r="AE1297" i="21"/>
  <c r="AH1297" i="21"/>
  <c r="AK1297" i="21"/>
  <c r="AN1297" i="21"/>
  <c r="AQ1297" i="21"/>
  <c r="J1716" i="21"/>
  <c r="J1682" i="21"/>
  <c r="M1685" i="21"/>
  <c r="D1698" i="48"/>
  <c r="P1685" i="21"/>
  <c r="P1682" i="21" s="1"/>
  <c r="S1716" i="21"/>
  <c r="G1675" i="48"/>
  <c r="S1685" i="21"/>
  <c r="S1682" i="21" s="1"/>
  <c r="V1685" i="21"/>
  <c r="V1682" i="21" s="1"/>
  <c r="G1704" i="48"/>
  <c r="Y1717" i="21"/>
  <c r="Y1685" i="21"/>
  <c r="Y1682" i="21" s="1"/>
  <c r="G1703" i="48"/>
  <c r="AB1717" i="21"/>
  <c r="AB1685" i="21"/>
  <c r="AB1682" i="21" s="1"/>
  <c r="AE1717" i="21"/>
  <c r="AT1684" i="21"/>
  <c r="AE1685" i="21"/>
  <c r="AE1682" i="21" s="1"/>
  <c r="J1704" i="48"/>
  <c r="AH1717" i="21"/>
  <c r="AH1685" i="21"/>
  <c r="AH1682" i="21" s="1"/>
  <c r="M1675" i="48"/>
  <c r="M1704" i="48"/>
  <c r="AN1717" i="21"/>
  <c r="AN1685" i="21"/>
  <c r="AN1682" i="21" s="1"/>
  <c r="AQ1716" i="21"/>
  <c r="AQ1721" i="21"/>
  <c r="AQ1720" i="21" s="1"/>
  <c r="AQ1685" i="21"/>
  <c r="AQ1682" i="21" s="1"/>
  <c r="M1702" i="48"/>
  <c r="AT90" i="21"/>
  <c r="AT91" i="21"/>
  <c r="AT93" i="21"/>
  <c r="AT103" i="21"/>
  <c r="AT102" i="21" s="1"/>
  <c r="AT101" i="21" s="1"/>
  <c r="AT118" i="21"/>
  <c r="AT123" i="21"/>
  <c r="AT124" i="21"/>
  <c r="AT148" i="21"/>
  <c r="AT154" i="21"/>
  <c r="AT156" i="21"/>
  <c r="AT162" i="21"/>
  <c r="AT163" i="21"/>
  <c r="AT172" i="21"/>
  <c r="AT174" i="21"/>
  <c r="AT181" i="21"/>
  <c r="AT191" i="21"/>
  <c r="AT193" i="21"/>
  <c r="AT290" i="21"/>
  <c r="AT291" i="21"/>
  <c r="AT303" i="21"/>
  <c r="AT305" i="21"/>
  <c r="AT306" i="21"/>
  <c r="AT318" i="21"/>
  <c r="AT330" i="21"/>
  <c r="AT331" i="21"/>
  <c r="AT332" i="21"/>
  <c r="AT340" i="21"/>
  <c r="AT343" i="21"/>
  <c r="AT344" i="21"/>
  <c r="AT349" i="21"/>
  <c r="AT235" i="21"/>
  <c r="AT236" i="21"/>
  <c r="AT237" i="21"/>
  <c r="AT239" i="21"/>
  <c r="AT240" i="21"/>
  <c r="AT241" i="21"/>
  <c r="AT242" i="21"/>
  <c r="AT243" i="21"/>
  <c r="AT256" i="21"/>
  <c r="AT258" i="21"/>
  <c r="AT259" i="21"/>
  <c r="AT260" i="21"/>
  <c r="AT268" i="21"/>
  <c r="AT273" i="21"/>
  <c r="AT274" i="21"/>
  <c r="AT275" i="21"/>
  <c r="AT276" i="21"/>
  <c r="AT277" i="21"/>
  <c r="AT381" i="21"/>
  <c r="AT420" i="21"/>
  <c r="AT421" i="21"/>
  <c r="J430" i="48"/>
  <c r="Y441" i="21"/>
  <c r="AT445" i="21"/>
  <c r="J444" i="21"/>
  <c r="M444" i="21"/>
  <c r="P444" i="21"/>
  <c r="J437" i="48"/>
  <c r="AT462" i="21"/>
  <c r="AT463" i="21"/>
  <c r="AT468" i="21"/>
  <c r="AT469" i="21"/>
  <c r="AT554" i="21"/>
  <c r="AT561" i="21"/>
  <c r="AT562" i="21"/>
  <c r="AT563" i="21"/>
  <c r="AT564" i="21"/>
  <c r="AT565" i="21"/>
  <c r="AT566" i="21"/>
  <c r="AT567" i="21"/>
  <c r="AT568" i="21"/>
  <c r="AT588" i="21"/>
  <c r="AT593" i="21"/>
  <c r="AT594" i="21"/>
  <c r="AT595" i="21"/>
  <c r="AT602" i="21"/>
  <c r="AT604" i="21"/>
  <c r="AT614" i="21"/>
  <c r="AT617" i="21"/>
  <c r="AT648" i="21"/>
  <c r="AT649" i="21"/>
  <c r="AT650" i="21"/>
  <c r="AT652" i="21"/>
  <c r="AT657" i="21"/>
  <c r="AT659" i="21"/>
  <c r="AT660" i="21"/>
  <c r="AT668" i="21"/>
  <c r="M686" i="21"/>
  <c r="AT698" i="21"/>
  <c r="AT703" i="21"/>
  <c r="AT704" i="21"/>
  <c r="AT706" i="21"/>
  <c r="AT796" i="21"/>
  <c r="AT827" i="21"/>
  <c r="AT743" i="21"/>
  <c r="AT746" i="21"/>
  <c r="AT750" i="21"/>
  <c r="AT755" i="21"/>
  <c r="AT756" i="21"/>
  <c r="AT757" i="21"/>
  <c r="AT861" i="21"/>
  <c r="S872" i="21"/>
  <c r="AT891" i="21"/>
  <c r="AT951" i="21"/>
  <c r="AT952" i="21"/>
  <c r="AT927" i="21"/>
  <c r="AT929" i="21"/>
  <c r="AT932" i="21"/>
  <c r="AT984" i="21"/>
  <c r="AT1023" i="21"/>
  <c r="AT1026" i="21"/>
  <c r="AT1035" i="21"/>
  <c r="AT1058" i="21"/>
  <c r="AT1065" i="21"/>
  <c r="AT1070" i="21"/>
  <c r="AT1098" i="21"/>
  <c r="AT1130" i="21"/>
  <c r="AT1154" i="21"/>
  <c r="AT1151" i="21" s="1"/>
  <c r="AT1186" i="21"/>
  <c r="AT1183" i="21" s="1"/>
  <c r="AT1202" i="21"/>
  <c r="AT1197" i="21" s="1"/>
  <c r="AT1225" i="21"/>
  <c r="AT1226" i="21"/>
  <c r="AT1227" i="21"/>
  <c r="AT1228" i="21"/>
  <c r="AT1229" i="21"/>
  <c r="AT1230" i="21"/>
  <c r="AT1231" i="21"/>
  <c r="AT1237" i="21"/>
  <c r="AT1312" i="21"/>
  <c r="AT1313" i="21"/>
  <c r="AT1314" i="21"/>
  <c r="AT1315" i="21"/>
  <c r="AT1342" i="21"/>
  <c r="AT1343" i="21"/>
  <c r="AT1344" i="21"/>
  <c r="AT1402" i="21"/>
  <c r="AT1449" i="21"/>
  <c r="AT1471" i="21"/>
  <c r="AT1473" i="21"/>
  <c r="AT1514" i="21"/>
  <c r="AT1515" i="21"/>
  <c r="AT1516" i="21"/>
  <c r="AT1517" i="21"/>
  <c r="AT1539" i="21"/>
  <c r="AT1540" i="21"/>
  <c r="AT1541" i="21"/>
  <c r="AT1542" i="21"/>
  <c r="AT1543" i="21"/>
  <c r="AT1592" i="21"/>
  <c r="AT1593" i="21"/>
  <c r="AT1659" i="21"/>
  <c r="AT1658" i="21" s="1"/>
  <c r="AT1563" i="21"/>
  <c r="AT1565" i="21"/>
  <c r="AT1566" i="21"/>
  <c r="AT1572" i="21"/>
  <c r="AT1628" i="21"/>
  <c r="AT1645" i="21"/>
  <c r="AT1647" i="21"/>
  <c r="AT1668" i="21"/>
  <c r="AT1669" i="21"/>
  <c r="AT571" i="21"/>
  <c r="AT548" i="21" s="1"/>
  <c r="AT639" i="21"/>
  <c r="AT612" i="21" s="1"/>
  <c r="AT870" i="21"/>
  <c r="AT975" i="21"/>
  <c r="AT948" i="21" s="1"/>
  <c r="AT1187" i="21"/>
  <c r="AT1188" i="21"/>
  <c r="AT1189" i="21"/>
  <c r="AT574" i="21"/>
  <c r="AT575" i="21"/>
  <c r="AT578" i="21"/>
  <c r="AT623" i="21"/>
  <c r="AT624" i="21"/>
  <c r="AT625" i="21"/>
  <c r="AT626" i="21"/>
  <c r="AT627" i="21"/>
  <c r="AT628" i="21"/>
  <c r="AT1166" i="21"/>
  <c r="AT1153" i="21" s="1"/>
  <c r="AT1452" i="21"/>
  <c r="AT1448" i="21" s="1"/>
  <c r="AT1481" i="21"/>
  <c r="AT1482" i="21"/>
  <c r="AT1483" i="21"/>
  <c r="AT1487" i="21"/>
  <c r="AT1501" i="21"/>
  <c r="AT1670" i="21"/>
  <c r="AT1663" i="21" s="1"/>
  <c r="AT95" i="21"/>
  <c r="AT96" i="21"/>
  <c r="AT97" i="21"/>
  <c r="AT98" i="21"/>
  <c r="AT99" i="21"/>
  <c r="AT100" i="21"/>
  <c r="AT111" i="21"/>
  <c r="AT112" i="21"/>
  <c r="AE116" i="21"/>
  <c r="AT166" i="21"/>
  <c r="AT167" i="21"/>
  <c r="AT168" i="21"/>
  <c r="AT184" i="21"/>
  <c r="AT185" i="21"/>
  <c r="AT196" i="21"/>
  <c r="AT197" i="21"/>
  <c r="AT198" i="21"/>
  <c r="AT199" i="21"/>
  <c r="AT200" i="21"/>
  <c r="AT201" i="21"/>
  <c r="AT202" i="21"/>
  <c r="AT294" i="21"/>
  <c r="AT287" i="21" s="1"/>
  <c r="AT320" i="21"/>
  <c r="AT316" i="21" s="1"/>
  <c r="AT351" i="21"/>
  <c r="AT352" i="21"/>
  <c r="AT353" i="21"/>
  <c r="AT368" i="21"/>
  <c r="AT369" i="21"/>
  <c r="AT245" i="21"/>
  <c r="AT246" i="21"/>
  <c r="AT247" i="21"/>
  <c r="AT248" i="21"/>
  <c r="AT249" i="21"/>
  <c r="AT251" i="21"/>
  <c r="AT282" i="21"/>
  <c r="AT383" i="21"/>
  <c r="AT382" i="21" s="1"/>
  <c r="AT379" i="21" s="1"/>
  <c r="AT390" i="21"/>
  <c r="AT391" i="21"/>
  <c r="AT392" i="21"/>
  <c r="AT415" i="21"/>
  <c r="AT414" i="21" s="1"/>
  <c r="AT396" i="21" s="1"/>
  <c r="AT423" i="21"/>
  <c r="AT424" i="21"/>
  <c r="AT425" i="21"/>
  <c r="AT453" i="21"/>
  <c r="AT454" i="21"/>
  <c r="M452" i="21"/>
  <c r="M431" i="21" s="1"/>
  <c r="P452" i="21"/>
  <c r="P431" i="21" s="1"/>
  <c r="S452" i="21"/>
  <c r="S431" i="21" s="1"/>
  <c r="V452" i="21"/>
  <c r="V431" i="21" s="1"/>
  <c r="Y452" i="21"/>
  <c r="Y431" i="21" s="1"/>
  <c r="AE452" i="21"/>
  <c r="AE431" i="21" s="1"/>
  <c r="AH452" i="21"/>
  <c r="AH431" i="21" s="1"/>
  <c r="AK452" i="21"/>
  <c r="AK431" i="21" s="1"/>
  <c r="AN452" i="21"/>
  <c r="AN431" i="21" s="1"/>
  <c r="AQ452" i="21"/>
  <c r="AQ431" i="21" s="1"/>
  <c r="AT477" i="21"/>
  <c r="AT476" i="21" s="1"/>
  <c r="AT461" i="21" s="1"/>
  <c r="AT503" i="21"/>
  <c r="AT504" i="21"/>
  <c r="AT505" i="21"/>
  <c r="AT580" i="21"/>
  <c r="AT581" i="21"/>
  <c r="AT584" i="21"/>
  <c r="AT606" i="21"/>
  <c r="AT605" i="21" s="1"/>
  <c r="AT601" i="21" s="1"/>
  <c r="AT641" i="21"/>
  <c r="AT642" i="21"/>
  <c r="AT673" i="21"/>
  <c r="AT674" i="21"/>
  <c r="AT675" i="21"/>
  <c r="AT676" i="21"/>
  <c r="AT677" i="21"/>
  <c r="AT678" i="21"/>
  <c r="AT679" i="21"/>
  <c r="AT714" i="21"/>
  <c r="AT715" i="21"/>
  <c r="AT716" i="21"/>
  <c r="AT717" i="21"/>
  <c r="AT718" i="21"/>
  <c r="AT719" i="21"/>
  <c r="AT720" i="21"/>
  <c r="AT721" i="21"/>
  <c r="AT722" i="21"/>
  <c r="AT723" i="21"/>
  <c r="AT724" i="21"/>
  <c r="AT725" i="21"/>
  <c r="AT727" i="21"/>
  <c r="AT798" i="21"/>
  <c r="AT799" i="21"/>
  <c r="AT800" i="21"/>
  <c r="AT801" i="21"/>
  <c r="AT834" i="21"/>
  <c r="AT836" i="21"/>
  <c r="AT837" i="21"/>
  <c r="AT838" i="21"/>
  <c r="AT840" i="21"/>
  <c r="AT845" i="21"/>
  <c r="AT762" i="21"/>
  <c r="AT763" i="21"/>
  <c r="AT764" i="21"/>
  <c r="AT765" i="21"/>
  <c r="AT766" i="21"/>
  <c r="AT767" i="21"/>
  <c r="AT768" i="21"/>
  <c r="AT769" i="21"/>
  <c r="AT770" i="21"/>
  <c r="AT771" i="21"/>
  <c r="AT772" i="21"/>
  <c r="AT773" i="21"/>
  <c r="AT774" i="21"/>
  <c r="AT775" i="21"/>
  <c r="AT776" i="21"/>
  <c r="AT777" i="21"/>
  <c r="AT778" i="21"/>
  <c r="AT779" i="21"/>
  <c r="AT783" i="21"/>
  <c r="AT863" i="21"/>
  <c r="AT864" i="21"/>
  <c r="AT893" i="21"/>
  <c r="AT892" i="21" s="1"/>
  <c r="AT869" i="21" s="1"/>
  <c r="AT921" i="21"/>
  <c r="AT922" i="21"/>
  <c r="AT923" i="21"/>
  <c r="AT934" i="21"/>
  <c r="AT935" i="21"/>
  <c r="AT936" i="21"/>
  <c r="AT937" i="21"/>
  <c r="AT939" i="21"/>
  <c r="AT940" i="21"/>
  <c r="AT941" i="21"/>
  <c r="AT986" i="21"/>
  <c r="AT987" i="21"/>
  <c r="AT998" i="21"/>
  <c r="AT997" i="21" s="1"/>
  <c r="AT992" i="21" s="1"/>
  <c r="AT1037" i="21"/>
  <c r="AT1038" i="21"/>
  <c r="AT1039" i="21"/>
  <c r="AT1040" i="21"/>
  <c r="AT1041" i="21"/>
  <c r="AT1042" i="21"/>
  <c r="AT1043" i="21"/>
  <c r="AT1044" i="21"/>
  <c r="AT1072" i="21"/>
  <c r="AT1073" i="21"/>
  <c r="AT1074" i="21"/>
  <c r="AT1075" i="21"/>
  <c r="AT1076" i="21"/>
  <c r="AT1077" i="21"/>
  <c r="AT1078" i="21"/>
  <c r="AT1080" i="21"/>
  <c r="AT1140" i="21"/>
  <c r="AT1141" i="21"/>
  <c r="AT1142" i="21"/>
  <c r="AT1143" i="21"/>
  <c r="AT1144" i="21"/>
  <c r="AT1180" i="21"/>
  <c r="AT1209" i="21"/>
  <c r="AT1208" i="21" s="1"/>
  <c r="AT1199" i="21" s="1"/>
  <c r="AT1258" i="21"/>
  <c r="AT1259" i="21"/>
  <c r="AT1260" i="21"/>
  <c r="AT1261" i="21"/>
  <c r="AT1262" i="21"/>
  <c r="AT1263" i="21"/>
  <c r="AT1264" i="21"/>
  <c r="AT1265" i="21"/>
  <c r="AT1266" i="21"/>
  <c r="AT1267" i="21"/>
  <c r="AT1268" i="21"/>
  <c r="AT1269" i="21"/>
  <c r="AT1270" i="21"/>
  <c r="AT1271" i="21"/>
  <c r="AT1272" i="21"/>
  <c r="AT1273" i="21"/>
  <c r="AT1274" i="21"/>
  <c r="AT1275" i="21"/>
  <c r="AT1276" i="21"/>
  <c r="AT1277" i="21"/>
  <c r="AT1278" i="21"/>
  <c r="AT1279" i="21"/>
  <c r="AT1280" i="21"/>
  <c r="AT1283" i="21"/>
  <c r="AT1284" i="21"/>
  <c r="AT1285" i="21"/>
  <c r="AT1321" i="21"/>
  <c r="AT1320" i="21" s="1"/>
  <c r="AT1293" i="21" s="1"/>
  <c r="AT1380" i="21"/>
  <c r="AT1381" i="21"/>
  <c r="AT1382" i="21"/>
  <c r="AT1444" i="21"/>
  <c r="AT1445" i="21"/>
  <c r="AT1475" i="21"/>
  <c r="AT1476" i="21"/>
  <c r="AT1477" i="21"/>
  <c r="AT1478" i="21"/>
  <c r="AT1507" i="21"/>
  <c r="AT1506" i="21" s="1"/>
  <c r="AT1493" i="21" s="1"/>
  <c r="AT1525" i="21"/>
  <c r="AT1526" i="21"/>
  <c r="AT1549" i="21"/>
  <c r="AT1550" i="21"/>
  <c r="AT1603" i="21"/>
  <c r="AT1604" i="21"/>
  <c r="AT1605" i="21"/>
  <c r="AT1606" i="21"/>
  <c r="AT1607" i="21"/>
  <c r="AT1608" i="21"/>
  <c r="AT1576" i="21"/>
  <c r="AT1577" i="21"/>
  <c r="AT1578" i="21"/>
  <c r="AT1637" i="21"/>
  <c r="AT1638" i="21"/>
  <c r="AT1639" i="21"/>
  <c r="AT1650" i="21"/>
  <c r="AT1651" i="21"/>
  <c r="AT1652" i="21"/>
  <c r="AT1653" i="21"/>
  <c r="AT1654" i="21"/>
  <c r="AT1656" i="21"/>
  <c r="AT1672" i="21"/>
  <c r="AT1673" i="21"/>
  <c r="AQ115" i="21"/>
  <c r="Q104" i="47"/>
  <c r="AQ1053" i="21"/>
  <c r="AQ899" i="21"/>
  <c r="AQ905" i="21"/>
  <c r="AQ910" i="21"/>
  <c r="AQ953" i="21"/>
  <c r="AQ960" i="21"/>
  <c r="AQ969" i="21"/>
  <c r="AQ994" i="21"/>
  <c r="AQ991" i="21" s="1"/>
  <c r="AQ1159" i="21"/>
  <c r="AQ1345" i="21"/>
  <c r="AQ1334" i="21" s="1"/>
  <c r="AQ88" i="21"/>
  <c r="AQ102" i="21"/>
  <c r="AQ101" i="21" s="1"/>
  <c r="AQ117" i="21"/>
  <c r="AQ120" i="21"/>
  <c r="AQ147" i="21"/>
  <c r="AQ138" i="21" s="1"/>
  <c r="AQ160" i="21"/>
  <c r="AQ158" i="21" s="1"/>
  <c r="AQ176" i="21"/>
  <c r="AQ190" i="21"/>
  <c r="AQ187" i="21" s="1"/>
  <c r="AQ289" i="21"/>
  <c r="AQ285" i="21" s="1"/>
  <c r="AQ297" i="21"/>
  <c r="AQ300" i="21"/>
  <c r="AQ308" i="21"/>
  <c r="AQ315" i="21"/>
  <c r="AQ339" i="21"/>
  <c r="AQ342" i="21"/>
  <c r="AQ346" i="21"/>
  <c r="AQ355" i="21"/>
  <c r="AQ212" i="21"/>
  <c r="AQ219" i="21"/>
  <c r="AQ238" i="21"/>
  <c r="AQ589" i="21"/>
  <c r="AQ592" i="21"/>
  <c r="AQ600" i="21"/>
  <c r="AQ615" i="21"/>
  <c r="AQ609" i="21" s="1"/>
  <c r="AQ651" i="21"/>
  <c r="AQ654" i="21"/>
  <c r="AQ658" i="21"/>
  <c r="AQ666" i="21"/>
  <c r="AQ691" i="21"/>
  <c r="AQ694" i="21"/>
  <c r="AQ809" i="21"/>
  <c r="AQ856" i="21"/>
  <c r="AQ895" i="21"/>
  <c r="AQ945" i="21"/>
  <c r="AQ981" i="21"/>
  <c r="AQ979" i="21" s="1"/>
  <c r="AQ990" i="21"/>
  <c r="AQ1011" i="21"/>
  <c r="AQ1014" i="21"/>
  <c r="AQ1017" i="21"/>
  <c r="AQ1024" i="21"/>
  <c r="AQ1151" i="21"/>
  <c r="AQ1197" i="21"/>
  <c r="AQ1631" i="21"/>
  <c r="AQ1643" i="21"/>
  <c r="AQ1641" i="21" s="1"/>
  <c r="AQ1667" i="21"/>
  <c r="AQ1661" i="21" s="1"/>
  <c r="AQ548" i="21"/>
  <c r="AQ612" i="21"/>
  <c r="AQ948" i="21"/>
  <c r="AQ1153" i="21"/>
  <c r="AQ1448" i="21"/>
  <c r="AQ1663" i="21"/>
  <c r="AQ165" i="21"/>
  <c r="AQ159" i="21" s="1"/>
  <c r="AQ183" i="21"/>
  <c r="AQ178" i="21" s="1"/>
  <c r="AQ287" i="21"/>
  <c r="AQ316" i="21"/>
  <c r="AQ350" i="21"/>
  <c r="AQ337" i="21" s="1"/>
  <c r="AQ367" i="21"/>
  <c r="AQ357" i="21" s="1"/>
  <c r="AQ244" i="21"/>
  <c r="AQ209" i="21" s="1"/>
  <c r="AQ382" i="21"/>
  <c r="AQ379" i="21" s="1"/>
  <c r="AQ389" i="21"/>
  <c r="AQ386" i="21" s="1"/>
  <c r="AQ476" i="21"/>
  <c r="AQ461" i="21" s="1"/>
  <c r="AQ579" i="21"/>
  <c r="AQ550" i="21" s="1"/>
  <c r="AQ601" i="21"/>
  <c r="AQ640" i="21"/>
  <c r="AQ613" i="21" s="1"/>
  <c r="AQ685" i="21"/>
  <c r="AQ797" i="21"/>
  <c r="AQ791" i="21" s="1"/>
  <c r="AQ862" i="21"/>
  <c r="AQ857" i="21" s="1"/>
  <c r="AQ892" i="21"/>
  <c r="AQ869" i="21" s="1"/>
  <c r="AQ920" i="21"/>
  <c r="AQ897" i="21" s="1"/>
  <c r="AQ997" i="21"/>
  <c r="AQ992" i="21" s="1"/>
  <c r="AQ1036" i="21"/>
  <c r="AQ1006" i="21" s="1"/>
  <c r="AQ1179" i="21"/>
  <c r="AQ1170" i="21" s="1"/>
  <c r="AQ1199" i="21"/>
  <c r="AQ1320" i="21"/>
  <c r="AQ1293" i="21" s="1"/>
  <c r="AQ1379" i="21"/>
  <c r="AQ1337" i="21" s="1"/>
  <c r="AQ1399" i="21"/>
  <c r="AQ1394" i="21" s="1"/>
  <c r="AQ1474" i="21"/>
  <c r="AQ1465" i="21" s="1"/>
  <c r="AQ1462" i="21" s="1"/>
  <c r="AQ1548" i="21"/>
  <c r="AQ1530" i="21" s="1"/>
  <c r="L77" i="40" s="1"/>
  <c r="AQ1602" i="21"/>
  <c r="AQ1583" i="21" s="1"/>
  <c r="AQ1636" i="21"/>
  <c r="AQ1622" i="21" s="1"/>
  <c r="AQ1649" i="21"/>
  <c r="AQ1648" i="21" s="1"/>
  <c r="AQ1642" i="21" s="1"/>
  <c r="AQ1671" i="21"/>
  <c r="AQ1664" i="21" s="1"/>
  <c r="AN115" i="21"/>
  <c r="P104" i="47"/>
  <c r="P103" i="47"/>
  <c r="AN1053" i="21"/>
  <c r="AN899" i="21"/>
  <c r="AN905" i="21"/>
  <c r="AN910" i="21"/>
  <c r="AN953" i="21"/>
  <c r="AN960" i="21"/>
  <c r="AN969" i="21"/>
  <c r="AN994" i="21"/>
  <c r="AN991" i="21" s="1"/>
  <c r="AN1159" i="21"/>
  <c r="AN1345" i="21"/>
  <c r="AN1334" i="21" s="1"/>
  <c r="AN88" i="21"/>
  <c r="AN102" i="21"/>
  <c r="AN101" i="21" s="1"/>
  <c r="AN117" i="21"/>
  <c r="AN147" i="21"/>
  <c r="AN138" i="21" s="1"/>
  <c r="AN160" i="21"/>
  <c r="AN158" i="21" s="1"/>
  <c r="AN170" i="21"/>
  <c r="AN169" i="21" s="1"/>
  <c r="AN176" i="21"/>
  <c r="AN190" i="21"/>
  <c r="AN187" i="21" s="1"/>
  <c r="AN289" i="21"/>
  <c r="AN285" i="21" s="1"/>
  <c r="AN297" i="21"/>
  <c r="AN300" i="21"/>
  <c r="AN308" i="21"/>
  <c r="AN315" i="21"/>
  <c r="AN339" i="21"/>
  <c r="AN342" i="21"/>
  <c r="AN355" i="21"/>
  <c r="AN517" i="21"/>
  <c r="AN532" i="21"/>
  <c r="AN592" i="21"/>
  <c r="AN615" i="21"/>
  <c r="AN609" i="21" s="1"/>
  <c r="AN651" i="21"/>
  <c r="AN654" i="21"/>
  <c r="AN658" i="21"/>
  <c r="AN663" i="21"/>
  <c r="AN686" i="21"/>
  <c r="AN691" i="21"/>
  <c r="AN792" i="21"/>
  <c r="AN790" i="21" s="1"/>
  <c r="AN805" i="21"/>
  <c r="AN809" i="21"/>
  <c r="AN812" i="21"/>
  <c r="AN736" i="21"/>
  <c r="AN740" i="21"/>
  <c r="AN744" i="21"/>
  <c r="AN747" i="21"/>
  <c r="AN856" i="21"/>
  <c r="AN945" i="21"/>
  <c r="M55" i="46" s="1"/>
  <c r="AN981" i="21"/>
  <c r="AN979" i="21" s="1"/>
  <c r="AN1151" i="21"/>
  <c r="AN1197" i="21"/>
  <c r="AN1235" i="21"/>
  <c r="AN1591" i="21"/>
  <c r="AN1595" i="21"/>
  <c r="AN1657" i="21"/>
  <c r="AN1611" i="21"/>
  <c r="AN1623" i="21"/>
  <c r="AN1631" i="21"/>
  <c r="AN1643" i="21"/>
  <c r="AN1641" i="21" s="1"/>
  <c r="AN1667" i="21"/>
  <c r="AN1661" i="21" s="1"/>
  <c r="AN548" i="21"/>
  <c r="AN612" i="21"/>
  <c r="AN948" i="21"/>
  <c r="AN1153" i="21"/>
  <c r="AN1448" i="21"/>
  <c r="AN1663" i="21"/>
  <c r="AN165" i="21"/>
  <c r="AN159" i="21" s="1"/>
  <c r="AN183" i="21"/>
  <c r="AN178" i="21" s="1"/>
  <c r="AN287" i="21"/>
  <c r="AN316" i="21"/>
  <c r="AN350" i="21"/>
  <c r="AN337" i="21" s="1"/>
  <c r="AN367" i="21"/>
  <c r="AN357" i="21" s="1"/>
  <c r="AN382" i="21"/>
  <c r="AN379" i="21" s="1"/>
  <c r="AN389" i="21"/>
  <c r="AN386" i="21" s="1"/>
  <c r="AN476" i="21"/>
  <c r="AN461" i="21" s="1"/>
  <c r="AN579" i="21"/>
  <c r="AN550" i="21" s="1"/>
  <c r="AN601" i="21"/>
  <c r="AN640" i="21"/>
  <c r="AN613" i="21" s="1"/>
  <c r="AN797" i="21"/>
  <c r="AN791" i="21" s="1"/>
  <c r="AN862" i="21"/>
  <c r="AN857" i="21" s="1"/>
  <c r="AN892" i="21"/>
  <c r="AN869" i="21" s="1"/>
  <c r="AN920" i="21"/>
  <c r="AN897" i="21" s="1"/>
  <c r="AN997" i="21"/>
  <c r="AN992" i="21" s="1"/>
  <c r="AN1036" i="21"/>
  <c r="AN1006" i="21" s="1"/>
  <c r="AN1179" i="21"/>
  <c r="AN1170" i="21" s="1"/>
  <c r="AN1199" i="21"/>
  <c r="AN1320" i="21"/>
  <c r="AN1293" i="21" s="1"/>
  <c r="AN1379" i="21"/>
  <c r="AN1337" i="21" s="1"/>
  <c r="AN1399" i="21"/>
  <c r="AN1394" i="21" s="1"/>
  <c r="AN1474" i="21"/>
  <c r="AN1465" i="21" s="1"/>
  <c r="AN1462" i="21" s="1"/>
  <c r="AN1548" i="21"/>
  <c r="AN1530" i="21" s="1"/>
  <c r="L77" i="39" s="1"/>
  <c r="AN1602" i="21"/>
  <c r="AN1583" i="21" s="1"/>
  <c r="AN1636" i="21"/>
  <c r="AN1622" i="21" s="1"/>
  <c r="AN1649" i="21"/>
  <c r="AN1648" i="21" s="1"/>
  <c r="AN1642" i="21" s="1"/>
  <c r="AN1671" i="21"/>
  <c r="AN1664" i="21" s="1"/>
  <c r="AK115" i="21"/>
  <c r="O103" i="47"/>
  <c r="AK1053" i="21"/>
  <c r="AK899" i="21"/>
  <c r="AK905" i="21"/>
  <c r="AK910" i="21"/>
  <c r="AK953" i="21"/>
  <c r="AK960" i="21"/>
  <c r="AK969" i="21"/>
  <c r="AK994" i="21"/>
  <c r="AK991" i="21" s="1"/>
  <c r="AK1159" i="21"/>
  <c r="AK1345" i="21"/>
  <c r="AK1334" i="21" s="1"/>
  <c r="AK88" i="21"/>
  <c r="AK102" i="21"/>
  <c r="AK101" i="21" s="1"/>
  <c r="AK117" i="21"/>
  <c r="AK120" i="21"/>
  <c r="AK147" i="21"/>
  <c r="AK138" i="21" s="1"/>
  <c r="AK160" i="21"/>
  <c r="AK158" i="21" s="1"/>
  <c r="AK176" i="21"/>
  <c r="AK190" i="21"/>
  <c r="AK187" i="21" s="1"/>
  <c r="AK289" i="21"/>
  <c r="AK285" i="21" s="1"/>
  <c r="AK297" i="21"/>
  <c r="AK308" i="21"/>
  <c r="AK315" i="21"/>
  <c r="AK339" i="21"/>
  <c r="AK342" i="21"/>
  <c r="AK346" i="21"/>
  <c r="AK355" i="21"/>
  <c r="AK216" i="21"/>
  <c r="AK219" i="21"/>
  <c r="AK222" i="21"/>
  <c r="AK225" i="21"/>
  <c r="AK238" i="21"/>
  <c r="AK262" i="21"/>
  <c r="AK403" i="21"/>
  <c r="AK435" i="21"/>
  <c r="AK441" i="21"/>
  <c r="AK517" i="21"/>
  <c r="AK487" i="21"/>
  <c r="AK589" i="21"/>
  <c r="AK592" i="21"/>
  <c r="AK600" i="21"/>
  <c r="AK615" i="21"/>
  <c r="AK651" i="21"/>
  <c r="AK654" i="21"/>
  <c r="AK658" i="21"/>
  <c r="AK663" i="21"/>
  <c r="AK691" i="21"/>
  <c r="AK792" i="21"/>
  <c r="AK790" i="21" s="1"/>
  <c r="AK809" i="21"/>
  <c r="AK812" i="21"/>
  <c r="AK736" i="21"/>
  <c r="AK744" i="21"/>
  <c r="AK747" i="21"/>
  <c r="AK751" i="21"/>
  <c r="AK895" i="21"/>
  <c r="AK945" i="21"/>
  <c r="L55" i="46" s="1"/>
  <c r="AK1014" i="21"/>
  <c r="AK1024" i="21"/>
  <c r="AK1095" i="21"/>
  <c r="AK1151" i="21"/>
  <c r="AK1197" i="21"/>
  <c r="AK1232" i="21"/>
  <c r="AK1235" i="21"/>
  <c r="AK1591" i="21"/>
  <c r="AK1564" i="21"/>
  <c r="AK1643" i="21"/>
  <c r="AK1641" i="21" s="1"/>
  <c r="AK1667" i="21"/>
  <c r="AK1661" i="21" s="1"/>
  <c r="AK548" i="21"/>
  <c r="AK612" i="21"/>
  <c r="AK948" i="21"/>
  <c r="AK1153" i="21"/>
  <c r="AK1448" i="21"/>
  <c r="AK1663" i="21"/>
  <c r="AK165" i="21"/>
  <c r="AK159" i="21" s="1"/>
  <c r="AK183" i="21"/>
  <c r="AK178" i="21" s="1"/>
  <c r="AK287" i="21"/>
  <c r="AK316" i="21"/>
  <c r="AK350" i="21"/>
  <c r="AK337" i="21" s="1"/>
  <c r="AK367" i="21"/>
  <c r="AK357" i="21" s="1"/>
  <c r="AK244" i="21"/>
  <c r="AK209" i="21" s="1"/>
  <c r="AK382" i="21"/>
  <c r="AK379" i="21" s="1"/>
  <c r="AK389" i="21"/>
  <c r="AK386" i="21" s="1"/>
  <c r="AK476" i="21"/>
  <c r="AK461" i="21" s="1"/>
  <c r="AK579" i="21"/>
  <c r="AK550" i="21" s="1"/>
  <c r="AK601" i="21"/>
  <c r="AK640" i="21"/>
  <c r="AK613" i="21" s="1"/>
  <c r="AK797" i="21"/>
  <c r="AK791" i="21" s="1"/>
  <c r="AK862" i="21"/>
  <c r="AK857" i="21" s="1"/>
  <c r="AK892" i="21"/>
  <c r="AK869" i="21" s="1"/>
  <c r="AK920" i="21"/>
  <c r="AK897" i="21" s="1"/>
  <c r="AK997" i="21"/>
  <c r="AK992" i="21" s="1"/>
  <c r="AK1036" i="21"/>
  <c r="AK1006" i="21" s="1"/>
  <c r="AK1179" i="21"/>
  <c r="AK1170" i="21" s="1"/>
  <c r="AK1199" i="21"/>
  <c r="AK1320" i="21"/>
  <c r="AK1293" i="21" s="1"/>
  <c r="AK1379" i="21"/>
  <c r="AK1337" i="21" s="1"/>
  <c r="AK1399" i="21"/>
  <c r="AK1394" i="21" s="1"/>
  <c r="AK1474" i="21"/>
  <c r="AK1465" i="21" s="1"/>
  <c r="AK1548" i="21"/>
  <c r="AK1530" i="21" s="1"/>
  <c r="L77" i="38" s="1"/>
  <c r="AK1602" i="21"/>
  <c r="AK1583" i="21" s="1"/>
  <c r="AK1636" i="21"/>
  <c r="AK1622" i="21" s="1"/>
  <c r="AK1649" i="21"/>
  <c r="AK1648" i="21" s="1"/>
  <c r="AK1642" i="21" s="1"/>
  <c r="AK1671" i="21"/>
  <c r="AK1664" i="21" s="1"/>
  <c r="AH115" i="21"/>
  <c r="M103" i="47"/>
  <c r="AH1053" i="21"/>
  <c r="AH899" i="21"/>
  <c r="AH905" i="21"/>
  <c r="AH910" i="21"/>
  <c r="AH953" i="21"/>
  <c r="AH960" i="21"/>
  <c r="AH969" i="21"/>
  <c r="AH994" i="21"/>
  <c r="AH991" i="21" s="1"/>
  <c r="AH1159" i="21"/>
  <c r="AH1345" i="21"/>
  <c r="AH1334" i="21" s="1"/>
  <c r="AH88" i="21"/>
  <c r="AH102" i="21"/>
  <c r="AH101" i="21" s="1"/>
  <c r="AH117" i="21"/>
  <c r="AH120" i="21"/>
  <c r="AH147" i="21"/>
  <c r="AH138" i="21" s="1"/>
  <c r="AH160" i="21"/>
  <c r="AH158" i="21" s="1"/>
  <c r="AH170" i="21"/>
  <c r="AH169" i="21" s="1"/>
  <c r="AH176" i="21"/>
  <c r="AH190" i="21"/>
  <c r="AH187" i="21" s="1"/>
  <c r="AH289" i="21"/>
  <c r="AH285" i="21" s="1"/>
  <c r="AH297" i="21"/>
  <c r="AH308" i="21"/>
  <c r="AH315" i="21"/>
  <c r="AH339" i="21"/>
  <c r="AH342" i="21"/>
  <c r="AH346" i="21"/>
  <c r="AH355" i="21"/>
  <c r="AH212" i="21"/>
  <c r="AH216" i="21"/>
  <c r="AH219" i="21"/>
  <c r="AH222" i="21"/>
  <c r="AH225" i="21"/>
  <c r="AH228" i="21"/>
  <c r="AH232" i="21"/>
  <c r="AH238" i="21"/>
  <c r="AH262" i="21"/>
  <c r="AH266" i="21"/>
  <c r="AH269" i="21"/>
  <c r="AH378" i="21"/>
  <c r="AH385" i="21"/>
  <c r="AH399" i="21"/>
  <c r="AH403" i="21"/>
  <c r="AH417" i="21"/>
  <c r="AH444" i="21"/>
  <c r="AH517" i="21"/>
  <c r="AH589" i="21"/>
  <c r="AH592" i="21"/>
  <c r="AH615" i="21"/>
  <c r="AH651" i="21"/>
  <c r="AH654" i="21"/>
  <c r="AH658" i="21"/>
  <c r="AH686" i="21"/>
  <c r="AH694" i="21"/>
  <c r="AH792" i="21"/>
  <c r="AH790" i="21" s="1"/>
  <c r="AH809" i="21"/>
  <c r="AH812" i="21"/>
  <c r="AH736" i="21"/>
  <c r="AH740" i="21"/>
  <c r="AH856" i="21"/>
  <c r="AH895" i="21"/>
  <c r="AH945" i="21"/>
  <c r="K55" i="46" s="1"/>
  <c r="AH981" i="21"/>
  <c r="AH979" i="21" s="1"/>
  <c r="AH990" i="21"/>
  <c r="AH1011" i="21"/>
  <c r="AH1014" i="21"/>
  <c r="AH1017" i="21"/>
  <c r="AH1020" i="21"/>
  <c r="AH1024" i="21"/>
  <c r="AH1095" i="21"/>
  <c r="AH1151" i="21"/>
  <c r="AH1197" i="21"/>
  <c r="AH1232" i="21"/>
  <c r="AH1235" i="21"/>
  <c r="AH1591" i="21"/>
  <c r="AH1564" i="21"/>
  <c r="AH1567" i="21"/>
  <c r="AH1570" i="21"/>
  <c r="AH1623" i="21"/>
  <c r="AH1631" i="21"/>
  <c r="AH1643" i="21"/>
  <c r="AH1641" i="21" s="1"/>
  <c r="AH1667" i="21"/>
  <c r="AH1661" i="21" s="1"/>
  <c r="AH548" i="21"/>
  <c r="AH612" i="21"/>
  <c r="AH948" i="21"/>
  <c r="AH1153" i="21"/>
  <c r="AH1448" i="21"/>
  <c r="AH1663" i="21"/>
  <c r="AH165" i="21"/>
  <c r="AH159" i="21" s="1"/>
  <c r="AH183" i="21"/>
  <c r="AH178" i="21" s="1"/>
  <c r="AH287" i="21"/>
  <c r="AH316" i="21"/>
  <c r="AH350" i="21"/>
  <c r="AH337" i="21" s="1"/>
  <c r="AH367" i="21"/>
  <c r="AH357" i="21" s="1"/>
  <c r="AH244" i="21"/>
  <c r="AH209" i="21" s="1"/>
  <c r="AH382" i="21"/>
  <c r="AH379" i="21" s="1"/>
  <c r="AH389" i="21"/>
  <c r="AH386" i="21" s="1"/>
  <c r="AH476" i="21"/>
  <c r="AH461" i="21" s="1"/>
  <c r="AH579" i="21"/>
  <c r="AH550" i="21" s="1"/>
  <c r="AH601" i="21"/>
  <c r="AH640" i="21"/>
  <c r="AH613" i="21" s="1"/>
  <c r="AH797" i="21"/>
  <c r="AH791" i="21" s="1"/>
  <c r="AH862" i="21"/>
  <c r="AH857" i="21" s="1"/>
  <c r="AH892" i="21"/>
  <c r="AH869" i="21" s="1"/>
  <c r="AH920" i="21"/>
  <c r="AH897" i="21" s="1"/>
  <c r="AH980" i="21"/>
  <c r="AH997" i="21"/>
  <c r="AH992" i="21" s="1"/>
  <c r="AH1036" i="21"/>
  <c r="AH1006" i="21" s="1"/>
  <c r="AH1179" i="21"/>
  <c r="AH1170" i="21" s="1"/>
  <c r="AH1199" i="21"/>
  <c r="AH1320" i="21"/>
  <c r="AH1293" i="21" s="1"/>
  <c r="AH1379" i="21"/>
  <c r="AH1337" i="21" s="1"/>
  <c r="AH1399" i="21"/>
  <c r="AH1394" i="21" s="1"/>
  <c r="AH1474" i="21"/>
  <c r="AH1465" i="21" s="1"/>
  <c r="AH1462" i="21" s="1"/>
  <c r="AH1548" i="21"/>
  <c r="AH1530" i="21" s="1"/>
  <c r="L77" i="37" s="1"/>
  <c r="AH1602" i="21"/>
  <c r="AH1583" i="21" s="1"/>
  <c r="AH1636" i="21"/>
  <c r="AH1622" i="21" s="1"/>
  <c r="AH1649" i="21"/>
  <c r="AH1648" i="21" s="1"/>
  <c r="AH1642" i="21" s="1"/>
  <c r="AH1671" i="21"/>
  <c r="AH1664" i="21" s="1"/>
  <c r="AE115" i="21"/>
  <c r="L103" i="47"/>
  <c r="AE1053" i="21"/>
  <c r="AE899" i="21"/>
  <c r="AE905" i="21"/>
  <c r="AE910" i="21"/>
  <c r="AE953" i="21"/>
  <c r="AE960" i="21"/>
  <c r="AE969" i="21"/>
  <c r="AE994" i="21"/>
  <c r="AE991" i="21" s="1"/>
  <c r="AE1159" i="21"/>
  <c r="AE1345" i="21"/>
  <c r="AE1334" i="21" s="1"/>
  <c r="AE88" i="21"/>
  <c r="AE102" i="21"/>
  <c r="AE101" i="21" s="1"/>
  <c r="AE117" i="21"/>
  <c r="AE147" i="21"/>
  <c r="AE138" i="21" s="1"/>
  <c r="AE160" i="21"/>
  <c r="AE158" i="21" s="1"/>
  <c r="AE176" i="21"/>
  <c r="AE190" i="21"/>
  <c r="AE187" i="21" s="1"/>
  <c r="AE289" i="21"/>
  <c r="AE285" i="21" s="1"/>
  <c r="AE297" i="21"/>
  <c r="AE300" i="21"/>
  <c r="AE308" i="21"/>
  <c r="AE339" i="21"/>
  <c r="AE342" i="21"/>
  <c r="AE346" i="21"/>
  <c r="AE355" i="21"/>
  <c r="AE212" i="21"/>
  <c r="AE216" i="21"/>
  <c r="AE219" i="21"/>
  <c r="AE225" i="21"/>
  <c r="AE228" i="21"/>
  <c r="AE232" i="21"/>
  <c r="AE238" i="21"/>
  <c r="AE262" i="21"/>
  <c r="AE266" i="21"/>
  <c r="AE269" i="21"/>
  <c r="AE385" i="21"/>
  <c r="AE444" i="21"/>
  <c r="AE589" i="21"/>
  <c r="AE592" i="21"/>
  <c r="AE600" i="21"/>
  <c r="AE615" i="21"/>
  <c r="AE609" i="21" s="1"/>
  <c r="AE651" i="21"/>
  <c r="AE666" i="21"/>
  <c r="AE686" i="21"/>
  <c r="AE691" i="21"/>
  <c r="AE694" i="21"/>
  <c r="AE792" i="21"/>
  <c r="AE809" i="21"/>
  <c r="AE824" i="21"/>
  <c r="AE736" i="21"/>
  <c r="AE740" i="21"/>
  <c r="AE744" i="21"/>
  <c r="AE747" i="21"/>
  <c r="AE751" i="21"/>
  <c r="AE856" i="21"/>
  <c r="AE895" i="21"/>
  <c r="AE945" i="21"/>
  <c r="J55" i="46" s="1"/>
  <c r="AE981" i="21"/>
  <c r="AE979" i="21" s="1"/>
  <c r="AE990" i="21"/>
  <c r="AE1020" i="21"/>
  <c r="AE1024" i="21"/>
  <c r="AE1151" i="21"/>
  <c r="AE1197" i="21"/>
  <c r="AE1232" i="21"/>
  <c r="AE1235" i="21"/>
  <c r="AE1299" i="21"/>
  <c r="AE1289" i="21" s="1"/>
  <c r="AE1339" i="21"/>
  <c r="AE1591" i="21"/>
  <c r="AE1564" i="21"/>
  <c r="AE1567" i="21"/>
  <c r="AE1570" i="21"/>
  <c r="AE1623" i="21"/>
  <c r="AE1643" i="21"/>
  <c r="AE1641" i="21" s="1"/>
  <c r="AE1667" i="21"/>
  <c r="AE1661" i="21" s="1"/>
  <c r="AE548" i="21"/>
  <c r="AE612" i="21"/>
  <c r="AE948" i="21"/>
  <c r="AE1153" i="21"/>
  <c r="AE1448" i="21"/>
  <c r="AE1663" i="21"/>
  <c r="AE1457" i="21" s="1"/>
  <c r="AE165" i="21"/>
  <c r="AE159" i="21" s="1"/>
  <c r="AE183" i="21"/>
  <c r="AE178" i="21" s="1"/>
  <c r="AE287" i="21"/>
  <c r="AE316" i="21"/>
  <c r="AE350" i="21"/>
  <c r="AE337" i="21" s="1"/>
  <c r="AE367" i="21"/>
  <c r="AE357" i="21" s="1"/>
  <c r="AE244" i="21"/>
  <c r="AE209" i="21" s="1"/>
  <c r="AE382" i="21"/>
  <c r="AE379" i="21" s="1"/>
  <c r="AE389" i="21"/>
  <c r="AE386" i="21" s="1"/>
  <c r="AE476" i="21"/>
  <c r="AE461" i="21" s="1"/>
  <c r="AE579" i="21"/>
  <c r="AE550" i="21" s="1"/>
  <c r="AE601" i="21"/>
  <c r="AE640" i="21"/>
  <c r="AE613" i="21" s="1"/>
  <c r="AE797" i="21"/>
  <c r="AE791" i="21" s="1"/>
  <c r="AE862" i="21"/>
  <c r="AE857" i="21" s="1"/>
  <c r="AE892" i="21"/>
  <c r="AE869" i="21" s="1"/>
  <c r="AE920" i="21"/>
  <c r="AE897" i="21" s="1"/>
  <c r="AE997" i="21"/>
  <c r="AE992" i="21" s="1"/>
  <c r="AE1036" i="21"/>
  <c r="AE1006" i="21" s="1"/>
  <c r="AE1179" i="21"/>
  <c r="AE1170" i="21" s="1"/>
  <c r="AE1199" i="21"/>
  <c r="AE1320" i="21"/>
  <c r="AE1293" i="21" s="1"/>
  <c r="AE1379" i="21"/>
  <c r="AE1337" i="21" s="1"/>
  <c r="AE1399" i="21"/>
  <c r="AE1394" i="21" s="1"/>
  <c r="AE1474" i="21"/>
  <c r="AE1465" i="21" s="1"/>
  <c r="AE1462" i="21" s="1"/>
  <c r="AE1548" i="21"/>
  <c r="AE1530" i="21" s="1"/>
  <c r="AE1602" i="21"/>
  <c r="AE1583" i="21" s="1"/>
  <c r="AE1636" i="21"/>
  <c r="AE1622" i="21" s="1"/>
  <c r="AE1649" i="21"/>
  <c r="AE1648" i="21" s="1"/>
  <c r="AE1642" i="21" s="1"/>
  <c r="AE1671" i="21"/>
  <c r="AE1664" i="21" s="1"/>
  <c r="AB115" i="21"/>
  <c r="K103" i="47"/>
  <c r="AB1053" i="21"/>
  <c r="AB899" i="21"/>
  <c r="AB905" i="21"/>
  <c r="AB910" i="21"/>
  <c r="AB953" i="21"/>
  <c r="AB960" i="21"/>
  <c r="AB969" i="21"/>
  <c r="AB994" i="21"/>
  <c r="AB991" i="21" s="1"/>
  <c r="AB1159" i="21"/>
  <c r="AB1345" i="21"/>
  <c r="AB1334" i="21" s="1"/>
  <c r="AB88" i="21"/>
  <c r="AB102" i="21"/>
  <c r="AB101" i="21" s="1"/>
  <c r="AB117" i="21"/>
  <c r="AB147" i="21"/>
  <c r="AB160" i="21"/>
  <c r="AB158" i="21" s="1"/>
  <c r="AB190" i="21"/>
  <c r="AB187" i="21" s="1"/>
  <c r="AB289" i="21"/>
  <c r="AB285" i="21" s="1"/>
  <c r="AB297" i="21"/>
  <c r="AB315" i="21"/>
  <c r="AB339" i="21"/>
  <c r="AB342" i="21"/>
  <c r="AB346" i="21"/>
  <c r="AB355" i="21"/>
  <c r="AB212" i="21"/>
  <c r="AB216" i="21"/>
  <c r="AB219" i="21"/>
  <c r="AB238" i="21"/>
  <c r="AB262" i="21"/>
  <c r="AB266" i="21"/>
  <c r="AB269" i="21"/>
  <c r="AB378" i="21"/>
  <c r="AB417" i="21"/>
  <c r="AB444" i="21"/>
  <c r="AB600" i="21"/>
  <c r="AB651" i="21"/>
  <c r="AB658" i="21"/>
  <c r="AB663" i="21"/>
  <c r="AB666" i="21"/>
  <c r="AB792" i="21"/>
  <c r="AB790" i="21" s="1"/>
  <c r="AB809" i="21"/>
  <c r="AB736" i="21"/>
  <c r="AB744" i="21"/>
  <c r="AB751" i="21"/>
  <c r="AB895" i="21"/>
  <c r="AB945" i="21"/>
  <c r="I55" i="46" s="1"/>
  <c r="AB981" i="21"/>
  <c r="AB979" i="21" s="1"/>
  <c r="AB990" i="21"/>
  <c r="AB1017" i="21"/>
  <c r="AB1020" i="21"/>
  <c r="AB1024" i="21"/>
  <c r="AB1062" i="21"/>
  <c r="AB1151" i="21"/>
  <c r="AB1197" i="21"/>
  <c r="AB1232" i="21"/>
  <c r="AB1235" i="21"/>
  <c r="AB1591" i="21"/>
  <c r="AB1657" i="21"/>
  <c r="AB1564" i="21"/>
  <c r="AB1570" i="21"/>
  <c r="AB1643" i="21"/>
  <c r="AB1641" i="21" s="1"/>
  <c r="AB1667" i="21"/>
  <c r="AB1661" i="21" s="1"/>
  <c r="AB548" i="21"/>
  <c r="AB612" i="21"/>
  <c r="AB948" i="21"/>
  <c r="AB1153" i="21"/>
  <c r="AB1448" i="21"/>
  <c r="AB1663" i="21"/>
  <c r="AB165" i="21"/>
  <c r="AB159" i="21" s="1"/>
  <c r="AB183" i="21"/>
  <c r="AB178" i="21" s="1"/>
  <c r="AB287" i="21"/>
  <c r="AB316" i="21"/>
  <c r="AB350" i="21"/>
  <c r="AB337" i="21" s="1"/>
  <c r="AB367" i="21"/>
  <c r="AB357" i="21" s="1"/>
  <c r="AB244" i="21"/>
  <c r="AB209" i="21" s="1"/>
  <c r="AB382" i="21"/>
  <c r="AB379" i="21" s="1"/>
  <c r="AB389" i="21"/>
  <c r="AB386" i="21" s="1"/>
  <c r="AB476" i="21"/>
  <c r="AB461" i="21" s="1"/>
  <c r="AB579" i="21"/>
  <c r="AB550" i="21" s="1"/>
  <c r="AB601" i="21"/>
  <c r="AB640" i="21"/>
  <c r="AB613" i="21" s="1"/>
  <c r="AB797" i="21"/>
  <c r="AB791" i="21" s="1"/>
  <c r="AB804" i="21"/>
  <c r="AB862" i="21"/>
  <c r="AB857" i="21" s="1"/>
  <c r="AB892" i="21"/>
  <c r="AB869" i="21" s="1"/>
  <c r="AB920" i="21"/>
  <c r="AB897" i="21" s="1"/>
  <c r="AB997" i="21"/>
  <c r="AB992" i="21" s="1"/>
  <c r="AB1036" i="21"/>
  <c r="AB1006" i="21" s="1"/>
  <c r="AB1179" i="21"/>
  <c r="AB1170" i="21" s="1"/>
  <c r="AB1199" i="21"/>
  <c r="AB1320" i="21"/>
  <c r="AB1293" i="21" s="1"/>
  <c r="AB1379" i="21"/>
  <c r="AB1337" i="21" s="1"/>
  <c r="AB1399" i="21"/>
  <c r="AB1394" i="21" s="1"/>
  <c r="AB1474" i="21"/>
  <c r="AB1465" i="21" s="1"/>
  <c r="AB1462" i="21" s="1"/>
  <c r="AB1548" i="21"/>
  <c r="AB1530" i="21" s="1"/>
  <c r="L77" i="35" s="1"/>
  <c r="AB1602" i="21"/>
  <c r="AB1583" i="21" s="1"/>
  <c r="AB1636" i="21"/>
  <c r="AB1622" i="21" s="1"/>
  <c r="AB1649" i="21"/>
  <c r="AB1648" i="21" s="1"/>
  <c r="AB1642" i="21" s="1"/>
  <c r="AB1671" i="21"/>
  <c r="AB1664" i="21" s="1"/>
  <c r="Y115" i="21"/>
  <c r="I103" i="47"/>
  <c r="Y1053" i="21"/>
  <c r="Y899" i="21"/>
  <c r="Y905" i="21"/>
  <c r="Y910" i="21"/>
  <c r="Y953" i="21"/>
  <c r="Y960" i="21"/>
  <c r="Y969" i="21"/>
  <c r="Y994" i="21"/>
  <c r="Y991" i="21" s="1"/>
  <c r="Y1159" i="21"/>
  <c r="Y1345" i="21"/>
  <c r="Y1334" i="21" s="1"/>
  <c r="Y88" i="21"/>
  <c r="Y102" i="21"/>
  <c r="Y101" i="21" s="1"/>
  <c r="Y160" i="21"/>
  <c r="Y158" i="21" s="1"/>
  <c r="Y176" i="21"/>
  <c r="Y190" i="21"/>
  <c r="Y289" i="21"/>
  <c r="Y285" i="21" s="1"/>
  <c r="Y297" i="21"/>
  <c r="Y315" i="21"/>
  <c r="Y339" i="21"/>
  <c r="Y342" i="21"/>
  <c r="Y355" i="21"/>
  <c r="Y212" i="21"/>
  <c r="Y219" i="21"/>
  <c r="Y238" i="21"/>
  <c r="Y266" i="21"/>
  <c r="Y378" i="21"/>
  <c r="Y444" i="21"/>
  <c r="Y517" i="21"/>
  <c r="Y589" i="21"/>
  <c r="Y592" i="21"/>
  <c r="Y600" i="21"/>
  <c r="Y615" i="21"/>
  <c r="Y651" i="21"/>
  <c r="Y658" i="21"/>
  <c r="Y663" i="21"/>
  <c r="Y666" i="21"/>
  <c r="Y691" i="21"/>
  <c r="Y694" i="21"/>
  <c r="Y792" i="21"/>
  <c r="Y790" i="21" s="1"/>
  <c r="Y809" i="21"/>
  <c r="Y736" i="21"/>
  <c r="Y744" i="21"/>
  <c r="Y747" i="21"/>
  <c r="Y751" i="21"/>
  <c r="Y895" i="21"/>
  <c r="Y945" i="21"/>
  <c r="H55" i="46" s="1"/>
  <c r="Y990" i="21"/>
  <c r="Y1017" i="21"/>
  <c r="Y1151" i="21"/>
  <c r="Y1197" i="21"/>
  <c r="Y1232" i="21"/>
  <c r="Y1235" i="21"/>
  <c r="Y1591" i="21"/>
  <c r="Y1657" i="21"/>
  <c r="Y1564" i="21"/>
  <c r="Y1567" i="21"/>
  <c r="Y1570" i="21"/>
  <c r="Y1643" i="21"/>
  <c r="Y1641" i="21" s="1"/>
  <c r="Y1667" i="21"/>
  <c r="Y1661" i="21" s="1"/>
  <c r="Y548" i="21"/>
  <c r="Y612" i="21"/>
  <c r="Y948" i="21"/>
  <c r="Y1153" i="21"/>
  <c r="Y1448" i="21"/>
  <c r="Y1663" i="21"/>
  <c r="Y1457" i="21" s="1"/>
  <c r="Y165" i="21"/>
  <c r="Y159" i="21" s="1"/>
  <c r="Y183" i="21"/>
  <c r="Y178" i="21" s="1"/>
  <c r="Y287" i="21"/>
  <c r="Y316" i="21"/>
  <c r="Y350" i="21"/>
  <c r="Y337" i="21" s="1"/>
  <c r="Y367" i="21"/>
  <c r="Y357" i="21" s="1"/>
  <c r="Y244" i="21"/>
  <c r="Y209" i="21" s="1"/>
  <c r="Y382" i="21"/>
  <c r="Y379" i="21" s="1"/>
  <c r="Y389" i="21"/>
  <c r="Y386" i="21" s="1"/>
  <c r="Y476" i="21"/>
  <c r="Y461" i="21" s="1"/>
  <c r="Y481" i="21"/>
  <c r="Y579" i="21"/>
  <c r="Y550" i="21" s="1"/>
  <c r="Y601" i="21"/>
  <c r="Y640" i="21"/>
  <c r="Y613" i="21" s="1"/>
  <c r="Y797" i="21"/>
  <c r="Y791" i="21" s="1"/>
  <c r="Y862" i="21"/>
  <c r="Y857" i="21" s="1"/>
  <c r="Y892" i="21"/>
  <c r="Y869" i="21" s="1"/>
  <c r="Y920" i="21"/>
  <c r="Y897" i="21" s="1"/>
  <c r="Y997" i="21"/>
  <c r="Y992" i="21" s="1"/>
  <c r="Y1036" i="21"/>
  <c r="Y1006" i="21" s="1"/>
  <c r="Y1179" i="21"/>
  <c r="Y1170" i="21" s="1"/>
  <c r="Y1199" i="21"/>
  <c r="Y1214" i="21"/>
  <c r="Y1320" i="21"/>
  <c r="Y1293" i="21" s="1"/>
  <c r="Y1379" i="21"/>
  <c r="Y1337" i="21" s="1"/>
  <c r="Y1399" i="21"/>
  <c r="Y1394" i="21" s="1"/>
  <c r="Y1474" i="21"/>
  <c r="Y1465" i="21" s="1"/>
  <c r="Y1462" i="21" s="1"/>
  <c r="Y1548" i="21"/>
  <c r="Y1530" i="21" s="1"/>
  <c r="L77" i="34" s="1"/>
  <c r="Y1602" i="21"/>
  <c r="Y1583" i="21" s="1"/>
  <c r="Y1636" i="21"/>
  <c r="Y1622" i="21" s="1"/>
  <c r="Y1649" i="21"/>
  <c r="Y1648" i="21" s="1"/>
  <c r="Y1642" i="21" s="1"/>
  <c r="Y1671" i="21"/>
  <c r="Y1664" i="21" s="1"/>
  <c r="V115" i="21"/>
  <c r="H104" i="47"/>
  <c r="H103" i="47"/>
  <c r="V1053" i="21"/>
  <c r="V899" i="21"/>
  <c r="V905" i="21"/>
  <c r="V910" i="21"/>
  <c r="V953" i="21"/>
  <c r="V960" i="21"/>
  <c r="V969" i="21"/>
  <c r="V994" i="21"/>
  <c r="V991" i="21" s="1"/>
  <c r="V1159" i="21"/>
  <c r="V1345" i="21"/>
  <c r="V1334" i="21" s="1"/>
  <c r="V88" i="21"/>
  <c r="V102" i="21"/>
  <c r="V101" i="21" s="1"/>
  <c r="V117" i="21"/>
  <c r="V147" i="21"/>
  <c r="V138" i="21" s="1"/>
  <c r="V160" i="21"/>
  <c r="V158" i="21" s="1"/>
  <c r="V190" i="21"/>
  <c r="V187" i="21" s="1"/>
  <c r="V289" i="21"/>
  <c r="V300" i="21"/>
  <c r="V308" i="21"/>
  <c r="V315" i="21"/>
  <c r="V339" i="21"/>
  <c r="V342" i="21"/>
  <c r="V346" i="21"/>
  <c r="V212" i="21"/>
  <c r="V216" i="21"/>
  <c r="V238" i="21"/>
  <c r="V262" i="21"/>
  <c r="V266" i="21"/>
  <c r="V269" i="21"/>
  <c r="V378" i="21"/>
  <c r="V385" i="21"/>
  <c r="V403" i="21"/>
  <c r="V417" i="21"/>
  <c r="V444" i="21"/>
  <c r="V517" i="21"/>
  <c r="V532" i="21"/>
  <c r="V529" i="21" s="1"/>
  <c r="V589" i="21"/>
  <c r="V592" i="21"/>
  <c r="V600" i="21"/>
  <c r="V615" i="21"/>
  <c r="V609" i="21" s="1"/>
  <c r="V651" i="21"/>
  <c r="V654" i="21"/>
  <c r="V658" i="21"/>
  <c r="V666" i="21"/>
  <c r="V691" i="21"/>
  <c r="V809" i="21"/>
  <c r="V812" i="21"/>
  <c r="V820" i="21"/>
  <c r="V744" i="21"/>
  <c r="V747" i="21"/>
  <c r="V856" i="21"/>
  <c r="V895" i="21"/>
  <c r="V945" i="21"/>
  <c r="G55" i="46" s="1"/>
  <c r="V981" i="21"/>
  <c r="V979" i="21" s="1"/>
  <c r="V990" i="21"/>
  <c r="V1011" i="21"/>
  <c r="V1014" i="21"/>
  <c r="V1017" i="21"/>
  <c r="V1020" i="21"/>
  <c r="V1024" i="21"/>
  <c r="V1027" i="21"/>
  <c r="V1095" i="21"/>
  <c r="V1090" i="21" s="1"/>
  <c r="V1151" i="21"/>
  <c r="V1197" i="21"/>
  <c r="V1232" i="21"/>
  <c r="V1235" i="21"/>
  <c r="V1591" i="21"/>
  <c r="V1564" i="21"/>
  <c r="V1567" i="21"/>
  <c r="V1570" i="21"/>
  <c r="V1623" i="21"/>
  <c r="V1667" i="21"/>
  <c r="V1661" i="21" s="1"/>
  <c r="V548" i="21"/>
  <c r="V612" i="21"/>
  <c r="V948" i="21"/>
  <c r="V1153" i="21"/>
  <c r="V1448" i="21"/>
  <c r="V1663" i="21"/>
  <c r="V165" i="21"/>
  <c r="V159" i="21" s="1"/>
  <c r="V183" i="21"/>
  <c r="V178" i="21" s="1"/>
  <c r="V287" i="21"/>
  <c r="V316" i="21"/>
  <c r="V350" i="21"/>
  <c r="V337" i="21" s="1"/>
  <c r="V367" i="21"/>
  <c r="V357" i="21" s="1"/>
  <c r="V244" i="21"/>
  <c r="V209" i="21" s="1"/>
  <c r="V382" i="21"/>
  <c r="V379" i="21" s="1"/>
  <c r="V389" i="21"/>
  <c r="V386" i="21" s="1"/>
  <c r="V476" i="21"/>
  <c r="V461" i="21" s="1"/>
  <c r="V481" i="21"/>
  <c r="V579" i="21"/>
  <c r="V550" i="21" s="1"/>
  <c r="V601" i="21"/>
  <c r="V640" i="21"/>
  <c r="V613" i="21" s="1"/>
  <c r="V797" i="21"/>
  <c r="V791" i="21" s="1"/>
  <c r="V862" i="21"/>
  <c r="V857" i="21" s="1"/>
  <c r="V892" i="21"/>
  <c r="V869" i="21" s="1"/>
  <c r="V920" i="21"/>
  <c r="V897" i="21" s="1"/>
  <c r="V997" i="21"/>
  <c r="V992" i="21" s="1"/>
  <c r="V1036" i="21"/>
  <c r="V1006" i="21" s="1"/>
  <c r="V1179" i="21"/>
  <c r="V1170" i="21" s="1"/>
  <c r="V1199" i="21"/>
  <c r="V1320" i="21"/>
  <c r="V1293" i="21" s="1"/>
  <c r="V1379" i="21"/>
  <c r="V1337" i="21" s="1"/>
  <c r="V1399" i="21"/>
  <c r="V1394" i="21" s="1"/>
  <c r="V1474" i="21"/>
  <c r="V1465" i="21" s="1"/>
  <c r="V1462" i="21" s="1"/>
  <c r="V1548" i="21"/>
  <c r="V1530" i="21" s="1"/>
  <c r="L77" i="33" s="1"/>
  <c r="V1602" i="21"/>
  <c r="V1583" i="21" s="1"/>
  <c r="V1636" i="21"/>
  <c r="V1622" i="21" s="1"/>
  <c r="V1649" i="21"/>
  <c r="V1648" i="21" s="1"/>
  <c r="V1642" i="21" s="1"/>
  <c r="V1671" i="21"/>
  <c r="V1664" i="21" s="1"/>
  <c r="S115" i="21"/>
  <c r="G104" i="47"/>
  <c r="G103" i="47"/>
  <c r="S1053" i="21"/>
  <c r="S899" i="21"/>
  <c r="S905" i="21"/>
  <c r="S910" i="21"/>
  <c r="S953" i="21"/>
  <c r="S960" i="21"/>
  <c r="S969" i="21"/>
  <c r="S994" i="21"/>
  <c r="S991" i="21" s="1"/>
  <c r="S1159" i="21"/>
  <c r="S1345" i="21"/>
  <c r="S1334" i="21" s="1"/>
  <c r="S88" i="21"/>
  <c r="S102" i="21"/>
  <c r="S101" i="21" s="1"/>
  <c r="S117" i="21"/>
  <c r="S160" i="21"/>
  <c r="S158" i="21" s="1"/>
  <c r="S170" i="21"/>
  <c r="S169" i="21" s="1"/>
  <c r="S176" i="21"/>
  <c r="S190" i="21"/>
  <c r="S187" i="21" s="1"/>
  <c r="S289" i="21"/>
  <c r="S285" i="21" s="1"/>
  <c r="S308" i="21"/>
  <c r="S342" i="21"/>
  <c r="S346" i="21"/>
  <c r="S355" i="21"/>
  <c r="S216" i="21"/>
  <c r="S238" i="21"/>
  <c r="S262" i="21"/>
  <c r="S385" i="21"/>
  <c r="S399" i="21"/>
  <c r="S403" i="21"/>
  <c r="S444" i="21"/>
  <c r="S532" i="21"/>
  <c r="S529" i="21" s="1"/>
  <c r="S495" i="21"/>
  <c r="S589" i="21"/>
  <c r="S592" i="21"/>
  <c r="S600" i="21"/>
  <c r="S615" i="21"/>
  <c r="S651" i="21"/>
  <c r="S654" i="21"/>
  <c r="S658" i="21"/>
  <c r="S666" i="21"/>
  <c r="G681" i="48"/>
  <c r="S809" i="21"/>
  <c r="S812" i="21"/>
  <c r="S736" i="21"/>
  <c r="S740" i="21"/>
  <c r="S744" i="21"/>
  <c r="S747" i="21"/>
  <c r="S751" i="21"/>
  <c r="S856" i="21"/>
  <c r="S895" i="21"/>
  <c r="S945" i="21"/>
  <c r="F55" i="46" s="1"/>
  <c r="S981" i="21"/>
  <c r="S979" i="21" s="1"/>
  <c r="S990" i="21"/>
  <c r="S1014" i="21"/>
  <c r="S1017" i="21"/>
  <c r="S1020" i="21"/>
  <c r="S1024" i="21"/>
  <c r="S1095" i="21"/>
  <c r="S1151" i="21"/>
  <c r="S1197" i="21"/>
  <c r="S1215" i="21"/>
  <c r="S1232" i="21"/>
  <c r="S1235" i="21"/>
  <c r="S1591" i="21"/>
  <c r="S1564" i="21"/>
  <c r="S1623" i="21"/>
  <c r="S1643" i="21"/>
  <c r="S1641" i="21" s="1"/>
  <c r="S1667" i="21"/>
  <c r="S1661" i="21" s="1"/>
  <c r="S548" i="21"/>
  <c r="S612" i="21"/>
  <c r="S948" i="21"/>
  <c r="S1153" i="21"/>
  <c r="S1448" i="21"/>
  <c r="S1663" i="21"/>
  <c r="S165" i="21"/>
  <c r="S159" i="21" s="1"/>
  <c r="S183" i="21"/>
  <c r="S178" i="21" s="1"/>
  <c r="S287" i="21"/>
  <c r="S316" i="21"/>
  <c r="S350" i="21"/>
  <c r="S337" i="21" s="1"/>
  <c r="S367" i="21"/>
  <c r="S357" i="21" s="1"/>
  <c r="S244" i="21"/>
  <c r="S209" i="21" s="1"/>
  <c r="S382" i="21"/>
  <c r="S379" i="21" s="1"/>
  <c r="S389" i="21"/>
  <c r="S386" i="21" s="1"/>
  <c r="S476" i="21"/>
  <c r="S461" i="21" s="1"/>
  <c r="S579" i="21"/>
  <c r="S550" i="21" s="1"/>
  <c r="S601" i="21"/>
  <c r="S640" i="21"/>
  <c r="S613" i="21" s="1"/>
  <c r="S797" i="21"/>
  <c r="S791" i="21" s="1"/>
  <c r="S862" i="21"/>
  <c r="S857" i="21" s="1"/>
  <c r="S892" i="21"/>
  <c r="S869" i="21" s="1"/>
  <c r="S920" i="21"/>
  <c r="S897" i="21" s="1"/>
  <c r="S997" i="21"/>
  <c r="S992" i="21" s="1"/>
  <c r="S1036" i="21"/>
  <c r="S1006" i="21" s="1"/>
  <c r="S1179" i="21"/>
  <c r="S1170" i="21" s="1"/>
  <c r="S1199" i="21"/>
  <c r="S1320" i="21"/>
  <c r="S1293" i="21" s="1"/>
  <c r="S1379" i="21"/>
  <c r="S1337" i="21" s="1"/>
  <c r="S1399" i="21"/>
  <c r="S1394" i="21" s="1"/>
  <c r="S1474" i="21"/>
  <c r="S1465" i="21" s="1"/>
  <c r="S1462" i="21" s="1"/>
  <c r="S1548" i="21"/>
  <c r="S1530" i="21" s="1"/>
  <c r="S1602" i="21"/>
  <c r="S1583" i="21" s="1"/>
  <c r="S1636" i="21"/>
  <c r="S1622" i="21" s="1"/>
  <c r="S1649" i="21"/>
  <c r="S1648" i="21" s="1"/>
  <c r="S1642" i="21" s="1"/>
  <c r="S1671" i="21"/>
  <c r="S1664" i="21" s="1"/>
  <c r="P115" i="21"/>
  <c r="E103" i="47"/>
  <c r="P1053" i="21"/>
  <c r="P899" i="21"/>
  <c r="P905" i="21"/>
  <c r="P910" i="21"/>
  <c r="P953" i="21"/>
  <c r="P960" i="21"/>
  <c r="P969" i="21"/>
  <c r="P994" i="21"/>
  <c r="P991" i="21" s="1"/>
  <c r="P1159" i="21"/>
  <c r="P1345" i="21"/>
  <c r="P1334" i="21" s="1"/>
  <c r="P88" i="21"/>
  <c r="P102" i="21"/>
  <c r="P101" i="21" s="1"/>
  <c r="P117" i="21"/>
  <c r="P120" i="21"/>
  <c r="P147" i="21"/>
  <c r="P138" i="21" s="1"/>
  <c r="P160" i="21"/>
  <c r="P158" i="21" s="1"/>
  <c r="P170" i="21"/>
  <c r="P169" i="21" s="1"/>
  <c r="P176" i="21"/>
  <c r="P190" i="21"/>
  <c r="P289" i="21"/>
  <c r="P285" i="21" s="1"/>
  <c r="P308" i="21"/>
  <c r="P315" i="21"/>
  <c r="P339" i="21"/>
  <c r="P342" i="21"/>
  <c r="P222" i="21"/>
  <c r="P228" i="21"/>
  <c r="P232" i="21"/>
  <c r="P238" i="21"/>
  <c r="P262" i="21"/>
  <c r="P378" i="21"/>
  <c r="P403" i="21"/>
  <c r="P417" i="21"/>
  <c r="P441" i="21"/>
  <c r="P532" i="21"/>
  <c r="P589" i="21"/>
  <c r="P592" i="21"/>
  <c r="P600" i="21"/>
  <c r="P615" i="21"/>
  <c r="P609" i="21" s="1"/>
  <c r="P651" i="21"/>
  <c r="P654" i="21"/>
  <c r="P658" i="21"/>
  <c r="P663" i="21"/>
  <c r="P666" i="21"/>
  <c r="P691" i="21"/>
  <c r="P694" i="21"/>
  <c r="P792" i="21"/>
  <c r="P790" i="21" s="1"/>
  <c r="P736" i="21"/>
  <c r="P744" i="21"/>
  <c r="P747" i="21"/>
  <c r="P751" i="21"/>
  <c r="P856" i="21"/>
  <c r="P895" i="21"/>
  <c r="P945" i="21"/>
  <c r="E55" i="46" s="1"/>
  <c r="P981" i="21"/>
  <c r="P979" i="21" s="1"/>
  <c r="P990" i="21"/>
  <c r="P1011" i="21"/>
  <c r="P1014" i="21"/>
  <c r="P1020" i="21"/>
  <c r="P1024" i="21"/>
  <c r="P1027" i="21"/>
  <c r="P1095" i="21"/>
  <c r="P1151" i="21"/>
  <c r="P1197" i="21"/>
  <c r="P1232" i="21"/>
  <c r="P1235" i="21"/>
  <c r="P1591" i="21"/>
  <c r="P1657" i="21"/>
  <c r="P1564" i="21"/>
  <c r="P1623" i="21"/>
  <c r="P1667" i="21"/>
  <c r="P1661" i="21" s="1"/>
  <c r="P548" i="21"/>
  <c r="P612" i="21"/>
  <c r="P948" i="21"/>
  <c r="P1153" i="21"/>
  <c r="P1448" i="21"/>
  <c r="P1663" i="21"/>
  <c r="P165" i="21"/>
  <c r="P159" i="21" s="1"/>
  <c r="P183" i="21"/>
  <c r="P178" i="21" s="1"/>
  <c r="P287" i="21"/>
  <c r="P316" i="21"/>
  <c r="P350" i="21"/>
  <c r="P337" i="21" s="1"/>
  <c r="P367" i="21"/>
  <c r="P357" i="21" s="1"/>
  <c r="P244" i="21"/>
  <c r="P209" i="21" s="1"/>
  <c r="P382" i="21"/>
  <c r="P379" i="21" s="1"/>
  <c r="P389" i="21"/>
  <c r="P386" i="21" s="1"/>
  <c r="P476" i="21"/>
  <c r="P461" i="21" s="1"/>
  <c r="P579" i="21"/>
  <c r="P550" i="21" s="1"/>
  <c r="P601" i="21"/>
  <c r="P640" i="21"/>
  <c r="P613" i="21" s="1"/>
  <c r="P797" i="21"/>
  <c r="P791" i="21" s="1"/>
  <c r="P862" i="21"/>
  <c r="P857" i="21" s="1"/>
  <c r="P892" i="21"/>
  <c r="P869" i="21" s="1"/>
  <c r="P920" i="21"/>
  <c r="P897" i="21" s="1"/>
  <c r="P997" i="21"/>
  <c r="P992" i="21" s="1"/>
  <c r="P1036" i="21"/>
  <c r="P1006" i="21" s="1"/>
  <c r="P1179" i="21"/>
  <c r="P1170" i="21" s="1"/>
  <c r="P1199" i="21"/>
  <c r="P1320" i="21"/>
  <c r="P1293" i="21" s="1"/>
  <c r="P1379" i="21"/>
  <c r="P1337" i="21" s="1"/>
  <c r="P1399" i="21"/>
  <c r="P1394" i="21" s="1"/>
  <c r="P1474" i="21"/>
  <c r="P1465" i="21" s="1"/>
  <c r="P1462" i="21" s="1"/>
  <c r="P1548" i="21"/>
  <c r="P1530" i="21" s="1"/>
  <c r="L77" i="31" s="1"/>
  <c r="P1602" i="21"/>
  <c r="P1583" i="21" s="1"/>
  <c r="P1636" i="21"/>
  <c r="P1622" i="21" s="1"/>
  <c r="P1649" i="21"/>
  <c r="P1648" i="21" s="1"/>
  <c r="P1642" i="21" s="1"/>
  <c r="P1671" i="21"/>
  <c r="P1664" i="21" s="1"/>
  <c r="M115" i="21"/>
  <c r="D103" i="47"/>
  <c r="M1053" i="21"/>
  <c r="M899" i="21"/>
  <c r="M905" i="21"/>
  <c r="M910" i="21"/>
  <c r="M953" i="21"/>
  <c r="M960" i="21"/>
  <c r="M969" i="21"/>
  <c r="M994" i="21"/>
  <c r="M991" i="21" s="1"/>
  <c r="M1159" i="21"/>
  <c r="M1345" i="21"/>
  <c r="M1334" i="21" s="1"/>
  <c r="M88" i="21"/>
  <c r="M102" i="21"/>
  <c r="M101" i="21" s="1"/>
  <c r="M117" i="21"/>
  <c r="M120" i="21"/>
  <c r="M147" i="21"/>
  <c r="M138" i="21" s="1"/>
  <c r="M160" i="21"/>
  <c r="M158" i="21" s="1"/>
  <c r="M176" i="21"/>
  <c r="M190" i="21"/>
  <c r="M187" i="21" s="1"/>
  <c r="M289" i="21"/>
  <c r="M285" i="21" s="1"/>
  <c r="M297" i="21"/>
  <c r="M308" i="21"/>
  <c r="M315" i="21"/>
  <c r="M322" i="21"/>
  <c r="M339" i="21"/>
  <c r="M342" i="21"/>
  <c r="M346" i="21"/>
  <c r="M355" i="21"/>
  <c r="M222" i="21"/>
  <c r="M225" i="21"/>
  <c r="M238" i="21"/>
  <c r="M262" i="21"/>
  <c r="M266" i="21"/>
  <c r="M269" i="21"/>
  <c r="M378" i="21"/>
  <c r="M385" i="21"/>
  <c r="M487" i="21"/>
  <c r="M589" i="21"/>
  <c r="M592" i="21"/>
  <c r="M600" i="21"/>
  <c r="M615" i="21"/>
  <c r="M651" i="21"/>
  <c r="M654" i="21"/>
  <c r="M658" i="21"/>
  <c r="M663" i="21"/>
  <c r="M666" i="21"/>
  <c r="M691" i="21"/>
  <c r="M809" i="21"/>
  <c r="M744" i="21"/>
  <c r="M747" i="21"/>
  <c r="M856" i="21"/>
  <c r="M895" i="21"/>
  <c r="M945" i="21"/>
  <c r="D55" i="46" s="1"/>
  <c r="M981" i="21"/>
  <c r="M979" i="21" s="1"/>
  <c r="M990" i="21"/>
  <c r="M1014" i="21"/>
  <c r="M1024" i="21"/>
  <c r="M1027" i="21"/>
  <c r="M1095" i="21"/>
  <c r="M1151" i="21"/>
  <c r="M1197" i="21"/>
  <c r="M1232" i="21"/>
  <c r="M1235" i="21"/>
  <c r="M1339" i="21"/>
  <c r="M1591" i="21"/>
  <c r="M1564" i="21"/>
  <c r="M1570" i="21"/>
  <c r="M1611" i="21"/>
  <c r="M1623" i="21"/>
  <c r="M1631" i="21"/>
  <c r="M1643" i="21"/>
  <c r="M1641" i="21" s="1"/>
  <c r="M1667" i="21"/>
  <c r="M1661" i="21" s="1"/>
  <c r="M548" i="21"/>
  <c r="M612" i="21"/>
  <c r="M948" i="21"/>
  <c r="M1153" i="21"/>
  <c r="M1448" i="21"/>
  <c r="M1663" i="21"/>
  <c r="M165" i="21"/>
  <c r="M159" i="21" s="1"/>
  <c r="M183" i="21"/>
  <c r="M178" i="21" s="1"/>
  <c r="M287" i="21"/>
  <c r="M316" i="21"/>
  <c r="M350" i="21"/>
  <c r="M337" i="21" s="1"/>
  <c r="M367" i="21"/>
  <c r="M357" i="21" s="1"/>
  <c r="M244" i="21"/>
  <c r="M209" i="21" s="1"/>
  <c r="M382" i="21"/>
  <c r="M379" i="21" s="1"/>
  <c r="M389" i="21"/>
  <c r="M386" i="21" s="1"/>
  <c r="M476" i="21"/>
  <c r="M461" i="21" s="1"/>
  <c r="M579" i="21"/>
  <c r="M550" i="21" s="1"/>
  <c r="M601" i="21"/>
  <c r="M640" i="21"/>
  <c r="M613" i="21" s="1"/>
  <c r="M797" i="21"/>
  <c r="M791" i="21" s="1"/>
  <c r="M862" i="21"/>
  <c r="M857" i="21" s="1"/>
  <c r="M892" i="21"/>
  <c r="M869" i="21" s="1"/>
  <c r="M920" i="21"/>
  <c r="M897" i="21" s="1"/>
  <c r="M997" i="21"/>
  <c r="M992" i="21" s="1"/>
  <c r="M1036" i="21"/>
  <c r="M1006" i="21" s="1"/>
  <c r="M1179" i="21"/>
  <c r="M1170" i="21" s="1"/>
  <c r="M1199" i="21"/>
  <c r="M1214" i="21"/>
  <c r="M1320" i="21"/>
  <c r="M1293" i="21" s="1"/>
  <c r="M1379" i="21"/>
  <c r="M1337" i="21" s="1"/>
  <c r="M1399" i="21"/>
  <c r="M1394" i="21" s="1"/>
  <c r="M1474" i="21"/>
  <c r="M1465" i="21" s="1"/>
  <c r="M1462" i="21" s="1"/>
  <c r="M1548" i="21"/>
  <c r="M1530" i="21" s="1"/>
  <c r="L77" i="30" s="1"/>
  <c r="M1602" i="21"/>
  <c r="M1583" i="21" s="1"/>
  <c r="M1636" i="21"/>
  <c r="M1622" i="21" s="1"/>
  <c r="M1649" i="21"/>
  <c r="M1648" i="21" s="1"/>
  <c r="M1642" i="21" s="1"/>
  <c r="M1671" i="21"/>
  <c r="M1664" i="21" s="1"/>
  <c r="J165" i="21"/>
  <c r="J159" i="21" s="1"/>
  <c r="J183" i="21"/>
  <c r="J178" i="21" s="1"/>
  <c r="J287" i="21"/>
  <c r="J316" i="21"/>
  <c r="J350" i="21"/>
  <c r="J337" i="21" s="1"/>
  <c r="J367" i="21"/>
  <c r="J357" i="21" s="1"/>
  <c r="J244" i="21"/>
  <c r="J209" i="21" s="1"/>
  <c r="J382" i="21"/>
  <c r="J379" i="21" s="1"/>
  <c r="J389" i="21"/>
  <c r="J386" i="21" s="1"/>
  <c r="J476" i="21"/>
  <c r="J461" i="21" s="1"/>
  <c r="J579" i="21"/>
  <c r="J550" i="21" s="1"/>
  <c r="J601" i="21"/>
  <c r="J640" i="21"/>
  <c r="J613" i="21" s="1"/>
  <c r="J797" i="21"/>
  <c r="J791" i="21" s="1"/>
  <c r="J862" i="21"/>
  <c r="J857" i="21" s="1"/>
  <c r="J892" i="21"/>
  <c r="J869" i="21" s="1"/>
  <c r="J920" i="21"/>
  <c r="J897" i="21" s="1"/>
  <c r="J997" i="21"/>
  <c r="J992" i="21" s="1"/>
  <c r="J1036" i="21"/>
  <c r="J1006" i="21" s="1"/>
  <c r="J1179" i="21"/>
  <c r="J1170" i="21" s="1"/>
  <c r="J1199" i="21"/>
  <c r="J1257" i="21"/>
  <c r="J1214" i="21" s="1"/>
  <c r="J1320" i="21"/>
  <c r="J1293" i="21" s="1"/>
  <c r="J1379" i="21"/>
  <c r="J1337" i="21" s="1"/>
  <c r="J1399" i="21"/>
  <c r="J1394" i="21" s="1"/>
  <c r="J1474" i="21"/>
  <c r="J1465" i="21" s="1"/>
  <c r="J1462" i="21" s="1"/>
  <c r="J1548" i="21"/>
  <c r="J1530" i="21" s="1"/>
  <c r="L77" i="29" s="1"/>
  <c r="J1602" i="21"/>
  <c r="J1583" i="21" s="1"/>
  <c r="J1636" i="21"/>
  <c r="J1622" i="21" s="1"/>
  <c r="J1649" i="21"/>
  <c r="J1648" i="21" s="1"/>
  <c r="J1642" i="21" s="1"/>
  <c r="J1671" i="21"/>
  <c r="J1664" i="21" s="1"/>
  <c r="J1153" i="21"/>
  <c r="J1448" i="21"/>
  <c r="J1663" i="21"/>
  <c r="C104" i="47"/>
  <c r="C103" i="47"/>
  <c r="J899" i="21"/>
  <c r="J905" i="21"/>
  <c r="J953" i="21"/>
  <c r="J960" i="21"/>
  <c r="J969" i="21"/>
  <c r="J994" i="21"/>
  <c r="J991" i="21" s="1"/>
  <c r="J1159" i="21"/>
  <c r="J1345" i="21"/>
  <c r="J1334" i="21" s="1"/>
  <c r="J102" i="21"/>
  <c r="J101" i="21" s="1"/>
  <c r="J120" i="21"/>
  <c r="J150" i="21"/>
  <c r="J289" i="21"/>
  <c r="J285" i="21" s="1"/>
  <c r="J342" i="21"/>
  <c r="J238" i="21"/>
  <c r="J403" i="21"/>
  <c r="J532" i="21"/>
  <c r="J529" i="21" s="1"/>
  <c r="J487" i="21"/>
  <c r="J495" i="21"/>
  <c r="J592" i="21"/>
  <c r="J600" i="21"/>
  <c r="J615" i="21"/>
  <c r="J663" i="21"/>
  <c r="J694" i="21"/>
  <c r="J809" i="21"/>
  <c r="J812" i="21"/>
  <c r="J736" i="21"/>
  <c r="J744" i="21"/>
  <c r="J747" i="21"/>
  <c r="J856" i="21"/>
  <c r="J895" i="21"/>
  <c r="J1014" i="21"/>
  <c r="J1017" i="21"/>
  <c r="J1095" i="21"/>
  <c r="J1151" i="21"/>
  <c r="J1183" i="21"/>
  <c r="J1182" i="21" s="1"/>
  <c r="J1197" i="21"/>
  <c r="J1235" i="21"/>
  <c r="J1591" i="21"/>
  <c r="J1657" i="21"/>
  <c r="J1564" i="21"/>
  <c r="J1570" i="21"/>
  <c r="J1623" i="21"/>
  <c r="J1643" i="21"/>
  <c r="J1641" i="21" s="1"/>
  <c r="J1667" i="21"/>
  <c r="J1661" i="21" s="1"/>
  <c r="J548" i="21"/>
  <c r="J612" i="21"/>
  <c r="J948" i="21"/>
  <c r="AT1722" i="21"/>
  <c r="AT1723" i="21"/>
  <c r="AT1724" i="21"/>
  <c r="AT1725" i="21"/>
  <c r="L1720" i="21"/>
  <c r="O1720" i="21"/>
  <c r="R1720" i="21"/>
  <c r="U1720" i="21"/>
  <c r="X1720" i="21"/>
  <c r="AA1720" i="21"/>
  <c r="AD1720" i="21"/>
  <c r="AG1720" i="21"/>
  <c r="AJ1720" i="21"/>
  <c r="AM1720" i="21"/>
  <c r="AP1720" i="21"/>
  <c r="AT1731" i="21"/>
  <c r="AT1727" i="21" s="1"/>
  <c r="R201" i="47"/>
  <c r="V201" i="47"/>
  <c r="R200" i="47"/>
  <c r="V200" i="47"/>
  <c r="N201" i="47"/>
  <c r="U201" i="47"/>
  <c r="N200" i="47"/>
  <c r="U200" i="47"/>
  <c r="U199" i="47" s="1"/>
  <c r="J201" i="47"/>
  <c r="T201" i="47" s="1"/>
  <c r="W201" i="47" s="1"/>
  <c r="J200" i="47"/>
  <c r="T200" i="47" s="1"/>
  <c r="O199" i="47"/>
  <c r="R199" i="47" s="1"/>
  <c r="P199" i="47"/>
  <c r="Q199" i="47"/>
  <c r="K199" i="47"/>
  <c r="N199" i="47" s="1"/>
  <c r="L199" i="47"/>
  <c r="M199" i="47"/>
  <c r="G199" i="47"/>
  <c r="H199" i="47"/>
  <c r="I199" i="47"/>
  <c r="F201" i="47"/>
  <c r="S201" i="47"/>
  <c r="F200" i="47"/>
  <c r="S200" i="47"/>
  <c r="AN1721" i="21"/>
  <c r="AN1720" i="21" s="1"/>
  <c r="AK1721" i="21"/>
  <c r="AK1720" i="21" s="1"/>
  <c r="AH1721" i="21"/>
  <c r="AH1720" i="21" s="1"/>
  <c r="AE1721" i="21"/>
  <c r="AE1720" i="21" s="1"/>
  <c r="AB1721" i="21"/>
  <c r="AB1720" i="21" s="1"/>
  <c r="Y1721" i="21"/>
  <c r="Y1720" i="21" s="1"/>
  <c r="V1721" i="21"/>
  <c r="V1720" i="21" s="1"/>
  <c r="S1721" i="21"/>
  <c r="S1720" i="21" s="1"/>
  <c r="P1721" i="21"/>
  <c r="P1720" i="21" s="1"/>
  <c r="M1721" i="21"/>
  <c r="M1720" i="21" s="1"/>
  <c r="J1721" i="21"/>
  <c r="J1720" i="21" s="1"/>
  <c r="M1691" i="21"/>
  <c r="P1691" i="21"/>
  <c r="S1691" i="21"/>
  <c r="V1691" i="21"/>
  <c r="Y1691" i="21"/>
  <c r="AB1691" i="21"/>
  <c r="AE1691" i="21"/>
  <c r="AH1691" i="21"/>
  <c r="AK1691" i="21"/>
  <c r="AN1691" i="21"/>
  <c r="Q195" i="47"/>
  <c r="Q194" i="47" s="1"/>
  <c r="P195" i="47"/>
  <c r="P194" i="47" s="1"/>
  <c r="O195" i="47"/>
  <c r="O194" i="47" s="1"/>
  <c r="M195" i="47"/>
  <c r="M194" i="47" s="1"/>
  <c r="L195" i="47"/>
  <c r="L194" i="47" s="1"/>
  <c r="K195" i="47"/>
  <c r="K194" i="47" s="1"/>
  <c r="I195" i="47"/>
  <c r="I194" i="47" s="1"/>
  <c r="H195" i="47"/>
  <c r="H194" i="47" s="1"/>
  <c r="G195" i="47"/>
  <c r="G194" i="47" s="1"/>
  <c r="E195" i="47"/>
  <c r="E194" i="47" s="1"/>
  <c r="D195" i="47"/>
  <c r="D194" i="47" s="1"/>
  <c r="T198" i="47"/>
  <c r="U198" i="47"/>
  <c r="V198" i="47"/>
  <c r="S198" i="47"/>
  <c r="C195" i="47"/>
  <c r="C194" i="47" s="1"/>
  <c r="AU70" i="21"/>
  <c r="O185" i="47"/>
  <c r="P185" i="47"/>
  <c r="P182" i="47" s="1"/>
  <c r="Q185" i="47"/>
  <c r="Q182" i="47" s="1"/>
  <c r="K185" i="47"/>
  <c r="K182" i="47" s="1"/>
  <c r="L185" i="47"/>
  <c r="L182" i="47" s="1"/>
  <c r="M185" i="47"/>
  <c r="G185" i="47"/>
  <c r="G182" i="47" s="1"/>
  <c r="H185" i="47"/>
  <c r="H182" i="47" s="1"/>
  <c r="I185" i="47"/>
  <c r="I182" i="47" s="1"/>
  <c r="C185" i="47"/>
  <c r="D185" i="47"/>
  <c r="D182" i="47" s="1"/>
  <c r="E185" i="47"/>
  <c r="E182" i="47" s="1"/>
  <c r="AY1526" i="21"/>
  <c r="Q147" i="47"/>
  <c r="P147" i="47"/>
  <c r="P143" i="47" s="1"/>
  <c r="O147" i="47"/>
  <c r="O143" i="47" s="1"/>
  <c r="M147" i="47"/>
  <c r="M143" i="47" s="1"/>
  <c r="L147" i="47"/>
  <c r="L143" i="47" s="1"/>
  <c r="K147" i="47"/>
  <c r="K143" i="47" s="1"/>
  <c r="I147" i="47"/>
  <c r="H147" i="47"/>
  <c r="H143" i="47" s="1"/>
  <c r="G147" i="47"/>
  <c r="G143" i="47" s="1"/>
  <c r="E147" i="47"/>
  <c r="E143" i="47" s="1"/>
  <c r="D147" i="47"/>
  <c r="D143" i="47" s="1"/>
  <c r="C147" i="47"/>
  <c r="Q134" i="47"/>
  <c r="P134" i="47"/>
  <c r="O134" i="47"/>
  <c r="M134" i="47"/>
  <c r="L134" i="47"/>
  <c r="K134" i="47"/>
  <c r="I134" i="47"/>
  <c r="H134" i="47"/>
  <c r="G134" i="47"/>
  <c r="E134" i="47"/>
  <c r="D134" i="47"/>
  <c r="C134" i="47"/>
  <c r="Q125" i="47"/>
  <c r="P125" i="47"/>
  <c r="O125" i="47"/>
  <c r="M125" i="47"/>
  <c r="L125" i="47"/>
  <c r="K125" i="47"/>
  <c r="I125" i="47"/>
  <c r="H125" i="47"/>
  <c r="G125" i="47"/>
  <c r="E125" i="47"/>
  <c r="D125" i="47"/>
  <c r="C125" i="47"/>
  <c r="Q106" i="47"/>
  <c r="P106" i="47"/>
  <c r="O106" i="47"/>
  <c r="M106" i="47"/>
  <c r="L106" i="47"/>
  <c r="K106" i="47"/>
  <c r="I106" i="47"/>
  <c r="H106" i="47"/>
  <c r="G106" i="47"/>
  <c r="E106" i="47"/>
  <c r="D106" i="47"/>
  <c r="C106" i="47"/>
  <c r="AY948" i="21"/>
  <c r="M490" i="21"/>
  <c r="O64" i="45"/>
  <c r="N64" i="45"/>
  <c r="M64" i="45"/>
  <c r="L64" i="45"/>
  <c r="K64" i="45"/>
  <c r="J64" i="45"/>
  <c r="I64" i="45"/>
  <c r="H64" i="45"/>
  <c r="G64" i="45"/>
  <c r="F64" i="45"/>
  <c r="E64" i="45"/>
  <c r="D64" i="45"/>
  <c r="P98" i="45"/>
  <c r="P101" i="45"/>
  <c r="P100" i="45"/>
  <c r="P97" i="45"/>
  <c r="P104" i="45"/>
  <c r="P103" i="45"/>
  <c r="P102" i="45"/>
  <c r="D99" i="45"/>
  <c r="D96" i="45"/>
  <c r="P94" i="45"/>
  <c r="P92" i="45"/>
  <c r="P91" i="45"/>
  <c r="P90" i="45"/>
  <c r="P88" i="45"/>
  <c r="P93" i="45"/>
  <c r="P89" i="45"/>
  <c r="P87" i="45"/>
  <c r="P86" i="45"/>
  <c r="P85" i="45"/>
  <c r="P84" i="45"/>
  <c r="P83" i="45"/>
  <c r="P59" i="45"/>
  <c r="P58" i="45"/>
  <c r="P57" i="45"/>
  <c r="P62" i="45"/>
  <c r="P61" i="45"/>
  <c r="P56" i="45"/>
  <c r="P55" i="45"/>
  <c r="P54" i="45"/>
  <c r="P53" i="45"/>
  <c r="P48" i="45"/>
  <c r="P50" i="45"/>
  <c r="P49" i="45"/>
  <c r="P47" i="45"/>
  <c r="P46" i="45"/>
  <c r="P45" i="45"/>
  <c r="P44" i="45"/>
  <c r="P43" i="45"/>
  <c r="P37" i="45"/>
  <c r="P39" i="45"/>
  <c r="P38" i="45"/>
  <c r="P36" i="45"/>
  <c r="P35" i="45"/>
  <c r="P34" i="45"/>
  <c r="P33" i="45"/>
  <c r="P32" i="45"/>
  <c r="P31" i="45"/>
  <c r="P28" i="45"/>
  <c r="P27" i="45"/>
  <c r="P26" i="45"/>
  <c r="P25" i="45"/>
  <c r="P24" i="45"/>
  <c r="P23" i="45"/>
  <c r="P22" i="45"/>
  <c r="P21" i="45"/>
  <c r="P20" i="45"/>
  <c r="P18" i="45"/>
  <c r="P17" i="45"/>
  <c r="P16" i="45"/>
  <c r="P15" i="45"/>
  <c r="P14" i="45"/>
  <c r="P13" i="45"/>
  <c r="P12" i="45"/>
  <c r="P11" i="45"/>
  <c r="P10" i="45"/>
  <c r="P9" i="45"/>
  <c r="D60" i="45"/>
  <c r="D52" i="45"/>
  <c r="E60" i="45"/>
  <c r="F60" i="45"/>
  <c r="F52" i="45" s="1"/>
  <c r="G60" i="45"/>
  <c r="G52" i="45" s="1"/>
  <c r="H60" i="45"/>
  <c r="H52" i="45"/>
  <c r="I60" i="45"/>
  <c r="I52" i="45" s="1"/>
  <c r="J60" i="45"/>
  <c r="J52" i="45" s="1"/>
  <c r="K60" i="45"/>
  <c r="K52" i="45" s="1"/>
  <c r="L60" i="45"/>
  <c r="L52" i="45"/>
  <c r="M60" i="45"/>
  <c r="M52" i="45" s="1"/>
  <c r="N60" i="45"/>
  <c r="N52" i="45"/>
  <c r="O60" i="45"/>
  <c r="O52" i="45"/>
  <c r="E99" i="45"/>
  <c r="E96" i="45"/>
  <c r="F99" i="45"/>
  <c r="F96" i="45" s="1"/>
  <c r="G99" i="45"/>
  <c r="G96" i="45" s="1"/>
  <c r="H99" i="45"/>
  <c r="H96" i="45" s="1"/>
  <c r="I99" i="45"/>
  <c r="I96" i="45" s="1"/>
  <c r="J99" i="45"/>
  <c r="J96" i="45" s="1"/>
  <c r="K99" i="45"/>
  <c r="K96" i="45"/>
  <c r="L99" i="45"/>
  <c r="L96" i="45" s="1"/>
  <c r="M99" i="45"/>
  <c r="M96" i="45" s="1"/>
  <c r="N99" i="45"/>
  <c r="N96" i="45" s="1"/>
  <c r="O99" i="45"/>
  <c r="O96" i="45" s="1"/>
  <c r="AY22" i="21"/>
  <c r="AU63" i="21"/>
  <c r="T47" i="29"/>
  <c r="T47" i="30"/>
  <c r="T47" i="31"/>
  <c r="T47" i="32"/>
  <c r="T47" i="33"/>
  <c r="T47" i="34"/>
  <c r="T47" i="35"/>
  <c r="T47" i="36"/>
  <c r="T47" i="37"/>
  <c r="T47" i="38"/>
  <c r="T47" i="39"/>
  <c r="H21" i="48"/>
  <c r="H1667" i="48" s="1"/>
  <c r="K21" i="48"/>
  <c r="K1667" i="48" s="1"/>
  <c r="N21" i="48"/>
  <c r="N1667" i="48" s="1"/>
  <c r="E1668" i="48"/>
  <c r="N1668" i="48"/>
  <c r="D1506" i="48"/>
  <c r="G1506" i="48"/>
  <c r="J1506" i="48"/>
  <c r="M1506" i="48"/>
  <c r="D1505" i="48"/>
  <c r="G1505" i="48"/>
  <c r="J1505" i="48"/>
  <c r="M1505" i="48"/>
  <c r="D518" i="48"/>
  <c r="G518" i="48"/>
  <c r="J518" i="48"/>
  <c r="M518" i="48"/>
  <c r="D517" i="48"/>
  <c r="G517" i="48"/>
  <c r="J517" i="48"/>
  <c r="M517" i="48"/>
  <c r="D352" i="48"/>
  <c r="G352" i="48"/>
  <c r="J352" i="48"/>
  <c r="M352" i="48"/>
  <c r="D351" i="48"/>
  <c r="G351" i="48"/>
  <c r="J351" i="48"/>
  <c r="M351" i="48"/>
  <c r="D350" i="48"/>
  <c r="G350" i="48"/>
  <c r="J350" i="48"/>
  <c r="M350" i="48"/>
  <c r="H72" i="48"/>
  <c r="K72" i="48"/>
  <c r="N72" i="48"/>
  <c r="K70" i="48"/>
  <c r="N70" i="48"/>
  <c r="H70" i="48"/>
  <c r="H69" i="48"/>
  <c r="K69" i="48"/>
  <c r="N69" i="48"/>
  <c r="K68" i="48"/>
  <c r="N68" i="48"/>
  <c r="H68" i="48"/>
  <c r="H66" i="48"/>
  <c r="K66" i="48"/>
  <c r="N66" i="48"/>
  <c r="H65" i="48"/>
  <c r="K65" i="48"/>
  <c r="N65" i="48"/>
  <c r="H64" i="48"/>
  <c r="K64" i="48"/>
  <c r="N64" i="48"/>
  <c r="H63" i="48"/>
  <c r="K63" i="48"/>
  <c r="N63" i="48"/>
  <c r="H61" i="48"/>
  <c r="K61" i="48"/>
  <c r="N61" i="48"/>
  <c r="H60" i="48"/>
  <c r="K60" i="48"/>
  <c r="N60" i="48"/>
  <c r="H59" i="48"/>
  <c r="K59" i="48"/>
  <c r="N59" i="48"/>
  <c r="H58" i="48"/>
  <c r="K58" i="48"/>
  <c r="N58" i="48"/>
  <c r="H57" i="48"/>
  <c r="K57" i="48"/>
  <c r="N57" i="48"/>
  <c r="H55" i="48"/>
  <c r="K55" i="48"/>
  <c r="N55" i="48"/>
  <c r="H54" i="48"/>
  <c r="K54" i="48"/>
  <c r="N54" i="48"/>
  <c r="H53" i="48"/>
  <c r="K53" i="48"/>
  <c r="N53" i="48"/>
  <c r="H52" i="48"/>
  <c r="K52" i="48"/>
  <c r="N52" i="48"/>
  <c r="H51" i="48"/>
  <c r="K51" i="48"/>
  <c r="N51" i="48"/>
  <c r="H48" i="48"/>
  <c r="K48" i="48"/>
  <c r="N48" i="48"/>
  <c r="H47" i="48"/>
  <c r="K47" i="48"/>
  <c r="N47" i="48"/>
  <c r="K46" i="48"/>
  <c r="H46" i="48"/>
  <c r="N46" i="48"/>
  <c r="H42" i="48"/>
  <c r="K42" i="48"/>
  <c r="N42" i="48"/>
  <c r="N41" i="48"/>
  <c r="H41" i="48"/>
  <c r="K41" i="48"/>
  <c r="H44" i="48"/>
  <c r="K44" i="48"/>
  <c r="N44" i="48"/>
  <c r="H40" i="48"/>
  <c r="K40" i="48"/>
  <c r="N40" i="48"/>
  <c r="N43" i="48"/>
  <c r="K43" i="48"/>
  <c r="H43" i="48"/>
  <c r="N39" i="48"/>
  <c r="H39" i="48"/>
  <c r="K39" i="48"/>
  <c r="H38" i="48"/>
  <c r="K38" i="48"/>
  <c r="N38" i="48"/>
  <c r="H45" i="48"/>
  <c r="K45" i="48"/>
  <c r="N45" i="48"/>
  <c r="H37" i="48"/>
  <c r="K37" i="48"/>
  <c r="N37" i="48"/>
  <c r="H36" i="48"/>
  <c r="K36" i="48"/>
  <c r="N36" i="48"/>
  <c r="H35" i="48"/>
  <c r="K35" i="48"/>
  <c r="N35" i="48"/>
  <c r="H34" i="48"/>
  <c r="K34" i="48"/>
  <c r="N34" i="48"/>
  <c r="H33" i="48"/>
  <c r="K33" i="48"/>
  <c r="N33" i="48"/>
  <c r="H32" i="48"/>
  <c r="K32" i="48"/>
  <c r="N32" i="48"/>
  <c r="H31" i="48"/>
  <c r="K31" i="48"/>
  <c r="N31" i="48"/>
  <c r="H30" i="48"/>
  <c r="K30" i="48"/>
  <c r="N30" i="48"/>
  <c r="K29" i="48"/>
  <c r="H29" i="48"/>
  <c r="N29" i="48"/>
  <c r="H28" i="48"/>
  <c r="K28" i="48"/>
  <c r="N28" i="48"/>
  <c r="H27" i="48"/>
  <c r="K27" i="48"/>
  <c r="N27" i="48"/>
  <c r="H26" i="48"/>
  <c r="K26" i="48"/>
  <c r="N26" i="48"/>
  <c r="H25" i="48"/>
  <c r="K25" i="48"/>
  <c r="N25" i="48"/>
  <c r="H24" i="48"/>
  <c r="K24" i="48"/>
  <c r="N24" i="48"/>
  <c r="H23" i="48"/>
  <c r="K23" i="48"/>
  <c r="N23" i="48"/>
  <c r="H22" i="48"/>
  <c r="K22" i="48"/>
  <c r="N22" i="48"/>
  <c r="H19" i="48"/>
  <c r="K19" i="48"/>
  <c r="N19" i="48"/>
  <c r="H18" i="48"/>
  <c r="K18" i="48"/>
  <c r="N18" i="48"/>
  <c r="H17" i="48"/>
  <c r="K17" i="48"/>
  <c r="N17" i="48"/>
  <c r="H16" i="48"/>
  <c r="N16" i="48"/>
  <c r="K16" i="48"/>
  <c r="K15" i="48"/>
  <c r="N15" i="48"/>
  <c r="H15" i="48"/>
  <c r="P389" i="48"/>
  <c r="AB1716" i="21"/>
  <c r="D30" i="45"/>
  <c r="E30" i="45"/>
  <c r="F30" i="45"/>
  <c r="G30" i="45"/>
  <c r="H30" i="45"/>
  <c r="I30" i="45"/>
  <c r="J30" i="45"/>
  <c r="K30" i="45"/>
  <c r="L30" i="45"/>
  <c r="M30" i="45"/>
  <c r="N30" i="45"/>
  <c r="O30" i="45"/>
  <c r="Q170" i="47"/>
  <c r="P170" i="47"/>
  <c r="O170" i="47"/>
  <c r="Q169" i="47"/>
  <c r="P169" i="47"/>
  <c r="O169" i="47"/>
  <c r="Q168" i="47"/>
  <c r="P168" i="47"/>
  <c r="O168" i="47"/>
  <c r="Q167" i="47"/>
  <c r="P167" i="47"/>
  <c r="O167" i="47"/>
  <c r="Q166" i="47"/>
  <c r="P166" i="47"/>
  <c r="O166" i="47"/>
  <c r="Q165" i="47"/>
  <c r="P165" i="47"/>
  <c r="O165" i="47"/>
  <c r="Q164" i="47"/>
  <c r="P164" i="47"/>
  <c r="O164" i="47"/>
  <c r="Q163" i="47"/>
  <c r="P163" i="47"/>
  <c r="O163" i="47"/>
  <c r="Q162" i="47"/>
  <c r="P162" i="47"/>
  <c r="O162" i="47"/>
  <c r="Q161" i="47"/>
  <c r="P161" i="47"/>
  <c r="O161" i="47"/>
  <c r="M170" i="47"/>
  <c r="L170" i="47"/>
  <c r="K170" i="47"/>
  <c r="M169" i="47"/>
  <c r="L169" i="47"/>
  <c r="K169" i="47"/>
  <c r="M168" i="47"/>
  <c r="L168" i="47"/>
  <c r="K168" i="47"/>
  <c r="M167" i="47"/>
  <c r="L167" i="47"/>
  <c r="K167" i="47"/>
  <c r="M166" i="47"/>
  <c r="L166" i="47"/>
  <c r="K166" i="47"/>
  <c r="M165" i="47"/>
  <c r="L165" i="47"/>
  <c r="K165" i="47"/>
  <c r="M164" i="47"/>
  <c r="L164" i="47"/>
  <c r="K164" i="47"/>
  <c r="M163" i="47"/>
  <c r="L163" i="47"/>
  <c r="K163" i="47"/>
  <c r="M162" i="47"/>
  <c r="L162" i="47"/>
  <c r="K162" i="47"/>
  <c r="M161" i="47"/>
  <c r="L161" i="47"/>
  <c r="K161" i="47"/>
  <c r="I170" i="47"/>
  <c r="H170" i="47"/>
  <c r="G170" i="47"/>
  <c r="I169" i="47"/>
  <c r="H169" i="47"/>
  <c r="G169" i="47"/>
  <c r="I168" i="47"/>
  <c r="H168" i="47"/>
  <c r="G168" i="47"/>
  <c r="I167" i="47"/>
  <c r="H167" i="47"/>
  <c r="G167" i="47"/>
  <c r="I166" i="47"/>
  <c r="H166" i="47"/>
  <c r="G166" i="47"/>
  <c r="I165" i="47"/>
  <c r="H165" i="47"/>
  <c r="G165" i="47"/>
  <c r="I164" i="47"/>
  <c r="H164" i="47"/>
  <c r="G164" i="47"/>
  <c r="I163" i="47"/>
  <c r="H163" i="47"/>
  <c r="G163" i="47"/>
  <c r="I162" i="47"/>
  <c r="H162" i="47"/>
  <c r="G162" i="47"/>
  <c r="I161" i="47"/>
  <c r="H161" i="47"/>
  <c r="G161" i="47"/>
  <c r="E170" i="47"/>
  <c r="D170" i="47"/>
  <c r="C170" i="47"/>
  <c r="E169" i="47"/>
  <c r="D169" i="47"/>
  <c r="C169" i="47"/>
  <c r="E168" i="47"/>
  <c r="D168" i="47"/>
  <c r="C168" i="47"/>
  <c r="E167" i="47"/>
  <c r="D167" i="47"/>
  <c r="C167" i="47"/>
  <c r="E166" i="47"/>
  <c r="D166" i="47"/>
  <c r="C166" i="47"/>
  <c r="E165" i="47"/>
  <c r="D165" i="47"/>
  <c r="C165" i="47"/>
  <c r="E164" i="47"/>
  <c r="D164" i="47"/>
  <c r="C164" i="47"/>
  <c r="E163" i="47"/>
  <c r="D163" i="47"/>
  <c r="C163" i="47"/>
  <c r="E162" i="47"/>
  <c r="D162" i="47"/>
  <c r="C162" i="47"/>
  <c r="E161" i="47"/>
  <c r="D161" i="47"/>
  <c r="C161" i="47"/>
  <c r="Q158" i="47"/>
  <c r="P158" i="47"/>
  <c r="O158" i="47"/>
  <c r="M158" i="47"/>
  <c r="L158" i="47"/>
  <c r="K158" i="47"/>
  <c r="I158" i="47"/>
  <c r="H158" i="47"/>
  <c r="G158" i="47"/>
  <c r="E158" i="47"/>
  <c r="D158" i="47"/>
  <c r="C158" i="47"/>
  <c r="Q157" i="47"/>
  <c r="P157" i="47"/>
  <c r="O157" i="47"/>
  <c r="M157" i="47"/>
  <c r="L157" i="47"/>
  <c r="K157" i="47"/>
  <c r="I157" i="47"/>
  <c r="H157" i="47"/>
  <c r="G157" i="47"/>
  <c r="E157" i="47"/>
  <c r="D157" i="47"/>
  <c r="C157" i="47"/>
  <c r="Q154" i="47"/>
  <c r="P154" i="47"/>
  <c r="O154" i="47"/>
  <c r="M154" i="47"/>
  <c r="L154" i="47"/>
  <c r="K154" i="47"/>
  <c r="I154" i="47"/>
  <c r="H154" i="47"/>
  <c r="G154" i="47"/>
  <c r="E154" i="47"/>
  <c r="D154" i="47"/>
  <c r="C154" i="47"/>
  <c r="Q140" i="47"/>
  <c r="P140" i="47"/>
  <c r="O140" i="47"/>
  <c r="Q139" i="47"/>
  <c r="P139" i="47"/>
  <c r="O139" i="47"/>
  <c r="M140" i="47"/>
  <c r="L140" i="47"/>
  <c r="K140" i="47"/>
  <c r="M139" i="47"/>
  <c r="L139" i="47"/>
  <c r="K139" i="47"/>
  <c r="I140" i="47"/>
  <c r="H140" i="47"/>
  <c r="G140" i="47"/>
  <c r="I139" i="47"/>
  <c r="H139" i="47"/>
  <c r="G139" i="47"/>
  <c r="E140" i="47"/>
  <c r="D140" i="47"/>
  <c r="C140" i="47"/>
  <c r="E139" i="47"/>
  <c r="D139" i="47"/>
  <c r="C139" i="47"/>
  <c r="Q133" i="47"/>
  <c r="P133" i="47"/>
  <c r="O133" i="47"/>
  <c r="M133" i="47"/>
  <c r="L133" i="47"/>
  <c r="K133" i="47"/>
  <c r="I133" i="47"/>
  <c r="H133" i="47"/>
  <c r="G133" i="47"/>
  <c r="E133" i="47"/>
  <c r="D133" i="47"/>
  <c r="C133" i="47"/>
  <c r="Q132" i="47"/>
  <c r="P132" i="47"/>
  <c r="O132" i="47"/>
  <c r="M132" i="47"/>
  <c r="L132" i="47"/>
  <c r="K132" i="47"/>
  <c r="I132" i="47"/>
  <c r="H132" i="47"/>
  <c r="G132" i="47"/>
  <c r="E132" i="47"/>
  <c r="D132" i="47"/>
  <c r="C132" i="47"/>
  <c r="Q122" i="47"/>
  <c r="P122" i="47"/>
  <c r="O122" i="47"/>
  <c r="Q121" i="47"/>
  <c r="P121" i="47"/>
  <c r="O121" i="47"/>
  <c r="M122" i="47"/>
  <c r="L122" i="47"/>
  <c r="K122" i="47"/>
  <c r="M121" i="47"/>
  <c r="L121" i="47"/>
  <c r="K121" i="47"/>
  <c r="I122" i="47"/>
  <c r="H122" i="47"/>
  <c r="G122" i="47"/>
  <c r="I121" i="47"/>
  <c r="H121" i="47"/>
  <c r="G121" i="47"/>
  <c r="E122" i="47"/>
  <c r="D122" i="47"/>
  <c r="C122" i="47"/>
  <c r="E121" i="47"/>
  <c r="D121" i="47"/>
  <c r="C121" i="47"/>
  <c r="Q114" i="47"/>
  <c r="Q112" i="47" s="1"/>
  <c r="P114" i="47"/>
  <c r="P112" i="47" s="1"/>
  <c r="O114" i="47"/>
  <c r="O112" i="47" s="1"/>
  <c r="M114" i="47"/>
  <c r="M112" i="47" s="1"/>
  <c r="L114" i="47"/>
  <c r="L112" i="47" s="1"/>
  <c r="K114" i="47"/>
  <c r="K112" i="47" s="1"/>
  <c r="I114" i="47"/>
  <c r="I112" i="47" s="1"/>
  <c r="H114" i="47"/>
  <c r="H112" i="47" s="1"/>
  <c r="G114" i="47"/>
  <c r="G112" i="47" s="1"/>
  <c r="E114" i="47"/>
  <c r="E112" i="47" s="1"/>
  <c r="D114" i="47"/>
  <c r="D112" i="47" s="1"/>
  <c r="C114" i="47"/>
  <c r="Q108" i="47"/>
  <c r="P108" i="47"/>
  <c r="O108" i="47"/>
  <c r="Q107" i="47"/>
  <c r="P107" i="47"/>
  <c r="O107" i="47"/>
  <c r="M108" i="47"/>
  <c r="L108" i="47"/>
  <c r="K108" i="47"/>
  <c r="M107" i="47"/>
  <c r="L107" i="47"/>
  <c r="K107" i="47"/>
  <c r="I108" i="47"/>
  <c r="H108" i="47"/>
  <c r="G108" i="47"/>
  <c r="I107" i="47"/>
  <c r="H107" i="47"/>
  <c r="G107" i="47"/>
  <c r="E108" i="47"/>
  <c r="D108" i="47"/>
  <c r="C108" i="47"/>
  <c r="E107" i="47"/>
  <c r="D107" i="47"/>
  <c r="C107" i="47"/>
  <c r="Q100" i="47"/>
  <c r="P100" i="47"/>
  <c r="O100" i="47"/>
  <c r="Q99" i="47"/>
  <c r="P99" i="47"/>
  <c r="O99" i="47"/>
  <c r="M100" i="47"/>
  <c r="L100" i="47"/>
  <c r="K100" i="47"/>
  <c r="M99" i="47"/>
  <c r="L99" i="47"/>
  <c r="K99" i="47"/>
  <c r="I100" i="47"/>
  <c r="H100" i="47"/>
  <c r="G100" i="47"/>
  <c r="I99" i="47"/>
  <c r="H99" i="47"/>
  <c r="G99" i="47"/>
  <c r="E100" i="47"/>
  <c r="D100" i="47"/>
  <c r="C100" i="47"/>
  <c r="E99" i="47"/>
  <c r="D99" i="47"/>
  <c r="C99" i="47"/>
  <c r="Q97" i="47"/>
  <c r="P97" i="47"/>
  <c r="O97" i="47"/>
  <c r="Q96" i="47"/>
  <c r="P96" i="47"/>
  <c r="O96" i="47"/>
  <c r="Q95" i="47"/>
  <c r="P95" i="47"/>
  <c r="O95" i="47"/>
  <c r="Q94" i="47"/>
  <c r="P94" i="47"/>
  <c r="O94" i="47"/>
  <c r="M97" i="47"/>
  <c r="L97" i="47"/>
  <c r="K97" i="47"/>
  <c r="M96" i="47"/>
  <c r="L96" i="47"/>
  <c r="K96" i="47"/>
  <c r="M95" i="47"/>
  <c r="L95" i="47"/>
  <c r="K95" i="47"/>
  <c r="M94" i="47"/>
  <c r="L94" i="47"/>
  <c r="K94" i="47"/>
  <c r="I97" i="47"/>
  <c r="H97" i="47"/>
  <c r="G97" i="47"/>
  <c r="I96" i="47"/>
  <c r="H96" i="47"/>
  <c r="G96" i="47"/>
  <c r="I95" i="47"/>
  <c r="H95" i="47"/>
  <c r="G95" i="47"/>
  <c r="I94" i="47"/>
  <c r="H94" i="47"/>
  <c r="G94" i="47"/>
  <c r="E97" i="47"/>
  <c r="D97" i="47"/>
  <c r="C97" i="47"/>
  <c r="E96" i="47"/>
  <c r="D96" i="47"/>
  <c r="C96" i="47"/>
  <c r="E95" i="47"/>
  <c r="D95" i="47"/>
  <c r="C95" i="47"/>
  <c r="E94" i="47"/>
  <c r="D94" i="47"/>
  <c r="C94" i="47"/>
  <c r="Q92" i="47"/>
  <c r="P92" i="47"/>
  <c r="O92" i="47"/>
  <c r="Q91" i="47"/>
  <c r="P91" i="47"/>
  <c r="O91" i="47"/>
  <c r="M92" i="47"/>
  <c r="L92" i="47"/>
  <c r="K92" i="47"/>
  <c r="M91" i="47"/>
  <c r="L91" i="47"/>
  <c r="K91" i="47"/>
  <c r="I92" i="47"/>
  <c r="H92" i="47"/>
  <c r="G92" i="47"/>
  <c r="I91" i="47"/>
  <c r="H91" i="47"/>
  <c r="G91" i="47"/>
  <c r="E92" i="47"/>
  <c r="D92" i="47"/>
  <c r="C92" i="47"/>
  <c r="E91" i="47"/>
  <c r="D91" i="47"/>
  <c r="C91" i="47"/>
  <c r="Q89" i="47"/>
  <c r="P89" i="47"/>
  <c r="O89" i="47"/>
  <c r="Q88" i="47"/>
  <c r="P88" i="47"/>
  <c r="O88" i="47"/>
  <c r="Q87" i="47"/>
  <c r="P87" i="47"/>
  <c r="O87" i="47"/>
  <c r="Q86" i="47"/>
  <c r="P86" i="47"/>
  <c r="O86" i="47"/>
  <c r="Q85" i="47"/>
  <c r="P85" i="47"/>
  <c r="O85" i="47"/>
  <c r="M89" i="47"/>
  <c r="L89" i="47"/>
  <c r="K89" i="47"/>
  <c r="M88" i="47"/>
  <c r="L88" i="47"/>
  <c r="K88" i="47"/>
  <c r="M87" i="47"/>
  <c r="L87" i="47"/>
  <c r="K87" i="47"/>
  <c r="M86" i="47"/>
  <c r="L86" i="47"/>
  <c r="K86" i="47"/>
  <c r="M85" i="47"/>
  <c r="L85" i="47"/>
  <c r="K85" i="47"/>
  <c r="I89" i="47"/>
  <c r="H89" i="47"/>
  <c r="G89" i="47"/>
  <c r="I88" i="47"/>
  <c r="H88" i="47"/>
  <c r="G88" i="47"/>
  <c r="I87" i="47"/>
  <c r="H87" i="47"/>
  <c r="G87" i="47"/>
  <c r="I86" i="47"/>
  <c r="H86" i="47"/>
  <c r="G86" i="47"/>
  <c r="I85" i="47"/>
  <c r="H85" i="47"/>
  <c r="G85" i="47"/>
  <c r="E89" i="47"/>
  <c r="D89" i="47"/>
  <c r="C89" i="47"/>
  <c r="E88" i="47"/>
  <c r="D88" i="47"/>
  <c r="C88" i="47"/>
  <c r="E87" i="47"/>
  <c r="D87" i="47"/>
  <c r="C87" i="47"/>
  <c r="E86" i="47"/>
  <c r="D86" i="47"/>
  <c r="C86" i="47"/>
  <c r="E85" i="47"/>
  <c r="D85" i="47"/>
  <c r="C85" i="47"/>
  <c r="Q83" i="47"/>
  <c r="P83" i="47"/>
  <c r="O83" i="47"/>
  <c r="Q82" i="47"/>
  <c r="P82" i="47"/>
  <c r="O82" i="47"/>
  <c r="Q81" i="47"/>
  <c r="P81" i="47"/>
  <c r="O81" i="47"/>
  <c r="Q80" i="47"/>
  <c r="P80" i="47"/>
  <c r="O80" i="47"/>
  <c r="Q79" i="47"/>
  <c r="P79" i="47"/>
  <c r="O79" i="47"/>
  <c r="Q78" i="47"/>
  <c r="P78" i="47"/>
  <c r="O78" i="47"/>
  <c r="M83" i="47"/>
  <c r="L83" i="47"/>
  <c r="K83" i="47"/>
  <c r="M82" i="47"/>
  <c r="L82" i="47"/>
  <c r="K82" i="47"/>
  <c r="M81" i="47"/>
  <c r="L81" i="47"/>
  <c r="K81" i="47"/>
  <c r="M80" i="47"/>
  <c r="L80" i="47"/>
  <c r="K80" i="47"/>
  <c r="M79" i="47"/>
  <c r="L79" i="47"/>
  <c r="K79" i="47"/>
  <c r="M78" i="47"/>
  <c r="L78" i="47"/>
  <c r="K78" i="47"/>
  <c r="I83" i="47"/>
  <c r="H83" i="47"/>
  <c r="G83" i="47"/>
  <c r="I82" i="47"/>
  <c r="H82" i="47"/>
  <c r="G82" i="47"/>
  <c r="I81" i="47"/>
  <c r="H81" i="47"/>
  <c r="G81" i="47"/>
  <c r="I80" i="47"/>
  <c r="H80" i="47"/>
  <c r="G80" i="47"/>
  <c r="I79" i="47"/>
  <c r="H79" i="47"/>
  <c r="G79" i="47"/>
  <c r="I78" i="47"/>
  <c r="H78" i="47"/>
  <c r="G78" i="47"/>
  <c r="E83" i="47"/>
  <c r="D83" i="47"/>
  <c r="C83" i="47"/>
  <c r="E82" i="47"/>
  <c r="D82" i="47"/>
  <c r="C82" i="47"/>
  <c r="E81" i="47"/>
  <c r="D81" i="47"/>
  <c r="C81" i="47"/>
  <c r="E80" i="47"/>
  <c r="D80" i="47"/>
  <c r="C80" i="47"/>
  <c r="E79" i="47"/>
  <c r="D79" i="47"/>
  <c r="C79" i="47"/>
  <c r="E78" i="47"/>
  <c r="D78" i="47"/>
  <c r="C78" i="47"/>
  <c r="Q69" i="47"/>
  <c r="P69" i="47"/>
  <c r="O69" i="47"/>
  <c r="Q68" i="47"/>
  <c r="P68" i="47"/>
  <c r="O68" i="47"/>
  <c r="Q67" i="47"/>
  <c r="P67" i="47"/>
  <c r="O67" i="47"/>
  <c r="M69" i="47"/>
  <c r="L69" i="47"/>
  <c r="K69" i="47"/>
  <c r="M68" i="47"/>
  <c r="L68" i="47"/>
  <c r="K68" i="47"/>
  <c r="M67" i="47"/>
  <c r="L67" i="47"/>
  <c r="K67" i="47"/>
  <c r="I69" i="47"/>
  <c r="H69" i="47"/>
  <c r="G69" i="47"/>
  <c r="I68" i="47"/>
  <c r="H68" i="47"/>
  <c r="G68" i="47"/>
  <c r="I67" i="47"/>
  <c r="H67" i="47"/>
  <c r="G67" i="47"/>
  <c r="E69" i="47"/>
  <c r="D69" i="47"/>
  <c r="C69" i="47"/>
  <c r="E68" i="47"/>
  <c r="D68" i="47"/>
  <c r="C68" i="47"/>
  <c r="E67" i="47"/>
  <c r="D67" i="47"/>
  <c r="C67" i="47"/>
  <c r="Q65" i="47"/>
  <c r="P65" i="47"/>
  <c r="O65" i="47"/>
  <c r="Q64" i="47"/>
  <c r="P64" i="47"/>
  <c r="O64" i="47"/>
  <c r="Q63" i="47"/>
  <c r="P63" i="47"/>
  <c r="O63" i="47"/>
  <c r="Q62" i="47"/>
  <c r="P62" i="47"/>
  <c r="O62" i="47"/>
  <c r="M65" i="47"/>
  <c r="L65" i="47"/>
  <c r="K65" i="47"/>
  <c r="M64" i="47"/>
  <c r="L64" i="47"/>
  <c r="K64" i="47"/>
  <c r="M63" i="47"/>
  <c r="L63" i="47"/>
  <c r="K63" i="47"/>
  <c r="M62" i="47"/>
  <c r="L62" i="47"/>
  <c r="K62" i="47"/>
  <c r="I65" i="47"/>
  <c r="H65" i="47"/>
  <c r="G65" i="47"/>
  <c r="I64" i="47"/>
  <c r="H64" i="47"/>
  <c r="G64" i="47"/>
  <c r="I63" i="47"/>
  <c r="H63" i="47"/>
  <c r="G63" i="47"/>
  <c r="I62" i="47"/>
  <c r="H62" i="47"/>
  <c r="G62" i="47"/>
  <c r="E65" i="47"/>
  <c r="D65" i="47"/>
  <c r="C65" i="47"/>
  <c r="E64" i="47"/>
  <c r="D64" i="47"/>
  <c r="C64" i="47"/>
  <c r="E63" i="47"/>
  <c r="D63" i="47"/>
  <c r="C63" i="47"/>
  <c r="E62" i="47"/>
  <c r="D62" i="47"/>
  <c r="C62" i="47"/>
  <c r="Q60" i="47"/>
  <c r="P60" i="47"/>
  <c r="O60" i="47"/>
  <c r="Q59" i="47"/>
  <c r="P59" i="47"/>
  <c r="O59" i="47"/>
  <c r="Q58" i="47"/>
  <c r="P58" i="47"/>
  <c r="O58" i="47"/>
  <c r="Q57" i="47"/>
  <c r="P57" i="47"/>
  <c r="O57" i="47"/>
  <c r="Q56" i="47"/>
  <c r="P56" i="47"/>
  <c r="O56" i="47"/>
  <c r="M60" i="47"/>
  <c r="L60" i="47"/>
  <c r="K60" i="47"/>
  <c r="M59" i="47"/>
  <c r="L59" i="47"/>
  <c r="K59" i="47"/>
  <c r="M58" i="47"/>
  <c r="L58" i="47"/>
  <c r="K58" i="47"/>
  <c r="M57" i="47"/>
  <c r="L57" i="47"/>
  <c r="K57" i="47"/>
  <c r="M56" i="47"/>
  <c r="L56" i="47"/>
  <c r="K56" i="47"/>
  <c r="I60" i="47"/>
  <c r="H60" i="47"/>
  <c r="G60" i="47"/>
  <c r="I59" i="47"/>
  <c r="H59" i="47"/>
  <c r="G59" i="47"/>
  <c r="I58" i="47"/>
  <c r="H58" i="47"/>
  <c r="G58" i="47"/>
  <c r="I57" i="47"/>
  <c r="H57" i="47"/>
  <c r="G57" i="47"/>
  <c r="I56" i="47"/>
  <c r="H56" i="47"/>
  <c r="G56" i="47"/>
  <c r="E60" i="47"/>
  <c r="D60" i="47"/>
  <c r="C60" i="47"/>
  <c r="E59" i="47"/>
  <c r="D59" i="47"/>
  <c r="C59" i="47"/>
  <c r="E58" i="47"/>
  <c r="D58" i="47"/>
  <c r="C58" i="47"/>
  <c r="E57" i="47"/>
  <c r="D57" i="47"/>
  <c r="C57" i="47"/>
  <c r="E56" i="47"/>
  <c r="D56" i="47"/>
  <c r="C56" i="47"/>
  <c r="Q41" i="47"/>
  <c r="P41" i="47"/>
  <c r="O41" i="47"/>
  <c r="Q40" i="47"/>
  <c r="P40" i="47"/>
  <c r="O40" i="47"/>
  <c r="M41" i="47"/>
  <c r="L41" i="47"/>
  <c r="K41" i="47"/>
  <c r="M40" i="47"/>
  <c r="L40" i="47"/>
  <c r="K40" i="47"/>
  <c r="I41" i="47"/>
  <c r="H41" i="47"/>
  <c r="G41" i="47"/>
  <c r="I40" i="47"/>
  <c r="H40" i="47"/>
  <c r="G40" i="47"/>
  <c r="E41" i="47"/>
  <c r="D41" i="47"/>
  <c r="C41" i="47"/>
  <c r="E40" i="47"/>
  <c r="D40" i="47"/>
  <c r="C40" i="47"/>
  <c r="Q19" i="47"/>
  <c r="P19" i="47"/>
  <c r="O19" i="47"/>
  <c r="M19" i="47"/>
  <c r="L19" i="47"/>
  <c r="K19" i="47"/>
  <c r="I19" i="47"/>
  <c r="H19" i="47"/>
  <c r="G19" i="47"/>
  <c r="E19" i="47"/>
  <c r="D19" i="47"/>
  <c r="C19" i="47"/>
  <c r="Q15" i="47"/>
  <c r="P15" i="47"/>
  <c r="O15" i="47"/>
  <c r="M15" i="47"/>
  <c r="L15" i="47"/>
  <c r="K15" i="47"/>
  <c r="I15" i="47"/>
  <c r="H15" i="47"/>
  <c r="G15" i="47"/>
  <c r="E15" i="47"/>
  <c r="D15" i="47"/>
  <c r="C15" i="47"/>
  <c r="Q14" i="47"/>
  <c r="P14" i="47"/>
  <c r="O14" i="47"/>
  <c r="M14" i="47"/>
  <c r="L14" i="47"/>
  <c r="K14" i="47"/>
  <c r="I14" i="47"/>
  <c r="H14" i="47"/>
  <c r="G14" i="47"/>
  <c r="E14" i="47"/>
  <c r="D14" i="47"/>
  <c r="C14" i="47"/>
  <c r="N153" i="47"/>
  <c r="U153" i="47" s="1"/>
  <c r="R146" i="47"/>
  <c r="V146" i="47" s="1"/>
  <c r="R144" i="47"/>
  <c r="V144" i="47" s="1"/>
  <c r="R145" i="47"/>
  <c r="V145" i="47"/>
  <c r="R137" i="47"/>
  <c r="V137" i="47" s="1"/>
  <c r="N137" i="47"/>
  <c r="U137" i="47" s="1"/>
  <c r="N126" i="47"/>
  <c r="U126" i="47" s="1"/>
  <c r="R119" i="47"/>
  <c r="V119" i="47"/>
  <c r="R117" i="47"/>
  <c r="V117" i="47" s="1"/>
  <c r="R30" i="47"/>
  <c r="V30" i="47" s="1"/>
  <c r="V29" i="47" s="1"/>
  <c r="V197" i="47"/>
  <c r="V196" i="47"/>
  <c r="Q192" i="47"/>
  <c r="O192" i="47"/>
  <c r="P192" i="47"/>
  <c r="R190" i="47"/>
  <c r="V190" i="47" s="1"/>
  <c r="R189" i="47"/>
  <c r="V189" i="47" s="1"/>
  <c r="V188" i="47" s="1"/>
  <c r="Q188" i="47"/>
  <c r="P188" i="47"/>
  <c r="O188" i="47"/>
  <c r="R187" i="47"/>
  <c r="V187" i="47"/>
  <c r="V186" i="47" s="1"/>
  <c r="Q186" i="47"/>
  <c r="Q177" i="47"/>
  <c r="P186" i="47"/>
  <c r="O186" i="47"/>
  <c r="R184" i="47"/>
  <c r="V184" i="47" s="1"/>
  <c r="R183" i="47"/>
  <c r="V183" i="47" s="1"/>
  <c r="P177" i="47"/>
  <c r="R181" i="47"/>
  <c r="V181" i="47"/>
  <c r="R180" i="47"/>
  <c r="V180" i="47"/>
  <c r="R179" i="47"/>
  <c r="V179" i="47"/>
  <c r="R178" i="47"/>
  <c r="V178" i="47"/>
  <c r="O177" i="47"/>
  <c r="R153" i="47"/>
  <c r="V153" i="47"/>
  <c r="R152" i="47"/>
  <c r="V152" i="47" s="1"/>
  <c r="R151" i="47"/>
  <c r="V151" i="47" s="1"/>
  <c r="R149" i="47"/>
  <c r="V149" i="47" s="1"/>
  <c r="V148" i="47" s="1"/>
  <c r="O148" i="47"/>
  <c r="P148" i="47"/>
  <c r="Q148" i="47"/>
  <c r="R138" i="47"/>
  <c r="V138" i="47" s="1"/>
  <c r="R130" i="47"/>
  <c r="V130" i="47" s="1"/>
  <c r="W130" i="47" s="1"/>
  <c r="R129" i="47"/>
  <c r="V129" i="47"/>
  <c r="R128" i="47"/>
  <c r="V128" i="47" s="1"/>
  <c r="R126" i="47"/>
  <c r="V126" i="47" s="1"/>
  <c r="R123" i="47"/>
  <c r="V123" i="47" s="1"/>
  <c r="W123" i="47" s="1"/>
  <c r="R118" i="47"/>
  <c r="V118" i="47"/>
  <c r="R116" i="47"/>
  <c r="V116" i="47" s="1"/>
  <c r="W116" i="47" s="1"/>
  <c r="R113" i="47"/>
  <c r="V113" i="47" s="1"/>
  <c r="R109" i="47"/>
  <c r="V109" i="47" s="1"/>
  <c r="R53" i="47"/>
  <c r="V53" i="47"/>
  <c r="V52" i="47"/>
  <c r="Q52" i="47"/>
  <c r="P52" i="47"/>
  <c r="O52" i="47"/>
  <c r="R49" i="47"/>
  <c r="V49" i="47" s="1"/>
  <c r="V48" i="47" s="1"/>
  <c r="Q48" i="47"/>
  <c r="P48" i="47"/>
  <c r="O48" i="47"/>
  <c r="R48" i="47"/>
  <c r="R47" i="47"/>
  <c r="V47" i="47"/>
  <c r="R46" i="47"/>
  <c r="V46" i="47"/>
  <c r="R45" i="47"/>
  <c r="V45" i="47"/>
  <c r="R43" i="47"/>
  <c r="V43" i="47"/>
  <c r="V42" i="47" s="1"/>
  <c r="Q42" i="47"/>
  <c r="P42" i="47"/>
  <c r="O42" i="47"/>
  <c r="R39" i="47"/>
  <c r="V39" i="47"/>
  <c r="R38" i="47"/>
  <c r="V38" i="47"/>
  <c r="R34" i="47"/>
  <c r="V34" i="47"/>
  <c r="V33" i="47" s="1"/>
  <c r="R32" i="47"/>
  <c r="V32" i="47"/>
  <c r="R28" i="47"/>
  <c r="V28" i="47" s="1"/>
  <c r="V27" i="47" s="1"/>
  <c r="R26" i="47"/>
  <c r="V26" i="47"/>
  <c r="V25" i="47" s="1"/>
  <c r="R22" i="47"/>
  <c r="V22" i="47"/>
  <c r="Q21" i="47"/>
  <c r="P21" i="47"/>
  <c r="O21" i="47"/>
  <c r="R13" i="47"/>
  <c r="V13" i="47"/>
  <c r="U197" i="47"/>
  <c r="U196" i="47"/>
  <c r="M192" i="47"/>
  <c r="L192" i="47"/>
  <c r="K192" i="47"/>
  <c r="N190" i="47"/>
  <c r="U190" i="47" s="1"/>
  <c r="W190" i="47" s="1"/>
  <c r="N189" i="47"/>
  <c r="U189" i="47" s="1"/>
  <c r="M188" i="47"/>
  <c r="L188" i="47"/>
  <c r="K188" i="47"/>
  <c r="N187" i="47"/>
  <c r="U187" i="47"/>
  <c r="U186" i="47" s="1"/>
  <c r="M186" i="47"/>
  <c r="K186" i="47"/>
  <c r="L186" i="47"/>
  <c r="N184" i="47"/>
  <c r="U184" i="47"/>
  <c r="N183" i="47"/>
  <c r="U183" i="47"/>
  <c r="N181" i="47"/>
  <c r="U181" i="47"/>
  <c r="N180" i="47"/>
  <c r="U180" i="47"/>
  <c r="N179" i="47"/>
  <c r="U179" i="47"/>
  <c r="N178" i="47"/>
  <c r="U178" i="47"/>
  <c r="M177" i="47"/>
  <c r="L177" i="47"/>
  <c r="K177" i="47"/>
  <c r="N152" i="47"/>
  <c r="U152" i="47"/>
  <c r="N151" i="47"/>
  <c r="U151" i="47" s="1"/>
  <c r="N149" i="47"/>
  <c r="U149" i="47" s="1"/>
  <c r="M148" i="47"/>
  <c r="L148" i="47"/>
  <c r="K148" i="47"/>
  <c r="N148" i="47"/>
  <c r="N146" i="47"/>
  <c r="U146" i="47"/>
  <c r="N145" i="47"/>
  <c r="U145" i="47"/>
  <c r="N144" i="47"/>
  <c r="U144" i="47"/>
  <c r="N138" i="47"/>
  <c r="U138" i="47"/>
  <c r="N130" i="47"/>
  <c r="U130" i="47"/>
  <c r="N129" i="47"/>
  <c r="U129" i="47"/>
  <c r="N128" i="47"/>
  <c r="U128" i="47"/>
  <c r="N123" i="47"/>
  <c r="U123" i="47"/>
  <c r="N119" i="47"/>
  <c r="U119" i="47"/>
  <c r="N118" i="47"/>
  <c r="U118" i="47"/>
  <c r="N117" i="47"/>
  <c r="U117" i="47"/>
  <c r="N116" i="47"/>
  <c r="U116" i="47"/>
  <c r="N113" i="47"/>
  <c r="U113" i="47"/>
  <c r="N109" i="47"/>
  <c r="U109" i="47"/>
  <c r="N53" i="47"/>
  <c r="U53" i="47"/>
  <c r="U52" i="47"/>
  <c r="M52" i="47"/>
  <c r="L52" i="47"/>
  <c r="K52" i="47"/>
  <c r="N52" i="47" s="1"/>
  <c r="N49" i="47"/>
  <c r="U49" i="47" s="1"/>
  <c r="U48" i="47" s="1"/>
  <c r="M48" i="47"/>
  <c r="K48" i="47"/>
  <c r="L48" i="47"/>
  <c r="N47" i="47"/>
  <c r="U47" i="47" s="1"/>
  <c r="W47" i="47" s="1"/>
  <c r="N46" i="47"/>
  <c r="U46" i="47" s="1"/>
  <c r="N45" i="47"/>
  <c r="U45" i="47"/>
  <c r="N43" i="47"/>
  <c r="U43" i="47" s="1"/>
  <c r="U42" i="47" s="1"/>
  <c r="M42" i="47"/>
  <c r="L42" i="47"/>
  <c r="N42" i="47" s="1"/>
  <c r="K42" i="47"/>
  <c r="N39" i="47"/>
  <c r="U39" i="47"/>
  <c r="N38" i="47"/>
  <c r="U38" i="47"/>
  <c r="N34" i="47"/>
  <c r="U34" i="47"/>
  <c r="U33" i="47" s="1"/>
  <c r="W33" i="47" s="1"/>
  <c r="N32" i="47"/>
  <c r="U32" i="47"/>
  <c r="U31" i="47"/>
  <c r="N30" i="47"/>
  <c r="U30" i="47"/>
  <c r="U29" i="47" s="1"/>
  <c r="N28" i="47"/>
  <c r="U28" i="47" s="1"/>
  <c r="U27" i="47" s="1"/>
  <c r="N26" i="47"/>
  <c r="U26" i="47"/>
  <c r="U25" i="47" s="1"/>
  <c r="U24" i="47" s="1"/>
  <c r="N22" i="47"/>
  <c r="U22" i="47" s="1"/>
  <c r="M21" i="47"/>
  <c r="L21" i="47"/>
  <c r="K21" i="47"/>
  <c r="N13" i="47"/>
  <c r="U13" i="47" s="1"/>
  <c r="T197" i="47"/>
  <c r="T196" i="47"/>
  <c r="I192" i="47"/>
  <c r="H192" i="47"/>
  <c r="G192" i="47"/>
  <c r="J190" i="47"/>
  <c r="T190" i="47"/>
  <c r="F190" i="47"/>
  <c r="S190" i="47"/>
  <c r="J189" i="47"/>
  <c r="T189" i="47"/>
  <c r="I188" i="47"/>
  <c r="H188" i="47"/>
  <c r="G188" i="47"/>
  <c r="J187" i="47"/>
  <c r="T187" i="47" s="1"/>
  <c r="T186" i="47" s="1"/>
  <c r="I186" i="47"/>
  <c r="H186" i="47"/>
  <c r="G186" i="47"/>
  <c r="J184" i="47"/>
  <c r="T184" i="47"/>
  <c r="J183" i="47"/>
  <c r="T183" i="47" s="1"/>
  <c r="J181" i="47"/>
  <c r="T181" i="47" s="1"/>
  <c r="W181" i="47" s="1"/>
  <c r="J180" i="47"/>
  <c r="T180" i="47" s="1"/>
  <c r="W180" i="47" s="1"/>
  <c r="J179" i="47"/>
  <c r="T179" i="47"/>
  <c r="J178" i="47"/>
  <c r="T178" i="47" s="1"/>
  <c r="I177" i="47"/>
  <c r="H177" i="47"/>
  <c r="G177" i="47"/>
  <c r="J153" i="47"/>
  <c r="T153" i="47"/>
  <c r="J152" i="47"/>
  <c r="T152" i="47"/>
  <c r="J151" i="47"/>
  <c r="T151" i="47"/>
  <c r="J149" i="47"/>
  <c r="T149" i="47"/>
  <c r="T148" i="47" s="1"/>
  <c r="I148" i="47"/>
  <c r="G148" i="47"/>
  <c r="H148" i="47"/>
  <c r="J146" i="47"/>
  <c r="T146" i="47"/>
  <c r="J145" i="47"/>
  <c r="T145" i="47"/>
  <c r="J144" i="47"/>
  <c r="T144" i="47"/>
  <c r="J138" i="47"/>
  <c r="T138" i="47"/>
  <c r="J137" i="47"/>
  <c r="T137" i="47"/>
  <c r="J130" i="47"/>
  <c r="T130" i="47"/>
  <c r="J129" i="47"/>
  <c r="T129" i="47"/>
  <c r="J128" i="47"/>
  <c r="T128" i="47"/>
  <c r="J126" i="47"/>
  <c r="T126" i="47"/>
  <c r="J123" i="47"/>
  <c r="T123" i="47"/>
  <c r="J119" i="47"/>
  <c r="T119" i="47"/>
  <c r="J118" i="47"/>
  <c r="T118" i="47"/>
  <c r="J117" i="47"/>
  <c r="T117" i="47"/>
  <c r="J116" i="47"/>
  <c r="T116" i="47"/>
  <c r="J113" i="47"/>
  <c r="T113" i="47"/>
  <c r="J109" i="47"/>
  <c r="T109" i="47"/>
  <c r="J53" i="47"/>
  <c r="T53" i="47"/>
  <c r="I52" i="47"/>
  <c r="H52" i="47"/>
  <c r="G52" i="47"/>
  <c r="J49" i="47"/>
  <c r="T49" i="47"/>
  <c r="I48" i="47"/>
  <c r="H48" i="47"/>
  <c r="G48" i="47"/>
  <c r="J47" i="47"/>
  <c r="T47" i="47"/>
  <c r="F47" i="47"/>
  <c r="S47" i="47"/>
  <c r="J46" i="47"/>
  <c r="T46" i="47"/>
  <c r="J45" i="47"/>
  <c r="T45" i="47"/>
  <c r="J43" i="47"/>
  <c r="T43" i="47"/>
  <c r="I42" i="47"/>
  <c r="H42" i="47"/>
  <c r="G42" i="47"/>
  <c r="J42" i="47"/>
  <c r="J39" i="47"/>
  <c r="T39" i="47"/>
  <c r="J38" i="47"/>
  <c r="T38" i="47"/>
  <c r="J34" i="47"/>
  <c r="T34" i="47"/>
  <c r="J32" i="47"/>
  <c r="T32" i="47"/>
  <c r="T31" i="47" s="1"/>
  <c r="J30" i="47"/>
  <c r="T30" i="47" s="1"/>
  <c r="J29" i="47"/>
  <c r="J28" i="47"/>
  <c r="T28" i="47"/>
  <c r="T27" i="47"/>
  <c r="J26" i="47"/>
  <c r="T26" i="47" s="1"/>
  <c r="T25" i="47" s="1"/>
  <c r="J22" i="47"/>
  <c r="T22" i="47" s="1"/>
  <c r="I21" i="47"/>
  <c r="H21" i="47"/>
  <c r="G21" i="47"/>
  <c r="J13" i="47"/>
  <c r="T13" i="47" s="1"/>
  <c r="W13" i="47" s="1"/>
  <c r="S197" i="47"/>
  <c r="S196" i="47"/>
  <c r="E192" i="47"/>
  <c r="D192" i="47"/>
  <c r="C192" i="47"/>
  <c r="F189" i="47"/>
  <c r="S189" i="47"/>
  <c r="E188" i="47"/>
  <c r="D188" i="47"/>
  <c r="C188" i="47"/>
  <c r="F187" i="47"/>
  <c r="S187" i="47" s="1"/>
  <c r="E186" i="47"/>
  <c r="D186" i="47"/>
  <c r="C186" i="47"/>
  <c r="F184" i="47"/>
  <c r="S184" i="47"/>
  <c r="F183" i="47"/>
  <c r="S183" i="47"/>
  <c r="F181" i="47"/>
  <c r="S181" i="47"/>
  <c r="F180" i="47"/>
  <c r="S180" i="47"/>
  <c r="F179" i="47"/>
  <c r="S179" i="47"/>
  <c r="F178" i="47"/>
  <c r="S178" i="47"/>
  <c r="E177" i="47"/>
  <c r="D177" i="47"/>
  <c r="C177" i="47"/>
  <c r="F153" i="47"/>
  <c r="S153" i="47" s="1"/>
  <c r="F152" i="47"/>
  <c r="S152" i="47" s="1"/>
  <c r="F151" i="47"/>
  <c r="S151" i="47" s="1"/>
  <c r="W151" i="47" s="1"/>
  <c r="F149" i="47"/>
  <c r="S149" i="47"/>
  <c r="S148" i="47"/>
  <c r="E148" i="47"/>
  <c r="D148" i="47"/>
  <c r="C148" i="47"/>
  <c r="F146" i="47"/>
  <c r="S146" i="47" s="1"/>
  <c r="F145" i="47"/>
  <c r="S145" i="47"/>
  <c r="F144" i="47"/>
  <c r="S144" i="47" s="1"/>
  <c r="F138" i="47"/>
  <c r="S138" i="47" s="1"/>
  <c r="W138" i="47" s="1"/>
  <c r="F137" i="47"/>
  <c r="S137" i="47" s="1"/>
  <c r="F130" i="47"/>
  <c r="S130" i="47"/>
  <c r="F129" i="47"/>
  <c r="S129" i="47" s="1"/>
  <c r="W129" i="47" s="1"/>
  <c r="F128" i="47"/>
  <c r="S128" i="47" s="1"/>
  <c r="W128" i="47" s="1"/>
  <c r="F126" i="47"/>
  <c r="S126" i="47" s="1"/>
  <c r="F123" i="47"/>
  <c r="S123" i="47"/>
  <c r="F119" i="47"/>
  <c r="S119" i="47" s="1"/>
  <c r="W119" i="47" s="1"/>
  <c r="F118" i="47"/>
  <c r="S118" i="47" s="1"/>
  <c r="W118" i="47" s="1"/>
  <c r="F117" i="47"/>
  <c r="S117" i="47" s="1"/>
  <c r="W117" i="47" s="1"/>
  <c r="F116" i="47"/>
  <c r="S116" i="47"/>
  <c r="F113" i="47"/>
  <c r="S113" i="47" s="1"/>
  <c r="W113" i="47" s="1"/>
  <c r="F109" i="47"/>
  <c r="S109" i="47" s="1"/>
  <c r="F53" i="47"/>
  <c r="S53" i="47" s="1"/>
  <c r="E52" i="47"/>
  <c r="D52" i="47"/>
  <c r="C52" i="47"/>
  <c r="F49" i="47"/>
  <c r="S49" i="47" s="1"/>
  <c r="E48" i="47"/>
  <c r="C48" i="47"/>
  <c r="D48" i="47"/>
  <c r="F46" i="47"/>
  <c r="S46" i="47" s="1"/>
  <c r="W46" i="47" s="1"/>
  <c r="F45" i="47"/>
  <c r="S45" i="47" s="1"/>
  <c r="F43" i="47"/>
  <c r="S43" i="47" s="1"/>
  <c r="E42" i="47"/>
  <c r="D42" i="47"/>
  <c r="C42" i="47"/>
  <c r="F39" i="47"/>
  <c r="S39" i="47" s="1"/>
  <c r="W39" i="47" s="1"/>
  <c r="F38" i="47"/>
  <c r="S38" i="47" s="1"/>
  <c r="W38" i="47" s="1"/>
  <c r="F34" i="47"/>
  <c r="S34" i="47"/>
  <c r="S33" i="47"/>
  <c r="F32" i="47"/>
  <c r="S32" i="47"/>
  <c r="S31" i="47" s="1"/>
  <c r="F31" i="47"/>
  <c r="F30" i="47"/>
  <c r="S30" i="47"/>
  <c r="S29" i="47"/>
  <c r="F28" i="47"/>
  <c r="S28" i="47" s="1"/>
  <c r="F26" i="47"/>
  <c r="S26" i="47" s="1"/>
  <c r="F22" i="47"/>
  <c r="S22" i="47" s="1"/>
  <c r="E21" i="47"/>
  <c r="D21" i="47"/>
  <c r="C21" i="47"/>
  <c r="S13" i="47"/>
  <c r="O41" i="46"/>
  <c r="O39" i="46"/>
  <c r="O27" i="46"/>
  <c r="O25" i="46"/>
  <c r="O21" i="46"/>
  <c r="O19" i="46"/>
  <c r="O11" i="46"/>
  <c r="O45" i="46"/>
  <c r="O37" i="46"/>
  <c r="O31" i="46"/>
  <c r="O29" i="46"/>
  <c r="O17" i="46"/>
  <c r="O15" i="46"/>
  <c r="O9" i="46"/>
  <c r="P144" i="21"/>
  <c r="N82" i="45"/>
  <c r="N81" i="45" s="1"/>
  <c r="M82" i="45"/>
  <c r="M81" i="45" s="1"/>
  <c r="L82" i="45"/>
  <c r="L81" i="45" s="1"/>
  <c r="G82" i="45"/>
  <c r="G81" i="45" s="1"/>
  <c r="F82" i="45"/>
  <c r="F81" i="45"/>
  <c r="E82" i="45"/>
  <c r="E81" i="45" s="1"/>
  <c r="F54" i="40"/>
  <c r="N48" i="40"/>
  <c r="F16" i="40"/>
  <c r="E18" i="40"/>
  <c r="F36" i="40"/>
  <c r="F48" i="40"/>
  <c r="N48" i="39"/>
  <c r="F16" i="39"/>
  <c r="E18" i="39"/>
  <c r="F36" i="39"/>
  <c r="F48" i="39"/>
  <c r="AK1466" i="21"/>
  <c r="N48" i="38"/>
  <c r="F16" i="38"/>
  <c r="E18" i="38"/>
  <c r="F36" i="38"/>
  <c r="F48" i="38"/>
  <c r="N48" i="37"/>
  <c r="F16" i="37"/>
  <c r="E18" i="37"/>
  <c r="F36" i="37"/>
  <c r="F48" i="37"/>
  <c r="N48" i="36"/>
  <c r="F16" i="36"/>
  <c r="E18" i="36"/>
  <c r="F36" i="36"/>
  <c r="F48" i="36"/>
  <c r="F48" i="35"/>
  <c r="F48" i="34"/>
  <c r="N48" i="35"/>
  <c r="F16" i="35"/>
  <c r="E18" i="35"/>
  <c r="F36" i="35"/>
  <c r="F16" i="34"/>
  <c r="F16" i="33"/>
  <c r="F16" i="32"/>
  <c r="F16" i="31"/>
  <c r="F16" i="30"/>
  <c r="F16" i="29"/>
  <c r="N48" i="34"/>
  <c r="E18" i="34"/>
  <c r="F36" i="34"/>
  <c r="N48" i="33"/>
  <c r="E18" i="33"/>
  <c r="F36" i="33"/>
  <c r="F48" i="33"/>
  <c r="N48" i="32"/>
  <c r="E18" i="32"/>
  <c r="F36" i="32"/>
  <c r="F48" i="32"/>
  <c r="E45" i="40"/>
  <c r="P1222" i="21"/>
  <c r="N48" i="31"/>
  <c r="F36" i="31"/>
  <c r="E18" i="31"/>
  <c r="N48" i="29"/>
  <c r="N48" i="30"/>
  <c r="F36" i="30"/>
  <c r="F48" i="31"/>
  <c r="E18" i="30"/>
  <c r="E18" i="29"/>
  <c r="F36" i="29"/>
  <c r="F48" i="30"/>
  <c r="F48" i="29"/>
  <c r="E45" i="29"/>
  <c r="F54" i="38"/>
  <c r="F54" i="37"/>
  <c r="F54" i="34"/>
  <c r="W22" i="21"/>
  <c r="U39" i="21"/>
  <c r="F64" i="44"/>
  <c r="F60" i="44" s="1"/>
  <c r="T46" i="44"/>
  <c r="L46" i="44"/>
  <c r="J46" i="44"/>
  <c r="E50" i="44"/>
  <c r="I64" i="44"/>
  <c r="I59" i="44" s="1"/>
  <c r="E44" i="44"/>
  <c r="AY58" i="21"/>
  <c r="H44" i="44"/>
  <c r="N3" i="41"/>
  <c r="K20" i="41"/>
  <c r="K25" i="41"/>
  <c r="G27" i="41"/>
  <c r="D29" i="41"/>
  <c r="C36" i="41"/>
  <c r="I36" i="41"/>
  <c r="L36" i="41"/>
  <c r="O36" i="41"/>
  <c r="G40" i="41"/>
  <c r="I42" i="41"/>
  <c r="G49" i="41"/>
  <c r="C52" i="41"/>
  <c r="J82" i="41"/>
  <c r="J90" i="41"/>
  <c r="J91" i="41"/>
  <c r="J92" i="41"/>
  <c r="J93" i="41"/>
  <c r="J94" i="41"/>
  <c r="J95" i="41"/>
  <c r="J96" i="41"/>
  <c r="J97" i="41"/>
  <c r="J98" i="41"/>
  <c r="J99" i="41"/>
  <c r="J100" i="41"/>
  <c r="J101" i="41"/>
  <c r="N3" i="40"/>
  <c r="G11" i="40"/>
  <c r="I11" i="40"/>
  <c r="J13" i="40"/>
  <c r="E14" i="40"/>
  <c r="J15" i="40"/>
  <c r="E35" i="40"/>
  <c r="J47" i="40"/>
  <c r="L47" i="40"/>
  <c r="I65" i="40"/>
  <c r="I60" i="40" s="1"/>
  <c r="F66" i="40"/>
  <c r="F61" i="40" s="1"/>
  <c r="J79" i="40"/>
  <c r="N3" i="39"/>
  <c r="G11" i="39"/>
  <c r="I11" i="39"/>
  <c r="J13" i="39"/>
  <c r="E14" i="39"/>
  <c r="J15" i="39"/>
  <c r="E35" i="39"/>
  <c r="J47" i="39"/>
  <c r="L47" i="39"/>
  <c r="O47" i="39"/>
  <c r="F65" i="39"/>
  <c r="F61" i="39" s="1"/>
  <c r="I65" i="39"/>
  <c r="I60" i="39" s="1"/>
  <c r="J79" i="39"/>
  <c r="N3" i="38"/>
  <c r="I11" i="38"/>
  <c r="J13" i="38"/>
  <c r="E14" i="38"/>
  <c r="J15" i="38"/>
  <c r="E35" i="38"/>
  <c r="J47" i="38"/>
  <c r="L47" i="38"/>
  <c r="F65" i="38"/>
  <c r="F61" i="38" s="1"/>
  <c r="I65" i="38"/>
  <c r="I60" i="38" s="1"/>
  <c r="J79" i="38"/>
  <c r="N3" i="37"/>
  <c r="G11" i="37"/>
  <c r="I11" i="37"/>
  <c r="J13" i="37"/>
  <c r="E14" i="37"/>
  <c r="J15" i="37"/>
  <c r="E35" i="37"/>
  <c r="E45" i="37"/>
  <c r="J47" i="37"/>
  <c r="L47" i="37"/>
  <c r="F65" i="37"/>
  <c r="F61" i="37" s="1"/>
  <c r="I65" i="37"/>
  <c r="I60" i="37" s="1"/>
  <c r="J79" i="37"/>
  <c r="N3" i="36"/>
  <c r="G11" i="36"/>
  <c r="I11" i="36"/>
  <c r="J13" i="36"/>
  <c r="E14" i="36"/>
  <c r="J15" i="36"/>
  <c r="E35" i="36"/>
  <c r="E45" i="36"/>
  <c r="J47" i="36"/>
  <c r="L47" i="36"/>
  <c r="F65" i="36"/>
  <c r="F61" i="36" s="1"/>
  <c r="I65" i="36"/>
  <c r="I60" i="36" s="1"/>
  <c r="J79" i="36"/>
  <c r="N3" i="35"/>
  <c r="G11" i="35"/>
  <c r="I11" i="35"/>
  <c r="J13" i="35"/>
  <c r="E14" i="35"/>
  <c r="J15" i="35"/>
  <c r="E35" i="35"/>
  <c r="E45" i="35"/>
  <c r="J47" i="35"/>
  <c r="L47" i="35"/>
  <c r="F65" i="35"/>
  <c r="F61" i="35" s="1"/>
  <c r="I65" i="35"/>
  <c r="I60" i="35" s="1"/>
  <c r="J79" i="35"/>
  <c r="N3" i="34"/>
  <c r="G11" i="34"/>
  <c r="I11" i="34"/>
  <c r="J13" i="34"/>
  <c r="E14" i="34"/>
  <c r="J15" i="34"/>
  <c r="E35" i="34"/>
  <c r="E45" i="34"/>
  <c r="J47" i="34"/>
  <c r="L47" i="34"/>
  <c r="F65" i="34"/>
  <c r="F61" i="34" s="1"/>
  <c r="I65" i="34"/>
  <c r="I60" i="34" s="1"/>
  <c r="J79" i="34"/>
  <c r="N3" i="33"/>
  <c r="G11" i="33"/>
  <c r="I11" i="33"/>
  <c r="J13" i="33"/>
  <c r="E14" i="33"/>
  <c r="J15" i="33"/>
  <c r="E35" i="33"/>
  <c r="E45" i="33"/>
  <c r="J47" i="33"/>
  <c r="L47" i="33"/>
  <c r="F65" i="33"/>
  <c r="F61" i="33" s="1"/>
  <c r="I65" i="33"/>
  <c r="I60" i="33" s="1"/>
  <c r="J79" i="33"/>
  <c r="N3" i="32"/>
  <c r="G11" i="32"/>
  <c r="I11" i="32"/>
  <c r="J13" i="32"/>
  <c r="E14" i="32"/>
  <c r="J15" i="32"/>
  <c r="E35" i="32"/>
  <c r="E45" i="32"/>
  <c r="J47" i="32"/>
  <c r="L47" i="32"/>
  <c r="F65" i="32"/>
  <c r="F61" i="32" s="1"/>
  <c r="I65" i="32"/>
  <c r="I60" i="32" s="1"/>
  <c r="J79" i="32"/>
  <c r="N3" i="31"/>
  <c r="G11" i="31"/>
  <c r="I11" i="31"/>
  <c r="J13" i="31"/>
  <c r="E14" i="31"/>
  <c r="J15" i="31"/>
  <c r="E35" i="31"/>
  <c r="J47" i="31"/>
  <c r="L47" i="31"/>
  <c r="F65" i="31"/>
  <c r="F61" i="31" s="1"/>
  <c r="I65" i="31"/>
  <c r="I60" i="31" s="1"/>
  <c r="J79" i="31"/>
  <c r="N3" i="30"/>
  <c r="G11" i="30"/>
  <c r="I11" i="30"/>
  <c r="J13" i="30"/>
  <c r="E14" i="30"/>
  <c r="J15" i="30"/>
  <c r="E35" i="30"/>
  <c r="J47" i="30"/>
  <c r="L47" i="30"/>
  <c r="F65" i="30"/>
  <c r="F61" i="30" s="1"/>
  <c r="I65" i="30"/>
  <c r="I60" i="30" s="1"/>
  <c r="J79" i="30"/>
  <c r="G11" i="29"/>
  <c r="I11" i="29"/>
  <c r="J13" i="29"/>
  <c r="E14" i="29"/>
  <c r="J15" i="29"/>
  <c r="E35" i="29"/>
  <c r="J47" i="29"/>
  <c r="L47" i="29"/>
  <c r="F65" i="29"/>
  <c r="F61" i="29" s="1"/>
  <c r="I65" i="29"/>
  <c r="I60" i="29" s="1"/>
  <c r="J79" i="29"/>
  <c r="AU23" i="21"/>
  <c r="AU24" i="21"/>
  <c r="AU25" i="21"/>
  <c r="AU26" i="21"/>
  <c r="AU27" i="21"/>
  <c r="AU29" i="21"/>
  <c r="T47" i="41" s="1"/>
  <c r="AU30" i="21"/>
  <c r="AU31" i="21"/>
  <c r="AU32" i="21"/>
  <c r="AU33" i="21"/>
  <c r="AU34" i="21"/>
  <c r="AU35" i="21"/>
  <c r="AU36" i="21"/>
  <c r="AU38" i="21"/>
  <c r="AU40" i="21"/>
  <c r="AU42" i="21"/>
  <c r="AU43" i="21"/>
  <c r="AU44" i="21"/>
  <c r="AU45" i="21"/>
  <c r="AU53" i="21"/>
  <c r="U26" i="41" s="1"/>
  <c r="AU46" i="21"/>
  <c r="AU47" i="21"/>
  <c r="AU51" i="21"/>
  <c r="AU48" i="21"/>
  <c r="J52" i="21"/>
  <c r="M52" i="21"/>
  <c r="P52" i="21"/>
  <c r="S52" i="21"/>
  <c r="V52" i="21"/>
  <c r="Y52" i="21"/>
  <c r="AB52" i="21"/>
  <c r="AE52" i="21"/>
  <c r="AH52" i="21"/>
  <c r="AK52" i="21"/>
  <c r="AN52" i="21"/>
  <c r="AQ52" i="21"/>
  <c r="AU52" i="21"/>
  <c r="AU49" i="21"/>
  <c r="AU50" i="21"/>
  <c r="AU54" i="21"/>
  <c r="AU55" i="21"/>
  <c r="AU56" i="21"/>
  <c r="AU59" i="21"/>
  <c r="AU60" i="21"/>
  <c r="AU61" i="21"/>
  <c r="AU62" i="21"/>
  <c r="AU65" i="21"/>
  <c r="AU66" i="21"/>
  <c r="L67" i="21"/>
  <c r="O67" i="21"/>
  <c r="R67" i="21"/>
  <c r="U67" i="21"/>
  <c r="X67" i="21"/>
  <c r="AA67" i="21"/>
  <c r="AD67" i="21"/>
  <c r="AG67" i="21"/>
  <c r="AJ67" i="21"/>
  <c r="AJ39" i="21"/>
  <c r="AM67" i="21"/>
  <c r="AP67" i="21"/>
  <c r="AS67" i="21"/>
  <c r="AU67" i="21"/>
  <c r="AU68" i="21"/>
  <c r="AU69" i="21"/>
  <c r="AU71" i="21"/>
  <c r="AU72" i="21"/>
  <c r="AU73" i="21"/>
  <c r="AU74" i="21"/>
  <c r="U22" i="41" s="1"/>
  <c r="AU76" i="21"/>
  <c r="AU77" i="21"/>
  <c r="AU78" i="21"/>
  <c r="AU80" i="21"/>
  <c r="AT128" i="21"/>
  <c r="AT129" i="21"/>
  <c r="AT130" i="21"/>
  <c r="AT131" i="21"/>
  <c r="AT133" i="21"/>
  <c r="AT134" i="21"/>
  <c r="AT135" i="21"/>
  <c r="AT136" i="21"/>
  <c r="V144" i="21"/>
  <c r="AH144" i="21"/>
  <c r="AE144" i="21"/>
  <c r="AQ144" i="21"/>
  <c r="AT152" i="21"/>
  <c r="AT359" i="21"/>
  <c r="AT360" i="21"/>
  <c r="AT361" i="21"/>
  <c r="AT398" i="21"/>
  <c r="AT536" i="21"/>
  <c r="K866" i="21"/>
  <c r="N866" i="21"/>
  <c r="Q866" i="21"/>
  <c r="T866" i="21"/>
  <c r="W866" i="21"/>
  <c r="Z866" i="21"/>
  <c r="AC866" i="21"/>
  <c r="AF866" i="21"/>
  <c r="AI866" i="21"/>
  <c r="AL866" i="21"/>
  <c r="AO866" i="21"/>
  <c r="AR866" i="21"/>
  <c r="S1222" i="21"/>
  <c r="Y1222" i="21"/>
  <c r="AB1222" i="21"/>
  <c r="AE1222" i="21"/>
  <c r="AH1222" i="21"/>
  <c r="J1310" i="21"/>
  <c r="M1310" i="21"/>
  <c r="P1310" i="21"/>
  <c r="V1310" i="21"/>
  <c r="Y1310" i="21"/>
  <c r="AB1310" i="21"/>
  <c r="AE1310" i="21"/>
  <c r="AH1310" i="21"/>
  <c r="AK1310" i="21"/>
  <c r="AN1310" i="21"/>
  <c r="AQ1310" i="21"/>
  <c r="AB1466" i="21"/>
  <c r="AE1466" i="21"/>
  <c r="K1676" i="21"/>
  <c r="K1675" i="21" s="1"/>
  <c r="N1676" i="21"/>
  <c r="N1675" i="21" s="1"/>
  <c r="Q1676" i="21"/>
  <c r="Q1675" i="21" s="1"/>
  <c r="T1676" i="21"/>
  <c r="T1675" i="21" s="1"/>
  <c r="W1676" i="21"/>
  <c r="W1675" i="21" s="1"/>
  <c r="Z1676" i="21"/>
  <c r="Z1675" i="21" s="1"/>
  <c r="AC1676" i="21"/>
  <c r="AC1675" i="21" s="1"/>
  <c r="AF1676" i="21"/>
  <c r="AF1675" i="21" s="1"/>
  <c r="AI1676" i="21"/>
  <c r="AI1675" i="21" s="1"/>
  <c r="AL1676" i="21"/>
  <c r="AL1675" i="21" s="1"/>
  <c r="AO1676" i="21"/>
  <c r="AO1675" i="21" s="1"/>
  <c r="AR1676" i="21"/>
  <c r="AR1675" i="21" s="1"/>
  <c r="AU1677" i="21"/>
  <c r="AH1716" i="21"/>
  <c r="AT1687" i="21"/>
  <c r="AT1706" i="21"/>
  <c r="AT1715" i="21"/>
  <c r="D82" i="45"/>
  <c r="H82" i="45"/>
  <c r="H81" i="45" s="1"/>
  <c r="I82" i="45"/>
  <c r="I81" i="45" s="1"/>
  <c r="J82" i="45"/>
  <c r="J81" i="45" s="1"/>
  <c r="K82" i="45"/>
  <c r="K81" i="45" s="1"/>
  <c r="O82" i="45"/>
  <c r="O81" i="45" s="1"/>
  <c r="M144" i="21"/>
  <c r="O23" i="46"/>
  <c r="F54" i="33"/>
  <c r="AG39" i="21"/>
  <c r="AI22" i="21"/>
  <c r="L39" i="21"/>
  <c r="X39" i="21"/>
  <c r="F54" i="32"/>
  <c r="T22" i="21"/>
  <c r="AS39" i="21"/>
  <c r="AR22" i="21"/>
  <c r="E45" i="31"/>
  <c r="AA39" i="21"/>
  <c r="AT1700" i="21"/>
  <c r="AT1702" i="21"/>
  <c r="E45" i="39"/>
  <c r="AU39" i="21"/>
  <c r="AK144" i="21"/>
  <c r="AK1222" i="21"/>
  <c r="E45" i="38"/>
  <c r="AM39" i="21"/>
  <c r="Q22" i="21"/>
  <c r="F54" i="39"/>
  <c r="AO22" i="21"/>
  <c r="O39" i="21"/>
  <c r="AP39" i="21"/>
  <c r="R39" i="21"/>
  <c r="V1222" i="21"/>
  <c r="AU37" i="21"/>
  <c r="AT1701" i="21"/>
  <c r="AT1703" i="21"/>
  <c r="AD39" i="21"/>
  <c r="AU41" i="21"/>
  <c r="AC22" i="21"/>
  <c r="F54" i="35"/>
  <c r="N22" i="21"/>
  <c r="E45" i="30"/>
  <c r="AT1709" i="21"/>
  <c r="AE1716" i="21"/>
  <c r="AN144" i="21"/>
  <c r="AF22" i="21"/>
  <c r="F54" i="36"/>
  <c r="AL22" i="21"/>
  <c r="E51" i="38"/>
  <c r="E54" i="38"/>
  <c r="E51" i="37"/>
  <c r="E54" i="37"/>
  <c r="E54" i="29"/>
  <c r="E51" i="29"/>
  <c r="E51" i="32"/>
  <c r="E54" i="32"/>
  <c r="E54" i="31"/>
  <c r="E51" i="31"/>
  <c r="E54" i="34"/>
  <c r="E51" i="34"/>
  <c r="E51" i="39"/>
  <c r="E54" i="39"/>
  <c r="E54" i="36"/>
  <c r="E51" i="36"/>
  <c r="AF58" i="21"/>
  <c r="E51" i="40"/>
  <c r="E54" i="40"/>
  <c r="E51" i="30"/>
  <c r="E54" i="30"/>
  <c r="E51" i="35"/>
  <c r="E54" i="35"/>
  <c r="E51" i="33"/>
  <c r="E54" i="33"/>
  <c r="D19" i="45"/>
  <c r="E19" i="45"/>
  <c r="E8" i="45" s="1"/>
  <c r="F19" i="45"/>
  <c r="F8" i="45" s="1"/>
  <c r="G19" i="45"/>
  <c r="G8" i="45" s="1"/>
  <c r="H19" i="45"/>
  <c r="H8" i="45"/>
  <c r="I19" i="45"/>
  <c r="I8" i="45" s="1"/>
  <c r="J19" i="45"/>
  <c r="J8" i="45" s="1"/>
  <c r="K19" i="45"/>
  <c r="K8" i="45" s="1"/>
  <c r="L19" i="45"/>
  <c r="L8" i="45" s="1"/>
  <c r="M19" i="45"/>
  <c r="M8" i="45" s="1"/>
  <c r="N19" i="45"/>
  <c r="N8" i="45" s="1"/>
  <c r="O19" i="45"/>
  <c r="O8" i="45"/>
  <c r="AK666" i="21"/>
  <c r="AE820" i="21"/>
  <c r="AN600" i="21"/>
  <c r="M256" i="48"/>
  <c r="M785" i="48"/>
  <c r="M225" i="48"/>
  <c r="D681" i="48"/>
  <c r="D438" i="48"/>
  <c r="G922" i="48"/>
  <c r="G729" i="48"/>
  <c r="AT738" i="21"/>
  <c r="G174" i="48"/>
  <c r="V176" i="21"/>
  <c r="AB399" i="21"/>
  <c r="AB824" i="21"/>
  <c r="V355" i="21"/>
  <c r="J745" i="48"/>
  <c r="D296" i="48"/>
  <c r="AT304" i="21"/>
  <c r="D320" i="48"/>
  <c r="AT329" i="21"/>
  <c r="G357" i="48"/>
  <c r="AT153" i="21"/>
  <c r="M744" i="48"/>
  <c r="M1459" i="48"/>
  <c r="AT302" i="21"/>
  <c r="D1009" i="48"/>
  <c r="D427" i="48"/>
  <c r="D223" i="48"/>
  <c r="P872" i="21"/>
  <c r="G207" i="48"/>
  <c r="J147" i="21"/>
  <c r="M593" i="48"/>
  <c r="G1511" i="48"/>
  <c r="AK1570" i="21"/>
  <c r="AK1011" i="21"/>
  <c r="D813" i="48"/>
  <c r="G816" i="48"/>
  <c r="AT267" i="21"/>
  <c r="AK266" i="21"/>
  <c r="S691" i="21"/>
  <c r="P297" i="21"/>
  <c r="S1011" i="21"/>
  <c r="J581" i="48"/>
  <c r="AB589" i="21"/>
  <c r="AT590" i="21"/>
  <c r="D684" i="48"/>
  <c r="D284" i="48"/>
  <c r="AT292" i="21"/>
  <c r="D1562" i="48"/>
  <c r="P1570" i="21"/>
  <c r="AK820" i="21"/>
  <c r="M205" i="48"/>
  <c r="AK212" i="21"/>
  <c r="AN895" i="21"/>
  <c r="M889" i="48"/>
  <c r="M886" i="48" s="1"/>
  <c r="AT898" i="21"/>
  <c r="AT895" i="21" s="1"/>
  <c r="M226" i="48"/>
  <c r="AQ232" i="21"/>
  <c r="AT859" i="21"/>
  <c r="M850" i="48"/>
  <c r="Y1595" i="21"/>
  <c r="J174" i="48"/>
  <c r="AT182" i="21"/>
  <c r="AT558" i="21"/>
  <c r="D309" i="48"/>
  <c r="AT317" i="21"/>
  <c r="D255" i="48"/>
  <c r="AT365" i="21"/>
  <c r="D111" i="48"/>
  <c r="J117" i="21"/>
  <c r="G101" i="48"/>
  <c r="AT109" i="21"/>
  <c r="D355" i="48"/>
  <c r="AT364" i="21"/>
  <c r="P355" i="21"/>
  <c r="S120" i="21"/>
  <c r="M1460" i="48"/>
  <c r="D210" i="48"/>
  <c r="J216" i="21"/>
  <c r="D424" i="48"/>
  <c r="D293" i="48"/>
  <c r="M300" i="21"/>
  <c r="S147" i="21"/>
  <c r="S138" i="21" s="1"/>
  <c r="AT149" i="21"/>
  <c r="G434" i="48"/>
  <c r="G1510" i="48"/>
  <c r="AK1611" i="21"/>
  <c r="J687" i="48"/>
  <c r="J1087" i="48"/>
  <c r="AT443" i="21"/>
  <c r="D428" i="48"/>
  <c r="D1010" i="48"/>
  <c r="P435" i="21"/>
  <c r="D1463" i="48"/>
  <c r="J666" i="21"/>
  <c r="D658" i="48"/>
  <c r="D290" i="48"/>
  <c r="M594" i="48"/>
  <c r="AK1027" i="21"/>
  <c r="D354" i="48"/>
  <c r="J371" i="48"/>
  <c r="D303" i="48"/>
  <c r="G147" i="48"/>
  <c r="J391" i="48"/>
  <c r="AK856" i="21"/>
  <c r="G809" i="48"/>
  <c r="G683" i="48"/>
  <c r="M743" i="48"/>
  <c r="G309" i="48"/>
  <c r="J392" i="48"/>
  <c r="D357" i="48"/>
  <c r="J225" i="21"/>
  <c r="G356" i="48"/>
  <c r="G1460" i="48"/>
  <c r="AT145" i="21"/>
  <c r="S144" i="21"/>
  <c r="G332" i="48"/>
  <c r="S339" i="21"/>
  <c r="AT341" i="21"/>
  <c r="AT313" i="21"/>
  <c r="G428" i="48"/>
  <c r="AT437" i="21"/>
  <c r="S435" i="21"/>
  <c r="J724" i="48"/>
  <c r="M1490" i="48"/>
  <c r="AT1499" i="21"/>
  <c r="V232" i="21"/>
  <c r="D113" i="48"/>
  <c r="J1007" i="48"/>
  <c r="D437" i="48"/>
  <c r="J355" i="21"/>
  <c r="D356" i="48"/>
  <c r="D456" i="48"/>
  <c r="D683" i="48"/>
  <c r="J691" i="21"/>
  <c r="J308" i="21"/>
  <c r="D304" i="48"/>
  <c r="J212" i="21"/>
  <c r="M100" i="48"/>
  <c r="AQ751" i="21"/>
  <c r="J88" i="21"/>
  <c r="D84" i="48"/>
  <c r="D218" i="48"/>
  <c r="G205" i="48"/>
  <c r="J346" i="21"/>
  <c r="D294" i="48"/>
  <c r="D259" i="48"/>
  <c r="G431" i="48"/>
  <c r="G141" i="48"/>
  <c r="M745" i="48"/>
  <c r="P1017" i="21"/>
  <c r="D353" i="48"/>
  <c r="AK1062" i="21"/>
  <c r="G817" i="48"/>
  <c r="J817" i="48"/>
  <c r="M658" i="48"/>
  <c r="J300" i="21"/>
  <c r="J293" i="48"/>
  <c r="V435" i="21"/>
  <c r="D865" i="48"/>
  <c r="AT874" i="21"/>
  <c r="J872" i="21"/>
  <c r="M865" i="48"/>
  <c r="J865" i="48"/>
  <c r="D215" i="48"/>
  <c r="J176" i="21"/>
  <c r="D172" i="48"/>
  <c r="G1698" i="48"/>
  <c r="M919" i="48"/>
  <c r="D809" i="48"/>
  <c r="AN266" i="21"/>
  <c r="M259" i="48"/>
  <c r="J658" i="21"/>
  <c r="D650" i="48"/>
  <c r="J297" i="21"/>
  <c r="D291" i="48"/>
  <c r="D310" i="48"/>
  <c r="J315" i="21"/>
  <c r="AT192" i="21"/>
  <c r="D184" i="48"/>
  <c r="J190" i="21"/>
  <c r="J187" i="21" s="1"/>
  <c r="AT210" i="21"/>
  <c r="D202" i="48"/>
  <c r="AT860" i="21"/>
  <c r="AB856" i="21"/>
  <c r="J851" i="48"/>
  <c r="AK444" i="21"/>
  <c r="AT446" i="21"/>
  <c r="M437" i="48"/>
  <c r="G1684" i="48"/>
  <c r="G424" i="48"/>
  <c r="G111" i="48"/>
  <c r="Y117" i="21"/>
  <c r="AT119" i="21"/>
  <c r="M816" i="21"/>
  <c r="D808" i="48"/>
  <c r="J808" i="48"/>
  <c r="V225" i="21"/>
  <c r="AT983" i="21"/>
  <c r="Y981" i="21"/>
  <c r="Y979" i="21" s="1"/>
  <c r="AK1685" i="21"/>
  <c r="AK1682" i="21" s="1"/>
  <c r="J810" i="48"/>
  <c r="AH816" i="21"/>
  <c r="M1710" i="48"/>
  <c r="AK1716" i="21"/>
  <c r="P322" i="21"/>
  <c r="G294" i="48"/>
  <c r="S300" i="21"/>
  <c r="S212" i="21"/>
  <c r="S297" i="21"/>
  <c r="AQ816" i="21"/>
  <c r="M113" i="48"/>
  <c r="AN120" i="21"/>
  <c r="D153" i="48"/>
  <c r="J160" i="21"/>
  <c r="J158" i="21" s="1"/>
  <c r="AT161" i="21"/>
  <c r="D1624" i="48"/>
  <c r="G259" i="48"/>
  <c r="S266" i="21"/>
  <c r="M679" i="48"/>
  <c r="M726" i="48"/>
  <c r="J654" i="21"/>
  <c r="AT656" i="21"/>
  <c r="D647" i="48"/>
  <c r="AK990" i="21"/>
  <c r="M810" i="48"/>
  <c r="AB694" i="21"/>
  <c r="J686" i="48"/>
  <c r="J582" i="48"/>
  <c r="AH1466" i="21"/>
  <c r="AB816" i="21"/>
  <c r="F199" i="47"/>
  <c r="M681" i="48"/>
  <c r="J681" i="48"/>
  <c r="R195" i="47"/>
  <c r="U195" i="47"/>
  <c r="U194" i="47" s="1"/>
  <c r="N33" i="47"/>
  <c r="R31" i="47"/>
  <c r="J31" i="47"/>
  <c r="J186" i="47"/>
  <c r="J33" i="47"/>
  <c r="F25" i="47"/>
  <c r="N31" i="47"/>
  <c r="T188" i="47"/>
  <c r="J177" i="47"/>
  <c r="F177" i="47"/>
  <c r="N21" i="47"/>
  <c r="N186" i="47"/>
  <c r="J27" i="47"/>
  <c r="R27" i="47"/>
  <c r="F188" i="47"/>
  <c r="N29" i="47"/>
  <c r="N188" i="47"/>
  <c r="J199" i="47"/>
  <c r="R148" i="47"/>
  <c r="F148" i="47"/>
  <c r="W145" i="47"/>
  <c r="R52" i="47"/>
  <c r="J52" i="47"/>
  <c r="N48" i="47"/>
  <c r="J48" i="47"/>
  <c r="R44" i="47"/>
  <c r="V44" i="47"/>
  <c r="N44" i="47"/>
  <c r="F44" i="47"/>
  <c r="R42" i="47"/>
  <c r="F42" i="47"/>
  <c r="R29" i="47"/>
  <c r="R21" i="47"/>
  <c r="S517" i="21"/>
  <c r="V495" i="21"/>
  <c r="G423" i="48"/>
  <c r="AE1050" i="21"/>
  <c r="G488" i="48"/>
  <c r="AH532" i="21"/>
  <c r="AH529" i="21" s="1"/>
  <c r="J1118" i="48"/>
  <c r="D488" i="48"/>
  <c r="Y1095" i="21"/>
  <c r="G1297" i="48"/>
  <c r="G487" i="48"/>
  <c r="AQ1095" i="21"/>
  <c r="M1050" i="21"/>
  <c r="J1122" i="48"/>
  <c r="M1299" i="21"/>
  <c r="M1289" i="21" s="1"/>
  <c r="AH1479" i="21"/>
  <c r="J458" i="48"/>
  <c r="D262" i="48"/>
  <c r="J1120" i="48"/>
  <c r="V195" i="47"/>
  <c r="V194" i="47" s="1"/>
  <c r="N195" i="47"/>
  <c r="T195" i="47"/>
  <c r="S195" i="47"/>
  <c r="S194" i="47" s="1"/>
  <c r="W196" i="47"/>
  <c r="S199" i="47"/>
  <c r="R188" i="47"/>
  <c r="S188" i="47"/>
  <c r="F192" i="47"/>
  <c r="R192" i="47"/>
  <c r="V177" i="47"/>
  <c r="N192" i="47"/>
  <c r="J192" i="47"/>
  <c r="S192" i="47"/>
  <c r="W179" i="47"/>
  <c r="Y532" i="21"/>
  <c r="Y529" i="21" s="1"/>
  <c r="J1050" i="21"/>
  <c r="AT1718" i="21"/>
  <c r="AT1711" i="21"/>
  <c r="G482" i="48"/>
  <c r="G526" i="48"/>
  <c r="J1684" i="48"/>
  <c r="AT1696" i="21"/>
  <c r="V490" i="21"/>
  <c r="G1607" i="48"/>
  <c r="D1119" i="48"/>
  <c r="AE1692" i="21"/>
  <c r="G479" i="48"/>
  <c r="AQ495" i="21"/>
  <c r="AE1123" i="21"/>
  <c r="AN1050" i="21"/>
  <c r="G1702" i="48"/>
  <c r="AT1686" i="21"/>
  <c r="AK1479" i="21"/>
  <c r="D1559" i="48"/>
  <c r="D329" i="48"/>
  <c r="AT1713" i="21"/>
  <c r="AQ1466" i="21"/>
  <c r="D1581" i="48"/>
  <c r="S490" i="21"/>
  <c r="S1123" i="21"/>
  <c r="D974" i="48"/>
  <c r="AT497" i="21"/>
  <c r="G1087" i="48"/>
  <c r="AT1646" i="21"/>
  <c r="L104" i="47"/>
  <c r="V487" i="21"/>
  <c r="Y495" i="21"/>
  <c r="S1717" i="21"/>
  <c r="M395" i="48"/>
  <c r="AQ1717" i="21"/>
  <c r="M525" i="48"/>
  <c r="AN1716" i="21"/>
  <c r="AQ403" i="21"/>
  <c r="M1208" i="48"/>
  <c r="G1709" i="48"/>
  <c r="D1024" i="48"/>
  <c r="S1466" i="21"/>
  <c r="P269" i="21"/>
  <c r="J1698" i="48"/>
  <c r="V1643" i="21"/>
  <c r="V1641" i="21" s="1"/>
  <c r="Y1716" i="21"/>
  <c r="M974" i="48"/>
  <c r="AN1215" i="21"/>
  <c r="J1702" i="48"/>
  <c r="G458" i="48"/>
  <c r="G974" i="48"/>
  <c r="AB1095" i="21"/>
  <c r="D1023" i="48"/>
  <c r="J1675" i="48"/>
  <c r="AK686" i="21"/>
  <c r="S1050" i="21"/>
  <c r="J1579" i="48"/>
  <c r="D1605" i="48"/>
  <c r="G522" i="48"/>
  <c r="G1122" i="48"/>
  <c r="AT1131" i="21"/>
  <c r="J1717" i="21"/>
  <c r="J1576" i="48"/>
  <c r="M397" i="48"/>
  <c r="AB1692" i="21"/>
  <c r="G378" i="48"/>
  <c r="Y385" i="21"/>
  <c r="AN1095" i="21"/>
  <c r="M1088" i="48"/>
  <c r="M495" i="21"/>
  <c r="D487" i="48"/>
  <c r="Y1479" i="21"/>
  <c r="K104" i="47"/>
  <c r="AB1050" i="21"/>
  <c r="V1050" i="21"/>
  <c r="M1717" i="21"/>
  <c r="M1716" i="21"/>
  <c r="D1486" i="48"/>
  <c r="AK1017" i="21"/>
  <c r="M455" i="48"/>
  <c r="M398" i="48"/>
  <c r="M1009" i="48"/>
  <c r="P1466" i="21"/>
  <c r="D1208" i="48"/>
  <c r="D1055" i="48"/>
  <c r="AB1611" i="21"/>
  <c r="J1605" i="48"/>
  <c r="AK1020" i="21"/>
  <c r="J1623" i="48"/>
  <c r="AN1014" i="21"/>
  <c r="M1007" i="48"/>
  <c r="AT534" i="21"/>
  <c r="M446" i="48"/>
  <c r="D104" i="47"/>
  <c r="AT404" i="21"/>
  <c r="AT1699" i="21"/>
  <c r="D1709" i="48"/>
  <c r="M1464" i="21"/>
  <c r="M1460" i="21" s="1"/>
  <c r="M1466" i="21"/>
  <c r="D1491" i="48"/>
  <c r="G1007" i="48"/>
  <c r="Y1014" i="21"/>
  <c r="AK1464" i="21"/>
  <c r="AK1460" i="21" s="1"/>
  <c r="D1458" i="48"/>
  <c r="M263" i="48"/>
  <c r="AK269" i="21"/>
  <c r="AT1695" i="21"/>
  <c r="AH1692" i="21"/>
  <c r="AB1123" i="21"/>
  <c r="M1025" i="48"/>
  <c r="AH1464" i="21"/>
  <c r="V1595" i="21"/>
  <c r="Y1024" i="21"/>
  <c r="G1016" i="48"/>
  <c r="J1551" i="48"/>
  <c r="AK1123" i="21"/>
  <c r="M1118" i="48"/>
  <c r="E104" i="47"/>
  <c r="P1050" i="21"/>
  <c r="J452" i="21"/>
  <c r="J431" i="21" s="1"/>
  <c r="D446" i="48"/>
  <c r="P1611" i="21"/>
  <c r="D1606" i="48"/>
  <c r="M1299" i="48"/>
  <c r="AQ1692" i="21"/>
  <c r="P1717" i="21"/>
  <c r="P1716" i="21"/>
  <c r="J1466" i="21"/>
  <c r="D1459" i="48"/>
  <c r="AT1468" i="21"/>
  <c r="D1621" i="48"/>
  <c r="D263" i="48"/>
  <c r="AT271" i="21"/>
  <c r="J269" i="21"/>
  <c r="AK1567" i="21"/>
  <c r="AN1017" i="21"/>
  <c r="M1010" i="48"/>
  <c r="P1692" i="21"/>
  <c r="M1587" i="48"/>
  <c r="Q103" i="47"/>
  <c r="AQ1050" i="21"/>
  <c r="J446" i="48"/>
  <c r="AB452" i="21"/>
  <c r="AB431" i="21" s="1"/>
  <c r="M388" i="48"/>
  <c r="AT397" i="21"/>
  <c r="M1215" i="48"/>
  <c r="AN1222" i="21"/>
  <c r="D1703" i="48"/>
  <c r="AH487" i="21"/>
  <c r="M1013" i="48"/>
  <c r="AT1022" i="21"/>
  <c r="M1019" i="48"/>
  <c r="M511" i="48"/>
  <c r="AQ517" i="21"/>
  <c r="V1692" i="21"/>
  <c r="D1702" i="48"/>
  <c r="AT1707" i="21"/>
  <c r="M1698" i="48"/>
  <c r="M1709" i="48"/>
  <c r="AK1717" i="21"/>
  <c r="V1716" i="21"/>
  <c r="G1710" i="48"/>
  <c r="V1717" i="21"/>
  <c r="AT1719" i="21"/>
  <c r="D984" i="48"/>
  <c r="J990" i="21"/>
  <c r="AT993" i="21"/>
  <c r="AT990" i="21" s="1"/>
  <c r="D398" i="48"/>
  <c r="J1620" i="48"/>
  <c r="AB1623" i="21"/>
  <c r="J1088" i="48"/>
  <c r="AE1095" i="21"/>
  <c r="AE1090" i="21" s="1"/>
  <c r="AT1097" i="21"/>
  <c r="M104" i="47"/>
  <c r="AH1050" i="21"/>
  <c r="J1595" i="21"/>
  <c r="D379" i="48"/>
  <c r="AT388" i="21"/>
  <c r="S269" i="21"/>
  <c r="G973" i="48"/>
  <c r="AT982" i="21"/>
  <c r="J1604" i="48"/>
  <c r="M1004" i="48"/>
  <c r="M396" i="48"/>
  <c r="G678" i="48"/>
  <c r="S686" i="21"/>
  <c r="J1703" i="48"/>
  <c r="D489" i="48"/>
  <c r="AT498" i="21"/>
  <c r="M1017" i="21"/>
  <c r="AT1019" i="21"/>
  <c r="S457" i="21"/>
  <c r="M329" i="48"/>
  <c r="AT1096" i="21"/>
  <c r="M1463" i="48"/>
  <c r="G1320" i="48"/>
  <c r="J1166" i="48"/>
  <c r="M1320" i="48"/>
  <c r="D1320" i="48"/>
  <c r="G1166" i="48"/>
  <c r="M1166" i="48"/>
  <c r="AT1329" i="21"/>
  <c r="O7" i="46"/>
  <c r="AT1175" i="21"/>
  <c r="D1166" i="48"/>
  <c r="M1119" i="48"/>
  <c r="AT1128" i="21"/>
  <c r="AN1123" i="21"/>
  <c r="J378" i="48"/>
  <c r="AB385" i="21"/>
  <c r="AB691" i="21"/>
  <c r="AT693" i="21"/>
  <c r="Y1050" i="21"/>
  <c r="I104" i="47"/>
  <c r="J732" i="48"/>
  <c r="AB740" i="21"/>
  <c r="J1511" i="48"/>
  <c r="Y300" i="21"/>
  <c r="AT301" i="21"/>
  <c r="AH600" i="21"/>
  <c r="AT603" i="21"/>
  <c r="AE1464" i="21"/>
  <c r="AE1460" i="21" s="1"/>
  <c r="J1463" i="48"/>
  <c r="AT1472" i="21"/>
  <c r="M222" i="48"/>
  <c r="AK228" i="21"/>
  <c r="AT230" i="21"/>
  <c r="M479" i="48"/>
  <c r="M921" i="48"/>
  <c r="M1580" i="48"/>
  <c r="AT1712" i="21"/>
  <c r="AT447" i="21"/>
  <c r="J482" i="48"/>
  <c r="AE1011" i="21"/>
  <c r="J1004" i="48"/>
  <c r="AK824" i="21"/>
  <c r="AK532" i="21"/>
  <c r="AK529" i="21" s="1"/>
  <c r="M526" i="48"/>
  <c r="M293" i="48"/>
  <c r="AK300" i="21"/>
  <c r="M424" i="48"/>
  <c r="AT1467" i="21"/>
  <c r="M1458" i="48"/>
  <c r="AT560" i="21"/>
  <c r="AQ1123" i="21"/>
  <c r="AT455" i="21"/>
  <c r="M1087" i="48"/>
  <c r="J1578" i="48"/>
  <c r="M1225" i="48"/>
  <c r="AQ1232" i="21"/>
  <c r="AH820" i="21"/>
  <c r="J813" i="48"/>
  <c r="O104" i="47"/>
  <c r="AK1050" i="21"/>
  <c r="AT822" i="21"/>
  <c r="G813" i="48"/>
  <c r="V816" i="21"/>
  <c r="G810" i="48"/>
  <c r="AN824" i="21"/>
  <c r="M816" i="48"/>
  <c r="AT270" i="21"/>
  <c r="Y269" i="21"/>
  <c r="G262" i="48"/>
  <c r="AT299" i="21"/>
  <c r="AN346" i="21"/>
  <c r="AT347" i="21"/>
  <c r="AT338" i="21"/>
  <c r="G329" i="48"/>
  <c r="J804" i="48"/>
  <c r="AK1299" i="21"/>
  <c r="AK1289" i="21" s="1"/>
  <c r="D817" i="48"/>
  <c r="J824" i="21"/>
  <c r="G218" i="48"/>
  <c r="AE816" i="21"/>
  <c r="G446" i="48"/>
  <c r="M1227" i="48"/>
  <c r="M1703" i="48"/>
  <c r="D1704" i="48"/>
  <c r="P399" i="21"/>
  <c r="G1581" i="48"/>
  <c r="AT1129" i="21"/>
  <c r="D431" i="48"/>
  <c r="G371" i="48"/>
  <c r="S378" i="21"/>
  <c r="AE399" i="21"/>
  <c r="AQ1235" i="21"/>
  <c r="M1228" i="48"/>
  <c r="G293" i="48"/>
  <c r="V1215" i="21"/>
  <c r="G410" i="48"/>
  <c r="J594" i="48"/>
  <c r="M425" i="48"/>
  <c r="AT366" i="21"/>
  <c r="J522" i="48"/>
  <c r="M542" i="48"/>
  <c r="J1320" i="48"/>
  <c r="G1623" i="48"/>
  <c r="Y1631" i="21"/>
  <c r="D587" i="48"/>
  <c r="M212" i="48"/>
  <c r="AN322" i="21"/>
  <c r="M808" i="48"/>
  <c r="AK816" i="21"/>
  <c r="M824" i="21"/>
  <c r="D816" i="48"/>
  <c r="V21" i="47"/>
  <c r="V31" i="47"/>
  <c r="W32" i="47"/>
  <c r="D1564" i="48"/>
  <c r="AT1573" i="21"/>
  <c r="J1611" i="21"/>
  <c r="D1607" i="48"/>
  <c r="AT653" i="21"/>
  <c r="J651" i="21"/>
  <c r="D644" i="48"/>
  <c r="AT1644" i="21"/>
  <c r="P1643" i="21"/>
  <c r="P1641" i="21" s="1"/>
  <c r="D1635" i="48"/>
  <c r="AN225" i="21"/>
  <c r="T42" i="47"/>
  <c r="M163" i="48"/>
  <c r="AQ170" i="21"/>
  <c r="AQ169" i="21" s="1"/>
  <c r="M582" i="48"/>
  <c r="AN589" i="21"/>
  <c r="G808" i="48"/>
  <c r="AT817" i="21"/>
  <c r="Y816" i="21"/>
  <c r="AE1595" i="21"/>
  <c r="J1587" i="48"/>
  <c r="J25" i="47"/>
  <c r="T33" i="47"/>
  <c r="W34" i="47"/>
  <c r="T52" i="47"/>
  <c r="R177" i="47"/>
  <c r="U177" i="47"/>
  <c r="J84" i="41"/>
  <c r="F29" i="47"/>
  <c r="R25" i="47"/>
  <c r="D81" i="45"/>
  <c r="F21" i="47"/>
  <c r="W197" i="47"/>
  <c r="J188" i="47"/>
  <c r="F48" i="47"/>
  <c r="J44" i="47"/>
  <c r="N25" i="47"/>
  <c r="J21" i="47"/>
  <c r="T48" i="47"/>
  <c r="R186" i="47"/>
  <c r="P99" i="45"/>
  <c r="F33" i="47"/>
  <c r="T44" i="47"/>
  <c r="J148" i="47"/>
  <c r="V740" i="21"/>
  <c r="M399" i="21"/>
  <c r="F195" i="47"/>
  <c r="J303" i="48"/>
  <c r="AB308" i="21"/>
  <c r="F27" i="47"/>
  <c r="F52" i="47"/>
  <c r="S177" i="47"/>
  <c r="N27" i="47"/>
  <c r="R33" i="47"/>
  <c r="W198" i="47"/>
  <c r="J195" i="47"/>
  <c r="V199" i="47"/>
  <c r="F186" i="47"/>
  <c r="N177" i="47"/>
  <c r="J433" i="48"/>
  <c r="D1489" i="48"/>
  <c r="S1611" i="21"/>
  <c r="M612" i="48"/>
  <c r="D646" i="48"/>
  <c r="D336" i="48"/>
  <c r="AT345" i="21"/>
  <c r="D249" i="48"/>
  <c r="AT257" i="21"/>
  <c r="M1486" i="48"/>
  <c r="D165" i="48"/>
  <c r="AQ792" i="21"/>
  <c r="P300" i="21"/>
  <c r="J393" i="48"/>
  <c r="G457" i="48"/>
  <c r="W195" i="47"/>
  <c r="AK1692" i="21"/>
  <c r="J115" i="21"/>
  <c r="D117" i="48"/>
  <c r="AT125" i="21"/>
  <c r="Y926" i="21"/>
  <c r="P1398" i="21" l="1"/>
  <c r="AN1398" i="21"/>
  <c r="P1685" i="48"/>
  <c r="Y1398" i="21"/>
  <c r="AB1398" i="21"/>
  <c r="AE1398" i="21"/>
  <c r="AH1398" i="21"/>
  <c r="AH1393" i="21" s="1"/>
  <c r="AH1087" i="21" s="1"/>
  <c r="AY335" i="21"/>
  <c r="O57" i="21"/>
  <c r="W126" i="47"/>
  <c r="U21" i="47"/>
  <c r="T199" i="47"/>
  <c r="W199" i="47" s="1"/>
  <c r="W200" i="47"/>
  <c r="J24" i="47"/>
  <c r="G174" i="47"/>
  <c r="J174" i="47" s="1"/>
  <c r="W31" i="47"/>
  <c r="S48" i="47"/>
  <c r="W48" i="47" s="1"/>
  <c r="W49" i="47"/>
  <c r="W146" i="47"/>
  <c r="W152" i="47"/>
  <c r="T177" i="47"/>
  <c r="W177" i="47" s="1"/>
  <c r="W178" i="47"/>
  <c r="T192" i="47"/>
  <c r="W192" i="47" s="1"/>
  <c r="V24" i="47"/>
  <c r="V174" i="47" s="1"/>
  <c r="V192" i="47"/>
  <c r="W184" i="47"/>
  <c r="R194" i="47"/>
  <c r="N24" i="47"/>
  <c r="K174" i="47"/>
  <c r="N174" i="47" s="1"/>
  <c r="W149" i="47"/>
  <c r="U148" i="47"/>
  <c r="W148" i="47" s="1"/>
  <c r="S172" i="47"/>
  <c r="W172" i="47" s="1"/>
  <c r="W173" i="47"/>
  <c r="S21" i="47"/>
  <c r="W22" i="47"/>
  <c r="W153" i="47"/>
  <c r="W30" i="47"/>
  <c r="T29" i="47"/>
  <c r="W29" i="47" s="1"/>
  <c r="S25" i="47"/>
  <c r="W26" i="47"/>
  <c r="W43" i="47"/>
  <c r="S42" i="47"/>
  <c r="W42" i="47" s="1"/>
  <c r="U192" i="47"/>
  <c r="U188" i="47"/>
  <c r="W188" i="47" s="1"/>
  <c r="W189" i="47"/>
  <c r="J194" i="47"/>
  <c r="R24" i="47"/>
  <c r="O174" i="47"/>
  <c r="R174" i="47" s="1"/>
  <c r="W28" i="47"/>
  <c r="S27" i="47"/>
  <c r="W27" i="47" s="1"/>
  <c r="W45" i="47"/>
  <c r="S44" i="47"/>
  <c r="W44" i="47" s="1"/>
  <c r="W137" i="47"/>
  <c r="T21" i="47"/>
  <c r="U44" i="47"/>
  <c r="U174" i="47" s="1"/>
  <c r="F194" i="47"/>
  <c r="W53" i="47"/>
  <c r="S52" i="47"/>
  <c r="W52" i="47" s="1"/>
  <c r="S186" i="47"/>
  <c r="W186" i="47" s="1"/>
  <c r="W187" i="47"/>
  <c r="F24" i="47"/>
  <c r="C174" i="47"/>
  <c r="F174" i="47" s="1"/>
  <c r="W109" i="47"/>
  <c r="W144" i="47"/>
  <c r="W183" i="47"/>
  <c r="N194" i="47"/>
  <c r="P19" i="45"/>
  <c r="D176" i="47"/>
  <c r="Q176" i="47"/>
  <c r="P60" i="36"/>
  <c r="P48" i="36"/>
  <c r="U23" i="36" s="1"/>
  <c r="U25" i="36" s="1"/>
  <c r="P62" i="36"/>
  <c r="S60" i="36" s="1"/>
  <c r="P176" i="47"/>
  <c r="H55" i="44"/>
  <c r="S1398" i="21"/>
  <c r="AQ1398" i="21"/>
  <c r="U26" i="29"/>
  <c r="P60" i="29"/>
  <c r="P48" i="29"/>
  <c r="P62" i="29"/>
  <c r="S60" i="29" s="1"/>
  <c r="P60" i="37"/>
  <c r="P48" i="37"/>
  <c r="P62" i="37"/>
  <c r="I176" i="47"/>
  <c r="AT966" i="21"/>
  <c r="P77" i="45"/>
  <c r="O52" i="46"/>
  <c r="G59" i="46"/>
  <c r="V1398" i="21"/>
  <c r="P62" i="30"/>
  <c r="S60" i="30" s="1"/>
  <c r="P60" i="30"/>
  <c r="P48" i="30"/>
  <c r="U26" i="38"/>
  <c r="P60" i="38"/>
  <c r="P48" i="38"/>
  <c r="U23" i="38" s="1"/>
  <c r="U25" i="38" s="1"/>
  <c r="U27" i="38" s="1"/>
  <c r="P62" i="38"/>
  <c r="S60" i="38" s="1"/>
  <c r="I59" i="46"/>
  <c r="P60" i="45"/>
  <c r="H176" i="47"/>
  <c r="H59" i="46"/>
  <c r="P77" i="21"/>
  <c r="P48" i="31"/>
  <c r="U23" i="31" s="1"/>
  <c r="U25" i="31" s="1"/>
  <c r="P62" i="31"/>
  <c r="S60" i="31" s="1"/>
  <c r="P60" i="31"/>
  <c r="P62" i="39"/>
  <c r="S60" i="39" s="1"/>
  <c r="P60" i="39"/>
  <c r="P48" i="39"/>
  <c r="S77" i="21"/>
  <c r="P60" i="32"/>
  <c r="P62" i="32"/>
  <c r="S60" i="32" s="1"/>
  <c r="P48" i="32"/>
  <c r="K59" i="46"/>
  <c r="U26" i="33"/>
  <c r="P60" i="33"/>
  <c r="P62" i="33"/>
  <c r="S60" i="33" s="1"/>
  <c r="P48" i="33"/>
  <c r="Y206" i="21"/>
  <c r="P48" i="40"/>
  <c r="U23" i="40" s="1"/>
  <c r="U25" i="40" s="1"/>
  <c r="P60" i="40"/>
  <c r="P62" i="40"/>
  <c r="S60" i="40" s="1"/>
  <c r="L176" i="47"/>
  <c r="C59" i="46"/>
  <c r="Y77" i="21"/>
  <c r="P60" i="34"/>
  <c r="P62" i="34"/>
  <c r="S60" i="34" s="1"/>
  <c r="P48" i="34"/>
  <c r="U23" i="34" s="1"/>
  <c r="U25" i="34" s="1"/>
  <c r="D8" i="45"/>
  <c r="P8" i="45" s="1"/>
  <c r="E176" i="47"/>
  <c r="K176" i="47"/>
  <c r="S60" i="37"/>
  <c r="M1398" i="21"/>
  <c r="AK1398" i="21"/>
  <c r="P60" i="35"/>
  <c r="P48" i="35"/>
  <c r="U23" i="35" s="1"/>
  <c r="U25" i="35" s="1"/>
  <c r="P62" i="35"/>
  <c r="S60" i="35" s="1"/>
  <c r="M1380" i="48"/>
  <c r="M1376" i="48" s="1"/>
  <c r="J1380" i="48"/>
  <c r="G1380" i="48"/>
  <c r="AN1446" i="21"/>
  <c r="AO1446" i="21" s="1"/>
  <c r="J1385" i="21"/>
  <c r="J1383" i="21" s="1"/>
  <c r="K1383" i="21" s="1"/>
  <c r="D1380" i="48"/>
  <c r="P1446" i="21"/>
  <c r="Q1446" i="21" s="1"/>
  <c r="AY1000" i="21"/>
  <c r="AY850" i="21" s="1"/>
  <c r="AY1168" i="21"/>
  <c r="AT1386" i="21"/>
  <c r="AT1384" i="21" s="1"/>
  <c r="AE104" i="21"/>
  <c r="AF104" i="21" s="1"/>
  <c r="AB978" i="21"/>
  <c r="AC978" i="21" s="1"/>
  <c r="D1504" i="48"/>
  <c r="AY729" i="21"/>
  <c r="AY978" i="21"/>
  <c r="AY542" i="21"/>
  <c r="AH206" i="21"/>
  <c r="AH86" i="21" s="1"/>
  <c r="AT1401" i="21"/>
  <c r="AY1527" i="21"/>
  <c r="AK586" i="21"/>
  <c r="AK585" i="21" s="1"/>
  <c r="AL585" i="21" s="1"/>
  <c r="M77" i="21"/>
  <c r="AQ114" i="21"/>
  <c r="AQ113" i="21" s="1"/>
  <c r="AR113" i="21" s="1"/>
  <c r="AK1509" i="21"/>
  <c r="AK1508" i="21" s="1"/>
  <c r="AL1508" i="21" s="1"/>
  <c r="P866" i="21"/>
  <c r="S866" i="21"/>
  <c r="S865" i="21" s="1"/>
  <c r="AK157" i="21"/>
  <c r="AL157" i="21" s="1"/>
  <c r="J866" i="21"/>
  <c r="J865" i="21" s="1"/>
  <c r="F22" i="29" s="1"/>
  <c r="AT1282" i="21"/>
  <c r="AT1257" i="21" s="1"/>
  <c r="AT1214" i="21" s="1"/>
  <c r="AL169" i="21"/>
  <c r="AY789" i="21"/>
  <c r="L57" i="21"/>
  <c r="AT1184" i="21"/>
  <c r="AT1182" i="21" s="1"/>
  <c r="AY384" i="21"/>
  <c r="AY284" i="21"/>
  <c r="Y479" i="21"/>
  <c r="G1504" i="48"/>
  <c r="S416" i="21"/>
  <c r="T416" i="21" s="1"/>
  <c r="AQ853" i="21"/>
  <c r="D1229" i="48"/>
  <c r="J1229" i="48"/>
  <c r="G1229" i="48"/>
  <c r="AT1243" i="21"/>
  <c r="M1229" i="48"/>
  <c r="AE157" i="21"/>
  <c r="AF157" i="21" s="1"/>
  <c r="AK1640" i="21"/>
  <c r="AL1640" i="21" s="1"/>
  <c r="AE924" i="21"/>
  <c r="AF924" i="21" s="1"/>
  <c r="AB866" i="21"/>
  <c r="AB865" i="21" s="1"/>
  <c r="AH866" i="21"/>
  <c r="AH865" i="21" s="1"/>
  <c r="F22" i="37" s="1"/>
  <c r="F24" i="37" s="1"/>
  <c r="F25" i="37" s="1"/>
  <c r="AJ57" i="21"/>
  <c r="S855" i="21"/>
  <c r="T855" i="21" s="1"/>
  <c r="AQ296" i="21"/>
  <c r="AK479" i="21"/>
  <c r="AK478" i="21" s="1"/>
  <c r="AL478" i="21" s="1"/>
  <c r="AH924" i="21"/>
  <c r="AI924" i="21" s="1"/>
  <c r="D1093" i="48"/>
  <c r="D1098" i="48"/>
  <c r="M866" i="21"/>
  <c r="S1211" i="21"/>
  <c r="AK599" i="21"/>
  <c r="AL599" i="21" s="1"/>
  <c r="AR1657" i="21"/>
  <c r="AY528" i="21"/>
  <c r="AY207" i="21"/>
  <c r="J978" i="21"/>
  <c r="K978" i="21" s="1"/>
  <c r="AE978" i="21"/>
  <c r="AF978" i="21" s="1"/>
  <c r="V542" i="21"/>
  <c r="X57" i="21"/>
  <c r="M114" i="21"/>
  <c r="M113" i="21" s="1"/>
  <c r="N113" i="21" s="1"/>
  <c r="AH377" i="21"/>
  <c r="AI377" i="21" s="1"/>
  <c r="AY1610" i="21"/>
  <c r="AY87" i="21"/>
  <c r="S479" i="21"/>
  <c r="S478" i="21" s="1"/>
  <c r="T478" i="21" s="1"/>
  <c r="AN206" i="21"/>
  <c r="AN86" i="21" s="1"/>
  <c r="AE1333" i="21"/>
  <c r="AE1332" i="21" s="1"/>
  <c r="AF1332" i="21" s="1"/>
  <c r="AK866" i="21"/>
  <c r="AQ866" i="21"/>
  <c r="AQ865" i="21" s="1"/>
  <c r="AQ479" i="21"/>
  <c r="M479" i="21"/>
  <c r="M478" i="21" s="1"/>
  <c r="N478" i="21" s="1"/>
  <c r="Y946" i="21"/>
  <c r="H54" i="46" s="1"/>
  <c r="H60" i="46" s="1"/>
  <c r="H61" i="46" s="1"/>
  <c r="AY372" i="21"/>
  <c r="AY1580" i="21"/>
  <c r="AY1182" i="21"/>
  <c r="AY416" i="21"/>
  <c r="V479" i="21"/>
  <c r="AT1238" i="21"/>
  <c r="D1192" i="48"/>
  <c r="J1192" i="48"/>
  <c r="G1192" i="48"/>
  <c r="M1192" i="48"/>
  <c r="M1175" i="48"/>
  <c r="M1173" i="48" s="1"/>
  <c r="J1175" i="48"/>
  <c r="J1173" i="48" s="1"/>
  <c r="G1175" i="48"/>
  <c r="G1173" i="48" s="1"/>
  <c r="D1175" i="48"/>
  <c r="D1173" i="48" s="1"/>
  <c r="AT1107" i="21"/>
  <c r="G1093" i="48"/>
  <c r="G1098" i="48"/>
  <c r="J1093" i="48"/>
  <c r="J1098" i="48"/>
  <c r="M1093" i="48"/>
  <c r="M1098" i="48"/>
  <c r="AT1102" i="21"/>
  <c r="AE1089" i="21"/>
  <c r="AF1089" i="21" s="1"/>
  <c r="P1003" i="21"/>
  <c r="P854" i="21" s="1"/>
  <c r="AK1046" i="21"/>
  <c r="AQ978" i="21"/>
  <c r="AR978" i="21" s="1"/>
  <c r="D451" i="48"/>
  <c r="D366" i="48" s="1"/>
  <c r="M509" i="48"/>
  <c r="M365" i="48" s="1"/>
  <c r="Y853" i="21"/>
  <c r="V855" i="21"/>
  <c r="W855" i="21" s="1"/>
  <c r="AT518" i="21"/>
  <c r="AT374" i="21" s="1"/>
  <c r="D509" i="48"/>
  <c r="G509" i="48"/>
  <c r="G365" i="48" s="1"/>
  <c r="J509" i="48"/>
  <c r="G451" i="48"/>
  <c r="J451" i="48"/>
  <c r="J366" i="48" s="1"/>
  <c r="M451" i="48"/>
  <c r="M366" i="48" s="1"/>
  <c r="AT460" i="21"/>
  <c r="AT375" i="21" s="1"/>
  <c r="J306" i="48"/>
  <c r="M306" i="48"/>
  <c r="AQ416" i="21"/>
  <c r="AR416" i="21" s="1"/>
  <c r="AK377" i="21"/>
  <c r="AL377" i="21" s="1"/>
  <c r="AE377" i="21"/>
  <c r="AF377" i="21" s="1"/>
  <c r="AQ377" i="21"/>
  <c r="AR377" i="21" s="1"/>
  <c r="M336" i="21"/>
  <c r="M335" i="21" s="1"/>
  <c r="N335" i="21" s="1"/>
  <c r="AB336" i="21"/>
  <c r="AB335" i="21" s="1"/>
  <c r="AC335" i="21" s="1"/>
  <c r="AE336" i="21"/>
  <c r="AE335" i="21" s="1"/>
  <c r="AF335" i="21" s="1"/>
  <c r="D306" i="48"/>
  <c r="AT314" i="21"/>
  <c r="G306" i="48"/>
  <c r="AK855" i="21"/>
  <c r="AL855" i="21" s="1"/>
  <c r="AY314" i="21"/>
  <c r="Y416" i="21"/>
  <c r="Z416" i="21" s="1"/>
  <c r="AE435" i="21"/>
  <c r="AE428" i="21" s="1"/>
  <c r="AE427" i="21" s="1"/>
  <c r="AF427" i="21" s="1"/>
  <c r="G455" i="48"/>
  <c r="AH490" i="21"/>
  <c r="AH479" i="21" s="1"/>
  <c r="AT535" i="21"/>
  <c r="AT1224" i="21"/>
  <c r="AH77" i="21"/>
  <c r="AH57" i="21" s="1"/>
  <c r="AY896" i="21"/>
  <c r="AY894" i="21" s="1"/>
  <c r="AB457" i="21"/>
  <c r="AB456" i="21" s="1"/>
  <c r="P1299" i="21"/>
  <c r="P1289" i="21" s="1"/>
  <c r="AT496" i="21"/>
  <c r="AT495" i="21" s="1"/>
  <c r="J284" i="21"/>
  <c r="K284" i="21" s="1"/>
  <c r="S853" i="21"/>
  <c r="AT945" i="21"/>
  <c r="G319" i="48"/>
  <c r="G313" i="48" s="1"/>
  <c r="AI58" i="21"/>
  <c r="AI21" i="21" s="1"/>
  <c r="M855" i="21"/>
  <c r="N855" i="21" s="1"/>
  <c r="AB517" i="21"/>
  <c r="AB516" i="21" s="1"/>
  <c r="AC516" i="21" s="1"/>
  <c r="AT533" i="21"/>
  <c r="Y384" i="21"/>
  <c r="Z384" i="21" s="1"/>
  <c r="AF314" i="21"/>
  <c r="AE315" i="21"/>
  <c r="AK1211" i="21"/>
  <c r="M480" i="48"/>
  <c r="M478" i="48" s="1"/>
  <c r="Y1213" i="21"/>
  <c r="Y1086" i="21" s="1"/>
  <c r="J490" i="21"/>
  <c r="AE532" i="21"/>
  <c r="AE529" i="21" s="1"/>
  <c r="AE528" i="21" s="1"/>
  <c r="AF528" i="21" s="1"/>
  <c r="AY1391" i="21"/>
  <c r="AY1083" i="21" s="1"/>
  <c r="AT1671" i="21"/>
  <c r="AT1664" i="21" s="1"/>
  <c r="AK186" i="21"/>
  <c r="AL186" i="21" s="1"/>
  <c r="Q58" i="21"/>
  <c r="Q21" i="21" s="1"/>
  <c r="Y924" i="21"/>
  <c r="Z924" i="21" s="1"/>
  <c r="J1009" i="48"/>
  <c r="J1008" i="48" s="1"/>
  <c r="AL58" i="21"/>
  <c r="AL21" i="21" s="1"/>
  <c r="AC1182" i="21"/>
  <c r="AH284" i="21"/>
  <c r="AI284" i="21" s="1"/>
  <c r="AK542" i="21"/>
  <c r="AY478" i="21"/>
  <c r="V924" i="21"/>
  <c r="W924" i="21" s="1"/>
  <c r="J434" i="48"/>
  <c r="P434" i="48" s="1"/>
  <c r="P490" i="21"/>
  <c r="AT289" i="21"/>
  <c r="AE1062" i="21"/>
  <c r="AE1046" i="21" s="1"/>
  <c r="AR1182" i="21"/>
  <c r="AK77" i="21"/>
  <c r="AK57" i="21" s="1"/>
  <c r="S989" i="21"/>
  <c r="T989" i="21" s="1"/>
  <c r="AH1090" i="21"/>
  <c r="AH1089" i="21" s="1"/>
  <c r="AI1089" i="21" s="1"/>
  <c r="AE989" i="21"/>
  <c r="AF989" i="21" s="1"/>
  <c r="AL1182" i="21"/>
  <c r="AY599" i="21"/>
  <c r="AY186" i="21"/>
  <c r="AY802" i="21"/>
  <c r="AY516" i="21"/>
  <c r="AY113" i="21"/>
  <c r="AQ1383" i="21"/>
  <c r="AR1383" i="21" s="1"/>
  <c r="U26" i="37"/>
  <c r="D429" i="48"/>
  <c r="D426" i="48" s="1"/>
  <c r="M484" i="48"/>
  <c r="AN1509" i="21"/>
  <c r="AN1508" i="21" s="1"/>
  <c r="R74" i="39" s="1"/>
  <c r="R76" i="39" s="1"/>
  <c r="V457" i="21"/>
  <c r="V456" i="21" s="1"/>
  <c r="W456" i="21" s="1"/>
  <c r="S295" i="21"/>
  <c r="T295" i="21" s="1"/>
  <c r="M206" i="21"/>
  <c r="M86" i="21" s="1"/>
  <c r="V186" i="21"/>
  <c r="W186" i="21" s="1"/>
  <c r="AO150" i="21"/>
  <c r="AH114" i="21"/>
  <c r="AH113" i="21" s="1"/>
  <c r="AI113" i="21" s="1"/>
  <c r="AT110" i="21"/>
  <c r="AT106" i="21" s="1"/>
  <c r="AK104" i="21"/>
  <c r="AL104" i="21" s="1"/>
  <c r="AN104" i="21"/>
  <c r="AO104" i="21" s="1"/>
  <c r="AQ87" i="21"/>
  <c r="AR87" i="21" s="1"/>
  <c r="AB87" i="21"/>
  <c r="AC87" i="21" s="1"/>
  <c r="P64" i="45"/>
  <c r="AT1694" i="21"/>
  <c r="AT1693" i="21" s="1"/>
  <c r="AT1692" i="21" s="1"/>
  <c r="E52" i="45"/>
  <c r="P52" i="45" s="1"/>
  <c r="P30" i="45"/>
  <c r="AY545" i="21"/>
  <c r="AN924" i="21"/>
  <c r="AO924" i="21" s="1"/>
  <c r="M371" i="48"/>
  <c r="M369" i="48" s="1"/>
  <c r="M368" i="48" s="1"/>
  <c r="D137" i="48"/>
  <c r="P137" i="48" s="1"/>
  <c r="N58" i="21"/>
  <c r="N21" i="21" s="1"/>
  <c r="AO58" i="21"/>
  <c r="AO21" i="21" s="1"/>
  <c r="T58" i="21"/>
  <c r="T21" i="21" s="1"/>
  <c r="J77" i="21"/>
  <c r="J57" i="21" s="1"/>
  <c r="M57" i="21"/>
  <c r="J1090" i="21"/>
  <c r="J1089" i="21" s="1"/>
  <c r="K1089" i="21" s="1"/>
  <c r="S157" i="21"/>
  <c r="T157" i="21" s="1"/>
  <c r="V114" i="21"/>
  <c r="V113" i="21" s="1"/>
  <c r="W113" i="21" s="1"/>
  <c r="AE296" i="21"/>
  <c r="AE87" i="21"/>
  <c r="AF87" i="21" s="1"/>
  <c r="AH989" i="21"/>
  <c r="AI989" i="21" s="1"/>
  <c r="AK284" i="21"/>
  <c r="AL284" i="21" s="1"/>
  <c r="AQ1446" i="21"/>
  <c r="AR1446" i="21" s="1"/>
  <c r="AQ946" i="21"/>
  <c r="N54" i="46" s="1"/>
  <c r="AT1649" i="21"/>
  <c r="AT1648" i="21" s="1"/>
  <c r="AT1642" i="21" s="1"/>
  <c r="AT422" i="21"/>
  <c r="AT418" i="21" s="1"/>
  <c r="AN1122" i="21"/>
  <c r="P1122" i="21"/>
  <c r="Q1122" i="21" s="1"/>
  <c r="AY1383" i="21"/>
  <c r="J1020" i="48"/>
  <c r="M1046" i="21"/>
  <c r="D147" i="48"/>
  <c r="P147" i="48" s="1"/>
  <c r="D1291" i="48"/>
  <c r="Y87" i="21"/>
  <c r="Z87" i="21" s="1"/>
  <c r="J138" i="21"/>
  <c r="AT406" i="21"/>
  <c r="J487" i="48"/>
  <c r="J486" i="48" s="1"/>
  <c r="AB403" i="21"/>
  <c r="V1211" i="21"/>
  <c r="AT438" i="21"/>
  <c r="G145" i="48"/>
  <c r="G143" i="48" s="1"/>
  <c r="G142" i="48" s="1"/>
  <c r="AB416" i="21"/>
  <c r="AC416" i="21" s="1"/>
  <c r="AK416" i="21"/>
  <c r="AL416" i="21" s="1"/>
  <c r="AB441" i="21"/>
  <c r="AT155" i="21"/>
  <c r="AT151" i="21" s="1"/>
  <c r="AH789" i="21"/>
  <c r="AI789" i="21" s="1"/>
  <c r="AE1017" i="21"/>
  <c r="AY1463" i="21"/>
  <c r="G480" i="48"/>
  <c r="G478" i="48" s="1"/>
  <c r="S336" i="21"/>
  <c r="S335" i="21" s="1"/>
  <c r="T335" i="21" s="1"/>
  <c r="K58" i="21"/>
  <c r="K21" i="21" s="1"/>
  <c r="AP57" i="21"/>
  <c r="AG57" i="21"/>
  <c r="R57" i="21"/>
  <c r="M1504" i="48"/>
  <c r="M399" i="48"/>
  <c r="AQ157" i="21"/>
  <c r="AR157" i="21" s="1"/>
  <c r="AY1003" i="21"/>
  <c r="AY854" i="21" s="1"/>
  <c r="P978" i="21"/>
  <c r="Q978" i="21" s="1"/>
  <c r="AK978" i="21"/>
  <c r="AL978" i="21" s="1"/>
  <c r="AK924" i="21"/>
  <c r="AL924" i="21" s="1"/>
  <c r="P865" i="21"/>
  <c r="F22" i="31" s="1"/>
  <c r="V87" i="21"/>
  <c r="W87" i="21" s="1"/>
  <c r="AQ295" i="21"/>
  <c r="AR295" i="21" s="1"/>
  <c r="P855" i="21"/>
  <c r="Q855" i="21" s="1"/>
  <c r="V853" i="21"/>
  <c r="AK336" i="21"/>
  <c r="AK335" i="21" s="1"/>
  <c r="AL335" i="21" s="1"/>
  <c r="AO1182" i="21"/>
  <c r="AN186" i="21"/>
  <c r="AO186" i="21" s="1"/>
  <c r="J375" i="21"/>
  <c r="AE1213" i="21"/>
  <c r="AE1086" i="21" s="1"/>
  <c r="AT220" i="21"/>
  <c r="P206" i="21"/>
  <c r="P86" i="21" s="1"/>
  <c r="V206" i="21"/>
  <c r="V86" i="21" s="1"/>
  <c r="AK295" i="21"/>
  <c r="AL295" i="21" s="1"/>
  <c r="AY206" i="21"/>
  <c r="AY86" i="21" s="1"/>
  <c r="S377" i="21"/>
  <c r="T377" i="21" s="1"/>
  <c r="M284" i="21"/>
  <c r="N284" i="21" s="1"/>
  <c r="V989" i="21"/>
  <c r="W989" i="21" s="1"/>
  <c r="AN219" i="21"/>
  <c r="AT488" i="21"/>
  <c r="AT589" i="21"/>
  <c r="AD57" i="21"/>
  <c r="AN77" i="21"/>
  <c r="AN57" i="21" s="1"/>
  <c r="P377" i="21"/>
  <c r="Q377" i="21" s="1"/>
  <c r="AH1640" i="21"/>
  <c r="AI1640" i="21" s="1"/>
  <c r="J456" i="48"/>
  <c r="Y1509" i="21"/>
  <c r="Y1508" i="21" s="1"/>
  <c r="R74" i="34" s="1"/>
  <c r="R76" i="34" s="1"/>
  <c r="S1446" i="21"/>
  <c r="T1446" i="21" s="1"/>
  <c r="AF21" i="21"/>
  <c r="AK296" i="21"/>
  <c r="AE384" i="21"/>
  <c r="AF384" i="21" s="1"/>
  <c r="U57" i="21"/>
  <c r="J206" i="21"/>
  <c r="J86" i="21" s="1"/>
  <c r="S1640" i="21"/>
  <c r="T1640" i="21" s="1"/>
  <c r="T1182" i="21"/>
  <c r="S896" i="21"/>
  <c r="S894" i="21" s="1"/>
  <c r="T894" i="21" s="1"/>
  <c r="V946" i="21"/>
  <c r="G54" i="46" s="1"/>
  <c r="AE284" i="21"/>
  <c r="AF284" i="21" s="1"/>
  <c r="AK206" i="21"/>
  <c r="AK86" i="21" s="1"/>
  <c r="AN1620" i="21"/>
  <c r="AN1619" i="21" s="1"/>
  <c r="AO1619" i="21" s="1"/>
  <c r="AY1640" i="21"/>
  <c r="AY1122" i="21"/>
  <c r="V1213" i="21"/>
  <c r="V1086" i="21" s="1"/>
  <c r="D1215" i="48"/>
  <c r="P1215" i="48" s="1"/>
  <c r="AT930" i="21"/>
  <c r="J1329" i="48"/>
  <c r="AK399" i="21"/>
  <c r="Y284" i="21"/>
  <c r="Z284" i="21" s="1"/>
  <c r="AH336" i="21"/>
  <c r="AH335" i="21" s="1"/>
  <c r="AI335" i="21" s="1"/>
  <c r="S104" i="21"/>
  <c r="T104" i="21" s="1"/>
  <c r="G484" i="48"/>
  <c r="AY681" i="21"/>
  <c r="AY924" i="21"/>
  <c r="J416" i="21"/>
  <c r="K416" i="21" s="1"/>
  <c r="P457" i="21"/>
  <c r="P456" i="21" s="1"/>
  <c r="Q456" i="21" s="1"/>
  <c r="J428" i="48"/>
  <c r="P428" i="48" s="1"/>
  <c r="D512" i="48"/>
  <c r="P512" i="48" s="1"/>
  <c r="G393" i="48"/>
  <c r="AT464" i="21"/>
  <c r="P487" i="21"/>
  <c r="G425" i="48"/>
  <c r="J1084" i="48"/>
  <c r="AT491" i="21"/>
  <c r="V104" i="21"/>
  <c r="W104" i="21" s="1"/>
  <c r="S57" i="21"/>
  <c r="AY1332" i="21"/>
  <c r="AY157" i="21"/>
  <c r="V375" i="21"/>
  <c r="M232" i="21"/>
  <c r="AH1333" i="21"/>
  <c r="AH1332" i="21" s="1"/>
  <c r="AI1332" i="21" s="1"/>
  <c r="S586" i="21"/>
  <c r="S585" i="21" s="1"/>
  <c r="T585" i="21" s="1"/>
  <c r="V1003" i="21"/>
  <c r="V854" i="21" s="1"/>
  <c r="Y599" i="21"/>
  <c r="Z599" i="21" s="1"/>
  <c r="AN946" i="21"/>
  <c r="M54" i="46" s="1"/>
  <c r="M60" i="46" s="1"/>
  <c r="M61" i="46" s="1"/>
  <c r="AQ186" i="21"/>
  <c r="AR186" i="21" s="1"/>
  <c r="AN284" i="21"/>
  <c r="AO284" i="21" s="1"/>
  <c r="AQ206" i="21"/>
  <c r="AQ86" i="21" s="1"/>
  <c r="AH1047" i="21"/>
  <c r="AH1001" i="21" s="1"/>
  <c r="P354" i="21"/>
  <c r="Q354" i="21" s="1"/>
  <c r="J1457" i="21"/>
  <c r="J855" i="21"/>
  <c r="K855" i="21" s="1"/>
  <c r="J384" i="21"/>
  <c r="K384" i="21" s="1"/>
  <c r="N1182" i="21"/>
  <c r="P1457" i="21"/>
  <c r="P416" i="21"/>
  <c r="Q416" i="21" s="1"/>
  <c r="P157" i="21"/>
  <c r="Q157" i="21" s="1"/>
  <c r="P896" i="21"/>
  <c r="P894" i="21" s="1"/>
  <c r="Q894" i="21" s="1"/>
  <c r="S1003" i="21"/>
  <c r="S854" i="21" s="1"/>
  <c r="S284" i="21"/>
  <c r="T284" i="21" s="1"/>
  <c r="P57" i="21"/>
  <c r="J1620" i="21"/>
  <c r="J1619" i="21" s="1"/>
  <c r="K1619" i="21" s="1"/>
  <c r="P336" i="21"/>
  <c r="P335" i="21" s="1"/>
  <c r="Q335" i="21" s="1"/>
  <c r="V157" i="21"/>
  <c r="W157" i="21" s="1"/>
  <c r="V586" i="21"/>
  <c r="V585" i="21" s="1"/>
  <c r="W585" i="21" s="1"/>
  <c r="V377" i="21"/>
  <c r="W377" i="21" s="1"/>
  <c r="AE586" i="21"/>
  <c r="AE585" i="21" s="1"/>
  <c r="AF585" i="21" s="1"/>
  <c r="AK896" i="21"/>
  <c r="AK894" i="21" s="1"/>
  <c r="AL894" i="21" s="1"/>
  <c r="AN295" i="21"/>
  <c r="AO295" i="21" s="1"/>
  <c r="AT1379" i="21"/>
  <c r="AT1337" i="21" s="1"/>
  <c r="AT189" i="21"/>
  <c r="AH978" i="21"/>
  <c r="AI978" i="21" s="1"/>
  <c r="P295" i="21"/>
  <c r="Q295" i="21" s="1"/>
  <c r="AN586" i="21"/>
  <c r="AN585" i="21" s="1"/>
  <c r="AO585" i="21" s="1"/>
  <c r="AB384" i="21"/>
  <c r="AC384" i="21" s="1"/>
  <c r="W1720" i="21"/>
  <c r="S384" i="21"/>
  <c r="T384" i="21" s="1"/>
  <c r="AH855" i="21"/>
  <c r="AI855" i="21" s="1"/>
  <c r="AN989" i="21"/>
  <c r="AO989" i="21" s="1"/>
  <c r="AN377" i="21"/>
  <c r="AO377" i="21" s="1"/>
  <c r="AQ896" i="21"/>
  <c r="AQ894" i="21" s="1"/>
  <c r="AR894" i="21" s="1"/>
  <c r="AY1726" i="21"/>
  <c r="BA1726" i="21" s="1"/>
  <c r="AY585" i="21"/>
  <c r="AT224" i="21"/>
  <c r="V1046" i="21"/>
  <c r="AE1215" i="21"/>
  <c r="AE1211" i="21" s="1"/>
  <c r="J399" i="48"/>
  <c r="AY1508" i="21"/>
  <c r="AY1393" i="21"/>
  <c r="AY1087" i="21" s="1"/>
  <c r="AN416" i="21"/>
  <c r="AO416" i="21" s="1"/>
  <c r="AQ428" i="21"/>
  <c r="AQ427" i="21" s="1"/>
  <c r="AR427" i="21" s="1"/>
  <c r="P1383" i="21"/>
  <c r="Q1383" i="21" s="1"/>
  <c r="AN1383" i="21"/>
  <c r="AO1383" i="21" s="1"/>
  <c r="AY1047" i="21"/>
  <c r="AY1045" i="21" s="1"/>
  <c r="AH1457" i="21"/>
  <c r="AK1457" i="21"/>
  <c r="V1457" i="21"/>
  <c r="S206" i="21"/>
  <c r="S86" i="21" s="1"/>
  <c r="AE516" i="21"/>
  <c r="AF516" i="21" s="1"/>
  <c r="AK87" i="21"/>
  <c r="AL87" i="21" s="1"/>
  <c r="D410" i="48"/>
  <c r="D408" i="48" s="1"/>
  <c r="AT493" i="21"/>
  <c r="J1442" i="48"/>
  <c r="AT1217" i="21"/>
  <c r="AB1457" i="21"/>
  <c r="AQ1222" i="21"/>
  <c r="AH435" i="21"/>
  <c r="AH428" i="21" s="1"/>
  <c r="AH427" i="21" s="1"/>
  <c r="AI427" i="21" s="1"/>
  <c r="D864" i="48"/>
  <c r="D863" i="48" s="1"/>
  <c r="J87" i="21"/>
  <c r="K87" i="21" s="1"/>
  <c r="H71" i="48"/>
  <c r="G69" i="48" s="1"/>
  <c r="S394" i="21"/>
  <c r="S393" i="21" s="1"/>
  <c r="T393" i="21" s="1"/>
  <c r="AH384" i="21"/>
  <c r="AI384" i="21" s="1"/>
  <c r="AI1182" i="21"/>
  <c r="AQ586" i="21"/>
  <c r="AQ585" i="21" s="1"/>
  <c r="AR585" i="21" s="1"/>
  <c r="AT858" i="21"/>
  <c r="AT856" i="21" s="1"/>
  <c r="M175" i="21"/>
  <c r="N175" i="21" s="1"/>
  <c r="P87" i="21"/>
  <c r="Q87" i="21" s="1"/>
  <c r="AY427" i="21"/>
  <c r="AT520" i="21"/>
  <c r="S1299" i="21"/>
  <c r="S1289" i="21" s="1"/>
  <c r="AB1090" i="21"/>
  <c r="AB1089" i="21" s="1"/>
  <c r="AC1089" i="21" s="1"/>
  <c r="AN1299" i="21"/>
  <c r="AN1289" i="21" s="1"/>
  <c r="AK376" i="21"/>
  <c r="D480" i="48"/>
  <c r="D478" i="48" s="1"/>
  <c r="V1620" i="21"/>
  <c r="V1619" i="21" s="1"/>
  <c r="W1619" i="21" s="1"/>
  <c r="AE1620" i="21"/>
  <c r="AE1619" i="21" s="1"/>
  <c r="AF1619" i="21" s="1"/>
  <c r="AT489" i="21"/>
  <c r="G483" i="48"/>
  <c r="G481" i="48" s="1"/>
  <c r="G1085" i="48"/>
  <c r="S296" i="21"/>
  <c r="J296" i="21"/>
  <c r="AT439" i="21"/>
  <c r="V77" i="21"/>
  <c r="V57" i="21" s="1"/>
  <c r="J542" i="21"/>
  <c r="J435" i="21"/>
  <c r="M186" i="21"/>
  <c r="N186" i="21" s="1"/>
  <c r="M1620" i="21"/>
  <c r="M1619" i="21" s="1"/>
  <c r="N1619" i="21" s="1"/>
  <c r="P586" i="21"/>
  <c r="P585" i="21" s="1"/>
  <c r="Q585" i="21" s="1"/>
  <c r="AH1552" i="21"/>
  <c r="AH1551" i="21" s="1"/>
  <c r="AI1551" i="21" s="1"/>
  <c r="AN157" i="21"/>
  <c r="AO157" i="21" s="1"/>
  <c r="G849" i="48"/>
  <c r="G847" i="48" s="1"/>
  <c r="AY456" i="21"/>
  <c r="M1213" i="21"/>
  <c r="M1086" i="21" s="1"/>
  <c r="M487" i="48"/>
  <c r="AE206" i="21"/>
  <c r="AE86" i="21" s="1"/>
  <c r="AB853" i="21"/>
  <c r="P1046" i="21"/>
  <c r="AT521" i="21"/>
  <c r="M1024" i="48"/>
  <c r="AQ1211" i="21"/>
  <c r="M473" i="48"/>
  <c r="AE1088" i="21"/>
  <c r="AN114" i="21"/>
  <c r="AN113" i="21" s="1"/>
  <c r="AO113" i="21" s="1"/>
  <c r="S1457" i="21"/>
  <c r="AE253" i="21"/>
  <c r="AE252" i="21" s="1"/>
  <c r="AE295" i="21"/>
  <c r="AF295" i="21" s="1"/>
  <c r="P253" i="21"/>
  <c r="P252" i="21" s="1"/>
  <c r="J186" i="21"/>
  <c r="K186" i="21" s="1"/>
  <c r="M377" i="21"/>
  <c r="N377" i="21" s="1"/>
  <c r="Y104" i="21"/>
  <c r="Z104" i="21" s="1"/>
  <c r="AH157" i="21"/>
  <c r="AI157" i="21" s="1"/>
  <c r="AN855" i="21"/>
  <c r="AO855" i="21" s="1"/>
  <c r="Y354" i="21"/>
  <c r="Z354" i="21" s="1"/>
  <c r="Y375" i="21"/>
  <c r="AN1213" i="21"/>
  <c r="AN1086" i="21" s="1"/>
  <c r="P376" i="21"/>
  <c r="AN516" i="21"/>
  <c r="AO516" i="21" s="1"/>
  <c r="AE457" i="21"/>
  <c r="AH1003" i="21"/>
  <c r="AH854" i="21" s="1"/>
  <c r="M1084" i="48"/>
  <c r="AT1721" i="21"/>
  <c r="AT1720" i="21" s="1"/>
  <c r="M1457" i="21"/>
  <c r="AN896" i="21"/>
  <c r="AN894" i="21" s="1"/>
  <c r="AO894" i="21" s="1"/>
  <c r="AN1011" i="21"/>
  <c r="AT176" i="21"/>
  <c r="M989" i="21"/>
  <c r="N989" i="21" s="1"/>
  <c r="Q1182" i="21"/>
  <c r="P529" i="21"/>
  <c r="P528" i="21" s="1"/>
  <c r="Q528" i="21" s="1"/>
  <c r="V416" i="21"/>
  <c r="W416" i="21" s="1"/>
  <c r="AI101" i="21"/>
  <c r="AY1004" i="21"/>
  <c r="AY175" i="21"/>
  <c r="S1213" i="21"/>
  <c r="S1086" i="21" s="1"/>
  <c r="AQ1213" i="21"/>
  <c r="AQ1086" i="21" s="1"/>
  <c r="Y409" i="21"/>
  <c r="J429" i="48"/>
  <c r="J853" i="21"/>
  <c r="AK1003" i="21"/>
  <c r="AK854" i="21" s="1"/>
  <c r="AT147" i="21"/>
  <c r="Y516" i="21"/>
  <c r="Z516" i="21" s="1"/>
  <c r="V208" i="21"/>
  <c r="V207" i="21" s="1"/>
  <c r="J114" i="21"/>
  <c r="J113" i="21" s="1"/>
  <c r="K113" i="21" s="1"/>
  <c r="W58" i="21"/>
  <c r="W21" i="21" s="1"/>
  <c r="AM57" i="21"/>
  <c r="P428" i="21"/>
  <c r="P427" i="21" s="1"/>
  <c r="Q427" i="21" s="1"/>
  <c r="AK1047" i="21"/>
  <c r="AK1001" i="21" s="1"/>
  <c r="Q1657" i="21"/>
  <c r="AC314" i="21"/>
  <c r="Q150" i="21"/>
  <c r="AY1619" i="21"/>
  <c r="AY852" i="21"/>
  <c r="AY354" i="21"/>
  <c r="J402" i="48"/>
  <c r="J400" i="48" s="1"/>
  <c r="V978" i="21"/>
  <c r="W978" i="21" s="1"/>
  <c r="J1213" i="21"/>
  <c r="J1086" i="21" s="1"/>
  <c r="J455" i="48"/>
  <c r="D522" i="48"/>
  <c r="AK853" i="21"/>
  <c r="AQ1640" i="21"/>
  <c r="AR1640" i="21" s="1"/>
  <c r="V1640" i="21"/>
  <c r="W1640" i="21" s="1"/>
  <c r="J1640" i="21"/>
  <c r="K1640" i="21" s="1"/>
  <c r="AN1640" i="21"/>
  <c r="AO1640" i="21" s="1"/>
  <c r="AE1640" i="21"/>
  <c r="AF1640" i="21" s="1"/>
  <c r="AT1643" i="21"/>
  <c r="AT1641" i="21" s="1"/>
  <c r="Y1640" i="21"/>
  <c r="Z1640" i="21" s="1"/>
  <c r="J1483" i="48"/>
  <c r="D1471" i="48"/>
  <c r="D1452" i="48" s="1"/>
  <c r="AB1552" i="21"/>
  <c r="AB1551" i="21" s="1"/>
  <c r="AC1551" i="21" s="1"/>
  <c r="G1471" i="48"/>
  <c r="G1452" i="48" s="1"/>
  <c r="M1471" i="48"/>
  <c r="M1452" i="48" s="1"/>
  <c r="D1483" i="48"/>
  <c r="J1471" i="48"/>
  <c r="J1452" i="48" s="1"/>
  <c r="G1483" i="48"/>
  <c r="AG999" i="21"/>
  <c r="M1483" i="48"/>
  <c r="AT1492" i="21"/>
  <c r="AH1509" i="21"/>
  <c r="AE1509" i="21"/>
  <c r="AE1508" i="21" s="1"/>
  <c r="R74" i="36" s="1"/>
  <c r="R76" i="36" s="1"/>
  <c r="AT1159" i="21"/>
  <c r="AN1728" i="21"/>
  <c r="AN1726" i="21" s="1"/>
  <c r="AO1726" i="21" s="1"/>
  <c r="AT1050" i="21"/>
  <c r="AT1036" i="21"/>
  <c r="AT1006" i="21" s="1"/>
  <c r="G703" i="48"/>
  <c r="AT1480" i="21"/>
  <c r="AT1461" i="21" s="1"/>
  <c r="AY1490" i="21"/>
  <c r="AE1491" i="21"/>
  <c r="AE1490" i="21" s="1"/>
  <c r="O74" i="36" s="1"/>
  <c r="AN1491" i="21"/>
  <c r="AN1490" i="21" s="1"/>
  <c r="AQ1457" i="21"/>
  <c r="AN1479" i="21"/>
  <c r="AO1479" i="21" s="1"/>
  <c r="AN1457" i="21"/>
  <c r="S1479" i="21"/>
  <c r="T1479" i="21" s="1"/>
  <c r="V1728" i="21"/>
  <c r="V1726" i="21" s="1"/>
  <c r="W1726" i="21" s="1"/>
  <c r="M73" i="47"/>
  <c r="AT1179" i="21"/>
  <c r="AT1170" i="21" s="1"/>
  <c r="AT1235" i="21"/>
  <c r="AK1463" i="21"/>
  <c r="AL1463" i="21" s="1"/>
  <c r="AE1463" i="21"/>
  <c r="AF1463" i="21" s="1"/>
  <c r="P82" i="45"/>
  <c r="P81" i="45"/>
  <c r="AN803" i="21"/>
  <c r="AN789" i="21"/>
  <c r="AO789" i="21" s="1"/>
  <c r="Y789" i="21"/>
  <c r="Z789" i="21" s="1"/>
  <c r="AK789" i="21"/>
  <c r="AL789" i="21" s="1"/>
  <c r="G1562" i="48"/>
  <c r="G1561" i="48" s="1"/>
  <c r="S1570" i="21"/>
  <c r="Y57" i="21"/>
  <c r="AY371" i="21"/>
  <c r="AY377" i="21"/>
  <c r="AT223" i="21"/>
  <c r="J222" i="21"/>
  <c r="Y308" i="21"/>
  <c r="AT311" i="21"/>
  <c r="AT308" i="21" s="1"/>
  <c r="J1510" i="48"/>
  <c r="J1509" i="48" s="1"/>
  <c r="J1085" i="48"/>
  <c r="Z169" i="21"/>
  <c r="AY1288" i="21"/>
  <c r="AY989" i="21"/>
  <c r="D1579" i="48"/>
  <c r="V441" i="21"/>
  <c r="V428" i="21" s="1"/>
  <c r="G433" i="48"/>
  <c r="G432" i="48" s="1"/>
  <c r="M1615" i="48"/>
  <c r="AQ1623" i="21"/>
  <c r="AQ1620" i="21" s="1"/>
  <c r="AQ1619" i="21" s="1"/>
  <c r="AR1619" i="21" s="1"/>
  <c r="AT1094" i="21"/>
  <c r="AQ730" i="21"/>
  <c r="AQ729" i="21" s="1"/>
  <c r="AR729" i="21" s="1"/>
  <c r="Y144" i="21"/>
  <c r="M661" i="48"/>
  <c r="M1060" i="48"/>
  <c r="P1060" i="48" s="1"/>
  <c r="D1547" i="48"/>
  <c r="P1547" i="48" s="1"/>
  <c r="M482" i="48"/>
  <c r="P482" i="48" s="1"/>
  <c r="G1331" i="48"/>
  <c r="G1330" i="48" s="1"/>
  <c r="D1580" i="48"/>
  <c r="Y978" i="21"/>
  <c r="Z978" i="21" s="1"/>
  <c r="G221" i="48"/>
  <c r="G220" i="48" s="1"/>
  <c r="AH1620" i="21"/>
  <c r="AH1619" i="21" s="1"/>
  <c r="AI1619" i="21" s="1"/>
  <c r="AH394" i="21"/>
  <c r="AH393" i="21" s="1"/>
  <c r="AI393" i="21" s="1"/>
  <c r="M1016" i="48"/>
  <c r="M1015" i="48" s="1"/>
  <c r="D922" i="48"/>
  <c r="P922" i="48" s="1"/>
  <c r="AT931" i="21"/>
  <c r="M216" i="21"/>
  <c r="D209" i="48"/>
  <c r="D208" i="48" s="1"/>
  <c r="G1302" i="48"/>
  <c r="G1301" i="48" s="1"/>
  <c r="AT1311" i="21"/>
  <c r="AT1310" i="21" s="1"/>
  <c r="S1310" i="21"/>
  <c r="V376" i="21"/>
  <c r="AT1560" i="21"/>
  <c r="AK385" i="21"/>
  <c r="AK384" i="21" s="1"/>
  <c r="AL384" i="21" s="1"/>
  <c r="M378" i="48"/>
  <c r="M376" i="48" s="1"/>
  <c r="AT1617" i="21"/>
  <c r="M1608" i="48"/>
  <c r="P1608" i="48" s="1"/>
  <c r="M215" i="48"/>
  <c r="M214" i="48" s="1"/>
  <c r="AQ222" i="21"/>
  <c r="AN336" i="21"/>
  <c r="AN335" i="21" s="1"/>
  <c r="AO335" i="21" s="1"/>
  <c r="AT1557" i="21"/>
  <c r="AC58" i="21"/>
  <c r="AC21" i="21" s="1"/>
  <c r="AB77" i="21"/>
  <c r="AB57" i="21" s="1"/>
  <c r="G805" i="48"/>
  <c r="G803" i="48" s="1"/>
  <c r="Y812" i="21"/>
  <c r="Y803" i="21" s="1"/>
  <c r="Y802" i="21" s="1"/>
  <c r="Z802" i="21" s="1"/>
  <c r="D823" i="48"/>
  <c r="M1003" i="21"/>
  <c r="M854" i="21" s="1"/>
  <c r="J107" i="21"/>
  <c r="J105" i="21" s="1"/>
  <c r="J104" i="21" s="1"/>
  <c r="K104" i="21" s="1"/>
  <c r="D100" i="48"/>
  <c r="P100" i="48" s="1"/>
  <c r="AT108" i="21"/>
  <c r="AT107" i="21" s="1"/>
  <c r="AT105" i="21" s="1"/>
  <c r="Y1333" i="21"/>
  <c r="Y1332" i="21" s="1"/>
  <c r="Z1332" i="21" s="1"/>
  <c r="J864" i="48"/>
  <c r="J863" i="48" s="1"/>
  <c r="J163" i="48"/>
  <c r="J162" i="48" s="1"/>
  <c r="AH896" i="21"/>
  <c r="AH894" i="21" s="1"/>
  <c r="AI894" i="21" s="1"/>
  <c r="J1047" i="21"/>
  <c r="J1001" i="21" s="1"/>
  <c r="O1648" i="48"/>
  <c r="K71" i="48"/>
  <c r="J69" i="48" s="1"/>
  <c r="AE77" i="21"/>
  <c r="AE57" i="21" s="1"/>
  <c r="D812" i="48"/>
  <c r="D811" i="48" s="1"/>
  <c r="D511" i="48"/>
  <c r="P511" i="48" s="1"/>
  <c r="AT1571" i="21"/>
  <c r="AT1570" i="21" s="1"/>
  <c r="Y1090" i="21"/>
  <c r="Y1089" i="21" s="1"/>
  <c r="Z1089" i="21" s="1"/>
  <c r="M295" i="21"/>
  <c r="N295" i="21" s="1"/>
  <c r="M296" i="21"/>
  <c r="AS57" i="21"/>
  <c r="J399" i="21"/>
  <c r="J394" i="21" s="1"/>
  <c r="J393" i="21" s="1"/>
  <c r="K393" i="21" s="1"/>
  <c r="Y157" i="21"/>
  <c r="Z157" i="21" s="1"/>
  <c r="AB542" i="21"/>
  <c r="AE186" i="21"/>
  <c r="AF186" i="21" s="1"/>
  <c r="AT183" i="21"/>
  <c r="AT178" i="21" s="1"/>
  <c r="G1606" i="48"/>
  <c r="P1606" i="48" s="1"/>
  <c r="AT1615" i="21"/>
  <c r="AU79" i="21"/>
  <c r="AU58" i="21" s="1"/>
  <c r="AR58" i="21"/>
  <c r="AR21" i="21" s="1"/>
  <c r="AQ1479" i="21"/>
  <c r="AR1479" i="21" s="1"/>
  <c r="V354" i="21"/>
  <c r="W354" i="21" s="1"/>
  <c r="U26" i="34"/>
  <c r="Z58" i="21"/>
  <c r="Z21" i="21" s="1"/>
  <c r="D785" i="48"/>
  <c r="J792" i="21"/>
  <c r="J790" i="21" s="1"/>
  <c r="AT794" i="21"/>
  <c r="D805" i="48"/>
  <c r="D803" i="48" s="1"/>
  <c r="M812" i="21"/>
  <c r="M803" i="21" s="1"/>
  <c r="J1528" i="21"/>
  <c r="L75" i="29" s="1"/>
  <c r="J1339" i="21"/>
  <c r="J1333" i="21" s="1"/>
  <c r="J1332" i="21" s="1"/>
  <c r="K1332" i="21" s="1"/>
  <c r="AT1340" i="21"/>
  <c r="AT1339" i="21" s="1"/>
  <c r="M1525" i="48"/>
  <c r="AQ77" i="21"/>
  <c r="AQ57" i="21" s="1"/>
  <c r="AT1010" i="21"/>
  <c r="AT88" i="21"/>
  <c r="AN428" i="21"/>
  <c r="AN427" i="21" s="1"/>
  <c r="AO427" i="21" s="1"/>
  <c r="D433" i="48"/>
  <c r="D432" i="48" s="1"/>
  <c r="AT442" i="21"/>
  <c r="AT441" i="21" s="1"/>
  <c r="M1011" i="21"/>
  <c r="M1005" i="21" s="1"/>
  <c r="G1491" i="48"/>
  <c r="P1491" i="48" s="1"/>
  <c r="AT1500" i="21"/>
  <c r="AT436" i="21"/>
  <c r="J427" i="48"/>
  <c r="P427" i="48" s="1"/>
  <c r="AH1494" i="21"/>
  <c r="AH1491" i="21" s="1"/>
  <c r="AH1490" i="21" s="1"/>
  <c r="O74" i="37" s="1"/>
  <c r="O76" i="37" s="1"/>
  <c r="J1486" i="48"/>
  <c r="M1023" i="48"/>
  <c r="AT1017" i="21"/>
  <c r="AK208" i="21"/>
  <c r="AK207" i="21" s="1"/>
  <c r="AB435" i="21"/>
  <c r="M218" i="48"/>
  <c r="P218" i="48" s="1"/>
  <c r="Y295" i="21"/>
  <c r="Z295" i="21" s="1"/>
  <c r="Y296" i="21"/>
  <c r="AY1461" i="21"/>
  <c r="G1503" i="48"/>
  <c r="AT1034" i="21"/>
  <c r="AN599" i="21"/>
  <c r="AO599" i="21" s="1"/>
  <c r="K1182" i="21"/>
  <c r="P1090" i="21"/>
  <c r="P1089" i="21" s="1"/>
  <c r="AB1211" i="21"/>
  <c r="AE1003" i="21"/>
  <c r="AE854" i="21" s="1"/>
  <c r="J1479" i="21"/>
  <c r="K1479" i="21" s="1"/>
  <c r="AY1680" i="21"/>
  <c r="AY1681" i="21"/>
  <c r="P812" i="21"/>
  <c r="AT813" i="21"/>
  <c r="AT1012" i="21"/>
  <c r="D1003" i="48"/>
  <c r="D1002" i="48" s="1"/>
  <c r="J1011" i="21"/>
  <c r="AT1588" i="21"/>
  <c r="AQ322" i="21"/>
  <c r="M319" i="48"/>
  <c r="M313" i="48" s="1"/>
  <c r="AY21" i="21"/>
  <c r="M417" i="21"/>
  <c r="M416" i="21" s="1"/>
  <c r="N416" i="21" s="1"/>
  <c r="AT419" i="21"/>
  <c r="AT417" i="21" s="1"/>
  <c r="M431" i="48"/>
  <c r="P431" i="48" s="1"/>
  <c r="AT440" i="21"/>
  <c r="AN457" i="21"/>
  <c r="AN456" i="21" s="1"/>
  <c r="AO456" i="21" s="1"/>
  <c r="M457" i="48"/>
  <c r="P1518" i="21"/>
  <c r="P1509" i="21" s="1"/>
  <c r="P1508" i="21" s="1"/>
  <c r="Q1508" i="21" s="1"/>
  <c r="D1510" i="48"/>
  <c r="G1588" i="48"/>
  <c r="G1586" i="48" s="1"/>
  <c r="S1595" i="21"/>
  <c r="S1333" i="21"/>
  <c r="S1332" i="21" s="1"/>
  <c r="T1332" i="21" s="1"/>
  <c r="G1329" i="48"/>
  <c r="J1525" i="48"/>
  <c r="AO1657" i="21"/>
  <c r="AY204" i="21"/>
  <c r="AY83" i="21" s="1"/>
  <c r="AY252" i="21"/>
  <c r="AY1088" i="21"/>
  <c r="V792" i="21"/>
  <c r="V790" i="21" s="1"/>
  <c r="G785" i="48"/>
  <c r="J1215" i="21"/>
  <c r="AT1216" i="21"/>
  <c r="M228" i="21"/>
  <c r="D221" i="48"/>
  <c r="D220" i="48" s="1"/>
  <c r="AT1590" i="21"/>
  <c r="J1208" i="48"/>
  <c r="P1208" i="48" s="1"/>
  <c r="J225" i="48"/>
  <c r="J224" i="48" s="1"/>
  <c r="AB232" i="21"/>
  <c r="M1528" i="48"/>
  <c r="AT482" i="21"/>
  <c r="AT825" i="21"/>
  <c r="M423" i="48"/>
  <c r="J295" i="21"/>
  <c r="K295" i="21" s="1"/>
  <c r="AQ1090" i="21"/>
  <c r="AQ1089" i="21" s="1"/>
  <c r="AR1089" i="21" s="1"/>
  <c r="S516" i="21"/>
  <c r="T516" i="21" s="1"/>
  <c r="J816" i="48"/>
  <c r="J815" i="48" s="1"/>
  <c r="R122" i="47"/>
  <c r="V122" i="47" s="1"/>
  <c r="R133" i="47"/>
  <c r="V133" i="47" s="1"/>
  <c r="J170" i="47"/>
  <c r="T170" i="47" s="1"/>
  <c r="N168" i="47"/>
  <c r="U168" i="47" s="1"/>
  <c r="R166" i="47"/>
  <c r="V166" i="47" s="1"/>
  <c r="N71" i="48"/>
  <c r="M69" i="48" s="1"/>
  <c r="V516" i="21"/>
  <c r="W516" i="21" s="1"/>
  <c r="AE1479" i="21"/>
  <c r="AF1479" i="21" s="1"/>
  <c r="AN175" i="21"/>
  <c r="AO175" i="21" s="1"/>
  <c r="AT466" i="21"/>
  <c r="M1494" i="21"/>
  <c r="M1491" i="21" s="1"/>
  <c r="M1490" i="21" s="1"/>
  <c r="N1490" i="21" s="1"/>
  <c r="AT432" i="21"/>
  <c r="AN1558" i="21"/>
  <c r="AN1552" i="21" s="1"/>
  <c r="AN1551" i="21" s="1"/>
  <c r="AO1551" i="21" s="1"/>
  <c r="M1621" i="48"/>
  <c r="P789" i="21"/>
  <c r="Q789" i="21" s="1"/>
  <c r="AB284" i="21"/>
  <c r="AC284" i="21" s="1"/>
  <c r="AT1556" i="21"/>
  <c r="D219" i="48"/>
  <c r="D217" i="48" s="1"/>
  <c r="AE114" i="21"/>
  <c r="AE113" i="21" s="1"/>
  <c r="AF113" i="21" s="1"/>
  <c r="AK114" i="21"/>
  <c r="AK113" i="21" s="1"/>
  <c r="AL113" i="21" s="1"/>
  <c r="AK946" i="21"/>
  <c r="L54" i="46" s="1"/>
  <c r="L60" i="46" s="1"/>
  <c r="L61" i="46" s="1"/>
  <c r="AB1393" i="21"/>
  <c r="AB1087" i="21" s="1"/>
  <c r="AB1213" i="21"/>
  <c r="AB1086" i="21" s="1"/>
  <c r="AT486" i="21"/>
  <c r="AT483" i="21" s="1"/>
  <c r="J477" i="48"/>
  <c r="P477" i="48" s="1"/>
  <c r="M403" i="21"/>
  <c r="M394" i="21" s="1"/>
  <c r="M393" i="21" s="1"/>
  <c r="N393" i="21" s="1"/>
  <c r="D397" i="48"/>
  <c r="P397" i="48" s="1"/>
  <c r="G870" i="48"/>
  <c r="P870" i="48" s="1"/>
  <c r="AT879" i="21"/>
  <c r="M1529" i="48"/>
  <c r="Y1620" i="21"/>
  <c r="Y1619" i="21" s="1"/>
  <c r="Z1619" i="21" s="1"/>
  <c r="D457" i="48"/>
  <c r="D448" i="48" s="1"/>
  <c r="AT981" i="21"/>
  <c r="AT979" i="21" s="1"/>
  <c r="AT1716" i="21"/>
  <c r="Q1716" i="21"/>
  <c r="M1463" i="21"/>
  <c r="N1463" i="21" s="1"/>
  <c r="G1020" i="48"/>
  <c r="G181" i="48"/>
  <c r="P181" i="48" s="1"/>
  <c r="P1005" i="21"/>
  <c r="P1004" i="21" s="1"/>
  <c r="Q1004" i="21" s="1"/>
  <c r="J457" i="21"/>
  <c r="J157" i="21"/>
  <c r="K157" i="21" s="1"/>
  <c r="P1640" i="21"/>
  <c r="Q1640" i="21" s="1"/>
  <c r="AE946" i="21"/>
  <c r="J54" i="46" s="1"/>
  <c r="J60" i="46" s="1"/>
  <c r="J61" i="46" s="1"/>
  <c r="AK428" i="21"/>
  <c r="AQ376" i="21"/>
  <c r="J1019" i="48"/>
  <c r="D402" i="48"/>
  <c r="P409" i="21"/>
  <c r="P394" i="21" s="1"/>
  <c r="P393" i="21" s="1"/>
  <c r="Q393" i="21" s="1"/>
  <c r="AE855" i="21"/>
  <c r="AF855" i="21" s="1"/>
  <c r="AY1089" i="21"/>
  <c r="M853" i="21"/>
  <c r="AE1459" i="21"/>
  <c r="AT173" i="21"/>
  <c r="AT1685" i="21"/>
  <c r="M253" i="21"/>
  <c r="D1332" i="48"/>
  <c r="P1332" i="48" s="1"/>
  <c r="AE1393" i="21"/>
  <c r="AE1087" i="21" s="1"/>
  <c r="AT985" i="21"/>
  <c r="AT980" i="21" s="1"/>
  <c r="J410" i="48"/>
  <c r="J408" i="48" s="1"/>
  <c r="AE417" i="21"/>
  <c r="AE416" i="21" s="1"/>
  <c r="AF416" i="21" s="1"/>
  <c r="D526" i="48"/>
  <c r="D523" i="48" s="1"/>
  <c r="M532" i="21"/>
  <c r="M529" i="21" s="1"/>
  <c r="M528" i="21" s="1"/>
  <c r="N528" i="21" s="1"/>
  <c r="M599" i="21"/>
  <c r="N599" i="21" s="1"/>
  <c r="AN1003" i="21"/>
  <c r="AN854" i="21" s="1"/>
  <c r="J1546" i="48"/>
  <c r="J1545" i="48" s="1"/>
  <c r="AB789" i="21"/>
  <c r="AC789" i="21" s="1"/>
  <c r="AT1306" i="21"/>
  <c r="AK1005" i="21"/>
  <c r="AK1004" i="21" s="1"/>
  <c r="AL1004" i="21" s="1"/>
  <c r="AY1679" i="21"/>
  <c r="AT264" i="21"/>
  <c r="M157" i="21"/>
  <c r="N157" i="21" s="1"/>
  <c r="M87" i="21"/>
  <c r="N87" i="21" s="1"/>
  <c r="V170" i="21"/>
  <c r="V169" i="21" s="1"/>
  <c r="W169" i="21" s="1"/>
  <c r="AB644" i="21"/>
  <c r="AN978" i="21"/>
  <c r="AO978" i="21" s="1"/>
  <c r="M1048" i="48"/>
  <c r="L1610" i="48"/>
  <c r="AB186" i="21"/>
  <c r="AC186" i="21" s="1"/>
  <c r="AH87" i="21"/>
  <c r="AI87" i="21" s="1"/>
  <c r="AY539" i="21"/>
  <c r="P284" i="21"/>
  <c r="Q284" i="21" s="1"/>
  <c r="P946" i="21"/>
  <c r="E54" i="46" s="1"/>
  <c r="E60" i="46" s="1"/>
  <c r="E61" i="46" s="1"/>
  <c r="AH599" i="21"/>
  <c r="AI599" i="21" s="1"/>
  <c r="AH1046" i="21"/>
  <c r="AT600" i="21"/>
  <c r="AT599" i="21" s="1"/>
  <c r="AK1122" i="21"/>
  <c r="AL1122" i="21" s="1"/>
  <c r="M354" i="21"/>
  <c r="N354" i="21" s="1"/>
  <c r="K1657" i="21"/>
  <c r="AL314" i="21"/>
  <c r="AL150" i="21"/>
  <c r="AI169" i="21"/>
  <c r="Z314" i="21"/>
  <c r="N314" i="21"/>
  <c r="M561" i="48"/>
  <c r="S87" i="21"/>
  <c r="T87" i="21" s="1"/>
  <c r="AH805" i="21"/>
  <c r="AH803" i="21" s="1"/>
  <c r="V805" i="21"/>
  <c r="V803" i="21" s="1"/>
  <c r="AE812" i="21"/>
  <c r="AT831" i="21"/>
  <c r="P853" i="21"/>
  <c r="AN853" i="21"/>
  <c r="P212" i="21"/>
  <c r="AT1630" i="21"/>
  <c r="S1567" i="21"/>
  <c r="V1333" i="21"/>
  <c r="V1332" i="21" s="1"/>
  <c r="W1332" i="21" s="1"/>
  <c r="Y1528" i="21"/>
  <c r="L75" i="34" s="1"/>
  <c r="AQ1528" i="21"/>
  <c r="L75" i="40" s="1"/>
  <c r="AH1447" i="21"/>
  <c r="AH1446" i="21" s="1"/>
  <c r="AI1446" i="21" s="1"/>
  <c r="M1523" i="48"/>
  <c r="D1052" i="48"/>
  <c r="P187" i="21"/>
  <c r="P186" i="21" s="1"/>
  <c r="Q186" i="21" s="1"/>
  <c r="AB946" i="21"/>
  <c r="I54" i="46" s="1"/>
  <c r="I60" i="46" s="1"/>
  <c r="I61" i="46" s="1"/>
  <c r="AH586" i="21"/>
  <c r="AH585" i="21" s="1"/>
  <c r="AI585" i="21" s="1"/>
  <c r="AQ599" i="21"/>
  <c r="AR599" i="21" s="1"/>
  <c r="AH1122" i="21"/>
  <c r="AI1122" i="21" s="1"/>
  <c r="AH354" i="21"/>
  <c r="AI354" i="21" s="1"/>
  <c r="AF1657" i="21"/>
  <c r="AO101" i="21"/>
  <c r="AC101" i="21"/>
  <c r="Q101" i="21"/>
  <c r="M375" i="21"/>
  <c r="AB409" i="21"/>
  <c r="P1213" i="21"/>
  <c r="P1086" i="21" s="1"/>
  <c r="AT1405" i="21"/>
  <c r="J830" i="21"/>
  <c r="J804" i="21" s="1"/>
  <c r="J544" i="21" s="1"/>
  <c r="AT221" i="21"/>
  <c r="M1528" i="21"/>
  <c r="L75" i="30" s="1"/>
  <c r="AT1338" i="21"/>
  <c r="AT434" i="21"/>
  <c r="P1558" i="21"/>
  <c r="P1528" i="21"/>
  <c r="L75" i="31" s="1"/>
  <c r="S1509" i="21"/>
  <c r="S1508" i="21" s="1"/>
  <c r="T1508" i="21" s="1"/>
  <c r="G114" i="48"/>
  <c r="P114" i="48" s="1"/>
  <c r="G1527" i="48"/>
  <c r="G1565" i="48"/>
  <c r="V1611" i="21"/>
  <c r="V1610" i="21" s="1"/>
  <c r="W1610" i="21" s="1"/>
  <c r="G473" i="48"/>
  <c r="J473" i="48"/>
  <c r="AT818" i="21"/>
  <c r="M1585" i="48"/>
  <c r="M393" i="48"/>
  <c r="Y187" i="21"/>
  <c r="Y186" i="21" s="1"/>
  <c r="Z186" i="21" s="1"/>
  <c r="Y896" i="21"/>
  <c r="Y894" i="21" s="1"/>
  <c r="Z894" i="21" s="1"/>
  <c r="AE599" i="21"/>
  <c r="AF599" i="21" s="1"/>
  <c r="AH253" i="21"/>
  <c r="AH252" i="21" s="1"/>
  <c r="AQ989" i="21"/>
  <c r="AR989" i="21" s="1"/>
  <c r="AQ1662" i="21"/>
  <c r="AQ1660" i="21" s="1"/>
  <c r="AR1660" i="21" s="1"/>
  <c r="S1662" i="21"/>
  <c r="S1660" i="21" s="1"/>
  <c r="T1660" i="21" s="1"/>
  <c r="AQ1610" i="21"/>
  <c r="AR1610" i="21" s="1"/>
  <c r="AH1582" i="21"/>
  <c r="V1582" i="21"/>
  <c r="M1323" i="21"/>
  <c r="M1322" i="21" s="1"/>
  <c r="N1322" i="21" s="1"/>
  <c r="AN1212" i="21"/>
  <c r="AE354" i="21"/>
  <c r="AF354" i="21" s="1"/>
  <c r="AC1716" i="21"/>
  <c r="H45" i="31"/>
  <c r="AI314" i="21"/>
  <c r="W314" i="21"/>
  <c r="P375" i="21"/>
  <c r="AK375" i="21"/>
  <c r="AQ1393" i="21"/>
  <c r="AQ1087" i="21" s="1"/>
  <c r="AE409" i="21"/>
  <c r="AE394" i="21" s="1"/>
  <c r="AE393" i="21" s="1"/>
  <c r="AF393" i="21" s="1"/>
  <c r="J441" i="21"/>
  <c r="J485" i="48"/>
  <c r="D483" i="48"/>
  <c r="D481" i="48" s="1"/>
  <c r="AT1520" i="21"/>
  <c r="D1528" i="48"/>
  <c r="D1207" i="48"/>
  <c r="D1206" i="48" s="1"/>
  <c r="AT214" i="21"/>
  <c r="P1567" i="21"/>
  <c r="G1550" i="48"/>
  <c r="S1464" i="21"/>
  <c r="S1463" i="21" s="1"/>
  <c r="T1463" i="21" s="1"/>
  <c r="G1526" i="48"/>
  <c r="Y1552" i="21"/>
  <c r="Y1551" i="21" s="1"/>
  <c r="Z1551" i="21" s="1"/>
  <c r="AT217" i="21"/>
  <c r="AT1594" i="21"/>
  <c r="AH1211" i="21"/>
  <c r="M1605" i="48"/>
  <c r="M1552" i="48"/>
  <c r="V384" i="21"/>
  <c r="W384" i="21" s="1"/>
  <c r="AE853" i="21"/>
  <c r="AH946" i="21"/>
  <c r="K54" i="46" s="1"/>
  <c r="AN1088" i="21"/>
  <c r="AN296" i="21"/>
  <c r="AQ1003" i="21"/>
  <c r="AQ854" i="21" s="1"/>
  <c r="AN1610" i="21"/>
  <c r="AO1610" i="21" s="1"/>
  <c r="AL1716" i="21"/>
  <c r="N1716" i="21"/>
  <c r="Z101" i="21"/>
  <c r="N101" i="21"/>
  <c r="AN375" i="21"/>
  <c r="AH375" i="21"/>
  <c r="AT433" i="21"/>
  <c r="J425" i="48"/>
  <c r="D1525" i="48"/>
  <c r="D921" i="48"/>
  <c r="P921" i="48" s="1"/>
  <c r="AT1519" i="21"/>
  <c r="M1222" i="21"/>
  <c r="P1463" i="21"/>
  <c r="Q1463" i="21" s="1"/>
  <c r="G1560" i="48"/>
  <c r="G1529" i="48"/>
  <c r="Y232" i="21"/>
  <c r="M1526" i="48"/>
  <c r="M483" i="48"/>
  <c r="M1524" i="48"/>
  <c r="M1551" i="48"/>
  <c r="AQ1005" i="21"/>
  <c r="AT265" i="21"/>
  <c r="AY1446" i="21"/>
  <c r="S730" i="21"/>
  <c r="S729" i="21" s="1"/>
  <c r="T729" i="21" s="1"/>
  <c r="G1052" i="48"/>
  <c r="E15" i="37"/>
  <c r="R999" i="21"/>
  <c r="AB1728" i="21"/>
  <c r="AB1726" i="21" s="1"/>
  <c r="AC1726" i="21" s="1"/>
  <c r="J74" i="47"/>
  <c r="T74" i="47" s="1"/>
  <c r="AK1048" i="21"/>
  <c r="AK1002" i="21" s="1"/>
  <c r="AK852" i="21" s="1"/>
  <c r="M1052" i="48"/>
  <c r="AT651" i="21"/>
  <c r="AK1728" i="21"/>
  <c r="AK1726" i="21" s="1"/>
  <c r="AL1726" i="21" s="1"/>
  <c r="F124" i="47"/>
  <c r="S124" i="47" s="1"/>
  <c r="J1052" i="48"/>
  <c r="AT691" i="21"/>
  <c r="P682" i="21"/>
  <c r="D602" i="48"/>
  <c r="P644" i="21"/>
  <c r="M644" i="21"/>
  <c r="AK644" i="21"/>
  <c r="AN644" i="21"/>
  <c r="M602" i="48"/>
  <c r="J602" i="48"/>
  <c r="G602" i="48"/>
  <c r="AT611" i="21"/>
  <c r="M542" i="21"/>
  <c r="S542" i="21"/>
  <c r="Y542" i="21"/>
  <c r="AN608" i="21"/>
  <c r="AO608" i="21" s="1"/>
  <c r="U203" i="21"/>
  <c r="U82" i="21" s="1"/>
  <c r="H35" i="32" s="1"/>
  <c r="J596" i="48"/>
  <c r="J592" i="48" s="1"/>
  <c r="P9" i="47"/>
  <c r="M314" i="48"/>
  <c r="G596" i="48"/>
  <c r="G592" i="48" s="1"/>
  <c r="M645" i="21"/>
  <c r="M9" i="47"/>
  <c r="G9" i="47"/>
  <c r="D596" i="48"/>
  <c r="D592" i="48" s="1"/>
  <c r="K18" i="47"/>
  <c r="P105" i="47"/>
  <c r="J358" i="48"/>
  <c r="J348" i="48" s="1"/>
  <c r="J171" i="48"/>
  <c r="J169" i="48" s="1"/>
  <c r="AB325" i="21"/>
  <c r="AB324" i="21" s="1"/>
  <c r="D560" i="48"/>
  <c r="V547" i="21"/>
  <c r="R155" i="47"/>
  <c r="V155" i="47" s="1"/>
  <c r="R112" i="47"/>
  <c r="G1721" i="48"/>
  <c r="M337" i="48"/>
  <c r="L18" i="47"/>
  <c r="J599" i="21"/>
  <c r="K599" i="21" s="1"/>
  <c r="S599" i="21"/>
  <c r="T599" i="21" s="1"/>
  <c r="V599" i="21"/>
  <c r="W599" i="21" s="1"/>
  <c r="AB599" i="21"/>
  <c r="AC599" i="21" s="1"/>
  <c r="M307" i="21"/>
  <c r="N307" i="21" s="1"/>
  <c r="N104" i="47"/>
  <c r="U104" i="47" s="1"/>
  <c r="F178" i="48"/>
  <c r="S325" i="21"/>
  <c r="S324" i="21" s="1"/>
  <c r="S321" i="21" s="1"/>
  <c r="T321" i="21" s="1"/>
  <c r="F96" i="47"/>
  <c r="S96" i="47" s="1"/>
  <c r="G90" i="47"/>
  <c r="M90" i="47"/>
  <c r="G98" i="47"/>
  <c r="W150" i="21"/>
  <c r="P205" i="21"/>
  <c r="P84" i="21" s="1"/>
  <c r="E12" i="47"/>
  <c r="K12" i="47"/>
  <c r="J64" i="47"/>
  <c r="T64" i="47" s="1"/>
  <c r="R99" i="47"/>
  <c r="V99" i="47" s="1"/>
  <c r="F447" i="48"/>
  <c r="G560" i="48"/>
  <c r="D1721" i="48"/>
  <c r="N96" i="47"/>
  <c r="U96" i="47" s="1"/>
  <c r="O1518" i="48"/>
  <c r="E15" i="40"/>
  <c r="H37" i="47"/>
  <c r="H36" i="47" s="1"/>
  <c r="P90" i="47"/>
  <c r="P98" i="47"/>
  <c r="AH1662" i="21"/>
  <c r="AH1660" i="21" s="1"/>
  <c r="AI1660" i="21" s="1"/>
  <c r="AK1529" i="21"/>
  <c r="L76" i="38" s="1"/>
  <c r="AN1323" i="21"/>
  <c r="AN1322" i="21" s="1"/>
  <c r="AO1322" i="21" s="1"/>
  <c r="AH645" i="21"/>
  <c r="V84" i="21"/>
  <c r="U1459" i="21"/>
  <c r="U1454" i="21" s="1"/>
  <c r="Q35" i="32" s="1"/>
  <c r="H45" i="40"/>
  <c r="H45" i="36"/>
  <c r="F131" i="47"/>
  <c r="S131" i="47" s="1"/>
  <c r="Y586" i="21"/>
  <c r="Y585" i="21" s="1"/>
  <c r="Z585" i="21" s="1"/>
  <c r="V543" i="21"/>
  <c r="E37" i="47"/>
  <c r="E36" i="47" s="1"/>
  <c r="AB543" i="21"/>
  <c r="E15" i="38"/>
  <c r="R96" i="47"/>
  <c r="V96" i="47" s="1"/>
  <c r="Y141" i="21"/>
  <c r="Y139" i="21" s="1"/>
  <c r="R114" i="47"/>
  <c r="V114" i="47" s="1"/>
  <c r="V112" i="47" s="1"/>
  <c r="M102" i="47"/>
  <c r="E15" i="32"/>
  <c r="M37" i="47"/>
  <c r="M36" i="47" s="1"/>
  <c r="O90" i="47"/>
  <c r="J97" i="47"/>
  <c r="T97" i="47" s="1"/>
  <c r="N122" i="47"/>
  <c r="U122" i="47" s="1"/>
  <c r="J168" i="47"/>
  <c r="T168" i="47" s="1"/>
  <c r="Y1294" i="21"/>
  <c r="Y1291" i="21" s="1"/>
  <c r="Y1085" i="21" s="1"/>
  <c r="P710" i="21"/>
  <c r="P684" i="21" s="1"/>
  <c r="F418" i="48"/>
  <c r="AC307" i="21"/>
  <c r="D561" i="48"/>
  <c r="AE1728" i="21"/>
  <c r="AE1726" i="21" s="1"/>
  <c r="AF1726" i="21" s="1"/>
  <c r="D703" i="48"/>
  <c r="S309" i="21"/>
  <c r="R59" i="47"/>
  <c r="V59" i="47" s="1"/>
  <c r="N124" i="47"/>
  <c r="U124" i="47" s="1"/>
  <c r="M702" i="48"/>
  <c r="AL1720" i="21"/>
  <c r="D1287" i="48"/>
  <c r="N56" i="47"/>
  <c r="U56" i="47" s="1"/>
  <c r="J165" i="47"/>
  <c r="T165" i="47" s="1"/>
  <c r="AV104" i="21"/>
  <c r="G1720" i="48"/>
  <c r="L12" i="47"/>
  <c r="G12" i="47"/>
  <c r="Q12" i="47"/>
  <c r="P37" i="47"/>
  <c r="P36" i="47" s="1"/>
  <c r="H90" i="47"/>
  <c r="H98" i="47"/>
  <c r="H105" i="47"/>
  <c r="J106" i="47"/>
  <c r="T106" i="47" s="1"/>
  <c r="J134" i="47"/>
  <c r="T134" i="47" s="1"/>
  <c r="AA1459" i="21"/>
  <c r="AA1454" i="21" s="1"/>
  <c r="O1459" i="21"/>
  <c r="O1454" i="21" s="1"/>
  <c r="Q35" i="30" s="1"/>
  <c r="H45" i="34"/>
  <c r="F915" i="48"/>
  <c r="V325" i="21"/>
  <c r="V324" i="21" s="1"/>
  <c r="V321" i="21" s="1"/>
  <c r="W321" i="21" s="1"/>
  <c r="Z1182" i="21"/>
  <c r="M55" i="39"/>
  <c r="N85" i="47"/>
  <c r="U85" i="47" s="1"/>
  <c r="N163" i="47"/>
  <c r="U163" i="47" s="1"/>
  <c r="F1651" i="48"/>
  <c r="I178" i="48"/>
  <c r="F142" i="48"/>
  <c r="Q37" i="47"/>
  <c r="Q36" i="47" s="1"/>
  <c r="N58" i="47"/>
  <c r="U58" i="47" s="1"/>
  <c r="K120" i="47"/>
  <c r="K115" i="47" s="1"/>
  <c r="Q120" i="47"/>
  <c r="Q115" i="47" s="1"/>
  <c r="AB1323" i="21"/>
  <c r="AB1322" i="21" s="1"/>
  <c r="AC1322" i="21" s="1"/>
  <c r="AN307" i="21"/>
  <c r="AO307" i="21" s="1"/>
  <c r="AN309" i="21"/>
  <c r="AC104" i="21"/>
  <c r="Z150" i="21"/>
  <c r="J1147" i="48"/>
  <c r="G662" i="48"/>
  <c r="AQ456" i="21"/>
  <c r="AR456" i="21" s="1"/>
  <c r="S458" i="21"/>
  <c r="G462" i="48"/>
  <c r="G449" i="48" s="1"/>
  <c r="F1610" i="48"/>
  <c r="L1648" i="48"/>
  <c r="O1159" i="48"/>
  <c r="F519" i="48"/>
  <c r="R131" i="47"/>
  <c r="V131" i="47" s="1"/>
  <c r="J19" i="47"/>
  <c r="T19" i="47" s="1"/>
  <c r="N41" i="47"/>
  <c r="U41" i="47" s="1"/>
  <c r="F56" i="47"/>
  <c r="S56" i="47" s="1"/>
  <c r="J59" i="47"/>
  <c r="T59" i="47" s="1"/>
  <c r="N59" i="47"/>
  <c r="U59" i="47" s="1"/>
  <c r="F63" i="47"/>
  <c r="S63" i="47" s="1"/>
  <c r="J62" i="47"/>
  <c r="T62" i="47" s="1"/>
  <c r="N63" i="47"/>
  <c r="U63" i="47" s="1"/>
  <c r="F68" i="47"/>
  <c r="S68" i="47" s="1"/>
  <c r="J68" i="47"/>
  <c r="T68" i="47" s="1"/>
  <c r="N82" i="47"/>
  <c r="U82" i="47" s="1"/>
  <c r="J85" i="47"/>
  <c r="T85" i="47" s="1"/>
  <c r="N88" i="47"/>
  <c r="U88" i="47" s="1"/>
  <c r="R86" i="47"/>
  <c r="V86" i="47" s="1"/>
  <c r="F92" i="47"/>
  <c r="S92" i="47" s="1"/>
  <c r="F95" i="47"/>
  <c r="S95" i="47" s="1"/>
  <c r="R94" i="47"/>
  <c r="V94" i="47" s="1"/>
  <c r="F100" i="47"/>
  <c r="S100" i="47" s="1"/>
  <c r="N99" i="47"/>
  <c r="U99" i="47" s="1"/>
  <c r="F108" i="47"/>
  <c r="S108" i="47" s="1"/>
  <c r="N107" i="47"/>
  <c r="U107" i="47" s="1"/>
  <c r="F132" i="47"/>
  <c r="S132" i="47" s="1"/>
  <c r="J133" i="47"/>
  <c r="T133" i="47" s="1"/>
  <c r="N140" i="47"/>
  <c r="U140" i="47" s="1"/>
  <c r="J157" i="47"/>
  <c r="T157" i="47" s="1"/>
  <c r="F162" i="47"/>
  <c r="S162" i="47" s="1"/>
  <c r="F170" i="47"/>
  <c r="S170" i="47" s="1"/>
  <c r="N166" i="47"/>
  <c r="U166" i="47" s="1"/>
  <c r="R164" i="47"/>
  <c r="V164" i="47" s="1"/>
  <c r="G102" i="47"/>
  <c r="AB177" i="21"/>
  <c r="AB175" i="21" s="1"/>
  <c r="AC175" i="21" s="1"/>
  <c r="M254" i="21"/>
  <c r="D264" i="48"/>
  <c r="D246" i="48" s="1"/>
  <c r="D197" i="48" s="1"/>
  <c r="Y307" i="21"/>
  <c r="Z307" i="21" s="1"/>
  <c r="Y309" i="21"/>
  <c r="J645" i="21"/>
  <c r="L1571" i="48"/>
  <c r="AS1459" i="21"/>
  <c r="AS1454" i="21" s="1"/>
  <c r="AN325" i="21"/>
  <c r="AN324" i="21" s="1"/>
  <c r="AN321" i="21" s="1"/>
  <c r="AO321" i="21" s="1"/>
  <c r="E36" i="29"/>
  <c r="Y1529" i="21"/>
  <c r="L76" i="34" s="1"/>
  <c r="O75" i="36"/>
  <c r="L1651" i="48"/>
  <c r="AC1657" i="21"/>
  <c r="S1152" i="21"/>
  <c r="S1150" i="21" s="1"/>
  <c r="T1150" i="21" s="1"/>
  <c r="AK254" i="21"/>
  <c r="AK205" i="21" s="1"/>
  <c r="AK84" i="21" s="1"/>
  <c r="M264" i="48"/>
  <c r="M246" i="48" s="1"/>
  <c r="M197" i="48" s="1"/>
  <c r="V1662" i="21"/>
  <c r="V1660" i="21" s="1"/>
  <c r="W1660" i="21" s="1"/>
  <c r="L244" i="48"/>
  <c r="P325" i="21"/>
  <c r="P324" i="21" s="1"/>
  <c r="P321" i="21" s="1"/>
  <c r="Q321" i="21" s="1"/>
  <c r="L129" i="48"/>
  <c r="M560" i="48"/>
  <c r="AB309" i="21"/>
  <c r="W1716" i="21"/>
  <c r="F53" i="44"/>
  <c r="H102" i="47"/>
  <c r="P102" i="47"/>
  <c r="J1680" i="48"/>
  <c r="I1631" i="48"/>
  <c r="I1601" i="48"/>
  <c r="I1648" i="48"/>
  <c r="AG203" i="21"/>
  <c r="AG82" i="21" s="1"/>
  <c r="H35" i="36" s="1"/>
  <c r="V141" i="21"/>
  <c r="V139" i="21" s="1"/>
  <c r="D171" i="48"/>
  <c r="D169" i="48" s="1"/>
  <c r="D317" i="48"/>
  <c r="J561" i="48"/>
  <c r="AE1212" i="21"/>
  <c r="P1728" i="21"/>
  <c r="P1726" i="21" s="1"/>
  <c r="Q1726" i="21" s="1"/>
  <c r="G318" i="48"/>
  <c r="G613" i="48"/>
  <c r="G601" i="48" s="1"/>
  <c r="N150" i="21"/>
  <c r="S710" i="21"/>
  <c r="S684" i="21" s="1"/>
  <c r="S541" i="21" s="1"/>
  <c r="AE710" i="21"/>
  <c r="AE684" i="21" s="1"/>
  <c r="AE541" i="21" s="1"/>
  <c r="AM1390" i="21"/>
  <c r="C55" i="38" s="1"/>
  <c r="AA1390" i="21"/>
  <c r="C55" i="34" s="1"/>
  <c r="O1390" i="21"/>
  <c r="O1396" i="21" s="1"/>
  <c r="O576" i="48"/>
  <c r="I793" i="48"/>
  <c r="F590" i="48"/>
  <c r="O447" i="48"/>
  <c r="L469" i="48"/>
  <c r="AP203" i="21"/>
  <c r="AP82" i="21" s="1"/>
  <c r="H35" i="39" s="1"/>
  <c r="AD203" i="21"/>
  <c r="AD82" i="21" s="1"/>
  <c r="R203" i="21"/>
  <c r="R82" i="21" s="1"/>
  <c r="H35" i="31" s="1"/>
  <c r="M55" i="38"/>
  <c r="J1662" i="21"/>
  <c r="J1660" i="21" s="1"/>
  <c r="K1660" i="21" s="1"/>
  <c r="Y1582" i="21"/>
  <c r="J1721" i="48"/>
  <c r="D9" i="47"/>
  <c r="AR169" i="21"/>
  <c r="G1086" i="48"/>
  <c r="G302" i="48"/>
  <c r="G301" i="48" s="1"/>
  <c r="E52" i="39"/>
  <c r="R47" i="41"/>
  <c r="J1657" i="48"/>
  <c r="G1148" i="48"/>
  <c r="I1672" i="48"/>
  <c r="F1717" i="48"/>
  <c r="O1631" i="48"/>
  <c r="AV1640" i="21"/>
  <c r="O1601" i="48"/>
  <c r="I1542" i="48"/>
  <c r="I1437" i="48"/>
  <c r="O1313" i="48"/>
  <c r="I1279" i="48"/>
  <c r="O1201" i="48"/>
  <c r="O1374" i="48"/>
  <c r="H45" i="38"/>
  <c r="O915" i="48"/>
  <c r="L995" i="48"/>
  <c r="I885" i="48"/>
  <c r="F969" i="48"/>
  <c r="O720" i="48"/>
  <c r="I780" i="48"/>
  <c r="F576" i="48"/>
  <c r="O418" i="48"/>
  <c r="L519" i="48"/>
  <c r="AA370" i="21"/>
  <c r="K35" i="34" s="1"/>
  <c r="I384" i="48"/>
  <c r="O306" i="48"/>
  <c r="O345" i="48"/>
  <c r="O244" i="48"/>
  <c r="O93" i="48"/>
  <c r="N93" i="48" s="1"/>
  <c r="L345" i="48"/>
  <c r="L167" i="48"/>
  <c r="I244" i="48"/>
  <c r="I312" i="48"/>
  <c r="I149" i="48"/>
  <c r="F167" i="48"/>
  <c r="AO1692" i="21"/>
  <c r="D318" i="48"/>
  <c r="AH325" i="21"/>
  <c r="AH324" i="21" s="1"/>
  <c r="AH321" i="21" s="1"/>
  <c r="AI321" i="21" s="1"/>
  <c r="AB547" i="21"/>
  <c r="J560" i="48"/>
  <c r="P547" i="21"/>
  <c r="P545" i="21" s="1"/>
  <c r="AN547" i="21"/>
  <c r="AN545" i="21" s="1"/>
  <c r="AH1198" i="21"/>
  <c r="AH1196" i="21" s="1"/>
  <c r="AI1196" i="21" s="1"/>
  <c r="AR104" i="21"/>
  <c r="G439" i="48"/>
  <c r="G420" i="48" s="1"/>
  <c r="D102" i="47"/>
  <c r="AT339" i="21"/>
  <c r="AK710" i="21"/>
  <c r="AK684" i="21" s="1"/>
  <c r="AK541" i="21" s="1"/>
  <c r="J461" i="48"/>
  <c r="J450" i="48" s="1"/>
  <c r="M1538" i="48"/>
  <c r="G1163" i="48"/>
  <c r="AK645" i="21"/>
  <c r="X999" i="21"/>
  <c r="O299" i="48"/>
  <c r="O79" i="48"/>
  <c r="L326" i="48"/>
  <c r="L161" i="48"/>
  <c r="F287" i="48"/>
  <c r="F96" i="48"/>
  <c r="Y325" i="21"/>
  <c r="Y324" i="21" s="1"/>
  <c r="Y321" i="21" s="1"/>
  <c r="Z321" i="21" s="1"/>
  <c r="M325" i="21"/>
  <c r="M324" i="21" s="1"/>
  <c r="M321" i="21" s="1"/>
  <c r="N321" i="21" s="1"/>
  <c r="G561" i="48"/>
  <c r="M853" i="48"/>
  <c r="M848" i="48" s="1"/>
  <c r="D657" i="48"/>
  <c r="J264" i="48"/>
  <c r="J246" i="48" s="1"/>
  <c r="J197" i="48" s="1"/>
  <c r="AB254" i="21"/>
  <c r="AB205" i="21" s="1"/>
  <c r="J1590" i="48"/>
  <c r="J1315" i="48"/>
  <c r="D1209" i="48"/>
  <c r="G1153" i="48"/>
  <c r="G1286" i="48"/>
  <c r="J94" i="47"/>
  <c r="T94" i="47" s="1"/>
  <c r="F384" i="48"/>
  <c r="N10" i="47"/>
  <c r="U10" i="47" s="1"/>
  <c r="J459" i="21"/>
  <c r="J373" i="21" s="1"/>
  <c r="D461" i="48"/>
  <c r="D450" i="48" s="1"/>
  <c r="D364" i="48" s="1"/>
  <c r="D1656" i="48"/>
  <c r="J1317" i="48"/>
  <c r="F1173" i="48"/>
  <c r="M1591" i="48"/>
  <c r="M1191" i="48"/>
  <c r="D1162" i="48"/>
  <c r="D1147" i="48"/>
  <c r="S1728" i="21"/>
  <c r="S1726" i="21" s="1"/>
  <c r="T1726" i="21" s="1"/>
  <c r="O9" i="47"/>
  <c r="R81" i="47"/>
  <c r="V81" i="47" s="1"/>
  <c r="J114" i="47"/>
  <c r="T114" i="47" s="1"/>
  <c r="T112" i="47" s="1"/>
  <c r="J941" i="48"/>
  <c r="J938" i="48" s="1"/>
  <c r="E52" i="36"/>
  <c r="AB395" i="21"/>
  <c r="J404" i="48"/>
  <c r="J386" i="48" s="1"/>
  <c r="O1173" i="48"/>
  <c r="M1536" i="48"/>
  <c r="D661" i="48"/>
  <c r="G1288" i="48"/>
  <c r="G702" i="48"/>
  <c r="E36" i="37"/>
  <c r="AT266" i="21"/>
  <c r="F1631" i="48"/>
  <c r="AV1610" i="21"/>
  <c r="F1454" i="48"/>
  <c r="L1390" i="21"/>
  <c r="L1447" i="21" s="1"/>
  <c r="F1201" i="48"/>
  <c r="F1374" i="48"/>
  <c r="L980" i="48"/>
  <c r="AA999" i="21"/>
  <c r="O793" i="48"/>
  <c r="O326" i="48"/>
  <c r="L96" i="48"/>
  <c r="L306" i="48"/>
  <c r="L142" i="48"/>
  <c r="I79" i="48"/>
  <c r="I287" i="48"/>
  <c r="F326" i="48"/>
  <c r="F199" i="48"/>
  <c r="F79" i="48"/>
  <c r="M302" i="48"/>
  <c r="M301" i="48" s="1"/>
  <c r="M461" i="48"/>
  <c r="M450" i="48" s="1"/>
  <c r="M364" i="48" s="1"/>
  <c r="AK307" i="21"/>
  <c r="AL307" i="21" s="1"/>
  <c r="M112" i="48"/>
  <c r="M55" i="35"/>
  <c r="AF101" i="21"/>
  <c r="O1542" i="48"/>
  <c r="AV1551" i="21"/>
  <c r="O1571" i="48"/>
  <c r="AG1459" i="21"/>
  <c r="O1437" i="48"/>
  <c r="AS999" i="21"/>
  <c r="O846" i="48"/>
  <c r="L276" i="48"/>
  <c r="T307" i="21"/>
  <c r="F312" i="48"/>
  <c r="J132" i="48"/>
  <c r="J317" i="48"/>
  <c r="D61" i="47"/>
  <c r="G66" i="47"/>
  <c r="R79" i="47"/>
  <c r="V79" i="47" s="1"/>
  <c r="G93" i="47"/>
  <c r="J1211" i="48"/>
  <c r="J1149" i="48"/>
  <c r="E52" i="30"/>
  <c r="E52" i="35"/>
  <c r="H12" i="47"/>
  <c r="Q66" i="47"/>
  <c r="C150" i="47"/>
  <c r="AT300" i="21"/>
  <c r="V307" i="21"/>
  <c r="W307" i="21" s="1"/>
  <c r="E52" i="34"/>
  <c r="M55" i="37"/>
  <c r="L37" i="47"/>
  <c r="L36" i="47" s="1"/>
  <c r="J67" i="47"/>
  <c r="T67" i="47" s="1"/>
  <c r="R69" i="47"/>
  <c r="V69" i="47" s="1"/>
  <c r="M105" i="47"/>
  <c r="L120" i="47"/>
  <c r="L115" i="47" s="1"/>
  <c r="I150" i="47"/>
  <c r="D150" i="47"/>
  <c r="T101" i="21"/>
  <c r="AK175" i="21"/>
  <c r="AL175" i="21" s="1"/>
  <c r="R103" i="47"/>
  <c r="V103" i="47" s="1"/>
  <c r="AR1720" i="21"/>
  <c r="M1662" i="21"/>
  <c r="M1660" i="21" s="1"/>
  <c r="N1660" i="21" s="1"/>
  <c r="P1582" i="21"/>
  <c r="Y645" i="21"/>
  <c r="J41" i="47"/>
  <c r="T41" i="47" s="1"/>
  <c r="M55" i="47"/>
  <c r="J65" i="47"/>
  <c r="T65" i="47" s="1"/>
  <c r="P66" i="47"/>
  <c r="J83" i="47"/>
  <c r="T83" i="47" s="1"/>
  <c r="R92" i="47"/>
  <c r="V92" i="47" s="1"/>
  <c r="Q98" i="47"/>
  <c r="AH175" i="21"/>
  <c r="AI175" i="21" s="1"/>
  <c r="D1536" i="48"/>
  <c r="J1162" i="48"/>
  <c r="M1048" i="21"/>
  <c r="M1002" i="21" s="1"/>
  <c r="M852" i="21" s="1"/>
  <c r="C12" i="47"/>
  <c r="C18" i="47"/>
  <c r="H150" i="47"/>
  <c r="AF1720" i="21"/>
  <c r="Y710" i="21"/>
  <c r="Y684" i="21" s="1"/>
  <c r="AB1662" i="21"/>
  <c r="AB1660" i="21" s="1"/>
  <c r="AC1660" i="21" s="1"/>
  <c r="M1212" i="21"/>
  <c r="AB645" i="21"/>
  <c r="F1542" i="48"/>
  <c r="AF1692" i="21"/>
  <c r="E51" i="41"/>
  <c r="E15" i="30"/>
  <c r="M55" i="31"/>
  <c r="E52" i="37"/>
  <c r="N15" i="47"/>
  <c r="U15" i="47" s="1"/>
  <c r="J40" i="47"/>
  <c r="T40" i="47" s="1"/>
  <c r="R64" i="47"/>
  <c r="V64" i="47" s="1"/>
  <c r="F80" i="47"/>
  <c r="S80" i="47" s="1"/>
  <c r="J82" i="47"/>
  <c r="T82" i="47" s="1"/>
  <c r="F87" i="47"/>
  <c r="S87" i="47" s="1"/>
  <c r="R88" i="47"/>
  <c r="V88" i="47" s="1"/>
  <c r="E90" i="47"/>
  <c r="J139" i="47"/>
  <c r="T139" i="47" s="1"/>
  <c r="AO314" i="21"/>
  <c r="G1536" i="48"/>
  <c r="J662" i="48"/>
  <c r="V645" i="21"/>
  <c r="J660" i="48"/>
  <c r="C37" i="47"/>
  <c r="C36" i="47" s="1"/>
  <c r="G61" i="47"/>
  <c r="R65" i="47"/>
  <c r="V65" i="47" s="1"/>
  <c r="M66" i="47"/>
  <c r="F81" i="47"/>
  <c r="S81" i="47" s="1"/>
  <c r="K90" i="47"/>
  <c r="K98" i="47"/>
  <c r="R108" i="47"/>
  <c r="V108" i="47" s="1"/>
  <c r="AH1683" i="21"/>
  <c r="AH1681" i="21" s="1"/>
  <c r="AI1681" i="21" s="1"/>
  <c r="AT281" i="21"/>
  <c r="AT255" i="21" s="1"/>
  <c r="M1288" i="48"/>
  <c r="J703" i="48"/>
  <c r="G1657" i="48"/>
  <c r="D1538" i="48"/>
  <c r="J1167" i="48"/>
  <c r="J1156" i="48"/>
  <c r="M1123" i="48"/>
  <c r="M1115" i="48" s="1"/>
  <c r="E55" i="41"/>
  <c r="M12" i="47"/>
  <c r="M710" i="21"/>
  <c r="M684" i="21" s="1"/>
  <c r="M541" i="21" s="1"/>
  <c r="P1662" i="21"/>
  <c r="P1660" i="21" s="1"/>
  <c r="Q1660" i="21" s="1"/>
  <c r="P1198" i="21"/>
  <c r="P1196" i="21" s="1"/>
  <c r="Q1196" i="21" s="1"/>
  <c r="F1571" i="48"/>
  <c r="AT115" i="21"/>
  <c r="I102" i="47"/>
  <c r="D700" i="48"/>
  <c r="D674" i="48" s="1"/>
  <c r="G18" i="47"/>
  <c r="Q18" i="47"/>
  <c r="Q314" i="21"/>
  <c r="V1683" i="21"/>
  <c r="V1681" i="21" s="1"/>
  <c r="W1681" i="21" s="1"/>
  <c r="AP1459" i="21"/>
  <c r="AP1454" i="21" s="1"/>
  <c r="Q35" i="39" s="1"/>
  <c r="R1459" i="21"/>
  <c r="R1454" i="21" s="1"/>
  <c r="Q35" i="31" s="1"/>
  <c r="H45" i="35"/>
  <c r="L368" i="48"/>
  <c r="I407" i="48"/>
  <c r="O96" i="48"/>
  <c r="L178" i="48"/>
  <c r="L79" i="48"/>
  <c r="I326" i="48"/>
  <c r="H21" i="44"/>
  <c r="AE325" i="21"/>
  <c r="AE324" i="21" s="1"/>
  <c r="AE321" i="21" s="1"/>
  <c r="AF321" i="21" s="1"/>
  <c r="Y547" i="21"/>
  <c r="M547" i="21"/>
  <c r="AK547" i="21"/>
  <c r="E36" i="33"/>
  <c r="AV1657" i="21"/>
  <c r="I1470" i="48"/>
  <c r="J372" i="21"/>
  <c r="D349" i="48"/>
  <c r="D347" i="48" s="1"/>
  <c r="I1651" i="48"/>
  <c r="I1571" i="48"/>
  <c r="O75" i="29"/>
  <c r="F1481" i="48"/>
  <c r="AJ1390" i="21"/>
  <c r="AJ1396" i="21" s="1"/>
  <c r="X1390" i="21"/>
  <c r="C55" i="33" s="1"/>
  <c r="F1080" i="48"/>
  <c r="I846" i="48"/>
  <c r="F23" i="32"/>
  <c r="I856" i="48"/>
  <c r="L590" i="48"/>
  <c r="L507" i="48"/>
  <c r="O161" i="48"/>
  <c r="AO169" i="21"/>
  <c r="AM203" i="21"/>
  <c r="AM82" i="21" s="1"/>
  <c r="H35" i="38" s="1"/>
  <c r="AA203" i="21"/>
  <c r="AA82" i="21" s="1"/>
  <c r="H35" i="34" s="1"/>
  <c r="T314" i="21"/>
  <c r="I306" i="48"/>
  <c r="I142" i="48"/>
  <c r="T150" i="21"/>
  <c r="Q169" i="21"/>
  <c r="AV169" i="21"/>
  <c r="AK325" i="21"/>
  <c r="AK324" i="21" s="1"/>
  <c r="AK321" i="21" s="1"/>
  <c r="AL321" i="21" s="1"/>
  <c r="M318" i="48"/>
  <c r="AC169" i="21"/>
  <c r="G404" i="48"/>
  <c r="G386" i="48" s="1"/>
  <c r="AV39" i="21"/>
  <c r="M55" i="34"/>
  <c r="E36" i="35"/>
  <c r="E36" i="38"/>
  <c r="E18" i="41"/>
  <c r="E15" i="39"/>
  <c r="F169" i="47"/>
  <c r="S169" i="47" s="1"/>
  <c r="I160" i="47"/>
  <c r="I159" i="47" s="1"/>
  <c r="J167" i="47"/>
  <c r="T167" i="47" s="1"/>
  <c r="R163" i="47"/>
  <c r="V163" i="47" s="1"/>
  <c r="C143" i="47"/>
  <c r="F143" i="47" s="1"/>
  <c r="F147" i="47"/>
  <c r="S147" i="47" s="1"/>
  <c r="S143" i="47" s="1"/>
  <c r="G264" i="48"/>
  <c r="G246" i="48" s="1"/>
  <c r="G197" i="48" s="1"/>
  <c r="AV1704" i="21"/>
  <c r="L1601" i="48"/>
  <c r="L1437" i="48"/>
  <c r="I1187" i="48"/>
  <c r="I1159" i="48"/>
  <c r="I1113" i="48"/>
  <c r="O885" i="48"/>
  <c r="I995" i="48"/>
  <c r="I1036" i="48"/>
  <c r="F885" i="48"/>
  <c r="F935" i="48"/>
  <c r="L576" i="48"/>
  <c r="O375" i="48"/>
  <c r="O312" i="48"/>
  <c r="L78" i="29"/>
  <c r="F1518" i="48"/>
  <c r="AM1459" i="21"/>
  <c r="O1454" i="48"/>
  <c r="O142" i="48"/>
  <c r="AR150" i="21"/>
  <c r="AT413" i="21"/>
  <c r="AT395" i="21" s="1"/>
  <c r="AT272" i="21"/>
  <c r="AT254" i="21" s="1"/>
  <c r="AT205" i="21" s="1"/>
  <c r="L969" i="48"/>
  <c r="AQ1323" i="21"/>
  <c r="AQ1322" i="21" s="1"/>
  <c r="AR1322" i="21" s="1"/>
  <c r="P480" i="21"/>
  <c r="P372" i="21" s="1"/>
  <c r="D491" i="48"/>
  <c r="D471" i="48" s="1"/>
  <c r="AV1619" i="21"/>
  <c r="AV101" i="21"/>
  <c r="AU101" i="21" s="1"/>
  <c r="AV335" i="21"/>
  <c r="O1080" i="48"/>
  <c r="E15" i="35"/>
  <c r="AT471" i="21"/>
  <c r="AT458" i="21" s="1"/>
  <c r="AV87" i="21"/>
  <c r="F1648" i="48"/>
  <c r="D528" i="48"/>
  <c r="D521" i="48" s="1"/>
  <c r="AL1167" i="21"/>
  <c r="O1158" i="48"/>
  <c r="N1158" i="48" s="1"/>
  <c r="AB530" i="21"/>
  <c r="J528" i="48"/>
  <c r="J521" i="48" s="1"/>
  <c r="AG1674" i="21"/>
  <c r="T35" i="36" s="1"/>
  <c r="O1610" i="48"/>
  <c r="I199" i="48"/>
  <c r="AN1683" i="21"/>
  <c r="AN1681" i="21" s="1"/>
  <c r="AO1681" i="21" s="1"/>
  <c r="M1317" i="48"/>
  <c r="AT448" i="21"/>
  <c r="AT429" i="21" s="1"/>
  <c r="O102" i="47"/>
  <c r="F1437" i="48"/>
  <c r="AV1446" i="21"/>
  <c r="AL1692" i="21"/>
  <c r="E36" i="34"/>
  <c r="H45" i="30"/>
  <c r="F161" i="48"/>
  <c r="AF150" i="21"/>
  <c r="AV1580" i="21"/>
  <c r="AD999" i="21"/>
  <c r="D439" i="48"/>
  <c r="D420" i="48" s="1"/>
  <c r="F1601" i="48"/>
  <c r="M462" i="48"/>
  <c r="M449" i="48" s="1"/>
  <c r="F407" i="48"/>
  <c r="T169" i="21"/>
  <c r="I161" i="48"/>
  <c r="F306" i="48"/>
  <c r="AV314" i="21"/>
  <c r="K150" i="21"/>
  <c r="AV150" i="21"/>
  <c r="AF169" i="21"/>
  <c r="F1499" i="48"/>
  <c r="AT269" i="21"/>
  <c r="M292" i="48"/>
  <c r="Z1657" i="21"/>
  <c r="D404" i="48"/>
  <c r="D386" i="48" s="1"/>
  <c r="M55" i="36"/>
  <c r="AR314" i="21"/>
  <c r="G230" i="48"/>
  <c r="O1707" i="48"/>
  <c r="L1454" i="48"/>
  <c r="Q1692" i="21"/>
  <c r="Y528" i="21"/>
  <c r="Z528" i="21" s="1"/>
  <c r="V175" i="21"/>
  <c r="W175" i="21" s="1"/>
  <c r="J528" i="21"/>
  <c r="K528" i="21" s="1"/>
  <c r="Y175" i="21"/>
  <c r="Z175" i="21" s="1"/>
  <c r="AL101" i="21"/>
  <c r="O599" i="48"/>
  <c r="F634" i="48"/>
  <c r="O519" i="48"/>
  <c r="J11" i="47"/>
  <c r="T11" i="47" s="1"/>
  <c r="E9" i="47"/>
  <c r="M1682" i="48"/>
  <c r="M1050" i="48"/>
  <c r="D1050" i="48"/>
  <c r="K314" i="21"/>
  <c r="P307" i="21"/>
  <c r="Q307" i="21" s="1"/>
  <c r="O1499" i="48"/>
  <c r="H45" i="32"/>
  <c r="L1481" i="48"/>
  <c r="Z1479" i="21"/>
  <c r="AV67" i="21"/>
  <c r="E15" i="31"/>
  <c r="S354" i="21"/>
  <c r="T354" i="21" s="1"/>
  <c r="J103" i="47"/>
  <c r="T103" i="47" s="1"/>
  <c r="G1051" i="48"/>
  <c r="F103" i="47"/>
  <c r="S103" i="47" s="1"/>
  <c r="E15" i="29"/>
  <c r="M54" i="44"/>
  <c r="E120" i="47"/>
  <c r="E115" i="47" s="1"/>
  <c r="O120" i="47"/>
  <c r="O115" i="47" s="1"/>
  <c r="O136" i="47"/>
  <c r="R162" i="47"/>
  <c r="V162" i="47" s="1"/>
  <c r="L599" i="48"/>
  <c r="N1657" i="21"/>
  <c r="K9" i="47"/>
  <c r="D73" i="47"/>
  <c r="K169" i="21"/>
  <c r="M211" i="48"/>
  <c r="J1170" i="48"/>
  <c r="J1161" i="48" s="1"/>
  <c r="AT1030" i="21"/>
  <c r="D1021" i="48"/>
  <c r="G1019" i="48"/>
  <c r="S1027" i="21"/>
  <c r="S1005" i="21" s="1"/>
  <c r="S1004" i="21" s="1"/>
  <c r="T1004" i="21" s="1"/>
  <c r="AT1028" i="21"/>
  <c r="V1494" i="21"/>
  <c r="V1491" i="21" s="1"/>
  <c r="V1490" i="21" s="1"/>
  <c r="G1486" i="48"/>
  <c r="G1485" i="48" s="1"/>
  <c r="G399" i="48"/>
  <c r="AT408" i="21"/>
  <c r="J1291" i="48"/>
  <c r="AB1299" i="21"/>
  <c r="AB1289" i="21" s="1"/>
  <c r="M1331" i="48"/>
  <c r="M1330" i="48" s="1"/>
  <c r="AN1339" i="21"/>
  <c r="AN1333" i="21" s="1"/>
  <c r="AN1332" i="21" s="1"/>
  <c r="AO1332" i="21" s="1"/>
  <c r="AQ1460" i="21"/>
  <c r="AQ1463" i="21"/>
  <c r="AR1463" i="21" s="1"/>
  <c r="M253" i="48"/>
  <c r="P253" i="48" s="1"/>
  <c r="Q105" i="47"/>
  <c r="AH296" i="21"/>
  <c r="AH295" i="21"/>
  <c r="AI295" i="21" s="1"/>
  <c r="J686" i="21"/>
  <c r="J682" i="21" s="1"/>
  <c r="D678" i="48"/>
  <c r="AT687" i="21"/>
  <c r="G687" i="48"/>
  <c r="V694" i="21"/>
  <c r="V682" i="21" s="1"/>
  <c r="AT696" i="21"/>
  <c r="G693" i="48"/>
  <c r="AT702" i="21"/>
  <c r="AB747" i="21"/>
  <c r="AB730" i="21" s="1"/>
  <c r="AB729" i="21" s="1"/>
  <c r="AC729" i="21" s="1"/>
  <c r="J739" i="48"/>
  <c r="J797" i="48"/>
  <c r="AE805" i="21"/>
  <c r="M806" i="48"/>
  <c r="P806" i="48" s="1"/>
  <c r="AT815" i="21"/>
  <c r="AQ812" i="21"/>
  <c r="AQ803" i="21" s="1"/>
  <c r="G812" i="48"/>
  <c r="G811" i="48" s="1"/>
  <c r="S820" i="21"/>
  <c r="D1461" i="48"/>
  <c r="AT1470" i="21"/>
  <c r="D1054" i="48"/>
  <c r="AT1063" i="21"/>
  <c r="AT1233" i="21"/>
  <c r="D1224" i="48"/>
  <c r="D1223" i="48" s="1"/>
  <c r="J1232" i="21"/>
  <c r="P1494" i="21"/>
  <c r="P1491" i="21" s="1"/>
  <c r="P1490" i="21" s="1"/>
  <c r="O74" i="31" s="1"/>
  <c r="O76" i="31" s="1"/>
  <c r="D1487" i="48"/>
  <c r="D1485" i="48" s="1"/>
  <c r="D1623" i="48"/>
  <c r="AT1632" i="21"/>
  <c r="G1055" i="48"/>
  <c r="G1053" i="48" s="1"/>
  <c r="S1062" i="21"/>
  <c r="S1046" i="21" s="1"/>
  <c r="AT1064" i="21"/>
  <c r="Y1464" i="21"/>
  <c r="Y1584" i="21"/>
  <c r="Y1581" i="21" s="1"/>
  <c r="G1576" i="48"/>
  <c r="Y1066" i="21"/>
  <c r="Y1046" i="21" s="1"/>
  <c r="G1059" i="48"/>
  <c r="G1057" i="48" s="1"/>
  <c r="AT1068" i="21"/>
  <c r="J1589" i="48"/>
  <c r="J1586" i="48" s="1"/>
  <c r="AT1598" i="21"/>
  <c r="AB1595" i="21"/>
  <c r="AB1581" i="21" s="1"/>
  <c r="AB1339" i="21"/>
  <c r="AB1333" i="21" s="1"/>
  <c r="AB1332" i="21" s="1"/>
  <c r="AC1332" i="21" s="1"/>
  <c r="J1331" i="48"/>
  <c r="J1330" i="48" s="1"/>
  <c r="M1522" i="48"/>
  <c r="AN1528" i="21"/>
  <c r="L75" i="39" s="1"/>
  <c r="AE1014" i="21"/>
  <c r="AT1015" i="21"/>
  <c r="AT1014" i="21" s="1"/>
  <c r="J646" i="48"/>
  <c r="AE654" i="21"/>
  <c r="AK1494" i="21"/>
  <c r="AK1491" i="21" s="1"/>
  <c r="AK1490" i="21" s="1"/>
  <c r="M1487" i="48"/>
  <c r="M1485" i="48" s="1"/>
  <c r="M458" i="48"/>
  <c r="P458" i="48" s="1"/>
  <c r="AT467" i="21"/>
  <c r="AK457" i="21"/>
  <c r="AK456" i="21" s="1"/>
  <c r="AL456" i="21" s="1"/>
  <c r="M255" i="48"/>
  <c r="P255" i="48" s="1"/>
  <c r="AQ262" i="21"/>
  <c r="AQ253" i="21" s="1"/>
  <c r="AQ252" i="21" s="1"/>
  <c r="AT263" i="21"/>
  <c r="AQ790" i="21"/>
  <c r="G1461" i="48"/>
  <c r="M391" i="48"/>
  <c r="Q90" i="47"/>
  <c r="S924" i="21"/>
  <c r="T924" i="21" s="1"/>
  <c r="P924" i="21"/>
  <c r="Q924" i="21" s="1"/>
  <c r="AY865" i="21"/>
  <c r="F21" i="44" s="1"/>
  <c r="F23" i="44" s="1"/>
  <c r="D1526" i="48"/>
  <c r="AT1300" i="21"/>
  <c r="D1551" i="48"/>
  <c r="D163" i="48"/>
  <c r="D162" i="48" s="1"/>
  <c r="D161" i="48" s="1"/>
  <c r="AT213" i="21"/>
  <c r="AQ399" i="21"/>
  <c r="AQ394" i="21" s="1"/>
  <c r="J1003" i="21"/>
  <c r="J854" i="21" s="1"/>
  <c r="J1021" i="48"/>
  <c r="AH1581" i="21"/>
  <c r="AQ924" i="21"/>
  <c r="AR924" i="21" s="1"/>
  <c r="G225" i="48"/>
  <c r="G224" i="48" s="1"/>
  <c r="D744" i="48"/>
  <c r="P744" i="48" s="1"/>
  <c r="AT753" i="21"/>
  <c r="AT1562" i="21"/>
  <c r="D1553" i="48"/>
  <c r="P1553" i="48" s="1"/>
  <c r="G223" i="48"/>
  <c r="P223" i="48" s="1"/>
  <c r="AT231" i="21"/>
  <c r="G1004" i="48"/>
  <c r="G1002" i="48" s="1"/>
  <c r="Y1011" i="21"/>
  <c r="AT1013" i="21"/>
  <c r="J1461" i="48"/>
  <c r="J1455" i="48" s="1"/>
  <c r="AB1464" i="21"/>
  <c r="AE1558" i="21"/>
  <c r="AE1552" i="21" s="1"/>
  <c r="AE1551" i="21" s="1"/>
  <c r="AF1551" i="21" s="1"/>
  <c r="J1550" i="48"/>
  <c r="J1549" i="48" s="1"/>
  <c r="M1461" i="48"/>
  <c r="M1455" i="48" s="1"/>
  <c r="AN1464" i="21"/>
  <c r="AN1460" i="21" s="1"/>
  <c r="AN1459" i="21" s="1"/>
  <c r="M814" i="48"/>
  <c r="P814" i="48" s="1"/>
  <c r="AT823" i="21"/>
  <c r="M833" i="48"/>
  <c r="R10" i="47"/>
  <c r="V10" i="47" s="1"/>
  <c r="J1558" i="21"/>
  <c r="D1550" i="48"/>
  <c r="AT1559" i="21"/>
  <c r="AT873" i="21"/>
  <c r="AT872" i="21" s="1"/>
  <c r="D730" i="48"/>
  <c r="AT739" i="21"/>
  <c r="G1605" i="48"/>
  <c r="AT1614" i="21"/>
  <c r="Y1611" i="21"/>
  <c r="Y1610" i="21" s="1"/>
  <c r="Z1610" i="21" s="1"/>
  <c r="G210" i="48"/>
  <c r="AT218" i="21"/>
  <c r="M1579" i="48"/>
  <c r="AN1581" i="21"/>
  <c r="AQ1494" i="21"/>
  <c r="AQ1491" i="21" s="1"/>
  <c r="AQ1490" i="21" s="1"/>
  <c r="M817" i="48"/>
  <c r="M815" i="48" s="1"/>
  <c r="AT826" i="21"/>
  <c r="M1215" i="21"/>
  <c r="M1211" i="21" s="1"/>
  <c r="AT832" i="21"/>
  <c r="AT401" i="21"/>
  <c r="G392" i="48"/>
  <c r="AT555" i="21"/>
  <c r="I37" i="47"/>
  <c r="I36" i="47" s="1"/>
  <c r="AT402" i="21"/>
  <c r="AT1032" i="21"/>
  <c r="J1062" i="21"/>
  <c r="J1046" i="21" s="1"/>
  <c r="P1631" i="21"/>
  <c r="P1620" i="21" s="1"/>
  <c r="P1619" i="21" s="1"/>
  <c r="Q1619" i="21" s="1"/>
  <c r="F61" i="41"/>
  <c r="S1088" i="21"/>
  <c r="D824" i="48"/>
  <c r="P824" i="48" s="1"/>
  <c r="AT833" i="21"/>
  <c r="AH830" i="21"/>
  <c r="AH804" i="21" s="1"/>
  <c r="AH544" i="21" s="1"/>
  <c r="J826" i="48"/>
  <c r="J1020" i="21"/>
  <c r="D1012" i="48"/>
  <c r="D1011" i="48" s="1"/>
  <c r="AT1021" i="21"/>
  <c r="AT1020" i="21" s="1"/>
  <c r="D679" i="48"/>
  <c r="AT688" i="21"/>
  <c r="D1503" i="48"/>
  <c r="AT1512" i="21"/>
  <c r="D726" i="48"/>
  <c r="AT735" i="21"/>
  <c r="D1625" i="48"/>
  <c r="P1625" i="48" s="1"/>
  <c r="AT1634" i="21"/>
  <c r="P1339" i="21"/>
  <c r="P1333" i="21" s="1"/>
  <c r="D1331" i="48"/>
  <c r="G1523" i="48"/>
  <c r="AT1532" i="21"/>
  <c r="S1528" i="21"/>
  <c r="L75" i="32" s="1"/>
  <c r="V872" i="21"/>
  <c r="V866" i="21" s="1"/>
  <c r="G864" i="48"/>
  <c r="G863" i="48" s="1"/>
  <c r="V1299" i="21"/>
  <c r="V1289" i="21" s="1"/>
  <c r="AT1307" i="21"/>
  <c r="G1118" i="48"/>
  <c r="G1114" i="48" s="1"/>
  <c r="Y1123" i="21"/>
  <c r="AT1127" i="21"/>
  <c r="AT1123" i="21" s="1"/>
  <c r="G209" i="48"/>
  <c r="Y216" i="21"/>
  <c r="AB120" i="21"/>
  <c r="AB114" i="21" s="1"/>
  <c r="AB113" i="21" s="1"/>
  <c r="AC113" i="21" s="1"/>
  <c r="J113" i="48"/>
  <c r="J112" i="48" s="1"/>
  <c r="AE663" i="21"/>
  <c r="J655" i="48"/>
  <c r="J654" i="48" s="1"/>
  <c r="J736" i="48"/>
  <c r="P736" i="48" s="1"/>
  <c r="AT745" i="21"/>
  <c r="AT744" i="21" s="1"/>
  <c r="M1020" i="48"/>
  <c r="M1018" i="48" s="1"/>
  <c r="AN1027" i="21"/>
  <c r="AQ1558" i="21"/>
  <c r="M1550" i="48"/>
  <c r="AY1455" i="21"/>
  <c r="AY1551" i="21"/>
  <c r="AT1495" i="21"/>
  <c r="AT1568" i="21"/>
  <c r="AH682" i="21"/>
  <c r="Y730" i="21"/>
  <c r="Y729" i="21" s="1"/>
  <c r="Z729" i="21" s="1"/>
  <c r="AT733" i="21"/>
  <c r="M751" i="21"/>
  <c r="AT754" i="21"/>
  <c r="D745" i="48"/>
  <c r="AT807" i="21"/>
  <c r="S805" i="21"/>
  <c r="G798" i="48"/>
  <c r="S830" i="21"/>
  <c r="S804" i="21" s="1"/>
  <c r="S544" i="21" s="1"/>
  <c r="G823" i="48"/>
  <c r="D1529" i="48"/>
  <c r="AT1538" i="21"/>
  <c r="D786" i="48"/>
  <c r="P786" i="48" s="1"/>
  <c r="AT795" i="21"/>
  <c r="AT741" i="21"/>
  <c r="D732" i="48"/>
  <c r="D731" i="48" s="1"/>
  <c r="M546" i="21"/>
  <c r="AT557" i="21"/>
  <c r="D802" i="48"/>
  <c r="AT811" i="21"/>
  <c r="AT665" i="21"/>
  <c r="G656" i="48"/>
  <c r="G398" i="48"/>
  <c r="P398" i="48" s="1"/>
  <c r="AT407" i="21"/>
  <c r="J423" i="48"/>
  <c r="M733" i="48"/>
  <c r="AT742" i="21"/>
  <c r="M209" i="48"/>
  <c r="AN216" i="21"/>
  <c r="AT748" i="21"/>
  <c r="J483" i="48"/>
  <c r="J481" i="48" s="1"/>
  <c r="AB490" i="21"/>
  <c r="AT492" i="21"/>
  <c r="AE872" i="21"/>
  <c r="AE866" i="21" s="1"/>
  <c r="AT821" i="21"/>
  <c r="AT820" i="21" s="1"/>
  <c r="AK528" i="21"/>
  <c r="AL528" i="21" s="1"/>
  <c r="J740" i="21"/>
  <c r="AT1536" i="21"/>
  <c r="D1527" i="48"/>
  <c r="D610" i="48"/>
  <c r="P610" i="48" s="1"/>
  <c r="AT619" i="21"/>
  <c r="D1214" i="48"/>
  <c r="J1222" i="21"/>
  <c r="AT1223" i="21"/>
  <c r="J219" i="21"/>
  <c r="D213" i="48"/>
  <c r="M169" i="21"/>
  <c r="N169" i="21" s="1"/>
  <c r="P1595" i="21"/>
  <c r="P1581" i="21" s="1"/>
  <c r="AT1596" i="21"/>
  <c r="D1587" i="48"/>
  <c r="P1587" i="48" s="1"/>
  <c r="AT1498" i="21"/>
  <c r="S1497" i="21"/>
  <c r="S1491" i="21" s="1"/>
  <c r="S1490" i="21" s="1"/>
  <c r="G1489" i="48"/>
  <c r="P1489" i="48" s="1"/>
  <c r="G213" i="48"/>
  <c r="G211" i="48" s="1"/>
  <c r="S219" i="21"/>
  <c r="V1581" i="21"/>
  <c r="G1578" i="48"/>
  <c r="P1578" i="48" s="1"/>
  <c r="V285" i="21"/>
  <c r="V284" i="21" s="1"/>
  <c r="W284" i="21" s="1"/>
  <c r="AT288" i="21"/>
  <c r="G280" i="48"/>
  <c r="P280" i="48" s="1"/>
  <c r="G1012" i="48"/>
  <c r="Y1020" i="21"/>
  <c r="AB225" i="21"/>
  <c r="J219" i="48"/>
  <c r="AT227" i="21"/>
  <c r="J203" i="48"/>
  <c r="P203" i="48" s="1"/>
  <c r="AT211" i="21"/>
  <c r="AK1584" i="21"/>
  <c r="AK1581" i="21" s="1"/>
  <c r="M1577" i="48"/>
  <c r="M730" i="48"/>
  <c r="AQ1584" i="21"/>
  <c r="AQ1581" i="21" s="1"/>
  <c r="M1576" i="48"/>
  <c r="AQ686" i="21"/>
  <c r="AQ682" i="21" s="1"/>
  <c r="M678" i="48"/>
  <c r="M677" i="48" s="1"/>
  <c r="AE208" i="21"/>
  <c r="AE207" i="21" s="1"/>
  <c r="J1559" i="48"/>
  <c r="J1558" i="48" s="1"/>
  <c r="J658" i="48"/>
  <c r="P658" i="48" s="1"/>
  <c r="J1683" i="21"/>
  <c r="J1681" i="21" s="1"/>
  <c r="K1681" i="21" s="1"/>
  <c r="D1682" i="48"/>
  <c r="D686" i="48"/>
  <c r="M694" i="21"/>
  <c r="M682" i="21" s="1"/>
  <c r="M690" i="48"/>
  <c r="P690" i="48" s="1"/>
  <c r="AT699" i="21"/>
  <c r="G692" i="48"/>
  <c r="AT701" i="21"/>
  <c r="AT737" i="21"/>
  <c r="AT736" i="21" s="1"/>
  <c r="D728" i="48"/>
  <c r="D727" i="48" s="1"/>
  <c r="M736" i="21"/>
  <c r="D784" i="48"/>
  <c r="AT793" i="21"/>
  <c r="M792" i="21"/>
  <c r="AT814" i="21"/>
  <c r="AB812" i="21"/>
  <c r="D1016" i="48"/>
  <c r="D1015" i="48" s="1"/>
  <c r="AT1025" i="21"/>
  <c r="AT1024" i="21" s="1"/>
  <c r="J1024" i="21"/>
  <c r="D226" i="48"/>
  <c r="P226" i="48" s="1"/>
  <c r="AT234" i="21"/>
  <c r="J232" i="21"/>
  <c r="AT1586" i="21"/>
  <c r="V1554" i="21"/>
  <c r="V1552" i="21" s="1"/>
  <c r="G1546" i="48"/>
  <c r="G1545" i="48" s="1"/>
  <c r="G290" i="48"/>
  <c r="G289" i="48" s="1"/>
  <c r="V297" i="21"/>
  <c r="AT298" i="21"/>
  <c r="AT297" i="21" s="1"/>
  <c r="G1207" i="48"/>
  <c r="Y1215" i="21"/>
  <c r="Y1211" i="21" s="1"/>
  <c r="J740" i="48"/>
  <c r="P740" i="48" s="1"/>
  <c r="AT749" i="21"/>
  <c r="AH747" i="21"/>
  <c r="AH730" i="21" s="1"/>
  <c r="AH729" i="21" s="1"/>
  <c r="AI729" i="21" s="1"/>
  <c r="M1623" i="48"/>
  <c r="M1622" i="48" s="1"/>
  <c r="AK1631" i="21"/>
  <c r="J684" i="48"/>
  <c r="J682" i="48" s="1"/>
  <c r="AT1587" i="21"/>
  <c r="AH666" i="21"/>
  <c r="AT405" i="21"/>
  <c r="Y403" i="21"/>
  <c r="G456" i="48"/>
  <c r="AT465" i="21"/>
  <c r="Y457" i="21"/>
  <c r="Y456" i="21" s="1"/>
  <c r="Z456" i="21" s="1"/>
  <c r="AE487" i="21"/>
  <c r="J480" i="48"/>
  <c r="J478" i="48" s="1"/>
  <c r="M522" i="48"/>
  <c r="AT531" i="21"/>
  <c r="J585" i="48"/>
  <c r="J583" i="48" s="1"/>
  <c r="AB592" i="21"/>
  <c r="AB586" i="21" s="1"/>
  <c r="AB585" i="21" s="1"/>
  <c r="AC585" i="21" s="1"/>
  <c r="AQ789" i="21"/>
  <c r="AR789" i="21" s="1"/>
  <c r="AT1535" i="21"/>
  <c r="AT1496" i="21"/>
  <c r="AH528" i="21"/>
  <c r="AI528" i="21" s="1"/>
  <c r="AB855" i="21"/>
  <c r="AC855" i="21" s="1"/>
  <c r="AN384" i="21"/>
  <c r="AO384" i="21" s="1"/>
  <c r="AQ855" i="21"/>
  <c r="AR855" i="21" s="1"/>
  <c r="M830" i="21"/>
  <c r="M804" i="21" s="1"/>
  <c r="M544" i="21" s="1"/>
  <c r="AQ830" i="21"/>
  <c r="AQ804" i="21" s="1"/>
  <c r="AQ544" i="21" s="1"/>
  <c r="M822" i="48"/>
  <c r="P822" i="48" s="1"/>
  <c r="D826" i="48"/>
  <c r="AT835" i="21"/>
  <c r="J830" i="48"/>
  <c r="P830" i="48" s="1"/>
  <c r="AT839" i="21"/>
  <c r="AT1537" i="21"/>
  <c r="D1585" i="48"/>
  <c r="D725" i="48"/>
  <c r="D723" i="48" s="1"/>
  <c r="AT734" i="21"/>
  <c r="D652" i="48"/>
  <c r="P652" i="48" s="1"/>
  <c r="AT661" i="21"/>
  <c r="AT1093" i="21"/>
  <c r="M1558" i="21"/>
  <c r="D1552" i="48"/>
  <c r="M1584" i="21"/>
  <c r="D1576" i="48"/>
  <c r="D1575" i="48" s="1"/>
  <c r="D1299" i="48"/>
  <c r="P1299" i="48" s="1"/>
  <c r="AT1308" i="21"/>
  <c r="P1554" i="21"/>
  <c r="D680" i="48"/>
  <c r="P680" i="48" s="1"/>
  <c r="AT689" i="21"/>
  <c r="P219" i="21"/>
  <c r="D212" i="48"/>
  <c r="P212" i="48" s="1"/>
  <c r="G871" i="48"/>
  <c r="AT880" i="21"/>
  <c r="G1459" i="48"/>
  <c r="G1457" i="48" s="1"/>
  <c r="V1466" i="21"/>
  <c r="AT215" i="21"/>
  <c r="G339" i="48"/>
  <c r="P339" i="48" s="1"/>
  <c r="Y346" i="21"/>
  <c r="Y336" i="21" s="1"/>
  <c r="Y335" i="21" s="1"/>
  <c r="Z335" i="21" s="1"/>
  <c r="Y262" i="21"/>
  <c r="Y253" i="21" s="1"/>
  <c r="Y252" i="21" s="1"/>
  <c r="G256" i="48"/>
  <c r="G254" i="48" s="1"/>
  <c r="G679" i="48"/>
  <c r="G677" i="48" s="1"/>
  <c r="Y686" i="21"/>
  <c r="Y682" i="21" s="1"/>
  <c r="J1524" i="48"/>
  <c r="AB1528" i="21"/>
  <c r="L75" i="35" s="1"/>
  <c r="Y1299" i="21"/>
  <c r="Y1289" i="21" s="1"/>
  <c r="J216" i="48"/>
  <c r="J214" i="48" s="1"/>
  <c r="AB222" i="21"/>
  <c r="J1522" i="48"/>
  <c r="AE1528" i="21"/>
  <c r="L75" i="36" s="1"/>
  <c r="J1024" i="48"/>
  <c r="J1022" i="48" s="1"/>
  <c r="AH1005" i="21"/>
  <c r="AH546" i="21"/>
  <c r="J542" i="48"/>
  <c r="P542" i="48" s="1"/>
  <c r="AT551" i="21"/>
  <c r="AK1552" i="21"/>
  <c r="AK1551" i="21" s="1"/>
  <c r="AL1551" i="21" s="1"/>
  <c r="M1620" i="48"/>
  <c r="P1620" i="48" s="1"/>
  <c r="AK1623" i="21"/>
  <c r="M1329" i="48"/>
  <c r="AK1333" i="21"/>
  <c r="AK1332" i="21" s="1"/>
  <c r="AL1332" i="21" s="1"/>
  <c r="M687" i="48"/>
  <c r="M685" i="48" s="1"/>
  <c r="AK694" i="21"/>
  <c r="AK682" i="21" s="1"/>
  <c r="M864" i="48"/>
  <c r="M863" i="48" s="1"/>
  <c r="AN872" i="21"/>
  <c r="AN1020" i="21"/>
  <c r="M1012" i="48"/>
  <c r="M1011" i="48" s="1"/>
  <c r="M1054" i="48"/>
  <c r="AQ1062" i="21"/>
  <c r="AQ1046" i="21" s="1"/>
  <c r="M221" i="48"/>
  <c r="M220" i="48" s="1"/>
  <c r="AQ228" i="21"/>
  <c r="M656" i="48"/>
  <c r="AQ663" i="21"/>
  <c r="AQ644" i="21" s="1"/>
  <c r="M517" i="21"/>
  <c r="M516" i="21" s="1"/>
  <c r="N516" i="21" s="1"/>
  <c r="V1464" i="21"/>
  <c r="AT355" i="21"/>
  <c r="AQ384" i="21"/>
  <c r="AR384" i="21" s="1"/>
  <c r="AT1534" i="21"/>
  <c r="AT1533" i="21"/>
  <c r="AK516" i="21"/>
  <c r="AL516" i="21" s="1"/>
  <c r="G1291" i="48"/>
  <c r="AH663" i="21"/>
  <c r="I65" i="41"/>
  <c r="F59" i="47"/>
  <c r="S59" i="47" s="1"/>
  <c r="N57" i="47"/>
  <c r="U57" i="47" s="1"/>
  <c r="R60" i="47"/>
  <c r="V60" i="47" s="1"/>
  <c r="N68" i="47"/>
  <c r="U68" i="47" s="1"/>
  <c r="R100" i="47"/>
  <c r="V100" i="47" s="1"/>
  <c r="V1479" i="21"/>
  <c r="W1479" i="21" s="1"/>
  <c r="AB1088" i="21"/>
  <c r="D1084" i="48"/>
  <c r="D319" i="48"/>
  <c r="D313" i="48" s="1"/>
  <c r="J322" i="21"/>
  <c r="P516" i="21"/>
  <c r="Q516" i="21" s="1"/>
  <c r="V1447" i="21"/>
  <c r="V1446" i="21" s="1"/>
  <c r="W1446" i="21" s="1"/>
  <c r="AB322" i="21"/>
  <c r="J319" i="48"/>
  <c r="M485" i="48"/>
  <c r="P1479" i="21"/>
  <c r="Q1479" i="21" s="1"/>
  <c r="AT552" i="21"/>
  <c r="AT700" i="21"/>
  <c r="V751" i="21"/>
  <c r="V730" i="21" s="1"/>
  <c r="V729" i="21" s="1"/>
  <c r="W729" i="21" s="1"/>
  <c r="G745" i="48"/>
  <c r="G742" i="48" s="1"/>
  <c r="D799" i="48"/>
  <c r="P799" i="48" s="1"/>
  <c r="AT808" i="21"/>
  <c r="J1567" i="21"/>
  <c r="D1560" i="48"/>
  <c r="AT1569" i="21"/>
  <c r="D582" i="48"/>
  <c r="D580" i="48" s="1"/>
  <c r="J589" i="21"/>
  <c r="J586" i="21" s="1"/>
  <c r="J585" i="21" s="1"/>
  <c r="K585" i="21" s="1"/>
  <c r="AT647" i="21"/>
  <c r="D638" i="48"/>
  <c r="P638" i="48" s="1"/>
  <c r="D256" i="48"/>
  <c r="D254" i="48" s="1"/>
  <c r="J262" i="21"/>
  <c r="J253" i="21" s="1"/>
  <c r="J252" i="21" s="1"/>
  <c r="D378" i="48"/>
  <c r="P385" i="21"/>
  <c r="G655" i="48"/>
  <c r="AT664" i="21"/>
  <c r="S663" i="21"/>
  <c r="S644" i="21" s="1"/>
  <c r="AT1531" i="21"/>
  <c r="V1528" i="21"/>
  <c r="L75" i="33" s="1"/>
  <c r="Y120" i="21"/>
  <c r="Y114" i="21" s="1"/>
  <c r="Y113" i="21" s="1"/>
  <c r="Z113" i="21" s="1"/>
  <c r="G113" i="48"/>
  <c r="Y222" i="21"/>
  <c r="G215" i="48"/>
  <c r="AE658" i="21"/>
  <c r="J650" i="48"/>
  <c r="J649" i="48" s="1"/>
  <c r="M732" i="48"/>
  <c r="AK740" i="21"/>
  <c r="AK730" i="21" s="1"/>
  <c r="AK729" i="21" s="1"/>
  <c r="AL729" i="21" s="1"/>
  <c r="M1224" i="48"/>
  <c r="M1223" i="48" s="1"/>
  <c r="AN1232" i="21"/>
  <c r="AN1211" i="21" s="1"/>
  <c r="M210" i="48"/>
  <c r="AQ216" i="21"/>
  <c r="G1604" i="48"/>
  <c r="P1604" i="48" s="1"/>
  <c r="AT1555" i="21"/>
  <c r="I61" i="47"/>
  <c r="E84" i="47"/>
  <c r="Q93" i="47"/>
  <c r="G105" i="47"/>
  <c r="M441" i="21"/>
  <c r="M428" i="21" s="1"/>
  <c r="S1090" i="21"/>
  <c r="S1089" i="21" s="1"/>
  <c r="T1089" i="21" s="1"/>
  <c r="AB896" i="21"/>
  <c r="AB894" i="21" s="1"/>
  <c r="AC894" i="21" s="1"/>
  <c r="P1393" i="21"/>
  <c r="P1087" i="21" s="1"/>
  <c r="AN1393" i="21"/>
  <c r="AN1087" i="21" s="1"/>
  <c r="N48" i="41"/>
  <c r="E52" i="40"/>
  <c r="G485" i="48"/>
  <c r="AT494" i="21"/>
  <c r="J609" i="48"/>
  <c r="AT618" i="21"/>
  <c r="J751" i="21"/>
  <c r="AT752" i="21"/>
  <c r="AT806" i="21"/>
  <c r="D797" i="48"/>
  <c r="J805" i="21"/>
  <c r="J803" i="21" s="1"/>
  <c r="AN830" i="21"/>
  <c r="AN804" i="21" s="1"/>
  <c r="AT819" i="21"/>
  <c r="D810" i="48"/>
  <c r="D807" i="48" s="1"/>
  <c r="D371" i="48"/>
  <c r="J378" i="21"/>
  <c r="J377" i="21" s="1"/>
  <c r="K377" i="21" s="1"/>
  <c r="AT380" i="21"/>
  <c r="AT378" i="21" s="1"/>
  <c r="AT377" i="21" s="1"/>
  <c r="P730" i="21"/>
  <c r="P729" i="21" s="1"/>
  <c r="Q729" i="21" s="1"/>
  <c r="S225" i="21"/>
  <c r="AT226" i="21"/>
  <c r="G1580" i="48"/>
  <c r="V399" i="21"/>
  <c r="V394" i="21" s="1"/>
  <c r="V393" i="21" s="1"/>
  <c r="W393" i="21" s="1"/>
  <c r="AT400" i="21"/>
  <c r="G391" i="48"/>
  <c r="J138" i="48"/>
  <c r="J136" i="48" s="1"/>
  <c r="AT146" i="21"/>
  <c r="AT144" i="21" s="1"/>
  <c r="AB138" i="21"/>
  <c r="J221" i="48"/>
  <c r="J220" i="48" s="1"/>
  <c r="AB228" i="21"/>
  <c r="AH1611" i="21"/>
  <c r="AH1610" i="21" s="1"/>
  <c r="AI1610" i="21" s="1"/>
  <c r="J1607" i="48"/>
  <c r="J1602" i="48" s="1"/>
  <c r="M392" i="48"/>
  <c r="AN399" i="21"/>
  <c r="AN394" i="21" s="1"/>
  <c r="AN393" i="21" s="1"/>
  <c r="AO393" i="21" s="1"/>
  <c r="M1546" i="48"/>
  <c r="M1545" i="48" s="1"/>
  <c r="Y872" i="21"/>
  <c r="Y866" i="21" s="1"/>
  <c r="AT171" i="21"/>
  <c r="AT1469" i="21"/>
  <c r="AT1466" i="21" s="1"/>
  <c r="J809" i="48"/>
  <c r="J807" i="48" s="1"/>
  <c r="AT1234" i="21"/>
  <c r="AT1613" i="21"/>
  <c r="J1581" i="21"/>
  <c r="AN490" i="21"/>
  <c r="AN479" i="21" s="1"/>
  <c r="AT1033" i="21"/>
  <c r="J1207" i="48"/>
  <c r="AT121" i="21"/>
  <c r="AT261" i="21"/>
  <c r="AA57" i="21"/>
  <c r="P599" i="21"/>
  <c r="Q599" i="21" s="1"/>
  <c r="J688" i="48"/>
  <c r="P688" i="48" s="1"/>
  <c r="E52" i="29"/>
  <c r="J607" i="48"/>
  <c r="P607" i="48" s="1"/>
  <c r="AB615" i="21"/>
  <c r="AB609" i="21" s="1"/>
  <c r="AB608" i="21" s="1"/>
  <c r="AT616" i="21"/>
  <c r="D611" i="48"/>
  <c r="AT620" i="21"/>
  <c r="D696" i="48"/>
  <c r="P696" i="48" s="1"/>
  <c r="AT705" i="21"/>
  <c r="AH1213" i="21"/>
  <c r="AH1086" i="21" s="1"/>
  <c r="G686" i="48"/>
  <c r="S694" i="21"/>
  <c r="S682" i="21" s="1"/>
  <c r="G784" i="48"/>
  <c r="S792" i="21"/>
  <c r="S790" i="21" s="1"/>
  <c r="J812" i="48"/>
  <c r="J811" i="48" s="1"/>
  <c r="AB820" i="21"/>
  <c r="D919" i="48"/>
  <c r="AT928" i="21"/>
  <c r="M212" i="21"/>
  <c r="D205" i="48"/>
  <c r="P205" i="48" s="1"/>
  <c r="AT810" i="21"/>
  <c r="P809" i="21"/>
  <c r="G646" i="48"/>
  <c r="G645" i="48" s="1"/>
  <c r="Y654" i="21"/>
  <c r="Y644" i="21" s="1"/>
  <c r="AT655" i="21"/>
  <c r="AT654" i="21" s="1"/>
  <c r="M1055" i="48"/>
  <c r="P1460" i="21"/>
  <c r="AT387" i="21"/>
  <c r="AT385" i="21" s="1"/>
  <c r="AT1585" i="21"/>
  <c r="AQ1299" i="21"/>
  <c r="AQ1289" i="21" s="1"/>
  <c r="AT1629" i="21"/>
  <c r="AN1090" i="21"/>
  <c r="AN1089" i="21" s="1"/>
  <c r="AO1089" i="21" s="1"/>
  <c r="AF1182" i="21"/>
  <c r="AT1029" i="21"/>
  <c r="M609" i="21"/>
  <c r="M608" i="21" s="1"/>
  <c r="N608" i="21" s="1"/>
  <c r="D691" i="48"/>
  <c r="D1020" i="48"/>
  <c r="D1018" i="48" s="1"/>
  <c r="AK803" i="21"/>
  <c r="AB1620" i="21"/>
  <c r="AB1619" i="21" s="1"/>
  <c r="AC1619" i="21" s="1"/>
  <c r="M55" i="40"/>
  <c r="H120" i="47"/>
  <c r="H115" i="47" s="1"/>
  <c r="F154" i="47"/>
  <c r="S154" i="47" s="1"/>
  <c r="K150" i="47"/>
  <c r="F163" i="47"/>
  <c r="S163" i="47" s="1"/>
  <c r="J163" i="47"/>
  <c r="T163" i="47" s="1"/>
  <c r="N161" i="47"/>
  <c r="U161" i="47" s="1"/>
  <c r="M1458" i="21"/>
  <c r="P989" i="21"/>
  <c r="Q989" i="21" s="1"/>
  <c r="S978" i="21"/>
  <c r="T978" i="21" s="1"/>
  <c r="V1458" i="21"/>
  <c r="AN376" i="21"/>
  <c r="U26" i="30"/>
  <c r="AE1581" i="21"/>
  <c r="M1047" i="21"/>
  <c r="AB682" i="21"/>
  <c r="S253" i="21"/>
  <c r="S252" i="21" s="1"/>
  <c r="AQ1333" i="21"/>
  <c r="AQ1332" i="21" s="1"/>
  <c r="AR1332" i="21" s="1"/>
  <c r="J644" i="21"/>
  <c r="M55" i="32"/>
  <c r="G11" i="41"/>
  <c r="J989" i="21"/>
  <c r="K989" i="21" s="1"/>
  <c r="AB1003" i="21"/>
  <c r="AB854" i="21" s="1"/>
  <c r="AB253" i="21"/>
  <c r="AN542" i="21"/>
  <c r="AK253" i="21"/>
  <c r="AT1717" i="21"/>
  <c r="AH84" i="21"/>
  <c r="AB989" i="21"/>
  <c r="AC989" i="21" s="1"/>
  <c r="D484" i="48"/>
  <c r="AE1447" i="21"/>
  <c r="AE1446" i="21" s="1"/>
  <c r="AF1446" i="21" s="1"/>
  <c r="M401" i="48"/>
  <c r="M400" i="48" s="1"/>
  <c r="AK409" i="21"/>
  <c r="AN253" i="21"/>
  <c r="AN252" i="21" s="1"/>
  <c r="E15" i="33"/>
  <c r="AH1529" i="21"/>
  <c r="L76" i="37" s="1"/>
  <c r="L74" i="37" s="1"/>
  <c r="L79" i="37" s="1"/>
  <c r="U23" i="32"/>
  <c r="U25" i="32" s="1"/>
  <c r="J609" i="21"/>
  <c r="M1333" i="21"/>
  <c r="M1332" i="21" s="1"/>
  <c r="N1332" i="21" s="1"/>
  <c r="S376" i="21"/>
  <c r="S186" i="21"/>
  <c r="T186" i="21" s="1"/>
  <c r="V1089" i="21"/>
  <c r="W1089" i="21" s="1"/>
  <c r="Y377" i="21"/>
  <c r="Z377" i="21" s="1"/>
  <c r="AE730" i="21"/>
  <c r="AE729" i="21" s="1"/>
  <c r="AF729" i="21" s="1"/>
  <c r="AH1088" i="21"/>
  <c r="AT1403" i="21"/>
  <c r="G1441" i="48"/>
  <c r="C102" i="47"/>
  <c r="P1211" i="21"/>
  <c r="Y1003" i="21"/>
  <c r="Y854" i="21" s="1"/>
  <c r="AE175" i="21"/>
  <c r="AF175" i="21" s="1"/>
  <c r="P175" i="21"/>
  <c r="Q175" i="21" s="1"/>
  <c r="AK1152" i="21"/>
  <c r="AK1150" i="21" s="1"/>
  <c r="AL1150" i="21" s="1"/>
  <c r="AB1122" i="21"/>
  <c r="AC1122" i="21" s="1"/>
  <c r="P645" i="21"/>
  <c r="N169" i="47"/>
  <c r="U169" i="47" s="1"/>
  <c r="J125" i="47"/>
  <c r="T125" i="47" s="1"/>
  <c r="R134" i="47"/>
  <c r="V134" i="47" s="1"/>
  <c r="J1458" i="21"/>
  <c r="M1088" i="21"/>
  <c r="S114" i="21"/>
  <c r="S113" i="21" s="1"/>
  <c r="T113" i="21" s="1"/>
  <c r="Y609" i="21"/>
  <c r="Y608" i="21" s="1"/>
  <c r="Z608" i="21" s="1"/>
  <c r="AB1046" i="21"/>
  <c r="AQ1088" i="21"/>
  <c r="AK1662" i="21"/>
  <c r="AK1660" i="21" s="1"/>
  <c r="AL1660" i="21" s="1"/>
  <c r="O129" i="48"/>
  <c r="AY1395" i="21"/>
  <c r="AY1392" i="21"/>
  <c r="AY1086" i="21" s="1"/>
  <c r="G430" i="48"/>
  <c r="G426" i="48" s="1"/>
  <c r="Y435" i="21"/>
  <c r="Y428" i="21" s="1"/>
  <c r="Y427" i="21" s="1"/>
  <c r="Z427" i="21" s="1"/>
  <c r="D1391" i="48"/>
  <c r="P1396" i="21"/>
  <c r="J1447" i="21"/>
  <c r="J1446" i="21" s="1"/>
  <c r="K1446" i="21" s="1"/>
  <c r="D1441" i="48"/>
  <c r="D1438" i="48" s="1"/>
  <c r="D1437" i="48" s="1"/>
  <c r="R40" i="47"/>
  <c r="V40" i="47" s="1"/>
  <c r="C55" i="47"/>
  <c r="J57" i="47"/>
  <c r="T57" i="47" s="1"/>
  <c r="H55" i="47"/>
  <c r="K55" i="47"/>
  <c r="N60" i="47"/>
  <c r="U60" i="47" s="1"/>
  <c r="P55" i="47"/>
  <c r="F64" i="47"/>
  <c r="S64" i="47" s="1"/>
  <c r="J63" i="47"/>
  <c r="T63" i="47" s="1"/>
  <c r="N62" i="47"/>
  <c r="U62" i="47" s="1"/>
  <c r="N64" i="47"/>
  <c r="U64" i="47" s="1"/>
  <c r="H66" i="47"/>
  <c r="K66" i="47"/>
  <c r="R68" i="47"/>
  <c r="V68" i="47" s="1"/>
  <c r="J78" i="47"/>
  <c r="T78" i="47" s="1"/>
  <c r="M77" i="47"/>
  <c r="R82" i="47"/>
  <c r="V82" i="47" s="1"/>
  <c r="J86" i="47"/>
  <c r="T86" i="47" s="1"/>
  <c r="N89" i="47"/>
  <c r="U89" i="47" s="1"/>
  <c r="J91" i="47"/>
  <c r="T91" i="47" s="1"/>
  <c r="L90" i="47"/>
  <c r="F94" i="47"/>
  <c r="S94" i="47" s="1"/>
  <c r="H93" i="47"/>
  <c r="C98" i="47"/>
  <c r="J99" i="47"/>
  <c r="T99" i="47" s="1"/>
  <c r="C120" i="47"/>
  <c r="C115" i="47" s="1"/>
  <c r="I120" i="47"/>
  <c r="I115" i="47" s="1"/>
  <c r="J132" i="47"/>
  <c r="T132" i="47" s="1"/>
  <c r="L127" i="47"/>
  <c r="F140" i="47"/>
  <c r="S140" i="47" s="1"/>
  <c r="Q150" i="47"/>
  <c r="J158" i="47"/>
  <c r="T158" i="47" s="1"/>
  <c r="F166" i="47"/>
  <c r="S166" i="47" s="1"/>
  <c r="J164" i="47"/>
  <c r="T164" i="47" s="1"/>
  <c r="N162" i="47"/>
  <c r="U162" i="47" s="1"/>
  <c r="N170" i="47"/>
  <c r="U170" i="47" s="1"/>
  <c r="R168" i="47"/>
  <c r="V168" i="47" s="1"/>
  <c r="N125" i="47"/>
  <c r="U125" i="47" s="1"/>
  <c r="M1090" i="21"/>
  <c r="M1089" i="21" s="1"/>
  <c r="N1089" i="21" s="1"/>
  <c r="M946" i="21"/>
  <c r="AH609" i="21"/>
  <c r="AH608" i="21" s="1"/>
  <c r="AI608" i="21" s="1"/>
  <c r="AH208" i="21"/>
  <c r="J526" i="48"/>
  <c r="J523" i="48" s="1"/>
  <c r="J520" i="48" s="1"/>
  <c r="AB532" i="21"/>
  <c r="AB529" i="21" s="1"/>
  <c r="R147" i="47"/>
  <c r="V147" i="47" s="1"/>
  <c r="V143" i="47" s="1"/>
  <c r="J896" i="21"/>
  <c r="J894" i="21" s="1"/>
  <c r="K894" i="21" s="1"/>
  <c r="J175" i="21"/>
  <c r="K175" i="21" s="1"/>
  <c r="M1446" i="21"/>
  <c r="N1446" i="21" s="1"/>
  <c r="M586" i="21"/>
  <c r="M585" i="21" s="1"/>
  <c r="N585" i="21" s="1"/>
  <c r="S609" i="21"/>
  <c r="S608" i="21" s="1"/>
  <c r="T608" i="21" s="1"/>
  <c r="V608" i="21"/>
  <c r="W608" i="21" s="1"/>
  <c r="AB1640" i="21"/>
  <c r="AC1640" i="21" s="1"/>
  <c r="N103" i="47"/>
  <c r="U103" i="47" s="1"/>
  <c r="AH104" i="21"/>
  <c r="AI104" i="21" s="1"/>
  <c r="AH542" i="21"/>
  <c r="AK1090" i="21"/>
  <c r="AK1089" i="21" s="1"/>
  <c r="AN730" i="21"/>
  <c r="AN729" i="21" s="1"/>
  <c r="AO729" i="21" s="1"/>
  <c r="AN682" i="21"/>
  <c r="AN529" i="21"/>
  <c r="AN528" i="21" s="1"/>
  <c r="AO528" i="21" s="1"/>
  <c r="AT1636" i="21"/>
  <c r="AT1622" i="21" s="1"/>
  <c r="AT868" i="21"/>
  <c r="AT853" i="21" s="1"/>
  <c r="AT592" i="21"/>
  <c r="AT342" i="21"/>
  <c r="AT117" i="21"/>
  <c r="AE141" i="21"/>
  <c r="AE139" i="21" s="1"/>
  <c r="AE137" i="21" s="1"/>
  <c r="AF137" i="21" s="1"/>
  <c r="AT411" i="21"/>
  <c r="AK1213" i="21"/>
  <c r="AK1086" i="21" s="1"/>
  <c r="D1648" i="48"/>
  <c r="S1396" i="21"/>
  <c r="G1391" i="48"/>
  <c r="G724" i="48"/>
  <c r="G723" i="48" s="1"/>
  <c r="M798" i="48"/>
  <c r="M796" i="48" s="1"/>
  <c r="Y1088" i="21"/>
  <c r="AB206" i="21"/>
  <c r="AB86" i="21" s="1"/>
  <c r="AE542" i="21"/>
  <c r="AE682" i="21"/>
  <c r="AE896" i="21"/>
  <c r="AE894" i="21" s="1"/>
  <c r="AF894" i="21" s="1"/>
  <c r="AT389" i="21"/>
  <c r="AT386" i="21" s="1"/>
  <c r="AT1513" i="21"/>
  <c r="M1162" i="48"/>
  <c r="O167" i="48"/>
  <c r="L312" i="48"/>
  <c r="L149" i="48"/>
  <c r="F93" i="48"/>
  <c r="E93" i="48" s="1"/>
  <c r="AY321" i="21"/>
  <c r="V1393" i="21"/>
  <c r="V1087" i="21" s="1"/>
  <c r="AB375" i="21"/>
  <c r="G608" i="48"/>
  <c r="G606" i="48" s="1"/>
  <c r="G611" i="48"/>
  <c r="M691" i="48"/>
  <c r="J692" i="48"/>
  <c r="M693" i="48"/>
  <c r="G728" i="48"/>
  <c r="D743" i="48"/>
  <c r="P743" i="48" s="1"/>
  <c r="D801" i="48"/>
  <c r="J805" i="48"/>
  <c r="J803" i="48" s="1"/>
  <c r="P830" i="21"/>
  <c r="P804" i="21" s="1"/>
  <c r="P544" i="21" s="1"/>
  <c r="AQ336" i="21"/>
  <c r="AQ335" i="21" s="1"/>
  <c r="AR335" i="21" s="1"/>
  <c r="AQ284" i="21"/>
  <c r="AR284" i="21" s="1"/>
  <c r="AN710" i="21"/>
  <c r="AN684" i="21" s="1"/>
  <c r="AN541" i="21" s="1"/>
  <c r="AB710" i="21"/>
  <c r="AB684" i="21" s="1"/>
  <c r="AB541" i="21" s="1"/>
  <c r="AY946" i="21"/>
  <c r="AY944" i="21" s="1"/>
  <c r="AY540" i="21"/>
  <c r="AY84" i="21"/>
  <c r="S1657" i="21"/>
  <c r="T1657" i="21" s="1"/>
  <c r="G1648" i="48"/>
  <c r="AN1458" i="21"/>
  <c r="S1620" i="21"/>
  <c r="S1619" i="21" s="1"/>
  <c r="T1619" i="21" s="1"/>
  <c r="S428" i="21"/>
  <c r="S427" i="21" s="1"/>
  <c r="T427" i="21" s="1"/>
  <c r="V253" i="21"/>
  <c r="V252" i="21" s="1"/>
  <c r="AB1005" i="21"/>
  <c r="AE376" i="21"/>
  <c r="AH186" i="21"/>
  <c r="AI186" i="21" s="1"/>
  <c r="AK609" i="21"/>
  <c r="AK608" i="21" s="1"/>
  <c r="AL608" i="21" s="1"/>
  <c r="AT797" i="21"/>
  <c r="AT791" i="21" s="1"/>
  <c r="K1692" i="21"/>
  <c r="AY1210" i="21"/>
  <c r="P1017" i="48"/>
  <c r="D1657" i="48"/>
  <c r="M1610" i="21"/>
  <c r="N1610" i="21" s="1"/>
  <c r="AB1582" i="21"/>
  <c r="AN1582" i="21"/>
  <c r="AE1323" i="21"/>
  <c r="AE1322" i="21" s="1"/>
  <c r="AF1322" i="21" s="1"/>
  <c r="J1210" i="48"/>
  <c r="AK1198" i="21"/>
  <c r="AK1196" i="21" s="1"/>
  <c r="AL1196" i="21" s="1"/>
  <c r="M1198" i="21"/>
  <c r="M1196" i="21" s="1"/>
  <c r="N1196" i="21" s="1"/>
  <c r="Y1198" i="21"/>
  <c r="Y1196" i="21" s="1"/>
  <c r="Z1196" i="21" s="1"/>
  <c r="AT1158" i="21"/>
  <c r="J1148" i="48"/>
  <c r="D1148" i="48"/>
  <c r="AH1152" i="21"/>
  <c r="AH1150" i="21" s="1"/>
  <c r="AI1150" i="21" s="1"/>
  <c r="AQ1047" i="21"/>
  <c r="AQ1001" i="21" s="1"/>
  <c r="S1047" i="21"/>
  <c r="S1001" i="21" s="1"/>
  <c r="AY1660" i="21"/>
  <c r="AY1458" i="21"/>
  <c r="AY1196" i="21"/>
  <c r="AY608" i="21"/>
  <c r="D1712" i="48"/>
  <c r="D1711" i="48" s="1"/>
  <c r="M788" i="48"/>
  <c r="M782" i="48" s="1"/>
  <c r="M631" i="48"/>
  <c r="M604" i="48" s="1"/>
  <c r="J783" i="48"/>
  <c r="J781" i="48" s="1"/>
  <c r="M1393" i="21"/>
  <c r="M1087" i="21" s="1"/>
  <c r="AK1393" i="21"/>
  <c r="AK1087" i="21" s="1"/>
  <c r="Y546" i="21"/>
  <c r="Y1383" i="21"/>
  <c r="Z1383" i="21" s="1"/>
  <c r="AE1396" i="21"/>
  <c r="V830" i="21"/>
  <c r="V804" i="21" s="1"/>
  <c r="V544" i="21" s="1"/>
  <c r="AH1048" i="21"/>
  <c r="AH1002" i="21" s="1"/>
  <c r="AH852" i="21" s="1"/>
  <c r="AT323" i="21"/>
  <c r="U1390" i="21"/>
  <c r="U1396" i="21" s="1"/>
  <c r="D609" i="48"/>
  <c r="D606" i="48" s="1"/>
  <c r="AB483" i="21"/>
  <c r="AQ1396" i="21"/>
  <c r="G833" i="48"/>
  <c r="L9" i="47"/>
  <c r="I9" i="47"/>
  <c r="C9" i="47"/>
  <c r="J1494" i="21"/>
  <c r="D1329" i="48"/>
  <c r="M925" i="21"/>
  <c r="M924" i="21" s="1"/>
  <c r="N924" i="21" s="1"/>
  <c r="G1579" i="48"/>
  <c r="AT233" i="21"/>
  <c r="G1522" i="48"/>
  <c r="J726" i="48"/>
  <c r="J678" i="48"/>
  <c r="J677" i="48" s="1"/>
  <c r="M1503" i="48"/>
  <c r="M1298" i="48"/>
  <c r="AQ1567" i="21"/>
  <c r="O634" i="48"/>
  <c r="L672" i="48"/>
  <c r="F599" i="48"/>
  <c r="O469" i="48"/>
  <c r="J336" i="21"/>
  <c r="J335" i="21" s="1"/>
  <c r="K335" i="21" s="1"/>
  <c r="V1383" i="21"/>
  <c r="W1383" i="21" s="1"/>
  <c r="S1393" i="21"/>
  <c r="S1087" i="21" s="1"/>
  <c r="W1657" i="21"/>
  <c r="J124" i="47"/>
  <c r="T124" i="47" s="1"/>
  <c r="R124" i="47"/>
  <c r="V124" i="47" s="1"/>
  <c r="H127" i="47"/>
  <c r="M104" i="21"/>
  <c r="N104" i="21" s="1"/>
  <c r="AN1396" i="21"/>
  <c r="AN1391" i="21" s="1"/>
  <c r="J1508" i="21"/>
  <c r="R74" i="29" s="1"/>
  <c r="R76" i="29" s="1"/>
  <c r="AK830" i="21"/>
  <c r="AK804" i="21" s="1"/>
  <c r="AK544" i="21" s="1"/>
  <c r="D1565" i="48"/>
  <c r="D425" i="48"/>
  <c r="AT328" i="21"/>
  <c r="AT322" i="21" s="1"/>
  <c r="G1559" i="48"/>
  <c r="G1298" i="48"/>
  <c r="G1621" i="48"/>
  <c r="AB1518" i="21"/>
  <c r="AB1509" i="21" s="1"/>
  <c r="AB1508" i="21" s="1"/>
  <c r="J1006" i="48"/>
  <c r="P1006" i="48" s="1"/>
  <c r="J1585" i="48"/>
  <c r="AK1528" i="21"/>
  <c r="M1021" i="48"/>
  <c r="M655" i="48"/>
  <c r="M801" i="48"/>
  <c r="M800" i="48" s="1"/>
  <c r="M1207" i="48"/>
  <c r="M1206" i="48" s="1"/>
  <c r="Y1047" i="21"/>
  <c r="Y1001" i="21" s="1"/>
  <c r="L1279" i="48"/>
  <c r="L1187" i="48"/>
  <c r="L1159" i="48"/>
  <c r="L1141" i="48"/>
  <c r="AJ999" i="21"/>
  <c r="I935" i="48"/>
  <c r="AH516" i="21"/>
  <c r="AI516" i="21" s="1"/>
  <c r="S375" i="21"/>
  <c r="AQ375" i="21"/>
  <c r="J484" i="48"/>
  <c r="D423" i="48"/>
  <c r="D485" i="48"/>
  <c r="AT695" i="21"/>
  <c r="M689" i="48"/>
  <c r="P689" i="48" s="1"/>
  <c r="D692" i="48"/>
  <c r="D693" i="48"/>
  <c r="J725" i="48"/>
  <c r="J723" i="48" s="1"/>
  <c r="M784" i="48"/>
  <c r="M783" i="48" s="1"/>
  <c r="G797" i="48"/>
  <c r="D798" i="48"/>
  <c r="M805" i="48"/>
  <c r="J833" i="48"/>
  <c r="J925" i="21"/>
  <c r="J924" i="21" s="1"/>
  <c r="K924" i="21" s="1"/>
  <c r="Y1494" i="21"/>
  <c r="Y1491" i="21" s="1"/>
  <c r="Y1490" i="21" s="1"/>
  <c r="P1048" i="21"/>
  <c r="P1002" i="21" s="1"/>
  <c r="J731" i="48"/>
  <c r="G333" i="48"/>
  <c r="J1041" i="48"/>
  <c r="D998" i="48"/>
  <c r="K857" i="48"/>
  <c r="G853" i="48"/>
  <c r="G848" i="48" s="1"/>
  <c r="J204" i="48"/>
  <c r="H857" i="48"/>
  <c r="D1465" i="48"/>
  <c r="D1456" i="48" s="1"/>
  <c r="D1453" i="48" s="1"/>
  <c r="D333" i="48"/>
  <c r="M258" i="48"/>
  <c r="J960" i="48"/>
  <c r="M742" i="48"/>
  <c r="G1370" i="48"/>
  <c r="G1328" i="48" s="1"/>
  <c r="G631" i="48"/>
  <c r="G604" i="48" s="1"/>
  <c r="G738" i="48"/>
  <c r="J508" i="48"/>
  <c r="D847" i="48"/>
  <c r="M606" i="48"/>
  <c r="M600" i="48" s="1"/>
  <c r="P248" i="48"/>
  <c r="M1086" i="48"/>
  <c r="D109" i="48"/>
  <c r="M1658" i="48"/>
  <c r="M1652" i="48" s="1"/>
  <c r="J1634" i="48"/>
  <c r="J1632" i="48" s="1"/>
  <c r="J800" i="48"/>
  <c r="J182" i="48"/>
  <c r="J179" i="48" s="1"/>
  <c r="D380" i="48"/>
  <c r="D377" i="48" s="1"/>
  <c r="J175" i="48"/>
  <c r="J170" i="48" s="1"/>
  <c r="G217" i="48"/>
  <c r="D1022" i="48"/>
  <c r="D152" i="48"/>
  <c r="D150" i="48" s="1"/>
  <c r="P1061" i="48"/>
  <c r="J936" i="48"/>
  <c r="J341" i="48"/>
  <c r="J328" i="48" s="1"/>
  <c r="J157" i="48"/>
  <c r="J151" i="48" s="1"/>
  <c r="J102" i="48"/>
  <c r="J98" i="48" s="1"/>
  <c r="G731" i="48"/>
  <c r="G1015" i="48"/>
  <c r="G486" i="48"/>
  <c r="D1555" i="48"/>
  <c r="G735" i="48"/>
  <c r="J642" i="48"/>
  <c r="G580" i="48"/>
  <c r="Z1720" i="21"/>
  <c r="P1088" i="48"/>
  <c r="D435" i="48"/>
  <c r="P117" i="48"/>
  <c r="H1666" i="48"/>
  <c r="M682" i="48"/>
  <c r="M330" i="48"/>
  <c r="M289" i="48"/>
  <c r="P488" i="48"/>
  <c r="J330" i="48"/>
  <c r="J289" i="48"/>
  <c r="M1555" i="48"/>
  <c r="P768" i="48"/>
  <c r="P756" i="48"/>
  <c r="P789" i="48"/>
  <c r="P632" i="48"/>
  <c r="G400" i="48"/>
  <c r="P518" i="48"/>
  <c r="P854" i="48"/>
  <c r="P766" i="48"/>
  <c r="P760" i="48"/>
  <c r="P754" i="48"/>
  <c r="P828" i="48"/>
  <c r="M99" i="48"/>
  <c r="M97" i="48" s="1"/>
  <c r="G1170" i="48"/>
  <c r="G1161" i="48" s="1"/>
  <c r="G1027" i="48"/>
  <c r="G997" i="48" s="1"/>
  <c r="P914" i="48"/>
  <c r="J911" i="48"/>
  <c r="J888" i="48" s="1"/>
  <c r="P769" i="48"/>
  <c r="J380" i="48"/>
  <c r="J377" i="48" s="1"/>
  <c r="P342" i="48"/>
  <c r="P189" i="48"/>
  <c r="P177" i="48"/>
  <c r="P91" i="48"/>
  <c r="P87" i="48"/>
  <c r="P1179" i="48"/>
  <c r="P1322" i="48"/>
  <c r="M1150" i="48"/>
  <c r="M985" i="48"/>
  <c r="M982" i="48" s="1"/>
  <c r="M980" i="48" s="1"/>
  <c r="M960" i="48"/>
  <c r="M901" i="48"/>
  <c r="M890" i="48"/>
  <c r="M107" i="48"/>
  <c r="P1334" i="48"/>
  <c r="J1301" i="48"/>
  <c r="J1223" i="48"/>
  <c r="P1221" i="48"/>
  <c r="D1457" i="48"/>
  <c r="P770" i="48"/>
  <c r="P764" i="48"/>
  <c r="P758" i="48"/>
  <c r="P836" i="48"/>
  <c r="P791" i="48"/>
  <c r="P664" i="48"/>
  <c r="G258" i="48"/>
  <c r="M224" i="48"/>
  <c r="G1539" i="48"/>
  <c r="G1521" i="48" s="1"/>
  <c r="G273" i="48"/>
  <c r="G247" i="48" s="1"/>
  <c r="D1226" i="48"/>
  <c r="J333" i="48"/>
  <c r="P659" i="48"/>
  <c r="AH416" i="21"/>
  <c r="AI416" i="21" s="1"/>
  <c r="AH376" i="21"/>
  <c r="J1504" i="48"/>
  <c r="N114" i="47"/>
  <c r="U114" i="47" s="1"/>
  <c r="U112" i="47" s="1"/>
  <c r="J205" i="21"/>
  <c r="AT444" i="21"/>
  <c r="F69" i="47"/>
  <c r="S69" i="47" s="1"/>
  <c r="E66" i="47"/>
  <c r="J107" i="47"/>
  <c r="T107" i="47" s="1"/>
  <c r="I105" i="47"/>
  <c r="R158" i="47"/>
  <c r="V158" i="47" s="1"/>
  <c r="AK1323" i="21"/>
  <c r="AK1322" i="21" s="1"/>
  <c r="AL1322" i="21" s="1"/>
  <c r="M1316" i="48"/>
  <c r="J1209" i="48"/>
  <c r="AB1212" i="21"/>
  <c r="D1336" i="48"/>
  <c r="D1325" i="48" s="1"/>
  <c r="F121" i="47"/>
  <c r="S121" i="47" s="1"/>
  <c r="Y1212" i="21"/>
  <c r="J1191" i="48"/>
  <c r="AB1198" i="21"/>
  <c r="AB1196" i="21" s="1"/>
  <c r="AC1196" i="21" s="1"/>
  <c r="M1152" i="21"/>
  <c r="M1150" i="21" s="1"/>
  <c r="N1150" i="21" s="1"/>
  <c r="H34" i="44"/>
  <c r="R12" i="44" s="1"/>
  <c r="AX13" i="21"/>
  <c r="D1146" i="48"/>
  <c r="S459" i="21"/>
  <c r="S373" i="21" s="1"/>
  <c r="G461" i="48"/>
  <c r="G450" i="48" s="1"/>
  <c r="G364" i="48" s="1"/>
  <c r="D1681" i="48"/>
  <c r="P1683" i="21"/>
  <c r="AK1610" i="21"/>
  <c r="AL1610" i="21" s="1"/>
  <c r="AB1529" i="21"/>
  <c r="AN1529" i="21"/>
  <c r="L76" i="39" s="1"/>
  <c r="P1529" i="21"/>
  <c r="D1535" i="48"/>
  <c r="D1210" i="48"/>
  <c r="J1212" i="21"/>
  <c r="V1212" i="21"/>
  <c r="G1209" i="48"/>
  <c r="D1163" i="48"/>
  <c r="J1169" i="21"/>
  <c r="J1168" i="21" s="1"/>
  <c r="K1168" i="21" s="1"/>
  <c r="D1153" i="48"/>
  <c r="V1152" i="21"/>
  <c r="V1150" i="21" s="1"/>
  <c r="W1150" i="21" s="1"/>
  <c r="AY1150" i="21"/>
  <c r="AY1084" i="21"/>
  <c r="AY104" i="21"/>
  <c r="AY393" i="21"/>
  <c r="AY376" i="21"/>
  <c r="AY85" i="21"/>
  <c r="AY307" i="21"/>
  <c r="P1716" i="48"/>
  <c r="AT525" i="21"/>
  <c r="AT519" i="21" s="1"/>
  <c r="J519" i="21"/>
  <c r="J516" i="21" s="1"/>
  <c r="K516" i="21" s="1"/>
  <c r="AT1404" i="21"/>
  <c r="M1441" i="48"/>
  <c r="M1438" i="48" s="1"/>
  <c r="M1437" i="48" s="1"/>
  <c r="AK1447" i="21"/>
  <c r="AK1446" i="21" s="1"/>
  <c r="AL1446" i="21" s="1"/>
  <c r="AT1450" i="21"/>
  <c r="Y86" i="21"/>
  <c r="M1640" i="21"/>
  <c r="N1640" i="21" s="1"/>
  <c r="I90" i="47"/>
  <c r="AH1460" i="21"/>
  <c r="AH1459" i="21" s="1"/>
  <c r="AH1463" i="21"/>
  <c r="AI1463" i="21" s="1"/>
  <c r="Y376" i="21"/>
  <c r="J1463" i="21"/>
  <c r="K1463" i="21" s="1"/>
  <c r="M384" i="21"/>
  <c r="N384" i="21" s="1"/>
  <c r="M376" i="21"/>
  <c r="M1479" i="21"/>
  <c r="N1479" i="21" s="1"/>
  <c r="S946" i="21"/>
  <c r="AK354" i="21"/>
  <c r="AL354" i="21" s="1"/>
  <c r="N55" i="46"/>
  <c r="O55" i="46" s="1"/>
  <c r="O105" i="47"/>
  <c r="R106" i="47"/>
  <c r="V106" i="47" s="1"/>
  <c r="D160" i="47"/>
  <c r="D159" i="47" s="1"/>
  <c r="Q160" i="47"/>
  <c r="Q159" i="47" s="1"/>
  <c r="G1682" i="48"/>
  <c r="AT1600" i="21"/>
  <c r="D1591" i="48"/>
  <c r="J1582" i="21"/>
  <c r="Y544" i="21"/>
  <c r="J1290" i="21"/>
  <c r="D1300" i="48"/>
  <c r="D1281" i="48" s="1"/>
  <c r="M1210" i="48"/>
  <c r="AK1212" i="21"/>
  <c r="M1148" i="48"/>
  <c r="AT1053" i="21"/>
  <c r="P296" i="21"/>
  <c r="AT1218" i="21"/>
  <c r="AY544" i="21"/>
  <c r="L77" i="32"/>
  <c r="S1458" i="21"/>
  <c r="AE544" i="21"/>
  <c r="AH853" i="21"/>
  <c r="J140" i="47"/>
  <c r="T140" i="47" s="1"/>
  <c r="J166" i="47"/>
  <c r="T166" i="47" s="1"/>
  <c r="R170" i="47"/>
  <c r="V170" i="47" s="1"/>
  <c r="M182" i="47"/>
  <c r="M176" i="47" s="1"/>
  <c r="N176" i="47" s="1"/>
  <c r="N185" i="47"/>
  <c r="U185" i="47" s="1"/>
  <c r="U182" i="47" s="1"/>
  <c r="U176" i="47" s="1"/>
  <c r="S1612" i="21"/>
  <c r="S1610" i="21" s="1"/>
  <c r="T1610" i="21" s="1"/>
  <c r="G1609" i="48"/>
  <c r="G1603" i="48" s="1"/>
  <c r="V1529" i="21"/>
  <c r="V1088" i="21"/>
  <c r="AK1169" i="21"/>
  <c r="AK1168" i="21" s="1"/>
  <c r="AL1168" i="21" s="1"/>
  <c r="M1163" i="48"/>
  <c r="M1153" i="48"/>
  <c r="M1146" i="48"/>
  <c r="N156" i="47"/>
  <c r="U156" i="47" s="1"/>
  <c r="M150" i="47"/>
  <c r="J1681" i="48"/>
  <c r="AB1683" i="21"/>
  <c r="AB1681" i="21" s="1"/>
  <c r="AC1681" i="21" s="1"/>
  <c r="J1152" i="21"/>
  <c r="J1150" i="21" s="1"/>
  <c r="K1150" i="21" s="1"/>
  <c r="AT1155" i="21"/>
  <c r="AB924" i="21"/>
  <c r="AC924" i="21" s="1"/>
  <c r="Q77" i="47"/>
  <c r="J1529" i="21"/>
  <c r="AH1212" i="21"/>
  <c r="AK989" i="21"/>
  <c r="AL989" i="21" s="1"/>
  <c r="J122" i="47"/>
  <c r="T122" i="47" s="1"/>
  <c r="AY1456" i="21"/>
  <c r="P114" i="21"/>
  <c r="P113" i="21" s="1"/>
  <c r="Q113" i="21" s="1"/>
  <c r="AB1479" i="21"/>
  <c r="AC1479" i="21" s="1"/>
  <c r="L77" i="36"/>
  <c r="AE1458" i="21"/>
  <c r="AT315" i="21"/>
  <c r="AB377" i="21"/>
  <c r="AC377" i="21" s="1"/>
  <c r="AB376" i="21"/>
  <c r="Y855" i="21"/>
  <c r="Z855" i="21" s="1"/>
  <c r="M18" i="47"/>
  <c r="N19" i="47"/>
  <c r="U19" i="47" s="1"/>
  <c r="R139" i="47"/>
  <c r="V139" i="47" s="1"/>
  <c r="J161" i="47"/>
  <c r="T161" i="47" s="1"/>
  <c r="P542" i="21"/>
  <c r="Y1323" i="21"/>
  <c r="Y1322" i="21" s="1"/>
  <c r="Z1322" i="21" s="1"/>
  <c r="AK1290" i="21"/>
  <c r="M1300" i="48"/>
  <c r="M1281" i="48" s="1"/>
  <c r="Y1152" i="21"/>
  <c r="Y1150" i="21" s="1"/>
  <c r="Z1150" i="21" s="1"/>
  <c r="AT994" i="21"/>
  <c r="AT991" i="21" s="1"/>
  <c r="AT989" i="21" s="1"/>
  <c r="M662" i="48"/>
  <c r="P593" i="48"/>
  <c r="J185" i="47"/>
  <c r="T185" i="47" s="1"/>
  <c r="T182" i="47" s="1"/>
  <c r="T176" i="47" s="1"/>
  <c r="M896" i="21"/>
  <c r="M894" i="21" s="1"/>
  <c r="N894" i="21" s="1"/>
  <c r="Y1662" i="21"/>
  <c r="Y1660" i="21" s="1"/>
  <c r="Z1660" i="21" s="1"/>
  <c r="G1656" i="48"/>
  <c r="AT960" i="21"/>
  <c r="Y1458" i="21"/>
  <c r="P1458" i="21"/>
  <c r="AT470" i="21"/>
  <c r="AT459" i="21" s="1"/>
  <c r="AT373" i="21" s="1"/>
  <c r="N80" i="47"/>
  <c r="U80" i="47" s="1"/>
  <c r="N147" i="47"/>
  <c r="U147" i="47" s="1"/>
  <c r="U143" i="47" s="1"/>
  <c r="M1609" i="48"/>
  <c r="M1603" i="48" s="1"/>
  <c r="AQ1458" i="21"/>
  <c r="AY643" i="21"/>
  <c r="Q143" i="47"/>
  <c r="R143" i="47" s="1"/>
  <c r="J1088" i="21"/>
  <c r="P1088" i="21"/>
  <c r="Y989" i="21"/>
  <c r="Z989" i="21" s="1"/>
  <c r="AB295" i="21"/>
  <c r="AC295" i="21" s="1"/>
  <c r="AB296" i="21"/>
  <c r="AK1462" i="21"/>
  <c r="AK1459" i="21" s="1"/>
  <c r="AK1458" i="21"/>
  <c r="AK1088" i="21"/>
  <c r="P644" i="48"/>
  <c r="M978" i="21"/>
  <c r="N978" i="21" s="1"/>
  <c r="V644" i="21"/>
  <c r="V896" i="21"/>
  <c r="V894" i="21" s="1"/>
  <c r="W894" i="21" s="1"/>
  <c r="AE790" i="21"/>
  <c r="AE789" i="21"/>
  <c r="AF789" i="21" s="1"/>
  <c r="AN87" i="21"/>
  <c r="AO87" i="21" s="1"/>
  <c r="AB544" i="21"/>
  <c r="S528" i="21"/>
  <c r="T528" i="21" s="1"/>
  <c r="AQ516" i="21"/>
  <c r="AR516" i="21" s="1"/>
  <c r="K102" i="47"/>
  <c r="J946" i="21"/>
  <c r="AQ542" i="21"/>
  <c r="AT452" i="21"/>
  <c r="AT431" i="21" s="1"/>
  <c r="P594" i="48"/>
  <c r="V1005" i="21"/>
  <c r="V336" i="21"/>
  <c r="V335" i="21" s="1"/>
  <c r="W335" i="21" s="1"/>
  <c r="AB1458" i="21"/>
  <c r="AB157" i="21"/>
  <c r="AC157" i="21" s="1"/>
  <c r="J104" i="47"/>
  <c r="T104" i="47" s="1"/>
  <c r="P446" i="48"/>
  <c r="J15" i="47"/>
  <c r="T15" i="47" s="1"/>
  <c r="F57" i="47"/>
  <c r="S57" i="47" s="1"/>
  <c r="F60" i="47"/>
  <c r="S60" i="47" s="1"/>
  <c r="J60" i="47"/>
  <c r="T60" i="47" s="1"/>
  <c r="L55" i="47"/>
  <c r="R56" i="47"/>
  <c r="V56" i="47" s="1"/>
  <c r="R58" i="47"/>
  <c r="V58" i="47" s="1"/>
  <c r="F62" i="47"/>
  <c r="S62" i="47" s="1"/>
  <c r="L61" i="47"/>
  <c r="K61" i="47"/>
  <c r="J69" i="47"/>
  <c r="T69" i="47" s="1"/>
  <c r="N69" i="47"/>
  <c r="U69" i="47" s="1"/>
  <c r="O66" i="47"/>
  <c r="F79" i="47"/>
  <c r="S79" i="47" s="1"/>
  <c r="F82" i="47"/>
  <c r="S82" i="47" s="1"/>
  <c r="I77" i="47"/>
  <c r="N78" i="47"/>
  <c r="U78" i="47" s="1"/>
  <c r="N81" i="47"/>
  <c r="U81" i="47" s="1"/>
  <c r="N83" i="47"/>
  <c r="U83" i="47" s="1"/>
  <c r="R83" i="47"/>
  <c r="V83" i="47" s="1"/>
  <c r="F86" i="47"/>
  <c r="S86" i="47" s="1"/>
  <c r="G84" i="47"/>
  <c r="R85" i="47"/>
  <c r="V85" i="47" s="1"/>
  <c r="Q84" i="47"/>
  <c r="N92" i="47"/>
  <c r="U92" i="47" s="1"/>
  <c r="J95" i="47"/>
  <c r="T95" i="47" s="1"/>
  <c r="L93" i="47"/>
  <c r="K93" i="47"/>
  <c r="F99" i="47"/>
  <c r="S99" i="47" s="1"/>
  <c r="F107" i="47"/>
  <c r="S107" i="47" s="1"/>
  <c r="AT920" i="21"/>
  <c r="AT897" i="21" s="1"/>
  <c r="D1537" i="48"/>
  <c r="AT1220" i="21"/>
  <c r="AT1176" i="21"/>
  <c r="AT1172" i="21"/>
  <c r="AT1165" i="21"/>
  <c r="J1153" i="48"/>
  <c r="G1149" i="48"/>
  <c r="AT1157" i="21"/>
  <c r="G1147" i="48"/>
  <c r="V1122" i="21"/>
  <c r="W1122" i="21" s="1"/>
  <c r="AT1682" i="21"/>
  <c r="P1709" i="48"/>
  <c r="AT52" i="21"/>
  <c r="Q1720" i="21"/>
  <c r="AE84" i="21"/>
  <c r="D1008" i="48"/>
  <c r="E52" i="31"/>
  <c r="I11" i="41"/>
  <c r="E15" i="36"/>
  <c r="E52" i="33"/>
  <c r="E52" i="38"/>
  <c r="N132" i="47"/>
  <c r="U132" i="47" s="1"/>
  <c r="N154" i="47"/>
  <c r="U154" i="47" s="1"/>
  <c r="N158" i="47"/>
  <c r="U158" i="47" s="1"/>
  <c r="R169" i="47"/>
  <c r="V169" i="47" s="1"/>
  <c r="N143" i="47"/>
  <c r="N1720" i="21"/>
  <c r="AT549" i="21"/>
  <c r="S1122" i="21"/>
  <c r="M1396" i="21"/>
  <c r="AB1447" i="21"/>
  <c r="AB1446" i="21" s="1"/>
  <c r="AC1446" i="21" s="1"/>
  <c r="J1441" i="48"/>
  <c r="AK1396" i="21"/>
  <c r="AT1400" i="21"/>
  <c r="M1391" i="48"/>
  <c r="F88" i="47"/>
  <c r="S88" i="47" s="1"/>
  <c r="R89" i="47"/>
  <c r="V89" i="47" s="1"/>
  <c r="Q66" i="48"/>
  <c r="AI1720" i="21"/>
  <c r="K1720" i="21"/>
  <c r="AF1716" i="21"/>
  <c r="M435" i="48"/>
  <c r="AH547" i="21"/>
  <c r="J685" i="48"/>
  <c r="P608" i="21"/>
  <c r="Q608" i="21" s="1"/>
  <c r="D120" i="47"/>
  <c r="D115" i="47" s="1"/>
  <c r="D127" i="47"/>
  <c r="F139" i="47"/>
  <c r="S139" i="47" s="1"/>
  <c r="F158" i="47"/>
  <c r="S158" i="47" s="1"/>
  <c r="F165" i="47"/>
  <c r="S165" i="47" s="1"/>
  <c r="R167" i="47"/>
  <c r="V167" i="47" s="1"/>
  <c r="N106" i="47"/>
  <c r="U106" i="47" s="1"/>
  <c r="F134" i="47"/>
  <c r="S134" i="47" s="1"/>
  <c r="L102" i="47"/>
  <c r="J1555" i="48"/>
  <c r="M1648" i="48"/>
  <c r="Y1683" i="21"/>
  <c r="Y1681" i="21" s="1"/>
  <c r="Z1681" i="21" s="1"/>
  <c r="AT1666" i="21"/>
  <c r="M1656" i="48"/>
  <c r="AB1610" i="21"/>
  <c r="AC1610" i="21" s="1"/>
  <c r="D1211" i="48"/>
  <c r="AE1198" i="21"/>
  <c r="AE1196" i="21" s="1"/>
  <c r="AF1196" i="21" s="1"/>
  <c r="AQ1122" i="21"/>
  <c r="AN1047" i="21"/>
  <c r="AN1001" i="21" s="1"/>
  <c r="AO1716" i="21"/>
  <c r="O672" i="48"/>
  <c r="I599" i="48"/>
  <c r="I634" i="48"/>
  <c r="O384" i="48"/>
  <c r="L447" i="48"/>
  <c r="I469" i="48"/>
  <c r="I368" i="48"/>
  <c r="O105" i="48"/>
  <c r="L93" i="48"/>
  <c r="K93" i="48" s="1"/>
  <c r="L299" i="48"/>
  <c r="I167" i="48"/>
  <c r="X203" i="21"/>
  <c r="X82" i="21" s="1"/>
  <c r="H35" i="33" s="1"/>
  <c r="I93" i="48"/>
  <c r="AV321" i="21"/>
  <c r="F345" i="48"/>
  <c r="J1393" i="21"/>
  <c r="J1087" i="21" s="1"/>
  <c r="AT621" i="21"/>
  <c r="D612" i="48"/>
  <c r="P612" i="48" s="1"/>
  <c r="M1518" i="21"/>
  <c r="M1509" i="21" s="1"/>
  <c r="D1511" i="48"/>
  <c r="D206" i="48"/>
  <c r="P206" i="48" s="1"/>
  <c r="S1558" i="21"/>
  <c r="G1552" i="48"/>
  <c r="S1584" i="21"/>
  <c r="G1577" i="48"/>
  <c r="G216" i="48"/>
  <c r="S222" i="21"/>
  <c r="AT1406" i="21"/>
  <c r="AB1494" i="21"/>
  <c r="AB1491" i="21" s="1"/>
  <c r="J1487" i="48"/>
  <c r="AH1299" i="21"/>
  <c r="AH1289" i="21" s="1"/>
  <c r="M1682" i="21"/>
  <c r="J1537" i="48"/>
  <c r="J1535" i="48"/>
  <c r="G1316" i="48"/>
  <c r="G1210" i="48"/>
  <c r="AN1198" i="21"/>
  <c r="AN1196" i="21" s="1"/>
  <c r="AO1196" i="21" s="1"/>
  <c r="D1191" i="48"/>
  <c r="Y1169" i="21"/>
  <c r="Y1168" i="21" s="1"/>
  <c r="Z1168" i="21" s="1"/>
  <c r="G1146" i="48"/>
  <c r="Z1716" i="21"/>
  <c r="O1323" i="48"/>
  <c r="O1279" i="48"/>
  <c r="O1187" i="48"/>
  <c r="O1141" i="48"/>
  <c r="L915" i="48"/>
  <c r="U999" i="21"/>
  <c r="L287" i="48"/>
  <c r="I96" i="48"/>
  <c r="J1053" i="48"/>
  <c r="J254" i="48"/>
  <c r="U26" i="36"/>
  <c r="M537" i="48"/>
  <c r="AK546" i="21"/>
  <c r="AT556" i="21"/>
  <c r="AT350" i="21"/>
  <c r="AT337" i="21" s="1"/>
  <c r="AT165" i="21"/>
  <c r="AT159" i="21" s="1"/>
  <c r="AT658" i="21"/>
  <c r="AT238" i="21"/>
  <c r="AI1716" i="21"/>
  <c r="AL1479" i="21"/>
  <c r="AV729" i="21"/>
  <c r="AR101" i="21"/>
  <c r="J1708" i="48"/>
  <c r="U26" i="31"/>
  <c r="E71" i="48"/>
  <c r="E50" i="48" s="1"/>
  <c r="J1554" i="21"/>
  <c r="D1546" i="48"/>
  <c r="AT1067" i="21"/>
  <c r="D1058" i="48"/>
  <c r="P1058" i="48" s="1"/>
  <c r="M1595" i="21"/>
  <c r="AT229" i="21"/>
  <c r="AT228" i="21" s="1"/>
  <c r="G1615" i="48"/>
  <c r="AT1624" i="21"/>
  <c r="J145" i="48"/>
  <c r="AB151" i="21"/>
  <c r="AN1066" i="21"/>
  <c r="AN1046" i="21" s="1"/>
  <c r="AT1069" i="21"/>
  <c r="AQ1518" i="21"/>
  <c r="AQ1509" i="21" s="1"/>
  <c r="AQ1508" i="21" s="1"/>
  <c r="M1510" i="48"/>
  <c r="M1509" i="48" s="1"/>
  <c r="AH1524" i="21"/>
  <c r="AH1511" i="21" s="1"/>
  <c r="J1516" i="48"/>
  <c r="P1516" i="48" s="1"/>
  <c r="AE1662" i="21"/>
  <c r="AE1660" i="21" s="1"/>
  <c r="AF1660" i="21" s="1"/>
  <c r="M1122" i="21"/>
  <c r="AE1047" i="21"/>
  <c r="AE1001" i="21" s="1"/>
  <c r="AH456" i="21"/>
  <c r="AI456" i="21" s="1"/>
  <c r="T1716" i="21"/>
  <c r="P962" i="48"/>
  <c r="P947" i="48"/>
  <c r="P906" i="48"/>
  <c r="P899" i="48"/>
  <c r="P897" i="48"/>
  <c r="P272" i="48"/>
  <c r="P437" i="48"/>
  <c r="G300" i="48"/>
  <c r="G139" i="48"/>
  <c r="G130" i="48" s="1"/>
  <c r="U26" i="32"/>
  <c r="V546" i="21"/>
  <c r="AE546" i="21"/>
  <c r="AT1597" i="21"/>
  <c r="D1588" i="48"/>
  <c r="AT122" i="21"/>
  <c r="AH1396" i="21"/>
  <c r="J1391" i="48"/>
  <c r="I1313" i="48"/>
  <c r="AV1288" i="21"/>
  <c r="I1201" i="48"/>
  <c r="AV1196" i="21"/>
  <c r="F1159" i="48"/>
  <c r="AD849" i="21"/>
  <c r="D7" i="35" s="1"/>
  <c r="H22" i="35" s="1"/>
  <c r="AV989" i="21"/>
  <c r="F1036" i="48"/>
  <c r="Q72" i="48"/>
  <c r="D1662" i="48"/>
  <c r="D1655" i="48" s="1"/>
  <c r="D1640" i="48"/>
  <c r="D1639" i="48" s="1"/>
  <c r="D1633" i="48" s="1"/>
  <c r="D1627" i="48"/>
  <c r="D1613" i="48" s="1"/>
  <c r="D1539" i="48"/>
  <c r="D1521" i="48" s="1"/>
  <c r="D1515" i="48"/>
  <c r="D1502" i="48" s="1"/>
  <c r="P1468" i="48"/>
  <c r="P825" i="48"/>
  <c r="G788" i="48"/>
  <c r="G782" i="48" s="1"/>
  <c r="G570" i="48"/>
  <c r="G541" i="48" s="1"/>
  <c r="M358" i="48"/>
  <c r="M348" i="48" s="1"/>
  <c r="M341" i="48"/>
  <c r="M328" i="48" s="1"/>
  <c r="P190" i="48"/>
  <c r="P188" i="48"/>
  <c r="M175" i="48"/>
  <c r="M170" i="48" s="1"/>
  <c r="P123" i="48"/>
  <c r="P92" i="48"/>
  <c r="P1474" i="48"/>
  <c r="P1472" i="48"/>
  <c r="P619" i="48"/>
  <c r="M1336" i="48"/>
  <c r="M1325" i="48" s="1"/>
  <c r="J1150" i="48"/>
  <c r="J1044" i="48"/>
  <c r="J985" i="48"/>
  <c r="J982" i="48" s="1"/>
  <c r="J980" i="48" s="1"/>
  <c r="J901" i="48"/>
  <c r="J896" i="48"/>
  <c r="J107" i="48"/>
  <c r="M645" i="48"/>
  <c r="J281" i="48"/>
  <c r="J277" i="48" s="1"/>
  <c r="J276" i="48" s="1"/>
  <c r="P166" i="48"/>
  <c r="P305" i="48"/>
  <c r="AT1657" i="21"/>
  <c r="J1648" i="48"/>
  <c r="AH1657" i="21"/>
  <c r="AI1657" i="21" s="1"/>
  <c r="J611" i="48"/>
  <c r="V1396" i="21"/>
  <c r="Y1396" i="21"/>
  <c r="AT842" i="21"/>
  <c r="D833" i="48"/>
  <c r="M1554" i="21"/>
  <c r="AT1451" i="21"/>
  <c r="E857" i="48"/>
  <c r="M1627" i="48"/>
  <c r="M1613" i="48" s="1"/>
  <c r="M1539" i="48"/>
  <c r="M1521" i="48" s="1"/>
  <c r="M1465" i="48"/>
  <c r="M1456" i="48" s="1"/>
  <c r="M1453" i="48" s="1"/>
  <c r="M1370" i="48"/>
  <c r="M1328" i="48" s="1"/>
  <c r="D642" i="48"/>
  <c r="P322" i="48"/>
  <c r="G182" i="48"/>
  <c r="P148" i="48"/>
  <c r="AY543" i="21"/>
  <c r="U26" i="39"/>
  <c r="P107" i="21"/>
  <c r="P105" i="21" s="1"/>
  <c r="D101" i="48"/>
  <c r="P101" i="48" s="1"/>
  <c r="Y138" i="21"/>
  <c r="AB1396" i="21"/>
  <c r="J424" i="48"/>
  <c r="P424" i="48" s="1"/>
  <c r="AB546" i="21"/>
  <c r="AI150" i="21"/>
  <c r="F59" i="48"/>
  <c r="Q17" i="48"/>
  <c r="M380" i="48"/>
  <c r="M377" i="48" s="1"/>
  <c r="J1582" i="48"/>
  <c r="D258" i="48"/>
  <c r="AK1294" i="21"/>
  <c r="AK1291" i="21" s="1"/>
  <c r="AK1085" i="21" s="1"/>
  <c r="G834" i="48"/>
  <c r="AT843" i="21"/>
  <c r="U26" i="40"/>
  <c r="J1658" i="48"/>
  <c r="J1652" i="48" s="1"/>
  <c r="P1554" i="48"/>
  <c r="J1488" i="48"/>
  <c r="P379" i="48"/>
  <c r="P267" i="48"/>
  <c r="P259" i="48"/>
  <c r="Y1393" i="21"/>
  <c r="Y1087" i="21" s="1"/>
  <c r="U26" i="35"/>
  <c r="AY375" i="21"/>
  <c r="J798" i="48"/>
  <c r="M812" i="48"/>
  <c r="F71" i="47"/>
  <c r="S71" i="47" s="1"/>
  <c r="P1219" i="48"/>
  <c r="P1216" i="48"/>
  <c r="P268" i="48"/>
  <c r="P295" i="48"/>
  <c r="P454" i="48"/>
  <c r="AT410" i="21"/>
  <c r="AT1007" i="21"/>
  <c r="J1289" i="48"/>
  <c r="J135" i="47"/>
  <c r="T135" i="47" s="1"/>
  <c r="J155" i="47"/>
  <c r="T155" i="47" s="1"/>
  <c r="G1442" i="48"/>
  <c r="N72" i="47"/>
  <c r="U72" i="47" s="1"/>
  <c r="N70" i="47"/>
  <c r="U70" i="47" s="1"/>
  <c r="AR1716" i="21"/>
  <c r="AE1383" i="21"/>
  <c r="AF1383" i="21" s="1"/>
  <c r="D1427" i="48"/>
  <c r="D1388" i="48" s="1"/>
  <c r="D1383" i="48" s="1"/>
  <c r="D1566" i="48"/>
  <c r="D1544" i="48" s="1"/>
  <c r="H14" i="48"/>
  <c r="N155" i="47"/>
  <c r="U155" i="47" s="1"/>
  <c r="R171" i="47"/>
  <c r="V171" i="47" s="1"/>
  <c r="J337" i="48"/>
  <c r="AT1059" i="21"/>
  <c r="E36" i="32"/>
  <c r="E36" i="40"/>
  <c r="AH1383" i="21"/>
  <c r="AI1383" i="21" s="1"/>
  <c r="J135" i="48"/>
  <c r="U23" i="30"/>
  <c r="U25" i="30" s="1"/>
  <c r="M1721" i="48"/>
  <c r="J109" i="48"/>
  <c r="AQ547" i="21"/>
  <c r="AQ545" i="21" s="1"/>
  <c r="J476" i="48"/>
  <c r="P476" i="48" s="1"/>
  <c r="G924" i="48"/>
  <c r="G917" i="48" s="1"/>
  <c r="AT1415" i="21"/>
  <c r="Y1447" i="21"/>
  <c r="Y1446" i="21" s="1"/>
  <c r="Z1446" i="21" s="1"/>
  <c r="N20" i="47"/>
  <c r="U20" i="47" s="1"/>
  <c r="F142" i="47"/>
  <c r="S142" i="47" s="1"/>
  <c r="N74" i="47"/>
  <c r="U74" i="47" s="1"/>
  <c r="U23" i="39"/>
  <c r="U25" i="39" s="1"/>
  <c r="J547" i="21"/>
  <c r="M1398" i="48"/>
  <c r="J866" i="48"/>
  <c r="J869" i="48"/>
  <c r="F11" i="47"/>
  <c r="S11" i="47" s="1"/>
  <c r="D157" i="48"/>
  <c r="D151" i="48" s="1"/>
  <c r="M951" i="48"/>
  <c r="P262" i="48"/>
  <c r="J951" i="48"/>
  <c r="J944" i="48"/>
  <c r="J890" i="48"/>
  <c r="D1614" i="48"/>
  <c r="G1005" i="48"/>
  <c r="P747" i="48"/>
  <c r="P695" i="48"/>
  <c r="P228" i="48"/>
  <c r="P336" i="48"/>
  <c r="P153" i="48"/>
  <c r="P388" i="48"/>
  <c r="P291" i="48"/>
  <c r="J86" i="48"/>
  <c r="J81" i="48" s="1"/>
  <c r="G1223" i="48"/>
  <c r="P489" i="48"/>
  <c r="D853" i="48"/>
  <c r="D848" i="48" s="1"/>
  <c r="J1627" i="48"/>
  <c r="J1613" i="48" s="1"/>
  <c r="P383" i="48"/>
  <c r="G168" i="48"/>
  <c r="P804" i="48"/>
  <c r="D981" i="48"/>
  <c r="P984" i="48"/>
  <c r="P981" i="48" s="1"/>
  <c r="P865" i="48"/>
  <c r="M591" i="48"/>
  <c r="Q37" i="48"/>
  <c r="P1713" i="48"/>
  <c r="D44" i="48"/>
  <c r="P1663" i="48"/>
  <c r="P1629" i="48"/>
  <c r="P1569" i="48"/>
  <c r="P1594" i="48"/>
  <c r="P1540" i="48"/>
  <c r="P1469" i="48"/>
  <c r="P1373" i="48"/>
  <c r="M944" i="48"/>
  <c r="P697" i="48"/>
  <c r="P269" i="48"/>
  <c r="P1704" i="48"/>
  <c r="D1188" i="48"/>
  <c r="P1188" i="48"/>
  <c r="D112" i="48"/>
  <c r="P414" i="48"/>
  <c r="P882" i="48"/>
  <c r="M1593" i="48"/>
  <c r="M1574" i="48" s="1"/>
  <c r="P753" i="48"/>
  <c r="P274" i="48"/>
  <c r="P185" i="48"/>
  <c r="M1213" i="48"/>
  <c r="D1634" i="48"/>
  <c r="D1632" i="48" s="1"/>
  <c r="M1586" i="48"/>
  <c r="G162" i="48"/>
  <c r="G161" i="48" s="1"/>
  <c r="P681" i="48"/>
  <c r="Q15" i="48"/>
  <c r="Q18" i="48"/>
  <c r="Q23" i="48"/>
  <c r="Q25" i="48"/>
  <c r="Q28" i="48"/>
  <c r="O31" i="48"/>
  <c r="I31" i="48"/>
  <c r="Q36" i="48"/>
  <c r="Q38" i="48"/>
  <c r="Q43" i="48"/>
  <c r="Q41" i="48"/>
  <c r="Q47" i="48"/>
  <c r="Q54" i="48"/>
  <c r="Q58" i="48"/>
  <c r="Q60" i="48"/>
  <c r="Q64" i="48"/>
  <c r="Q68" i="48"/>
  <c r="P350" i="48"/>
  <c r="P352" i="48"/>
  <c r="P1506" i="48"/>
  <c r="J1707" i="48"/>
  <c r="P1007" i="48"/>
  <c r="P260" i="48"/>
  <c r="P250" i="48"/>
  <c r="P321" i="48"/>
  <c r="P294" i="48"/>
  <c r="P110" i="48"/>
  <c r="P1218" i="48"/>
  <c r="P1464" i="48"/>
  <c r="J1457" i="48"/>
  <c r="J186" i="48"/>
  <c r="J180" i="48" s="1"/>
  <c r="P1063" i="48"/>
  <c r="P855" i="48"/>
  <c r="D788" i="48"/>
  <c r="D782" i="48" s="1"/>
  <c r="P705" i="48"/>
  <c r="D570" i="48"/>
  <c r="D541" i="48" s="1"/>
  <c r="P1343" i="48"/>
  <c r="P1697" i="48"/>
  <c r="P1530" i="48"/>
  <c r="P1304" i="48"/>
  <c r="P1014" i="48"/>
  <c r="M649" i="48"/>
  <c r="J435" i="48"/>
  <c r="M333" i="48"/>
  <c r="G281" i="48"/>
  <c r="J1427" i="48"/>
  <c r="J1388" i="48" s="1"/>
  <c r="J1383" i="48" s="1"/>
  <c r="D337" i="48"/>
  <c r="M1234" i="48"/>
  <c r="P1228" i="48"/>
  <c r="P1025" i="48"/>
  <c r="G972" i="48"/>
  <c r="G970" i="48" s="1"/>
  <c r="D972" i="48"/>
  <c r="D970" i="48" s="1"/>
  <c r="J292" i="48"/>
  <c r="D292" i="48"/>
  <c r="Q19" i="48"/>
  <c r="L31" i="48"/>
  <c r="L59" i="48"/>
  <c r="Q63" i="48"/>
  <c r="Q62" i="48"/>
  <c r="P1121" i="48"/>
  <c r="D735" i="48"/>
  <c r="D654" i="48"/>
  <c r="D591" i="48"/>
  <c r="M583" i="48"/>
  <c r="D230" i="48"/>
  <c r="J307" i="48"/>
  <c r="J139" i="48"/>
  <c r="P1030" i="48"/>
  <c r="P831" i="48"/>
  <c r="P669" i="48"/>
  <c r="D631" i="48"/>
  <c r="D604" i="48" s="1"/>
  <c r="G951" i="48"/>
  <c r="P595" i="48"/>
  <c r="M136" i="48"/>
  <c r="M1041" i="48"/>
  <c r="D908" i="48"/>
  <c r="P320" i="48"/>
  <c r="N1666" i="48"/>
  <c r="D976" i="48"/>
  <c r="D971" i="48" s="1"/>
  <c r="P1168" i="48"/>
  <c r="P1154" i="48"/>
  <c r="P1151" i="48"/>
  <c r="P949" i="48"/>
  <c r="P1034" i="48"/>
  <c r="P763" i="48"/>
  <c r="P755" i="48"/>
  <c r="P829" i="48"/>
  <c r="G1044" i="48"/>
  <c r="G944" i="48"/>
  <c r="P1306" i="48"/>
  <c r="J1213" i="48"/>
  <c r="D80" i="48"/>
  <c r="P174" i="48"/>
  <c r="D1593" i="48"/>
  <c r="D1574" i="48" s="1"/>
  <c r="G663" i="48"/>
  <c r="G637" i="48" s="1"/>
  <c r="M1226" i="48"/>
  <c r="P1463" i="48"/>
  <c r="Q27" i="48"/>
  <c r="K1666" i="48"/>
  <c r="J1712" i="48"/>
  <c r="J1711" i="48" s="1"/>
  <c r="M1662" i="48"/>
  <c r="M1655" i="48" s="1"/>
  <c r="M1640" i="48"/>
  <c r="M1639" i="48" s="1"/>
  <c r="M1633" i="48" s="1"/>
  <c r="M1566" i="48"/>
  <c r="M1544" i="48" s="1"/>
  <c r="M1515" i="48"/>
  <c r="M1502" i="48" s="1"/>
  <c r="P1068" i="48"/>
  <c r="P1066" i="48"/>
  <c r="P1064" i="48"/>
  <c r="P1035" i="48"/>
  <c r="P1033" i="48"/>
  <c r="P1031" i="48"/>
  <c r="P977" i="48"/>
  <c r="D911" i="48"/>
  <c r="D888" i="48" s="1"/>
  <c r="P122" i="48"/>
  <c r="G642" i="48"/>
  <c r="M182" i="48"/>
  <c r="M179" i="48" s="1"/>
  <c r="P884" i="48"/>
  <c r="P883" i="48" s="1"/>
  <c r="P860" i="48" s="1"/>
  <c r="J376" i="48"/>
  <c r="P1001" i="48"/>
  <c r="P479" i="48"/>
  <c r="P438" i="48"/>
  <c r="J1027" i="48"/>
  <c r="J997" i="48" s="1"/>
  <c r="J1336" i="48"/>
  <c r="J1325" i="48" s="1"/>
  <c r="J394" i="48"/>
  <c r="M307" i="48"/>
  <c r="P296" i="48"/>
  <c r="P116" i="48"/>
  <c r="M1582" i="48"/>
  <c r="P332" i="48"/>
  <c r="P525" i="48"/>
  <c r="P249" i="48"/>
  <c r="P194" i="48"/>
  <c r="P192" i="48"/>
  <c r="P126" i="48"/>
  <c r="P121" i="48"/>
  <c r="P104" i="48"/>
  <c r="P90" i="48"/>
  <c r="P88" i="48"/>
  <c r="P617" i="48"/>
  <c r="P615" i="48"/>
  <c r="P907" i="48"/>
  <c r="P975" i="48"/>
  <c r="P694" i="48"/>
  <c r="P641" i="48"/>
  <c r="G435" i="48"/>
  <c r="P265" i="48"/>
  <c r="P283" i="48"/>
  <c r="P183" i="48"/>
  <c r="P155" i="48"/>
  <c r="P257" i="48"/>
  <c r="G1708" i="48"/>
  <c r="G1707" i="48"/>
  <c r="P159" i="48"/>
  <c r="M157" i="48"/>
  <c r="M151" i="48" s="1"/>
  <c r="P1564" i="48"/>
  <c r="P1650" i="48"/>
  <c r="P1649" i="48" s="1"/>
  <c r="P1122" i="48"/>
  <c r="P1026" i="48"/>
  <c r="D1005" i="48"/>
  <c r="D936" i="48"/>
  <c r="P942" i="48"/>
  <c r="G80" i="48"/>
  <c r="P311" i="48"/>
  <c r="P308" i="48" s="1"/>
  <c r="P643" i="48"/>
  <c r="P309" i="48"/>
  <c r="G307" i="48"/>
  <c r="P252" i="48"/>
  <c r="P173" i="48"/>
  <c r="M911" i="48"/>
  <c r="M888" i="48" s="1"/>
  <c r="P913" i="48"/>
  <c r="P918" i="48"/>
  <c r="P850" i="48"/>
  <c r="D583" i="48"/>
  <c r="P234" i="48"/>
  <c r="J208" i="48"/>
  <c r="P251" i="48"/>
  <c r="G443" i="48"/>
  <c r="G422" i="48" s="1"/>
  <c r="P176" i="48"/>
  <c r="M204" i="48"/>
  <c r="G408" i="48"/>
  <c r="J516" i="48"/>
  <c r="J510" i="48" s="1"/>
  <c r="G1022" i="48"/>
  <c r="M936" i="48"/>
  <c r="D281" i="48"/>
  <c r="D277" i="48" s="1"/>
  <c r="M152" i="48"/>
  <c r="M150" i="48" s="1"/>
  <c r="D533" i="48"/>
  <c r="P587" i="48"/>
  <c r="P581" i="48"/>
  <c r="D182" i="48"/>
  <c r="D179" i="48" s="1"/>
  <c r="M1005" i="48"/>
  <c r="P1645" i="48"/>
  <c r="P1643" i="48"/>
  <c r="P1596" i="48"/>
  <c r="P1467" i="48"/>
  <c r="D1370" i="48"/>
  <c r="D1328" i="48" s="1"/>
  <c r="P1067" i="48"/>
  <c r="J570" i="48"/>
  <c r="J541" i="48" s="1"/>
  <c r="P128" i="48"/>
  <c r="P1180" i="48"/>
  <c r="P1178" i="48"/>
  <c r="M1044" i="48"/>
  <c r="M896" i="48"/>
  <c r="P240" i="48"/>
  <c r="J1676" i="48"/>
  <c r="J1673" i="48" s="1"/>
  <c r="P1333" i="48"/>
  <c r="P282" i="48"/>
  <c r="P1145" i="48"/>
  <c r="P1142" i="48" s="1"/>
  <c r="J1575" i="48"/>
  <c r="P207" i="48"/>
  <c r="N857" i="48"/>
  <c r="M119" i="48"/>
  <c r="M108" i="48" s="1"/>
  <c r="P1413" i="48"/>
  <c r="P412" i="48"/>
  <c r="P1661" i="48"/>
  <c r="P1654" i="48" s="1"/>
  <c r="G1712" i="48"/>
  <c r="G1711" i="48" s="1"/>
  <c r="Q57" i="48"/>
  <c r="Q45" i="48"/>
  <c r="J1662" i="48"/>
  <c r="J1655" i="48" s="1"/>
  <c r="J1640" i="48"/>
  <c r="J1639" i="48" s="1"/>
  <c r="J1633" i="48" s="1"/>
  <c r="J1539" i="48"/>
  <c r="J1521" i="48" s="1"/>
  <c r="J1370" i="48"/>
  <c r="J1328" i="48" s="1"/>
  <c r="J976" i="48"/>
  <c r="J971" i="48" s="1"/>
  <c r="P1702" i="48"/>
  <c r="P1715" i="48"/>
  <c r="P1641" i="48"/>
  <c r="P1567" i="48"/>
  <c r="P1598" i="48"/>
  <c r="P1371" i="48"/>
  <c r="G508" i="48"/>
  <c r="M80" i="48"/>
  <c r="P83" i="48"/>
  <c r="P1089" i="48"/>
  <c r="P459" i="48"/>
  <c r="M230" i="48"/>
  <c r="P737" i="48"/>
  <c r="J99" i="48"/>
  <c r="J97" i="48" s="1"/>
  <c r="P298" i="48"/>
  <c r="P1120" i="48"/>
  <c r="P124" i="48"/>
  <c r="D1041" i="48"/>
  <c r="J533" i="48"/>
  <c r="P263" i="48"/>
  <c r="J1114" i="48"/>
  <c r="J853" i="48"/>
  <c r="J848" i="48" s="1"/>
  <c r="P774" i="48"/>
  <c r="P767" i="48"/>
  <c r="P765" i="48"/>
  <c r="P761" i="48"/>
  <c r="P759" i="48"/>
  <c r="P757" i="48"/>
  <c r="P827" i="48"/>
  <c r="P792" i="48"/>
  <c r="P667" i="48"/>
  <c r="P665" i="48"/>
  <c r="P633" i="48"/>
  <c r="P445" i="48"/>
  <c r="P416" i="48"/>
  <c r="G358" i="48"/>
  <c r="G348" i="48" s="1"/>
  <c r="G175" i="48"/>
  <c r="G170" i="48" s="1"/>
  <c r="G102" i="48"/>
  <c r="G98" i="48" s="1"/>
  <c r="G1150" i="48"/>
  <c r="P1047" i="48"/>
  <c r="G985" i="48"/>
  <c r="G982" i="48" s="1"/>
  <c r="G980" i="48" s="1"/>
  <c r="P952" i="48"/>
  <c r="G896" i="48"/>
  <c r="G314" i="48"/>
  <c r="G107" i="48"/>
  <c r="G1658" i="48"/>
  <c r="G1652" i="48" s="1"/>
  <c r="P1534" i="48"/>
  <c r="D1301" i="48"/>
  <c r="P1013" i="48"/>
  <c r="G936" i="48"/>
  <c r="P889" i="48"/>
  <c r="P886" i="48" s="1"/>
  <c r="P852" i="48"/>
  <c r="D738" i="48"/>
  <c r="M657" i="48"/>
  <c r="P651" i="48"/>
  <c r="D214" i="48"/>
  <c r="J346" i="48"/>
  <c r="G330" i="48"/>
  <c r="G152" i="48"/>
  <c r="G150" i="48" s="1"/>
  <c r="G1634" i="48"/>
  <c r="G1632" i="48" s="1"/>
  <c r="J1011" i="48"/>
  <c r="G1041" i="48"/>
  <c r="M533" i="48"/>
  <c r="M866" i="48"/>
  <c r="J580" i="48"/>
  <c r="P978" i="48"/>
  <c r="P381" i="48"/>
  <c r="J273" i="48"/>
  <c r="J247" i="48" s="1"/>
  <c r="P344" i="48"/>
  <c r="D175" i="48"/>
  <c r="D170" i="48" s="1"/>
  <c r="P158" i="48"/>
  <c r="D102" i="48"/>
  <c r="D98" i="48" s="1"/>
  <c r="P966" i="48"/>
  <c r="P939" i="48" s="1"/>
  <c r="P945" i="48"/>
  <c r="P1508" i="48"/>
  <c r="J1226" i="48"/>
  <c r="P1049" i="48"/>
  <c r="J1015" i="48"/>
  <c r="P973" i="48"/>
  <c r="P818" i="48"/>
  <c r="G657" i="48"/>
  <c r="M642" i="48"/>
  <c r="P640" i="48"/>
  <c r="P453" i="48"/>
  <c r="G394" i="48"/>
  <c r="J258" i="48"/>
  <c r="J230" i="48"/>
  <c r="M346" i="48"/>
  <c r="P334" i="48"/>
  <c r="P323" i="48"/>
  <c r="G109" i="48"/>
  <c r="J727" i="48"/>
  <c r="P1637" i="48"/>
  <c r="D540" i="48"/>
  <c r="P514" i="48"/>
  <c r="M1199" i="48"/>
  <c r="M1190" i="48" s="1"/>
  <c r="P1200" i="48"/>
  <c r="P1199" i="48" s="1"/>
  <c r="P1190" i="48" s="1"/>
  <c r="G94" i="48"/>
  <c r="G93" i="48" s="1"/>
  <c r="P95" i="48"/>
  <c r="P94" i="48" s="1"/>
  <c r="P93" i="48" s="1"/>
  <c r="D645" i="48"/>
  <c r="P82" i="48"/>
  <c r="P989" i="48"/>
  <c r="P988" i="48" s="1"/>
  <c r="P983" i="48" s="1"/>
  <c r="M1170" i="48"/>
  <c r="M1161" i="48" s="1"/>
  <c r="P1171" i="48"/>
  <c r="M738" i="48"/>
  <c r="M1027" i="48"/>
  <c r="M997" i="48" s="1"/>
  <c r="P1029" i="48"/>
  <c r="J847" i="48"/>
  <c r="J1465" i="48"/>
  <c r="J1456" i="48" s="1"/>
  <c r="J1453" i="48" s="1"/>
  <c r="K14" i="48"/>
  <c r="Q31" i="48"/>
  <c r="J390" i="48"/>
  <c r="Q33" i="48"/>
  <c r="P406" i="48"/>
  <c r="P405" i="48" s="1"/>
  <c r="P387" i="48" s="1"/>
  <c r="J80" i="48"/>
  <c r="M1114" i="48"/>
  <c r="P910" i="48"/>
  <c r="P647" i="48"/>
  <c r="P1157" i="48"/>
  <c r="P1144" i="48" s="1"/>
  <c r="P232" i="48"/>
  <c r="J591" i="48"/>
  <c r="P1498" i="48"/>
  <c r="P1497" i="48" s="1"/>
  <c r="P1484" i="48" s="1"/>
  <c r="P84" i="48"/>
  <c r="J1593" i="48"/>
  <c r="J1574" i="48" s="1"/>
  <c r="P1403" i="48"/>
  <c r="G911" i="48"/>
  <c r="G888" i="48" s="1"/>
  <c r="J788" i="48"/>
  <c r="J782" i="48" s="1"/>
  <c r="P790" i="48"/>
  <c r="G341" i="48"/>
  <c r="G328" i="48" s="1"/>
  <c r="G157" i="48"/>
  <c r="G151" i="48" s="1"/>
  <c r="G603" i="48"/>
  <c r="P603" i="48"/>
  <c r="G960" i="48"/>
  <c r="G901" i="48"/>
  <c r="G890" i="48"/>
  <c r="G583" i="48"/>
  <c r="P233" i="48"/>
  <c r="M735" i="48"/>
  <c r="P353" i="48"/>
  <c r="M1561" i="48"/>
  <c r="J1002" i="48"/>
  <c r="P1372" i="48"/>
  <c r="P140" i="48"/>
  <c r="D139" i="48"/>
  <c r="G44" i="48"/>
  <c r="P1320" i="48"/>
  <c r="P241" i="48"/>
  <c r="P238" i="48"/>
  <c r="P193" i="48"/>
  <c r="P127" i="48"/>
  <c r="P89" i="48"/>
  <c r="P1473" i="48"/>
  <c r="P1346" i="48"/>
  <c r="P1338" i="48"/>
  <c r="P1164" i="48"/>
  <c r="P1045" i="48"/>
  <c r="P986" i="48"/>
  <c r="P964" i="48"/>
  <c r="P956" i="48"/>
  <c r="P954" i="48"/>
  <c r="P904" i="48"/>
  <c r="P902" i="48"/>
  <c r="P894" i="48"/>
  <c r="P892" i="48"/>
  <c r="P324" i="48"/>
  <c r="P1660" i="48"/>
  <c r="P1638" i="48"/>
  <c r="P1619" i="48"/>
  <c r="P1556" i="48"/>
  <c r="P1583" i="48"/>
  <c r="D1582" i="48"/>
  <c r="P1531" i="48"/>
  <c r="D1086" i="48"/>
  <c r="P920" i="48"/>
  <c r="P943" i="48"/>
  <c r="P734" i="48"/>
  <c r="P605" i="48"/>
  <c r="P584" i="48"/>
  <c r="P411" i="48"/>
  <c r="P372" i="48"/>
  <c r="G369" i="48"/>
  <c r="G368" i="48" s="1"/>
  <c r="P310" i="48"/>
  <c r="P297" i="48"/>
  <c r="P284" i="48"/>
  <c r="P184" i="48"/>
  <c r="P164" i="48"/>
  <c r="M139" i="48"/>
  <c r="M130" i="48" s="1"/>
  <c r="P141" i="48"/>
  <c r="P115" i="48"/>
  <c r="M727" i="48"/>
  <c r="P729" i="48"/>
  <c r="G186" i="48"/>
  <c r="G180" i="48" s="1"/>
  <c r="D649" i="48"/>
  <c r="D1561" i="48"/>
  <c r="P1401" i="48"/>
  <c r="I59" i="48"/>
  <c r="P912" i="48"/>
  <c r="G807" i="48"/>
  <c r="P111" i="48"/>
  <c r="P85" i="48"/>
  <c r="P231" i="48"/>
  <c r="P1635" i="48"/>
  <c r="P329" i="48"/>
  <c r="G261" i="48"/>
  <c r="P222" i="48"/>
  <c r="P304" i="48"/>
  <c r="G516" i="48"/>
  <c r="G510" i="48" s="1"/>
  <c r="G1662" i="48"/>
  <c r="G1655" i="48" s="1"/>
  <c r="P1647" i="48"/>
  <c r="P1644" i="48"/>
  <c r="P1630" i="48"/>
  <c r="P1597" i="48"/>
  <c r="P1541" i="48"/>
  <c r="G1515" i="48"/>
  <c r="G1502" i="48" s="1"/>
  <c r="P1466" i="48"/>
  <c r="G1465" i="48"/>
  <c r="G1456" i="48" s="1"/>
  <c r="G1453" i="48" s="1"/>
  <c r="M102" i="48"/>
  <c r="M98" i="48" s="1"/>
  <c r="M86" i="48"/>
  <c r="M81" i="48" s="1"/>
  <c r="P923" i="48"/>
  <c r="M168" i="48"/>
  <c r="M143" i="48"/>
  <c r="M142" i="48" s="1"/>
  <c r="G204" i="48"/>
  <c r="P683" i="48"/>
  <c r="P1087" i="48"/>
  <c r="D307" i="48"/>
  <c r="J1062" i="48"/>
  <c r="J1040" i="48" s="1"/>
  <c r="D663" i="48"/>
  <c r="D637" i="48" s="1"/>
  <c r="M186" i="48"/>
  <c r="M180" i="48" s="1"/>
  <c r="M859" i="48"/>
  <c r="M844" i="48" s="1"/>
  <c r="P1344" i="48"/>
  <c r="P1342" i="48"/>
  <c r="P1340" i="48"/>
  <c r="P1318" i="48"/>
  <c r="P1056" i="48"/>
  <c r="J972" i="48"/>
  <c r="J970" i="48" s="1"/>
  <c r="P851" i="48"/>
  <c r="P741" i="48"/>
  <c r="M261" i="48"/>
  <c r="M704" i="48"/>
  <c r="M676" i="48" s="1"/>
  <c r="P873" i="48"/>
  <c r="P1624" i="48"/>
  <c r="J369" i="48"/>
  <c r="D1170" i="48"/>
  <c r="D1161" i="48" s="1"/>
  <c r="P1172" i="48"/>
  <c r="P1131" i="48"/>
  <c r="P1065" i="48"/>
  <c r="P1032" i="48"/>
  <c r="D1027" i="48"/>
  <c r="D997" i="48" s="1"/>
  <c r="P1028" i="48"/>
  <c r="P925" i="48"/>
  <c r="P670" i="48"/>
  <c r="P668" i="48"/>
  <c r="P666" i="48"/>
  <c r="M413" i="48"/>
  <c r="M409" i="48" s="1"/>
  <c r="G998" i="48"/>
  <c r="G376" i="48"/>
  <c r="Q51" i="48"/>
  <c r="Q70" i="48"/>
  <c r="J314" i="48"/>
  <c r="P974" i="48"/>
  <c r="J859" i="48"/>
  <c r="J844" i="48" s="1"/>
  <c r="P620" i="48"/>
  <c r="P395" i="48"/>
  <c r="P356" i="48"/>
  <c r="D300" i="48"/>
  <c r="D289" i="48"/>
  <c r="P1460" i="48"/>
  <c r="D346" i="48"/>
  <c r="Q16" i="48"/>
  <c r="Q24" i="48"/>
  <c r="Q26" i="48"/>
  <c r="Q32" i="48"/>
  <c r="Q34" i="48"/>
  <c r="Q40" i="48"/>
  <c r="Q61" i="48"/>
  <c r="Q65" i="48"/>
  <c r="Q69" i="48"/>
  <c r="P351" i="48"/>
  <c r="Q1668" i="48"/>
  <c r="P1533" i="48"/>
  <c r="P1462" i="48"/>
  <c r="P235" i="48"/>
  <c r="P202" i="48"/>
  <c r="P746" i="48"/>
  <c r="D330" i="48"/>
  <c r="G1008" i="48"/>
  <c r="M432" i="48"/>
  <c r="P165" i="48"/>
  <c r="J1406" i="48"/>
  <c r="M1411" i="48"/>
  <c r="D1417" i="48"/>
  <c r="D1390" i="48"/>
  <c r="D1385" i="48" s="1"/>
  <c r="P832" i="48"/>
  <c r="P572" i="48"/>
  <c r="P494" i="48"/>
  <c r="P444" i="48"/>
  <c r="P239" i="48"/>
  <c r="D859" i="48"/>
  <c r="D844" i="48" s="1"/>
  <c r="P1592" i="48"/>
  <c r="P1345" i="48"/>
  <c r="P1341" i="48"/>
  <c r="P1339" i="48"/>
  <c r="P1319" i="48"/>
  <c r="P1165" i="48"/>
  <c r="P1155" i="48"/>
  <c r="P1152" i="48"/>
  <c r="P1124" i="48"/>
  <c r="P965" i="48"/>
  <c r="P963" i="48"/>
  <c r="P955" i="48"/>
  <c r="P950" i="48"/>
  <c r="P948" i="48"/>
  <c r="P905" i="48"/>
  <c r="P900" i="48"/>
  <c r="P898" i="48"/>
  <c r="P895" i="48"/>
  <c r="P893" i="48"/>
  <c r="P271" i="48"/>
  <c r="P118" i="48"/>
  <c r="P1700" i="48"/>
  <c r="D1708" i="48"/>
  <c r="P1616" i="48"/>
  <c r="P1532" i="48"/>
  <c r="P1490" i="48"/>
  <c r="P1335" i="48"/>
  <c r="P1305" i="48"/>
  <c r="P1222" i="48"/>
  <c r="P1220" i="48"/>
  <c r="P1230" i="48"/>
  <c r="G1398" i="48"/>
  <c r="G866" i="48"/>
  <c r="G874" i="48"/>
  <c r="M976" i="48"/>
  <c r="M971" i="48" s="1"/>
  <c r="P1099" i="48"/>
  <c r="P1101" i="48"/>
  <c r="M908" i="48"/>
  <c r="M924" i="48"/>
  <c r="M917" i="48" s="1"/>
  <c r="Z1692" i="21"/>
  <c r="AI1692" i="21"/>
  <c r="N1692" i="21"/>
  <c r="W1692" i="21"/>
  <c r="O590" i="48"/>
  <c r="O507" i="48"/>
  <c r="O368" i="48"/>
  <c r="AM370" i="21"/>
  <c r="K35" i="38" s="1"/>
  <c r="I418" i="48"/>
  <c r="AV427" i="21"/>
  <c r="O178" i="48"/>
  <c r="AV186" i="21"/>
  <c r="M1385" i="21"/>
  <c r="M1383" i="21" s="1"/>
  <c r="N1383" i="21" s="1"/>
  <c r="AR1692" i="21"/>
  <c r="O1683" i="48"/>
  <c r="AE610" i="21"/>
  <c r="AE608" i="21" s="1"/>
  <c r="AF608" i="21" s="1"/>
  <c r="J613" i="48"/>
  <c r="J601" i="48" s="1"/>
  <c r="Y480" i="21"/>
  <c r="G491" i="48"/>
  <c r="G471" i="48" s="1"/>
  <c r="AP1390" i="21"/>
  <c r="F1113" i="48"/>
  <c r="H45" i="29"/>
  <c r="AV1122" i="21"/>
  <c r="AS849" i="21"/>
  <c r="D7" i="40" s="1"/>
  <c r="H22" i="40" s="1"/>
  <c r="O969" i="48"/>
  <c r="AV855" i="21"/>
  <c r="AV924" i="21"/>
  <c r="I915" i="48"/>
  <c r="G380" i="48"/>
  <c r="G377" i="48" s="1"/>
  <c r="P382" i="48"/>
  <c r="D236" i="48"/>
  <c r="D201" i="48" s="1"/>
  <c r="P237" i="48"/>
  <c r="P1046" i="48"/>
  <c r="D1044" i="48"/>
  <c r="D957" i="48"/>
  <c r="D901" i="48"/>
  <c r="P903" i="48"/>
  <c r="P1659" i="48"/>
  <c r="D1658" i="48"/>
  <c r="D1652" i="48" s="1"/>
  <c r="P1557" i="48"/>
  <c r="G1555" i="48"/>
  <c r="M1301" i="48"/>
  <c r="P1303" i="48"/>
  <c r="P1217" i="48"/>
  <c r="G171" i="48"/>
  <c r="G169" i="48" s="1"/>
  <c r="S177" i="21"/>
  <c r="S175" i="21" s="1"/>
  <c r="T175" i="21" s="1"/>
  <c r="AT179" i="21"/>
  <c r="AT177" i="21" s="1"/>
  <c r="AV608" i="21"/>
  <c r="AJ849" i="21"/>
  <c r="D7" i="37" s="1"/>
  <c r="H22" i="37" s="1"/>
  <c r="D896" i="48"/>
  <c r="P146" i="48"/>
  <c r="F23" i="29"/>
  <c r="F856" i="48"/>
  <c r="L849" i="21"/>
  <c r="D7" i="29" s="1"/>
  <c r="I720" i="48"/>
  <c r="I590" i="48"/>
  <c r="AV599" i="21"/>
  <c r="L375" i="48"/>
  <c r="AJ370" i="21"/>
  <c r="K35" i="37" s="1"/>
  <c r="X370" i="21"/>
  <c r="K35" i="33" s="1"/>
  <c r="AV456" i="21"/>
  <c r="I447" i="48"/>
  <c r="P524" i="48"/>
  <c r="M523" i="48"/>
  <c r="M723" i="48"/>
  <c r="G800" i="48"/>
  <c r="L1470" i="48"/>
  <c r="AI1479" i="21"/>
  <c r="AJ1459" i="21"/>
  <c r="AD1390" i="21"/>
  <c r="AD1396" i="21" s="1"/>
  <c r="AV1332" i="21"/>
  <c r="I1374" i="48"/>
  <c r="AV1383" i="21"/>
  <c r="F980" i="48"/>
  <c r="R849" i="21"/>
  <c r="D7" i="31" s="1"/>
  <c r="D413" i="48"/>
  <c r="D409" i="48" s="1"/>
  <c r="P415" i="48"/>
  <c r="P374" i="48"/>
  <c r="P373" i="48" s="1"/>
  <c r="P370" i="48" s="1"/>
  <c r="J373" i="48"/>
  <c r="J370" i="48" s="1"/>
  <c r="P359" i="48"/>
  <c r="D358" i="48"/>
  <c r="D348" i="48" s="1"/>
  <c r="G1336" i="48"/>
  <c r="G1325" i="48" s="1"/>
  <c r="P1337" i="48"/>
  <c r="D985" i="48"/>
  <c r="D982" i="48" s="1"/>
  <c r="P987" i="48"/>
  <c r="D944" i="48"/>
  <c r="P946" i="48"/>
  <c r="D890" i="48"/>
  <c r="P891" i="48"/>
  <c r="D1683" i="48"/>
  <c r="G1622" i="48"/>
  <c r="P1563" i="48"/>
  <c r="J1561" i="48"/>
  <c r="P1584" i="48"/>
  <c r="G1582" i="48"/>
  <c r="G1226" i="48"/>
  <c r="P1227" i="48"/>
  <c r="G1213" i="48"/>
  <c r="G317" i="48"/>
  <c r="AT326" i="21"/>
  <c r="AN947" i="21"/>
  <c r="M941" i="48"/>
  <c r="M938" i="48" s="1"/>
  <c r="V1048" i="21"/>
  <c r="V1002" i="21" s="1"/>
  <c r="V852" i="21" s="1"/>
  <c r="P1443" i="48"/>
  <c r="P1439" i="48" s="1"/>
  <c r="M56" i="41"/>
  <c r="L780" i="48"/>
  <c r="I576" i="48"/>
  <c r="AV585" i="21"/>
  <c r="F672" i="48"/>
  <c r="AV681" i="21"/>
  <c r="L384" i="48"/>
  <c r="AG370" i="21"/>
  <c r="K35" i="36" s="1"/>
  <c r="AS203" i="21"/>
  <c r="AS82" i="21" s="1"/>
  <c r="H35" i="40" s="1"/>
  <c r="AV207" i="21"/>
  <c r="R75" i="33"/>
  <c r="R76" i="33" s="1"/>
  <c r="I1499" i="48"/>
  <c r="AV1508" i="21"/>
  <c r="R80" i="41" s="1"/>
  <c r="W1508" i="21"/>
  <c r="F1470" i="48"/>
  <c r="L1459" i="21"/>
  <c r="L1323" i="48"/>
  <c r="L1113" i="48"/>
  <c r="O980" i="48"/>
  <c r="O999" i="21"/>
  <c r="F995" i="48"/>
  <c r="AV1004" i="21"/>
  <c r="O849" i="21"/>
  <c r="D7" i="30" s="1"/>
  <c r="H22" i="30" s="1"/>
  <c r="G236" i="48"/>
  <c r="G201" i="48" s="1"/>
  <c r="P243" i="48"/>
  <c r="D341" i="48"/>
  <c r="D328" i="48" s="1"/>
  <c r="P343" i="48"/>
  <c r="P1212" i="48"/>
  <c r="D960" i="48"/>
  <c r="P961" i="48"/>
  <c r="D951" i="48"/>
  <c r="P953" i="48"/>
  <c r="P1722" i="48"/>
  <c r="P1718" i="48" s="1"/>
  <c r="P1636" i="48"/>
  <c r="M1634" i="48"/>
  <c r="M1632" i="48" s="1"/>
  <c r="P1507" i="48"/>
  <c r="AQ325" i="21"/>
  <c r="AQ324" i="21" s="1"/>
  <c r="M317" i="48"/>
  <c r="U21" i="29"/>
  <c r="M55" i="29"/>
  <c r="F72" i="47"/>
  <c r="S72" i="47" s="1"/>
  <c r="O199" i="48"/>
  <c r="AP370" i="21"/>
  <c r="K35" i="39" s="1"/>
  <c r="AS370" i="21"/>
  <c r="K35" i="40" s="1"/>
  <c r="L793" i="48"/>
  <c r="AV416" i="21"/>
  <c r="L407" i="48"/>
  <c r="I507" i="48"/>
  <c r="F507" i="48"/>
  <c r="AV516" i="21"/>
  <c r="J742" i="48"/>
  <c r="AV137" i="21"/>
  <c r="I129" i="48"/>
  <c r="L78" i="35"/>
  <c r="L1518" i="48"/>
  <c r="I1454" i="48"/>
  <c r="AV1463" i="21"/>
  <c r="X1459" i="21"/>
  <c r="R1390" i="21"/>
  <c r="R1396" i="21" s="1"/>
  <c r="F1386" i="48"/>
  <c r="W1182" i="21"/>
  <c r="I1173" i="48"/>
  <c r="W1167" i="21"/>
  <c r="I1158" i="48"/>
  <c r="H1158" i="48" s="1"/>
  <c r="AV1167" i="21"/>
  <c r="AU1167" i="21" s="1"/>
  <c r="AV1150" i="21"/>
  <c r="F1141" i="48"/>
  <c r="I1080" i="48"/>
  <c r="AV1089" i="21"/>
  <c r="O995" i="48"/>
  <c r="AM999" i="21"/>
  <c r="AM849" i="21"/>
  <c r="D7" i="38" s="1"/>
  <c r="F23" i="36"/>
  <c r="L856" i="48"/>
  <c r="AV978" i="21"/>
  <c r="AQ177" i="21"/>
  <c r="AQ175" i="21" s="1"/>
  <c r="AR175" i="21" s="1"/>
  <c r="M171" i="48"/>
  <c r="M169" i="48" s="1"/>
  <c r="AE307" i="21"/>
  <c r="AF307" i="21" s="1"/>
  <c r="J302" i="48"/>
  <c r="AE309" i="21"/>
  <c r="P1710" i="48"/>
  <c r="AV789" i="21"/>
  <c r="L846" i="48"/>
  <c r="M1707" i="48"/>
  <c r="M1708" i="48"/>
  <c r="F54" i="41"/>
  <c r="G346" i="48"/>
  <c r="I66" i="47"/>
  <c r="P355" i="48"/>
  <c r="N65" i="47"/>
  <c r="U65" i="47" s="1"/>
  <c r="R87" i="47"/>
  <c r="V87" i="47" s="1"/>
  <c r="AQ1169" i="21"/>
  <c r="AQ1168" i="21" s="1"/>
  <c r="AR1168" i="21" s="1"/>
  <c r="O780" i="48"/>
  <c r="L720" i="48"/>
  <c r="F793" i="48"/>
  <c r="AV802" i="21"/>
  <c r="AV528" i="21"/>
  <c r="I519" i="48"/>
  <c r="F368" i="48"/>
  <c r="O287" i="48"/>
  <c r="AV295" i="21"/>
  <c r="O149" i="48"/>
  <c r="I276" i="48"/>
  <c r="AV113" i="21"/>
  <c r="AV157" i="21"/>
  <c r="F149" i="48"/>
  <c r="AV175" i="21"/>
  <c r="L203" i="21"/>
  <c r="F244" i="48"/>
  <c r="P1714" i="48"/>
  <c r="M1712" i="48"/>
  <c r="M1711" i="48" s="1"/>
  <c r="Q55" i="48"/>
  <c r="Q42" i="48"/>
  <c r="F31" i="48"/>
  <c r="Q29" i="48"/>
  <c r="E14" i="48"/>
  <c r="P1642" i="48"/>
  <c r="G1640" i="48"/>
  <c r="G1639" i="48" s="1"/>
  <c r="G1633" i="48" s="1"/>
  <c r="P1628" i="48"/>
  <c r="G1627" i="48"/>
  <c r="G1613" i="48" s="1"/>
  <c r="G1566" i="48"/>
  <c r="G1544" i="48" s="1"/>
  <c r="P1568" i="48"/>
  <c r="G1593" i="48"/>
  <c r="G1574" i="48" s="1"/>
  <c r="P1595" i="48"/>
  <c r="J1311" i="48"/>
  <c r="J1284" i="48" s="1"/>
  <c r="P1312" i="48"/>
  <c r="P1311" i="48" s="1"/>
  <c r="P1284" i="48" s="1"/>
  <c r="AT1730" i="21"/>
  <c r="Y1728" i="21"/>
  <c r="J1720" i="48"/>
  <c r="AH1728" i="21"/>
  <c r="D1720" i="48"/>
  <c r="J1728" i="21"/>
  <c r="F276" i="48"/>
  <c r="Q59" i="48"/>
  <c r="I345" i="48"/>
  <c r="AV284" i="21"/>
  <c r="E14" i="41"/>
  <c r="H160" i="47"/>
  <c r="H159" i="47" s="1"/>
  <c r="M162" i="48"/>
  <c r="M161" i="48" s="1"/>
  <c r="N133" i="47"/>
  <c r="U133" i="47" s="1"/>
  <c r="N11" i="47"/>
  <c r="U11" i="47" s="1"/>
  <c r="L370" i="21"/>
  <c r="K35" i="29" s="1"/>
  <c r="I299" i="48"/>
  <c r="O12" i="47"/>
  <c r="R14" i="47"/>
  <c r="V14" i="47" s="1"/>
  <c r="J58" i="47"/>
  <c r="T58" i="47" s="1"/>
  <c r="G55" i="47"/>
  <c r="R80" i="47"/>
  <c r="V80" i="47" s="1"/>
  <c r="P77" i="47"/>
  <c r="L84" i="47"/>
  <c r="N87" i="47"/>
  <c r="U87" i="47" s="1"/>
  <c r="M98" i="47"/>
  <c r="N100" i="47"/>
  <c r="U100" i="47" s="1"/>
  <c r="Q39" i="48"/>
  <c r="J44" i="48"/>
  <c r="Q48" i="48"/>
  <c r="M44" i="48"/>
  <c r="AE1612" i="21"/>
  <c r="AE1610" i="21" s="1"/>
  <c r="AF1610" i="21" s="1"/>
  <c r="J1609" i="48"/>
  <c r="J1603" i="48" s="1"/>
  <c r="AT1201" i="21"/>
  <c r="J1198" i="21"/>
  <c r="J1196" i="21" s="1"/>
  <c r="K1196" i="21" s="1"/>
  <c r="AB683" i="21"/>
  <c r="J700" i="48"/>
  <c r="J674" i="48" s="1"/>
  <c r="J610" i="21"/>
  <c r="D613" i="48"/>
  <c r="D601" i="48" s="1"/>
  <c r="P1177" i="48"/>
  <c r="P1174" i="48" s="1"/>
  <c r="AH309" i="21"/>
  <c r="AH307" i="21"/>
  <c r="AI307" i="21" s="1"/>
  <c r="J10" i="47"/>
  <c r="T10" i="47" s="1"/>
  <c r="H9" i="47"/>
  <c r="AV307" i="21"/>
  <c r="AT1162" i="21"/>
  <c r="AT1156" i="21"/>
  <c r="M1558" i="48"/>
  <c r="E65" i="41"/>
  <c r="J47" i="41"/>
  <c r="M55" i="30"/>
  <c r="D12" i="47"/>
  <c r="F14" i="47"/>
  <c r="S14" i="47" s="1"/>
  <c r="R41" i="47"/>
  <c r="V41" i="47" s="1"/>
  <c r="O37" i="47"/>
  <c r="O36" i="47" s="1"/>
  <c r="C61" i="47"/>
  <c r="F65" i="47"/>
  <c r="S65" i="47" s="1"/>
  <c r="F89" i="47"/>
  <c r="S89" i="47" s="1"/>
  <c r="D84" i="47"/>
  <c r="D90" i="47"/>
  <c r="F91" i="47"/>
  <c r="S91" i="47" s="1"/>
  <c r="E160" i="47"/>
  <c r="E159" i="47" s="1"/>
  <c r="F168" i="47"/>
  <c r="S168" i="47" s="1"/>
  <c r="M516" i="48"/>
  <c r="M510" i="48" s="1"/>
  <c r="P517" i="48"/>
  <c r="S1212" i="21"/>
  <c r="AN645" i="21"/>
  <c r="L105" i="48"/>
  <c r="AV252" i="21"/>
  <c r="J661" i="48"/>
  <c r="W101" i="21"/>
  <c r="AT327" i="21"/>
  <c r="E35" i="41"/>
  <c r="AO1720" i="21"/>
  <c r="O1711" i="48"/>
  <c r="Q61" i="47"/>
  <c r="R63" i="47"/>
  <c r="V63" i="47" s="1"/>
  <c r="F67" i="47"/>
  <c r="S67" i="47" s="1"/>
  <c r="D66" i="47"/>
  <c r="J79" i="47"/>
  <c r="T79" i="47" s="1"/>
  <c r="G77" i="47"/>
  <c r="J154" i="47"/>
  <c r="T154" i="47" s="1"/>
  <c r="G150" i="47"/>
  <c r="L150" i="47"/>
  <c r="N157" i="47"/>
  <c r="U157" i="47" s="1"/>
  <c r="N164" i="47"/>
  <c r="U164" i="47" s="1"/>
  <c r="M160" i="47"/>
  <c r="M159" i="47" s="1"/>
  <c r="N167" i="47"/>
  <c r="U167" i="47" s="1"/>
  <c r="L160" i="47"/>
  <c r="L159" i="47" s="1"/>
  <c r="Q52" i="48"/>
  <c r="AQ1212" i="21"/>
  <c r="S1169" i="21"/>
  <c r="S1168" i="21" s="1"/>
  <c r="T1168" i="21" s="1"/>
  <c r="G1162" i="48"/>
  <c r="AT1171" i="21"/>
  <c r="AQ1152" i="21"/>
  <c r="AQ1150" i="21" s="1"/>
  <c r="AR1150" i="21" s="1"/>
  <c r="AE1152" i="21"/>
  <c r="AE1150" i="21" s="1"/>
  <c r="AF1150" i="21" s="1"/>
  <c r="J1146" i="48"/>
  <c r="AE867" i="21"/>
  <c r="J881" i="48"/>
  <c r="J858" i="48" s="1"/>
  <c r="J307" i="21"/>
  <c r="K307" i="21" s="1"/>
  <c r="D302" i="48"/>
  <c r="AT310" i="21"/>
  <c r="R11" i="47"/>
  <c r="V11" i="47" s="1"/>
  <c r="Q9" i="47"/>
  <c r="G1156" i="48"/>
  <c r="O59" i="48"/>
  <c r="J87" i="47"/>
  <c r="T87" i="47" s="1"/>
  <c r="K101" i="21"/>
  <c r="N40" i="47"/>
  <c r="U40" i="47" s="1"/>
  <c r="N94" i="47"/>
  <c r="U94" i="47" s="1"/>
  <c r="F122" i="47"/>
  <c r="S122" i="47" s="1"/>
  <c r="AQ530" i="21"/>
  <c r="AQ528" i="21" s="1"/>
  <c r="AR528" i="21" s="1"/>
  <c r="M528" i="48"/>
  <c r="M521" i="48" s="1"/>
  <c r="AT537" i="21"/>
  <c r="AT530" i="21" s="1"/>
  <c r="M458" i="21"/>
  <c r="D462" i="48"/>
  <c r="D449" i="48" s="1"/>
  <c r="AB429" i="21"/>
  <c r="J439" i="48"/>
  <c r="J420" i="48" s="1"/>
  <c r="F1323" i="48"/>
  <c r="F1279" i="48"/>
  <c r="F1187" i="48"/>
  <c r="O1113" i="48"/>
  <c r="H45" i="39"/>
  <c r="F23" i="38"/>
  <c r="O856" i="48"/>
  <c r="F846" i="48"/>
  <c r="AK1683" i="21"/>
  <c r="M1680" i="48"/>
  <c r="AT1689" i="21"/>
  <c r="D1680" i="48"/>
  <c r="M1683" i="21"/>
  <c r="AT1665" i="21"/>
  <c r="M1211" i="48"/>
  <c r="P1212" i="21"/>
  <c r="AT1200" i="21"/>
  <c r="G1191" i="48"/>
  <c r="M1156" i="48"/>
  <c r="P1152" i="21"/>
  <c r="P1150" i="21" s="1"/>
  <c r="Q1150" i="21" s="1"/>
  <c r="AB1152" i="21"/>
  <c r="AB1150" i="21" s="1"/>
  <c r="AC1150" i="21" s="1"/>
  <c r="P1047" i="21"/>
  <c r="P1001" i="21" s="1"/>
  <c r="D1048" i="48"/>
  <c r="AT671" i="21"/>
  <c r="D662" i="48"/>
  <c r="M660" i="48"/>
  <c r="AT669" i="21"/>
  <c r="R104" i="47"/>
  <c r="V104" i="47" s="1"/>
  <c r="P1119" i="48"/>
  <c r="G1509" i="48"/>
  <c r="AQ1582" i="21"/>
  <c r="AH1323" i="21"/>
  <c r="AH1322" i="21" s="1"/>
  <c r="AI1322" i="21" s="1"/>
  <c r="AE458" i="21"/>
  <c r="J462" i="48"/>
  <c r="J449" i="48" s="1"/>
  <c r="L935" i="48"/>
  <c r="AJ203" i="21"/>
  <c r="AJ82" i="21" s="1"/>
  <c r="H35" i="37" s="1"/>
  <c r="L199" i="48"/>
  <c r="M1209" i="48"/>
  <c r="D1167" i="48"/>
  <c r="M1169" i="21"/>
  <c r="M1168" i="21" s="1"/>
  <c r="N1168" i="21" s="1"/>
  <c r="D1156" i="48"/>
  <c r="D1149" i="48"/>
  <c r="M1147" i="48"/>
  <c r="G661" i="48"/>
  <c r="D660" i="48"/>
  <c r="Q102" i="47"/>
  <c r="P1010" i="48"/>
  <c r="O127" i="47"/>
  <c r="R132" i="47"/>
  <c r="V132" i="47" s="1"/>
  <c r="O150" i="47"/>
  <c r="R154" i="47"/>
  <c r="V154" i="47" s="1"/>
  <c r="N112" i="47"/>
  <c r="P1548" i="48"/>
  <c r="F41" i="47"/>
  <c r="S41" i="47" s="1"/>
  <c r="J81" i="47"/>
  <c r="T81" i="47" s="1"/>
  <c r="J89" i="47"/>
  <c r="T89" i="47" s="1"/>
  <c r="R95" i="47"/>
  <c r="V95" i="47" s="1"/>
  <c r="N108" i="47"/>
  <c r="U108" i="47" s="1"/>
  <c r="R121" i="47"/>
  <c r="V121" i="47" s="1"/>
  <c r="J169" i="47"/>
  <c r="T169" i="47" s="1"/>
  <c r="R165" i="47"/>
  <c r="V165" i="47" s="1"/>
  <c r="J1566" i="48"/>
  <c r="J1544" i="48" s="1"/>
  <c r="M570" i="48"/>
  <c r="M541" i="48" s="1"/>
  <c r="P191" i="48"/>
  <c r="P160" i="48"/>
  <c r="P618" i="48"/>
  <c r="D1150" i="48"/>
  <c r="M508" i="48"/>
  <c r="D443" i="48"/>
  <c r="D422" i="48" s="1"/>
  <c r="J1622" i="48"/>
  <c r="U24" i="41"/>
  <c r="AU22" i="21"/>
  <c r="M972" i="48"/>
  <c r="M970" i="48" s="1"/>
  <c r="D1707" i="48"/>
  <c r="AT969" i="21"/>
  <c r="G134" i="48"/>
  <c r="AQ307" i="21"/>
  <c r="AR307" i="21" s="1"/>
  <c r="AQ309" i="21"/>
  <c r="P325" i="48"/>
  <c r="P1169" i="48"/>
  <c r="E136" i="47"/>
  <c r="M1002" i="48"/>
  <c r="D261" i="48"/>
  <c r="D1602" i="48"/>
  <c r="D98" i="47"/>
  <c r="D105" i="47"/>
  <c r="P463" i="48"/>
  <c r="G704" i="48"/>
  <c r="G676" i="48" s="1"/>
  <c r="AT666" i="21"/>
  <c r="C136" i="47"/>
  <c r="I136" i="47"/>
  <c r="G1211" i="48"/>
  <c r="G1167" i="48"/>
  <c r="O203" i="21"/>
  <c r="J134" i="48"/>
  <c r="M998" i="48"/>
  <c r="D1398" i="48"/>
  <c r="Q20" i="48"/>
  <c r="M663" i="48"/>
  <c r="M637" i="48" s="1"/>
  <c r="M474" i="48"/>
  <c r="D752" i="48"/>
  <c r="D722" i="48" s="1"/>
  <c r="J998" i="48"/>
  <c r="J1057" i="48"/>
  <c r="P1430" i="48"/>
  <c r="G752" i="48"/>
  <c r="G722" i="48" s="1"/>
  <c r="F10" i="47"/>
  <c r="S10" i="47" s="1"/>
  <c r="M1457" i="48"/>
  <c r="J1682" i="48"/>
  <c r="AT1575" i="21"/>
  <c r="AT1553" i="21" s="1"/>
  <c r="AT1548" i="21"/>
  <c r="AT1530" i="21" s="1"/>
  <c r="L82" i="41" s="1"/>
  <c r="G349" i="48"/>
  <c r="G347" i="48" s="1"/>
  <c r="L999" i="21"/>
  <c r="L634" i="48"/>
  <c r="U370" i="21"/>
  <c r="K35" i="32" s="1"/>
  <c r="P1249" i="48"/>
  <c r="P1408" i="48"/>
  <c r="P1420" i="48"/>
  <c r="P1435" i="48"/>
  <c r="P1097" i="48"/>
  <c r="M1130" i="48"/>
  <c r="M1117" i="48" s="1"/>
  <c r="P1600" i="48"/>
  <c r="E45" i="41"/>
  <c r="P12" i="47"/>
  <c r="I18" i="47"/>
  <c r="F40" i="47"/>
  <c r="S40" i="47" s="1"/>
  <c r="G37" i="47"/>
  <c r="D55" i="47"/>
  <c r="R57" i="47"/>
  <c r="V57" i="47" s="1"/>
  <c r="E61" i="47"/>
  <c r="O61" i="47"/>
  <c r="D77" i="47"/>
  <c r="E77" i="47"/>
  <c r="J80" i="47"/>
  <c r="T80" i="47" s="1"/>
  <c r="L77" i="47"/>
  <c r="O77" i="47"/>
  <c r="M84" i="47"/>
  <c r="P84" i="47"/>
  <c r="N95" i="47"/>
  <c r="U95" i="47" s="1"/>
  <c r="P93" i="47"/>
  <c r="E98" i="47"/>
  <c r="L98" i="47"/>
  <c r="O98" i="47"/>
  <c r="E105" i="47"/>
  <c r="L105" i="47"/>
  <c r="M120" i="47"/>
  <c r="P127" i="47"/>
  <c r="G136" i="47"/>
  <c r="F161" i="47"/>
  <c r="S161" i="47" s="1"/>
  <c r="F164" i="47"/>
  <c r="S164" i="47" s="1"/>
  <c r="G160" i="47"/>
  <c r="G159" i="47" s="1"/>
  <c r="K160" i="47"/>
  <c r="K159" i="47" s="1"/>
  <c r="N165" i="47"/>
  <c r="U165" i="47" s="1"/>
  <c r="P160" i="47"/>
  <c r="P159" i="47" s="1"/>
  <c r="Q30" i="48"/>
  <c r="Q35" i="48"/>
  <c r="Q44" i="48"/>
  <c r="Q46" i="48"/>
  <c r="Q53" i="48"/>
  <c r="D516" i="48"/>
  <c r="D510" i="48" s="1"/>
  <c r="P1505" i="48"/>
  <c r="AT1524" i="21"/>
  <c r="AT1511" i="21" s="1"/>
  <c r="AT640" i="21"/>
  <c r="AT613" i="21" s="1"/>
  <c r="AQ1294" i="21"/>
  <c r="AQ1291" i="21" s="1"/>
  <c r="AV1527" i="21"/>
  <c r="L83" i="41" s="1"/>
  <c r="M132" i="48"/>
  <c r="P187" i="48"/>
  <c r="P1042" i="48"/>
  <c r="J1390" i="48"/>
  <c r="J1385" i="48" s="1"/>
  <c r="P340" i="48"/>
  <c r="J874" i="48"/>
  <c r="P1072" i="48"/>
  <c r="H136" i="47"/>
  <c r="G1591" i="48"/>
  <c r="G1538" i="48"/>
  <c r="D1317" i="48"/>
  <c r="M1315" i="48"/>
  <c r="H45" i="33"/>
  <c r="G976" i="48"/>
  <c r="G971" i="48" s="1"/>
  <c r="J236" i="48"/>
  <c r="J201" i="48" s="1"/>
  <c r="P360" i="48"/>
  <c r="P286" i="48"/>
  <c r="P279" i="48" s="1"/>
  <c r="P1478" i="48"/>
  <c r="P748" i="48"/>
  <c r="P787" i="48"/>
  <c r="G649" i="48"/>
  <c r="P648" i="48"/>
  <c r="P639" i="48"/>
  <c r="G591" i="48"/>
  <c r="P586" i="48"/>
  <c r="P579" i="48"/>
  <c r="P527" i="48"/>
  <c r="P460" i="48"/>
  <c r="P436" i="48"/>
  <c r="P266" i="48"/>
  <c r="J261" i="48"/>
  <c r="P229" i="48"/>
  <c r="P227" i="48"/>
  <c r="P357" i="48"/>
  <c r="P354" i="48"/>
  <c r="P335" i="48"/>
  <c r="P331" i="48"/>
  <c r="M281" i="48"/>
  <c r="M277" i="48" s="1"/>
  <c r="M276" i="48" s="1"/>
  <c r="M847" i="48"/>
  <c r="M426" i="48"/>
  <c r="J211" i="48"/>
  <c r="M236" i="48"/>
  <c r="M201" i="48" s="1"/>
  <c r="M1488" i="48"/>
  <c r="P1069" i="48"/>
  <c r="P772" i="48"/>
  <c r="M1390" i="48"/>
  <c r="M1385" i="48" s="1"/>
  <c r="P403" i="48"/>
  <c r="J142" i="47"/>
  <c r="T142" i="47" s="1"/>
  <c r="R156" i="47"/>
  <c r="V156" i="47" s="1"/>
  <c r="F171" i="47"/>
  <c r="S171" i="47" s="1"/>
  <c r="M869" i="48"/>
  <c r="M874" i="48"/>
  <c r="E1667" i="48"/>
  <c r="Q21" i="48"/>
  <c r="N14" i="48"/>
  <c r="AU1676" i="21"/>
  <c r="AU1675" i="21" s="1"/>
  <c r="J112" i="47"/>
  <c r="O47" i="41"/>
  <c r="U23" i="33"/>
  <c r="U25" i="33" s="1"/>
  <c r="U27" i="33" s="1"/>
  <c r="AQ1683" i="21"/>
  <c r="AQ1681" i="21" s="1"/>
  <c r="AR1681" i="21" s="1"/>
  <c r="M1681" i="48"/>
  <c r="AT1690" i="21"/>
  <c r="P813" i="48"/>
  <c r="P1581" i="48"/>
  <c r="H73" i="47"/>
  <c r="J75" i="47"/>
  <c r="T75" i="47" s="1"/>
  <c r="AV478" i="21"/>
  <c r="F469" i="48"/>
  <c r="AT1729" i="21"/>
  <c r="M1720" i="48"/>
  <c r="M807" i="48"/>
  <c r="P808" i="48"/>
  <c r="I143" i="47"/>
  <c r="J143" i="47" s="1"/>
  <c r="J147" i="47"/>
  <c r="T147" i="47" s="1"/>
  <c r="G176" i="47"/>
  <c r="J176" i="47" s="1"/>
  <c r="J182" i="47"/>
  <c r="AB373" i="21"/>
  <c r="P1612" i="21"/>
  <c r="P1610" i="21" s="1"/>
  <c r="Q1610" i="21" s="1"/>
  <c r="AT1618" i="21"/>
  <c r="AT1612" i="21" s="1"/>
  <c r="J1591" i="48"/>
  <c r="AE1582" i="21"/>
  <c r="S1582" i="21"/>
  <c r="AT1599" i="21"/>
  <c r="G1590" i="48"/>
  <c r="J1538" i="48"/>
  <c r="AT1547" i="21"/>
  <c r="G1537" i="48"/>
  <c r="AT1546" i="21"/>
  <c r="AT1545" i="21"/>
  <c r="AE1529" i="21"/>
  <c r="J1536" i="48"/>
  <c r="AQ1529" i="21"/>
  <c r="G1535" i="48"/>
  <c r="S1529" i="21"/>
  <c r="L76" i="32" s="1"/>
  <c r="G1317" i="48"/>
  <c r="AT1326" i="21"/>
  <c r="D1316" i="48"/>
  <c r="J1323" i="21"/>
  <c r="J1322" i="21" s="1"/>
  <c r="K1322" i="21" s="1"/>
  <c r="V1323" i="21"/>
  <c r="V1322" i="21" s="1"/>
  <c r="W1322" i="21" s="1"/>
  <c r="G1315" i="48"/>
  <c r="G881" i="48"/>
  <c r="G858" i="48" s="1"/>
  <c r="V867" i="21"/>
  <c r="M592" i="48"/>
  <c r="P597" i="48"/>
  <c r="J1614" i="48"/>
  <c r="AT1095" i="21"/>
  <c r="P1476" i="48"/>
  <c r="P1458" i="48"/>
  <c r="D107" i="48"/>
  <c r="D168" i="48"/>
  <c r="P172" i="48"/>
  <c r="C105" i="47"/>
  <c r="F106" i="47"/>
  <c r="S106" i="47" s="1"/>
  <c r="M580" i="48"/>
  <c r="D132" i="48"/>
  <c r="AT140" i="21"/>
  <c r="AT346" i="21"/>
  <c r="D37" i="47"/>
  <c r="D36" i="47" s="1"/>
  <c r="N121" i="47"/>
  <c r="U121" i="47" s="1"/>
  <c r="U23" i="37"/>
  <c r="U25" i="37" s="1"/>
  <c r="I55" i="47"/>
  <c r="J56" i="47"/>
  <c r="T56" i="47" s="1"/>
  <c r="P61" i="47"/>
  <c r="R62" i="47"/>
  <c r="V62" i="47" s="1"/>
  <c r="H84" i="47"/>
  <c r="J88" i="47"/>
  <c r="T88" i="47" s="1"/>
  <c r="N86" i="47"/>
  <c r="U86" i="47" s="1"/>
  <c r="K84" i="47"/>
  <c r="R97" i="47"/>
  <c r="V97" i="47" s="1"/>
  <c r="O93" i="47"/>
  <c r="G120" i="47"/>
  <c r="J121" i="47"/>
  <c r="T121" i="47" s="1"/>
  <c r="E127" i="47"/>
  <c r="F133" i="47"/>
  <c r="S133" i="47" s="1"/>
  <c r="N139" i="47"/>
  <c r="U139" i="47" s="1"/>
  <c r="M136" i="47"/>
  <c r="P136" i="47"/>
  <c r="R140" i="47"/>
  <c r="V140" i="47" s="1"/>
  <c r="E150" i="47"/>
  <c r="F157" i="47"/>
  <c r="S157" i="47" s="1"/>
  <c r="R157" i="47"/>
  <c r="V157" i="47" s="1"/>
  <c r="P150" i="47"/>
  <c r="F167" i="47"/>
  <c r="S167" i="47" s="1"/>
  <c r="C160" i="47"/>
  <c r="O160" i="47"/>
  <c r="R161" i="47"/>
  <c r="V161" i="47" s="1"/>
  <c r="AU866" i="21"/>
  <c r="I60" i="41"/>
  <c r="M55" i="33"/>
  <c r="L47" i="41"/>
  <c r="J168" i="48"/>
  <c r="J152" i="48"/>
  <c r="J150" i="48" s="1"/>
  <c r="P154" i="48"/>
  <c r="P1440" i="48"/>
  <c r="M300" i="48"/>
  <c r="J15" i="41"/>
  <c r="S1683" i="21"/>
  <c r="AT1691" i="21"/>
  <c r="V530" i="21"/>
  <c r="G528" i="48"/>
  <c r="AK429" i="21"/>
  <c r="M439" i="48"/>
  <c r="AB356" i="21"/>
  <c r="AB354" i="21" s="1"/>
  <c r="AC354" i="21" s="1"/>
  <c r="J349" i="48"/>
  <c r="J347" i="48" s="1"/>
  <c r="I1481" i="48"/>
  <c r="AV1490" i="21"/>
  <c r="AV1479" i="21"/>
  <c r="AD1459" i="21"/>
  <c r="AS1390" i="21"/>
  <c r="O1386" i="48"/>
  <c r="AG1390" i="21"/>
  <c r="L1386" i="48"/>
  <c r="AV1322" i="21"/>
  <c r="L1313" i="48"/>
  <c r="L1201" i="48"/>
  <c r="AV1210" i="21"/>
  <c r="L1173" i="48"/>
  <c r="AV1182" i="21"/>
  <c r="AV1168" i="21"/>
  <c r="AC1167" i="21"/>
  <c r="L1158" i="48"/>
  <c r="K1158" i="48" s="1"/>
  <c r="O1036" i="48"/>
  <c r="AP849" i="21"/>
  <c r="D7" i="39" s="1"/>
  <c r="AP999" i="21"/>
  <c r="M394" i="48"/>
  <c r="D1289" i="48"/>
  <c r="AT1298" i="21"/>
  <c r="M1294" i="21"/>
  <c r="M1291" i="21" s="1"/>
  <c r="M1085" i="21" s="1"/>
  <c r="M493" i="48"/>
  <c r="M472" i="48" s="1"/>
  <c r="S141" i="21"/>
  <c r="S139" i="21" s="1"/>
  <c r="G135" i="48"/>
  <c r="P1703" i="48"/>
  <c r="G1683" i="48"/>
  <c r="G136" i="48"/>
  <c r="G682" i="48"/>
  <c r="D682" i="48"/>
  <c r="AT542" i="21"/>
  <c r="D1130" i="48"/>
  <c r="D1117" i="48" s="1"/>
  <c r="D1062" i="48"/>
  <c r="D1040" i="48" s="1"/>
  <c r="D186" i="48"/>
  <c r="D180" i="48" s="1"/>
  <c r="D119" i="48"/>
  <c r="D108" i="48" s="1"/>
  <c r="D86" i="48"/>
  <c r="D81" i="48" s="1"/>
  <c r="AT933" i="21"/>
  <c r="AT926" i="21" s="1"/>
  <c r="AQ480" i="21"/>
  <c r="M491" i="48"/>
  <c r="M471" i="48" s="1"/>
  <c r="V480" i="21"/>
  <c r="AT500" i="21"/>
  <c r="AT480" i="21" s="1"/>
  <c r="L1542" i="48"/>
  <c r="C127" i="47"/>
  <c r="N131" i="47"/>
  <c r="U131" i="47" s="1"/>
  <c r="M127" i="47"/>
  <c r="P120" i="47"/>
  <c r="AT899" i="21"/>
  <c r="P417" i="48"/>
  <c r="G413" i="48"/>
  <c r="G409" i="48" s="1"/>
  <c r="F20" i="47"/>
  <c r="S20" i="47" s="1"/>
  <c r="P1347" i="48"/>
  <c r="P750" i="48"/>
  <c r="P777" i="48"/>
  <c r="AE1294" i="21"/>
  <c r="AE1291" i="21" s="1"/>
  <c r="P1070" i="48"/>
  <c r="P1705" i="48"/>
  <c r="AB1385" i="21"/>
  <c r="AB1383" i="21" s="1"/>
  <c r="AC1383" i="21" s="1"/>
  <c r="J1376" i="48"/>
  <c r="J1374" i="48" s="1"/>
  <c r="G474" i="48"/>
  <c r="R71" i="47"/>
  <c r="V71" i="47" s="1"/>
  <c r="I73" i="47"/>
  <c r="J13" i="41"/>
  <c r="L136" i="47"/>
  <c r="K105" i="47"/>
  <c r="R125" i="47"/>
  <c r="V125" i="47" s="1"/>
  <c r="AT1399" i="21"/>
  <c r="AT1394" i="21" s="1"/>
  <c r="M1537" i="48"/>
  <c r="M1535" i="48"/>
  <c r="AT1345" i="21"/>
  <c r="AT1334" i="21" s="1"/>
  <c r="AT1325" i="21"/>
  <c r="J1316" i="48"/>
  <c r="P513" i="48"/>
  <c r="P819" i="48"/>
  <c r="J1086" i="48"/>
  <c r="S84" i="21"/>
  <c r="I127" i="47"/>
  <c r="G1681" i="48"/>
  <c r="D314" i="48"/>
  <c r="M134" i="48"/>
  <c r="AQ141" i="21"/>
  <c r="AQ139" i="21" s="1"/>
  <c r="P275" i="48"/>
  <c r="L73" i="47"/>
  <c r="G815" i="48"/>
  <c r="N14" i="47"/>
  <c r="U14" i="47" s="1"/>
  <c r="G127" i="47"/>
  <c r="Q127" i="47"/>
  <c r="J162" i="47"/>
  <c r="T162" i="47" s="1"/>
  <c r="Q22" i="48"/>
  <c r="AT862" i="21"/>
  <c r="AT857" i="21" s="1"/>
  <c r="AT1564" i="21"/>
  <c r="J1248" i="48"/>
  <c r="J1205" i="48" s="1"/>
  <c r="AH141" i="21"/>
  <c r="AH139" i="21" s="1"/>
  <c r="P144" i="48"/>
  <c r="G540" i="48"/>
  <c r="D486" i="48"/>
  <c r="D18" i="47"/>
  <c r="O18" i="47"/>
  <c r="AT244" i="21"/>
  <c r="AT209" i="21" s="1"/>
  <c r="AT194" i="21"/>
  <c r="AT188" i="21" s="1"/>
  <c r="AT94" i="21"/>
  <c r="AT89" i="21" s="1"/>
  <c r="J1288" i="48"/>
  <c r="AN372" i="21"/>
  <c r="AV944" i="21"/>
  <c r="I672" i="48"/>
  <c r="L418" i="48"/>
  <c r="AD370" i="21"/>
  <c r="K35" i="35" s="1"/>
  <c r="I375" i="48"/>
  <c r="R370" i="21"/>
  <c r="K35" i="31" s="1"/>
  <c r="O276" i="48"/>
  <c r="I105" i="48"/>
  <c r="F299" i="48"/>
  <c r="F105" i="48"/>
  <c r="P616" i="48"/>
  <c r="AK1385" i="21"/>
  <c r="AK1383" i="21" s="1"/>
  <c r="AL1383" i="21" s="1"/>
  <c r="P999" i="48"/>
  <c r="P1409" i="48"/>
  <c r="P1414" i="48"/>
  <c r="P1416" i="48"/>
  <c r="P1431" i="48"/>
  <c r="P1433" i="48"/>
  <c r="J20" i="47"/>
  <c r="T20" i="47" s="1"/>
  <c r="R135" i="47"/>
  <c r="V135" i="47" s="1"/>
  <c r="J131" i="47"/>
  <c r="T131" i="47" s="1"/>
  <c r="J141" i="47"/>
  <c r="T141" i="47" s="1"/>
  <c r="F155" i="47"/>
  <c r="S155" i="47" s="1"/>
  <c r="P1321" i="48"/>
  <c r="P270" i="48"/>
  <c r="P1297" i="48"/>
  <c r="D1114" i="48"/>
  <c r="AT160" i="21"/>
  <c r="AT158" i="21" s="1"/>
  <c r="G99" i="48"/>
  <c r="G97" i="48" s="1"/>
  <c r="K37" i="47"/>
  <c r="H61" i="47"/>
  <c r="M61" i="47"/>
  <c r="C66" i="47"/>
  <c r="R67" i="47"/>
  <c r="V67" i="47" s="1"/>
  <c r="H77" i="47"/>
  <c r="I84" i="47"/>
  <c r="C90" i="47"/>
  <c r="J92" i="47"/>
  <c r="T92" i="47" s="1"/>
  <c r="C93" i="47"/>
  <c r="J100" i="47"/>
  <c r="T100" i="47" s="1"/>
  <c r="J108" i="47"/>
  <c r="T108" i="47" s="1"/>
  <c r="D136" i="47"/>
  <c r="Q136" i="47"/>
  <c r="AT1602" i="21"/>
  <c r="AT1583" i="21" s="1"/>
  <c r="Y84" i="21"/>
  <c r="J1398" i="48"/>
  <c r="M1406" i="48"/>
  <c r="D1411" i="48"/>
  <c r="G1417" i="48"/>
  <c r="P1419" i="48"/>
  <c r="G1427" i="48"/>
  <c r="G1388" i="48" s="1"/>
  <c r="G1383" i="48" s="1"/>
  <c r="G1390" i="48"/>
  <c r="G1385" i="48" s="1"/>
  <c r="P1436" i="48"/>
  <c r="R142" i="47"/>
  <c r="V142" i="47" s="1"/>
  <c r="N171" i="47"/>
  <c r="U171" i="47" s="1"/>
  <c r="P779" i="48"/>
  <c r="M443" i="48"/>
  <c r="M422" i="48" s="1"/>
  <c r="F15" i="47"/>
  <c r="S15" i="47" s="1"/>
  <c r="R15" i="47"/>
  <c r="V15" i="47" s="1"/>
  <c r="H18" i="47"/>
  <c r="E55" i="47"/>
  <c r="O55" i="47"/>
  <c r="O84" i="47"/>
  <c r="N91" i="47"/>
  <c r="U91" i="47" s="1"/>
  <c r="D93" i="47"/>
  <c r="I93" i="47"/>
  <c r="AT1591" i="21"/>
  <c r="P762" i="48"/>
  <c r="J631" i="48"/>
  <c r="J604" i="48" s="1"/>
  <c r="J443" i="48"/>
  <c r="J422" i="48" s="1"/>
  <c r="P1232" i="48"/>
  <c r="P1399" i="48"/>
  <c r="AT875" i="21"/>
  <c r="P868" i="48"/>
  <c r="AT883" i="21"/>
  <c r="P876" i="48"/>
  <c r="P968" i="48"/>
  <c r="P967" i="48" s="1"/>
  <c r="P940" i="48" s="1"/>
  <c r="P909" i="48"/>
  <c r="F135" i="47"/>
  <c r="S135" i="47" s="1"/>
  <c r="I1141" i="48"/>
  <c r="L1374" i="48"/>
  <c r="O935" i="48"/>
  <c r="L1036" i="48"/>
  <c r="AA849" i="21"/>
  <c r="D7" i="34" s="1"/>
  <c r="H22" i="34" s="1"/>
  <c r="D1248" i="48"/>
  <c r="D1205" i="48" s="1"/>
  <c r="AV1715" i="21"/>
  <c r="AU1715" i="21" s="1"/>
  <c r="P1231" i="48"/>
  <c r="M1248" i="48"/>
  <c r="M1205" i="48" s="1"/>
  <c r="G1289" i="48"/>
  <c r="M1289" i="48"/>
  <c r="P1475" i="48"/>
  <c r="M1728" i="21"/>
  <c r="J493" i="48"/>
  <c r="J472" i="48" s="1"/>
  <c r="P820" i="48"/>
  <c r="AN141" i="21"/>
  <c r="AN139" i="21" s="1"/>
  <c r="R20" i="47"/>
  <c r="V20" i="47" s="1"/>
  <c r="P623" i="48"/>
  <c r="P625" i="48"/>
  <c r="AQ1728" i="21"/>
  <c r="Y1048" i="21"/>
  <c r="Y1002" i="21" s="1"/>
  <c r="M1683" i="48"/>
  <c r="G1680" i="48"/>
  <c r="O1651" i="48"/>
  <c r="L1631" i="48"/>
  <c r="L1499" i="48"/>
  <c r="O1481" i="48"/>
  <c r="D493" i="48"/>
  <c r="D472" i="48" s="1"/>
  <c r="D273" i="48"/>
  <c r="D247" i="48" s="1"/>
  <c r="P125" i="48"/>
  <c r="P103" i="48"/>
  <c r="P1646" i="48"/>
  <c r="P1570" i="48"/>
  <c r="P624" i="48"/>
  <c r="D874" i="48"/>
  <c r="P1092" i="48"/>
  <c r="P1095" i="48"/>
  <c r="P1100" i="48"/>
  <c r="P1102" i="48"/>
  <c r="J72" i="47"/>
  <c r="T72" i="47" s="1"/>
  <c r="J70" i="47"/>
  <c r="T70" i="47" s="1"/>
  <c r="K73" i="47"/>
  <c r="N75" i="47"/>
  <c r="U75" i="47" s="1"/>
  <c r="J1287" i="48"/>
  <c r="V710" i="21"/>
  <c r="V684" i="21" s="1"/>
  <c r="V541" i="21" s="1"/>
  <c r="AH710" i="21"/>
  <c r="AH684" i="21" s="1"/>
  <c r="V1198" i="21"/>
  <c r="V1196" i="21" s="1"/>
  <c r="W1196" i="21" s="1"/>
  <c r="AE1169" i="21"/>
  <c r="AE1168" i="21" s="1"/>
  <c r="AF1168" i="21" s="1"/>
  <c r="AT910" i="21"/>
  <c r="M1676" i="48"/>
  <c r="M1673" i="48" s="1"/>
  <c r="P1664" i="48"/>
  <c r="P1599" i="48"/>
  <c r="P1517" i="48"/>
  <c r="M109" i="48"/>
  <c r="J325" i="21"/>
  <c r="J324" i="21" s="1"/>
  <c r="J318" i="48"/>
  <c r="D1406" i="48"/>
  <c r="P1410" i="48"/>
  <c r="G1411" i="48"/>
  <c r="J1417" i="48"/>
  <c r="Q67" i="48"/>
  <c r="P835" i="48"/>
  <c r="N141" i="47"/>
  <c r="U141" i="47" s="1"/>
  <c r="F156" i="47"/>
  <c r="S156" i="47" s="1"/>
  <c r="P699" i="48"/>
  <c r="G1234" i="48"/>
  <c r="P671" i="48"/>
  <c r="P839" i="48"/>
  <c r="G908" i="48"/>
  <c r="AT367" i="21"/>
  <c r="AT357" i="21" s="1"/>
  <c r="P1698" i="48"/>
  <c r="AQ1198" i="21"/>
  <c r="AQ1196" i="21" s="1"/>
  <c r="AR1196" i="21" s="1"/>
  <c r="S1198" i="21"/>
  <c r="S1196" i="21" s="1"/>
  <c r="T1196" i="21" s="1"/>
  <c r="M1167" i="48"/>
  <c r="M1149" i="48"/>
  <c r="I1323" i="48"/>
  <c r="F1313" i="48"/>
  <c r="P575" i="48"/>
  <c r="P571" i="48"/>
  <c r="J916" i="48"/>
  <c r="M1062" i="48"/>
  <c r="M1040" i="48" s="1"/>
  <c r="P156" i="48"/>
  <c r="P653" i="48"/>
  <c r="P771" i="48"/>
  <c r="P773" i="48"/>
  <c r="P1400" i="48"/>
  <c r="P1428" i="48"/>
  <c r="P621" i="48"/>
  <c r="P490" i="48"/>
  <c r="N16" i="47"/>
  <c r="P338" i="48"/>
  <c r="P837" i="48"/>
  <c r="J1234" i="48"/>
  <c r="R72" i="47"/>
  <c r="V72" i="47" s="1"/>
  <c r="J71" i="47"/>
  <c r="T71" i="47" s="1"/>
  <c r="R70" i="47"/>
  <c r="V70" i="47" s="1"/>
  <c r="J908" i="48"/>
  <c r="E73" i="47"/>
  <c r="G73" i="47"/>
  <c r="Q73" i="47"/>
  <c r="D1488" i="48"/>
  <c r="D390" i="48"/>
  <c r="G523" i="48"/>
  <c r="G520" i="48" s="1"/>
  <c r="G292" i="48"/>
  <c r="P293" i="48"/>
  <c r="AN1048" i="21"/>
  <c r="M1051" i="48"/>
  <c r="AE1048" i="21"/>
  <c r="J1050" i="48"/>
  <c r="P1225" i="48"/>
  <c r="F125" i="47"/>
  <c r="S125" i="47" s="1"/>
  <c r="K127" i="47"/>
  <c r="N134" i="47"/>
  <c r="U134" i="47" s="1"/>
  <c r="M1286" i="48"/>
  <c r="AN1294" i="21"/>
  <c r="AN1291" i="21" s="1"/>
  <c r="P1294" i="21"/>
  <c r="P1291" i="21" s="1"/>
  <c r="J947" i="21"/>
  <c r="D941" i="48"/>
  <c r="AT950" i="21"/>
  <c r="AT947" i="21" s="1"/>
  <c r="D702" i="48"/>
  <c r="J710" i="21"/>
  <c r="J684" i="21" s="1"/>
  <c r="AT711" i="21"/>
  <c r="V1290" i="21"/>
  <c r="AT1309" i="21"/>
  <c r="AT1290" i="21" s="1"/>
  <c r="G1300" i="48"/>
  <c r="Y1124" i="21"/>
  <c r="G1123" i="48"/>
  <c r="G1115" i="48" s="1"/>
  <c r="AT1057" i="21"/>
  <c r="V1047" i="21"/>
  <c r="M867" i="21"/>
  <c r="D881" i="48"/>
  <c r="AT890" i="21"/>
  <c r="AT867" i="21" s="1"/>
  <c r="AQ610" i="21"/>
  <c r="AQ608" i="21" s="1"/>
  <c r="AR608" i="21" s="1"/>
  <c r="M613" i="48"/>
  <c r="AT622" i="21"/>
  <c r="AT610" i="21" s="1"/>
  <c r="S683" i="21"/>
  <c r="G700" i="48"/>
  <c r="AT709" i="21"/>
  <c r="AT683" i="21" s="1"/>
  <c r="M408" i="48"/>
  <c r="AE1124" i="21"/>
  <c r="J1123" i="48"/>
  <c r="J1115" i="48" s="1"/>
  <c r="J1124" i="21"/>
  <c r="D1123" i="48"/>
  <c r="AT1132" i="21"/>
  <c r="AT1124" i="21" s="1"/>
  <c r="AB1047" i="21"/>
  <c r="J1048" i="48"/>
  <c r="AK683" i="21"/>
  <c r="M700" i="48"/>
  <c r="M674" i="48" s="1"/>
  <c r="AT1060" i="21"/>
  <c r="D1051" i="48"/>
  <c r="J300" i="48"/>
  <c r="P303" i="48"/>
  <c r="AN373" i="21"/>
  <c r="AH480" i="21"/>
  <c r="J491" i="48"/>
  <c r="J471" i="48" s="1"/>
  <c r="AK395" i="21"/>
  <c r="M404" i="48"/>
  <c r="M386" i="48" s="1"/>
  <c r="AQ84" i="21"/>
  <c r="AQ354" i="21"/>
  <c r="D134" i="48"/>
  <c r="J141" i="21"/>
  <c r="AT142" i="21"/>
  <c r="P1684" i="48"/>
  <c r="J1683" i="48"/>
  <c r="P1166" i="48"/>
  <c r="E102" i="47"/>
  <c r="F104" i="47"/>
  <c r="S104" i="47" s="1"/>
  <c r="D815" i="48"/>
  <c r="Y947" i="21"/>
  <c r="G941" i="48"/>
  <c r="G938" i="48" s="1"/>
  <c r="AQ710" i="21"/>
  <c r="AQ684" i="21" s="1"/>
  <c r="M703" i="48"/>
  <c r="AT712" i="21"/>
  <c r="J702" i="48"/>
  <c r="J467" i="48"/>
  <c r="J452" i="48" s="1"/>
  <c r="P468" i="48"/>
  <c r="P467" i="48" s="1"/>
  <c r="P452" i="48" s="1"/>
  <c r="G859" i="48"/>
  <c r="G844" i="48" s="1"/>
  <c r="P861" i="48"/>
  <c r="E36" i="31"/>
  <c r="F30" i="41"/>
  <c r="E36" i="39"/>
  <c r="U21" i="36"/>
  <c r="M47" i="41"/>
  <c r="S1385" i="21"/>
  <c r="AT1389" i="21"/>
  <c r="AT1385" i="21" s="1"/>
  <c r="J1051" i="48"/>
  <c r="AB1048" i="21"/>
  <c r="AB1002" i="21" s="1"/>
  <c r="AB852" i="21" s="1"/>
  <c r="AQ1048" i="21"/>
  <c r="S1048" i="21"/>
  <c r="G1050" i="48"/>
  <c r="E36" i="30"/>
  <c r="F36" i="41"/>
  <c r="E52" i="32"/>
  <c r="F48" i="41"/>
  <c r="E15" i="34"/>
  <c r="F16" i="41"/>
  <c r="E18" i="47"/>
  <c r="F19" i="47"/>
  <c r="S19" i="47" s="1"/>
  <c r="AT190" i="21"/>
  <c r="D1288" i="48"/>
  <c r="AT1297" i="21"/>
  <c r="V1294" i="21"/>
  <c r="V1291" i="21" s="1"/>
  <c r="V1085" i="21" s="1"/>
  <c r="AT1296" i="21"/>
  <c r="J1286" i="48"/>
  <c r="AH1294" i="21"/>
  <c r="AH1291" i="21" s="1"/>
  <c r="AH1085" i="21" s="1"/>
  <c r="D1286" i="48"/>
  <c r="J1294" i="21"/>
  <c r="J1291" i="21" s="1"/>
  <c r="AT1295" i="21"/>
  <c r="M1008" i="48"/>
  <c r="M916" i="48"/>
  <c r="I98" i="47"/>
  <c r="C182" i="47"/>
  <c r="F185" i="47"/>
  <c r="S185" i="47" s="1"/>
  <c r="AT1219" i="21"/>
  <c r="AH1169" i="21"/>
  <c r="J1163" i="48"/>
  <c r="V1169" i="21"/>
  <c r="AK867" i="21"/>
  <c r="M881" i="48"/>
  <c r="M858" i="48" s="1"/>
  <c r="AN356" i="21"/>
  <c r="M349" i="48"/>
  <c r="AT358" i="21"/>
  <c r="AT356" i="21" s="1"/>
  <c r="AV1660" i="21"/>
  <c r="I1610" i="48"/>
  <c r="J14" i="47"/>
  <c r="T14" i="47" s="1"/>
  <c r="I12" i="47"/>
  <c r="F58" i="47"/>
  <c r="S58" i="47" s="1"/>
  <c r="Q55" i="47"/>
  <c r="N67" i="47"/>
  <c r="U67" i="47" s="1"/>
  <c r="L66" i="47"/>
  <c r="F83" i="47"/>
  <c r="S83" i="47" s="1"/>
  <c r="N79" i="47"/>
  <c r="U79" i="47" s="1"/>
  <c r="K77" i="47"/>
  <c r="R78" i="47"/>
  <c r="V78" i="47" s="1"/>
  <c r="R91" i="47"/>
  <c r="V91" i="47" s="1"/>
  <c r="E93" i="47"/>
  <c r="F97" i="47"/>
  <c r="S97" i="47" s="1"/>
  <c r="J96" i="47"/>
  <c r="T96" i="47" s="1"/>
  <c r="N97" i="47"/>
  <c r="U97" i="47" s="1"/>
  <c r="M93" i="47"/>
  <c r="R107" i="47"/>
  <c r="V107" i="47" s="1"/>
  <c r="O182" i="47"/>
  <c r="R185" i="47"/>
  <c r="V185" i="47" s="1"/>
  <c r="V182" i="47" s="1"/>
  <c r="V176" i="47" s="1"/>
  <c r="AC1720" i="21"/>
  <c r="L1711" i="48"/>
  <c r="F78" i="47"/>
  <c r="S78" i="47" s="1"/>
  <c r="C77" i="47"/>
  <c r="F85" i="47"/>
  <c r="S85" i="47" s="1"/>
  <c r="C84" i="47"/>
  <c r="AH1290" i="21"/>
  <c r="J1300" i="48"/>
  <c r="J1281" i="48" s="1"/>
  <c r="AE645" i="21"/>
  <c r="AT670" i="21"/>
  <c r="AQ645" i="21"/>
  <c r="S645" i="21"/>
  <c r="G660" i="48"/>
  <c r="AV865" i="21"/>
  <c r="F23" i="31"/>
  <c r="AV894" i="21"/>
  <c r="AV643" i="21"/>
  <c r="F780" i="48"/>
  <c r="F720" i="48"/>
  <c r="O407" i="48"/>
  <c r="AV377" i="21"/>
  <c r="O370" i="21"/>
  <c r="F375" i="48"/>
  <c r="AV384" i="21"/>
  <c r="AV354" i="21"/>
  <c r="G1248" i="48"/>
  <c r="G1205" i="48" s="1"/>
  <c r="P1274" i="48"/>
  <c r="P1273" i="48" s="1"/>
  <c r="J704" i="48"/>
  <c r="J676" i="48" s="1"/>
  <c r="J663" i="48"/>
  <c r="J637" i="48" s="1"/>
  <c r="E36" i="36"/>
  <c r="AE1683" i="21"/>
  <c r="J1612" i="21"/>
  <c r="D1609" i="48"/>
  <c r="M1590" i="48"/>
  <c r="AK1582" i="21"/>
  <c r="M1582" i="21"/>
  <c r="D1590" i="48"/>
  <c r="M1529" i="21"/>
  <c r="AT1544" i="21"/>
  <c r="P1323" i="21"/>
  <c r="P1322" i="21" s="1"/>
  <c r="Q1322" i="21" s="1"/>
  <c r="D1315" i="48"/>
  <c r="AT1324" i="21"/>
  <c r="K1167" i="21"/>
  <c r="F1158" i="48"/>
  <c r="L1080" i="48"/>
  <c r="H45" i="37"/>
  <c r="AG849" i="21"/>
  <c r="I969" i="48"/>
  <c r="X849" i="21"/>
  <c r="U849" i="21"/>
  <c r="I980" i="48"/>
  <c r="AV1045" i="21"/>
  <c r="G132" i="48"/>
  <c r="AT569" i="21"/>
  <c r="AE547" i="21"/>
  <c r="AT570" i="21"/>
  <c r="S547" i="21"/>
  <c r="P18" i="47"/>
  <c r="R19" i="47"/>
  <c r="V19" i="47" s="1"/>
  <c r="M1657" i="48"/>
  <c r="AN1662" i="21"/>
  <c r="J1656" i="48"/>
  <c r="L78" i="33"/>
  <c r="I1518" i="48"/>
  <c r="O1470" i="48"/>
  <c r="I1386" i="48"/>
  <c r="L885" i="48"/>
  <c r="AV393" i="21"/>
  <c r="J924" i="48"/>
  <c r="J917" i="48" s="1"/>
  <c r="P614" i="48"/>
  <c r="AT127" i="21"/>
  <c r="AT116" i="21" s="1"/>
  <c r="AT1667" i="21"/>
  <c r="AT1661" i="21" s="1"/>
  <c r="G1287" i="48"/>
  <c r="S1294" i="21"/>
  <c r="S1291" i="21" s="1"/>
  <c r="AN1169" i="21"/>
  <c r="AN1168" i="21" s="1"/>
  <c r="AO1168" i="21" s="1"/>
  <c r="P1169" i="21"/>
  <c r="AN1152" i="21"/>
  <c r="AN1150" i="21" s="1"/>
  <c r="AO1150" i="21" s="1"/>
  <c r="G1048" i="48"/>
  <c r="G119" i="48"/>
  <c r="G108" i="48" s="1"/>
  <c r="P120" i="48"/>
  <c r="G86" i="48"/>
  <c r="G81" i="48" s="1"/>
  <c r="P1090" i="48"/>
  <c r="D704" i="48"/>
  <c r="D676" i="48" s="1"/>
  <c r="P1378" i="48"/>
  <c r="P1377" i="48" s="1"/>
  <c r="P1375" i="48" s="1"/>
  <c r="AT1474" i="21"/>
  <c r="AT1465" i="21" s="1"/>
  <c r="AT672" i="21"/>
  <c r="AT646" i="21" s="1"/>
  <c r="AT579" i="21"/>
  <c r="AT550" i="21" s="1"/>
  <c r="M1287" i="48"/>
  <c r="AB1294" i="21"/>
  <c r="AB1291" i="21" s="1"/>
  <c r="AT953" i="21"/>
  <c r="J752" i="48"/>
  <c r="J722" i="48" s="1"/>
  <c r="J413" i="48"/>
  <c r="J409" i="48" s="1"/>
  <c r="F129" i="48"/>
  <c r="M752" i="48"/>
  <c r="M722" i="48" s="1"/>
  <c r="P775" i="48"/>
  <c r="C112" i="47"/>
  <c r="F114" i="47"/>
  <c r="S114" i="47" s="1"/>
  <c r="AT1071" i="21"/>
  <c r="AT1049" i="21" s="1"/>
  <c r="S1323" i="21"/>
  <c r="S1322" i="21" s="1"/>
  <c r="T1322" i="21" s="1"/>
  <c r="AV1395" i="21"/>
  <c r="P1492" i="48"/>
  <c r="P396" i="48"/>
  <c r="D924" i="48"/>
  <c r="D917" i="48" s="1"/>
  <c r="J540" i="48"/>
  <c r="M1404" i="48"/>
  <c r="P1405" i="48"/>
  <c r="P1404" i="48" s="1"/>
  <c r="P1407" i="48"/>
  <c r="G1406" i="48"/>
  <c r="P1412" i="48"/>
  <c r="J1411" i="48"/>
  <c r="P1418" i="48"/>
  <c r="M1417" i="48"/>
  <c r="P1429" i="48"/>
  <c r="M1427" i="48"/>
  <c r="M1388" i="48" s="1"/>
  <c r="K136" i="47"/>
  <c r="AT713" i="21"/>
  <c r="AT685" i="21" s="1"/>
  <c r="J1130" i="48"/>
  <c r="J1117" i="48" s="1"/>
  <c r="G916" i="48"/>
  <c r="P465" i="48"/>
  <c r="AT1139" i="21"/>
  <c r="AT1126" i="21" s="1"/>
  <c r="AT761" i="21"/>
  <c r="AT731" i="21" s="1"/>
  <c r="AT502" i="21"/>
  <c r="AT481" i="21" s="1"/>
  <c r="AB1169" i="21"/>
  <c r="AB1168" i="21" s="1"/>
  <c r="AC1168" i="21" s="1"/>
  <c r="G1130" i="48"/>
  <c r="G1117" i="48" s="1"/>
  <c r="G1062" i="48"/>
  <c r="G1040" i="48" s="1"/>
  <c r="P749" i="48"/>
  <c r="P475" i="48"/>
  <c r="D474" i="48"/>
  <c r="F17" i="47"/>
  <c r="S17" i="47" s="1"/>
  <c r="C16" i="47"/>
  <c r="F16" i="47" s="1"/>
  <c r="J119" i="48"/>
  <c r="J108" i="48" s="1"/>
  <c r="D278" i="48"/>
  <c r="P285" i="48"/>
  <c r="P278" i="48" s="1"/>
  <c r="Q56" i="48"/>
  <c r="AT143" i="21"/>
  <c r="D135" i="48"/>
  <c r="M135" i="48"/>
  <c r="AK141" i="21"/>
  <c r="AK139" i="21" s="1"/>
  <c r="D1082" i="48"/>
  <c r="P1082" i="48"/>
  <c r="O1695" i="48"/>
  <c r="L1717" i="48"/>
  <c r="P698" i="48"/>
  <c r="O59" i="46"/>
  <c r="AT1407" i="21"/>
  <c r="P440" i="48"/>
  <c r="P421" i="48" s="1"/>
  <c r="P1094" i="48"/>
  <c r="P627" i="48"/>
  <c r="F70" i="47"/>
  <c r="S70" i="47" s="1"/>
  <c r="F74" i="47"/>
  <c r="S74" i="47" s="1"/>
  <c r="C73" i="47"/>
  <c r="R75" i="47"/>
  <c r="V75" i="47" s="1"/>
  <c r="O73" i="47"/>
  <c r="P464" i="48"/>
  <c r="M540" i="48"/>
  <c r="P1493" i="48"/>
  <c r="G16" i="47"/>
  <c r="J17" i="47"/>
  <c r="T17" i="47" s="1"/>
  <c r="T16" i="47" s="1"/>
  <c r="P16" i="47"/>
  <c r="R17" i="47"/>
  <c r="V17" i="47" s="1"/>
  <c r="V16" i="47" s="1"/>
  <c r="P751" i="48"/>
  <c r="P776" i="48"/>
  <c r="P979" i="48"/>
  <c r="I1711" i="48"/>
  <c r="D1676" i="48"/>
  <c r="D1673" i="48" s="1"/>
  <c r="P141" i="21"/>
  <c r="P139" i="21" s="1"/>
  <c r="V24" i="41"/>
  <c r="AT1436" i="21"/>
  <c r="AT1397" i="21" s="1"/>
  <c r="AT1392" i="21" s="1"/>
  <c r="G493" i="48"/>
  <c r="G472" i="48" s="1"/>
  <c r="M273" i="48"/>
  <c r="M247" i="48" s="1"/>
  <c r="O1706" i="48"/>
  <c r="N1706" i="48" s="1"/>
  <c r="AL1715" i="21"/>
  <c r="P539" i="48"/>
  <c r="G539" i="48"/>
  <c r="R141" i="47"/>
  <c r="V141" i="47" s="1"/>
  <c r="N142" i="47"/>
  <c r="U142" i="47" s="1"/>
  <c r="J156" i="47"/>
  <c r="T156" i="47" s="1"/>
  <c r="P1477" i="48"/>
  <c r="F1707" i="48"/>
  <c r="P622" i="48"/>
  <c r="N71" i="47"/>
  <c r="U71" i="47" s="1"/>
  <c r="AT917" i="21"/>
  <c r="F75" i="47"/>
  <c r="S75" i="47" s="1"/>
  <c r="R74" i="47"/>
  <c r="V74" i="47" s="1"/>
  <c r="P73" i="47"/>
  <c r="F1695" i="48"/>
  <c r="P1675" i="48"/>
  <c r="M141" i="21"/>
  <c r="M139" i="21" s="1"/>
  <c r="L1706" i="48"/>
  <c r="K1706" i="48" s="1"/>
  <c r="AI1715" i="21"/>
  <c r="P1071" i="48"/>
  <c r="O53" i="46"/>
  <c r="AT1420" i="21"/>
  <c r="P1415" i="48"/>
  <c r="P1432" i="48"/>
  <c r="P1434" i="48"/>
  <c r="N135" i="47"/>
  <c r="U135" i="47" s="1"/>
  <c r="F141" i="47"/>
  <c r="S141" i="47" s="1"/>
  <c r="P589" i="48"/>
  <c r="P588" i="48" s="1"/>
  <c r="P578" i="48" s="1"/>
  <c r="P778" i="48"/>
  <c r="P838" i="48"/>
  <c r="O1717" i="48"/>
  <c r="P1678" i="48"/>
  <c r="P1043" i="48"/>
  <c r="P1000" i="48"/>
  <c r="P1125" i="48"/>
  <c r="P1116" i="48" s="1"/>
  <c r="N17" i="47"/>
  <c r="U17" i="47" s="1"/>
  <c r="U16" i="47" s="1"/>
  <c r="P626" i="48"/>
  <c r="D866" i="48"/>
  <c r="P867" i="48"/>
  <c r="D869" i="48"/>
  <c r="P872" i="48"/>
  <c r="P875" i="48"/>
  <c r="P1091" i="48"/>
  <c r="P1096" i="48"/>
  <c r="P1235" i="48"/>
  <c r="P242" i="48"/>
  <c r="P862" i="48"/>
  <c r="AT1061" i="21"/>
  <c r="P1677" i="48"/>
  <c r="AB141" i="21"/>
  <c r="AB139" i="21" s="1"/>
  <c r="AT1426" i="21"/>
  <c r="P1402" i="48"/>
  <c r="J171" i="47"/>
  <c r="T171" i="47" s="1"/>
  <c r="I1706" i="48"/>
  <c r="H1706" i="48" s="1"/>
  <c r="F1706" i="48"/>
  <c r="E1706" i="48" s="1"/>
  <c r="G1676" i="48"/>
  <c r="G1673" i="48" s="1"/>
  <c r="I1717" i="48"/>
  <c r="AV1726" i="21"/>
  <c r="F1711" i="48"/>
  <c r="AV1720" i="21"/>
  <c r="AU1720" i="21" s="1"/>
  <c r="T1720" i="21"/>
  <c r="AP1674" i="21"/>
  <c r="R1674" i="21"/>
  <c r="AS1674" i="21"/>
  <c r="T35" i="40" s="1"/>
  <c r="I1707" i="48"/>
  <c r="AV1716" i="21"/>
  <c r="K1716" i="21"/>
  <c r="L1707" i="48"/>
  <c r="K1715" i="21"/>
  <c r="U1674" i="21"/>
  <c r="T35" i="32" s="1"/>
  <c r="W1715" i="21"/>
  <c r="T1715" i="21"/>
  <c r="AD1674" i="21"/>
  <c r="T35" i="35" s="1"/>
  <c r="R1695" i="48"/>
  <c r="L1674" i="21"/>
  <c r="I1695" i="48"/>
  <c r="L1695" i="48"/>
  <c r="I1683" i="48"/>
  <c r="AV1692" i="21"/>
  <c r="L1683" i="48"/>
  <c r="T1692" i="21"/>
  <c r="AA1674" i="21"/>
  <c r="F1683" i="48"/>
  <c r="AC1692" i="21"/>
  <c r="X1674" i="21"/>
  <c r="P96" i="45"/>
  <c r="L1672" i="48"/>
  <c r="AM1674" i="21"/>
  <c r="O1672" i="48"/>
  <c r="O1674" i="21"/>
  <c r="AJ1674" i="21"/>
  <c r="F1672" i="48"/>
  <c r="AV1681" i="21"/>
  <c r="K60" i="46" l="1"/>
  <c r="K61" i="46" s="1"/>
  <c r="AB479" i="21"/>
  <c r="D1389" i="48"/>
  <c r="P48" i="41"/>
  <c r="AT1398" i="21"/>
  <c r="P60" i="41"/>
  <c r="U23" i="29"/>
  <c r="U25" i="29" s="1"/>
  <c r="U27" i="29" s="1"/>
  <c r="T194" i="47"/>
  <c r="W194" i="47" s="1"/>
  <c r="W21" i="47"/>
  <c r="G60" i="46"/>
  <c r="G61" i="46" s="1"/>
  <c r="T24" i="47"/>
  <c r="T174" i="47" s="1"/>
  <c r="W25" i="47"/>
  <c r="S24" i="47"/>
  <c r="M1389" i="48"/>
  <c r="M1384" i="48" s="1"/>
  <c r="J1389" i="48"/>
  <c r="J1384" i="48" s="1"/>
  <c r="P1380" i="48"/>
  <c r="P1376" i="48" s="1"/>
  <c r="P1374" i="48" s="1"/>
  <c r="G1389" i="48"/>
  <c r="G1384" i="48" s="1"/>
  <c r="D1376" i="48"/>
  <c r="D1374" i="48" s="1"/>
  <c r="E1374" i="48" s="1"/>
  <c r="AT1383" i="21"/>
  <c r="AN1463" i="21"/>
  <c r="AO1463" i="21" s="1"/>
  <c r="AE1005" i="21"/>
  <c r="AE1004" i="21" s="1"/>
  <c r="AF1004" i="21" s="1"/>
  <c r="AY17" i="21"/>
  <c r="M1000" i="21"/>
  <c r="M850" i="21" s="1"/>
  <c r="P479" i="21"/>
  <c r="P478" i="21" s="1"/>
  <c r="Q478" i="21" s="1"/>
  <c r="H43" i="44"/>
  <c r="H45" i="44" s="1"/>
  <c r="H46" i="44" s="1"/>
  <c r="AE456" i="21"/>
  <c r="AF456" i="21" s="1"/>
  <c r="AQ321" i="21"/>
  <c r="AR321" i="21" s="1"/>
  <c r="AB394" i="21"/>
  <c r="AB393" i="21" s="1"/>
  <c r="AC393" i="21" s="1"/>
  <c r="AT1299" i="21"/>
  <c r="AT1289" i="21" s="1"/>
  <c r="P1229" i="48"/>
  <c r="AU1182" i="21"/>
  <c r="P1192" i="48"/>
  <c r="D1083" i="48"/>
  <c r="AT1092" i="21"/>
  <c r="AN866" i="21"/>
  <c r="AN865" i="21" s="1"/>
  <c r="S1460" i="21"/>
  <c r="S1459" i="21" s="1"/>
  <c r="T1459" i="21" s="1"/>
  <c r="AY203" i="21"/>
  <c r="AE479" i="21"/>
  <c r="AE478" i="21" s="1"/>
  <c r="AN478" i="21"/>
  <c r="AO478" i="21" s="1"/>
  <c r="V17" i="21"/>
  <c r="AK944" i="21"/>
  <c r="AL944" i="21" s="1"/>
  <c r="J479" i="21"/>
  <c r="J478" i="21" s="1"/>
  <c r="K478" i="21" s="1"/>
  <c r="V1210" i="21"/>
  <c r="W1210" i="21" s="1"/>
  <c r="AQ1210" i="21"/>
  <c r="AR1210" i="21" s="1"/>
  <c r="P1175" i="48"/>
  <c r="P1173" i="48" s="1"/>
  <c r="M1083" i="48"/>
  <c r="J1083" i="48"/>
  <c r="G1083" i="48"/>
  <c r="P1098" i="48"/>
  <c r="P1093" i="48"/>
  <c r="J857" i="48"/>
  <c r="J856" i="48" s="1"/>
  <c r="K856" i="48" s="1"/>
  <c r="M1022" i="48"/>
  <c r="M996" i="48" s="1"/>
  <c r="M857" i="48"/>
  <c r="M856" i="48" s="1"/>
  <c r="N856" i="48" s="1"/>
  <c r="D857" i="48"/>
  <c r="P509" i="48"/>
  <c r="P365" i="48" s="1"/>
  <c r="D1290" i="48"/>
  <c r="D1280" i="48" s="1"/>
  <c r="AT487" i="21"/>
  <c r="J1005" i="21"/>
  <c r="J1000" i="21" s="1"/>
  <c r="J850" i="21" s="1"/>
  <c r="AQ851" i="21"/>
  <c r="P522" i="48"/>
  <c r="J432" i="48"/>
  <c r="AE17" i="21"/>
  <c r="AT532" i="21"/>
  <c r="AT529" i="21" s="1"/>
  <c r="AT528" i="21" s="1"/>
  <c r="AU528" i="21" s="1"/>
  <c r="D470" i="48"/>
  <c r="D469" i="48" s="1"/>
  <c r="E469" i="48" s="1"/>
  <c r="G470" i="48"/>
  <c r="P451" i="48"/>
  <c r="P366" i="48" s="1"/>
  <c r="AT490" i="21"/>
  <c r="P1085" i="48"/>
  <c r="D143" i="48"/>
  <c r="D142" i="48" s="1"/>
  <c r="E142" i="48" s="1"/>
  <c r="P429" i="48"/>
  <c r="P849" i="48"/>
  <c r="P847" i="48" s="1"/>
  <c r="U27" i="37"/>
  <c r="P393" i="48"/>
  <c r="P1504" i="48"/>
  <c r="P371" i="48"/>
  <c r="P369" i="48" s="1"/>
  <c r="P368" i="48" s="1"/>
  <c r="P306" i="48"/>
  <c r="P1009" i="48"/>
  <c r="P1008" i="48" s="1"/>
  <c r="P402" i="48"/>
  <c r="P455" i="48"/>
  <c r="J1018" i="48"/>
  <c r="AT170" i="21"/>
  <c r="AT169" i="21" s="1"/>
  <c r="AU169" i="21" s="1"/>
  <c r="H44" i="39"/>
  <c r="H46" i="39" s="1"/>
  <c r="H47" i="39" s="1"/>
  <c r="P487" i="48"/>
  <c r="P486" i="48" s="1"/>
  <c r="Y478" i="21"/>
  <c r="Z478" i="21" s="1"/>
  <c r="AB428" i="21"/>
  <c r="AB427" i="21" s="1"/>
  <c r="AC427" i="21" s="1"/>
  <c r="AT1222" i="21"/>
  <c r="AF1508" i="21"/>
  <c r="Y17" i="21"/>
  <c r="V944" i="21"/>
  <c r="W944" i="21" s="1"/>
  <c r="AQ944" i="21"/>
  <c r="AR944" i="21" s="1"/>
  <c r="V203" i="21"/>
  <c r="W203" i="21" s="1"/>
  <c r="AT285" i="21"/>
  <c r="AT284" i="21" s="1"/>
  <c r="AU284" i="21" s="1"/>
  <c r="AT222" i="21"/>
  <c r="AT120" i="21"/>
  <c r="AT114" i="21" s="1"/>
  <c r="AT113" i="21" s="1"/>
  <c r="AT104" i="21"/>
  <c r="AU104" i="21" s="1"/>
  <c r="V478" i="21"/>
  <c r="W478" i="21" s="1"/>
  <c r="Z1508" i="21"/>
  <c r="AY16" i="21"/>
  <c r="AB17" i="21"/>
  <c r="AT517" i="21"/>
  <c r="AT516" i="21" s="1"/>
  <c r="AU516" i="21" s="1"/>
  <c r="P145" i="48"/>
  <c r="P143" i="48" s="1"/>
  <c r="P142" i="48" s="1"/>
  <c r="AK1000" i="21"/>
  <c r="AK850" i="21" s="1"/>
  <c r="AT586" i="21"/>
  <c r="AT585" i="21" s="1"/>
  <c r="AU585" i="21" s="1"/>
  <c r="D1213" i="48"/>
  <c r="AO1122" i="21"/>
  <c r="AT1640" i="21"/>
  <c r="AU1640" i="21" s="1"/>
  <c r="J448" i="48"/>
  <c r="J447" i="48" s="1"/>
  <c r="K447" i="48" s="1"/>
  <c r="D136" i="48"/>
  <c r="D130" i="48"/>
  <c r="P456" i="48"/>
  <c r="AT416" i="21"/>
  <c r="AU416" i="21" s="1"/>
  <c r="AK1580" i="21"/>
  <c r="AL1580" i="21" s="1"/>
  <c r="AN944" i="21"/>
  <c r="AO944" i="21" s="1"/>
  <c r="S17" i="21"/>
  <c r="P681" i="21"/>
  <c r="Q681" i="21" s="1"/>
  <c r="AT219" i="21"/>
  <c r="AE803" i="21"/>
  <c r="AE802" i="21" s="1"/>
  <c r="AF802" i="21" s="1"/>
  <c r="AH644" i="21"/>
  <c r="AH539" i="21" s="1"/>
  <c r="AT403" i="21"/>
  <c r="AN208" i="21"/>
  <c r="AN204" i="21" s="1"/>
  <c r="AN83" i="21" s="1"/>
  <c r="AT435" i="21"/>
  <c r="AT428" i="21" s="1"/>
  <c r="AT427" i="21" s="1"/>
  <c r="AU427" i="21" s="1"/>
  <c r="J1211" i="21"/>
  <c r="J1210" i="21" s="1"/>
  <c r="K1210" i="21" s="1"/>
  <c r="AU314" i="21"/>
  <c r="P851" i="21"/>
  <c r="AK204" i="21"/>
  <c r="AK83" i="21" s="1"/>
  <c r="Y1005" i="21"/>
  <c r="Y1000" i="21" s="1"/>
  <c r="M643" i="21"/>
  <c r="N643" i="21" s="1"/>
  <c r="J428" i="21"/>
  <c r="J427" i="21" s="1"/>
  <c r="K427" i="21" s="1"/>
  <c r="J17" i="21"/>
  <c r="AT187" i="21"/>
  <c r="AT186" i="21" s="1"/>
  <c r="AU186" i="21" s="1"/>
  <c r="V789" i="21"/>
  <c r="W789" i="21" s="1"/>
  <c r="AY1001" i="21"/>
  <c r="AY999" i="21" s="1"/>
  <c r="AE944" i="21"/>
  <c r="AF944" i="21" s="1"/>
  <c r="AN1395" i="21"/>
  <c r="AO1395" i="21" s="1"/>
  <c r="AK394" i="21"/>
  <c r="AK371" i="21" s="1"/>
  <c r="J1324" i="48"/>
  <c r="J1323" i="48" s="1"/>
  <c r="K1323" i="48" s="1"/>
  <c r="AK643" i="21"/>
  <c r="AL643" i="21" s="1"/>
  <c r="P1000" i="21"/>
  <c r="P850" i="21" s="1"/>
  <c r="P399" i="48"/>
  <c r="P1210" i="21"/>
  <c r="Q1210" i="21" s="1"/>
  <c r="Y1210" i="21"/>
  <c r="Z1210" i="21" s="1"/>
  <c r="P803" i="21"/>
  <c r="P802" i="21" s="1"/>
  <c r="Q802" i="21" s="1"/>
  <c r="AT1457" i="21"/>
  <c r="J1438" i="48"/>
  <c r="J1437" i="48" s="1"/>
  <c r="K1437" i="48" s="1"/>
  <c r="H50" i="48"/>
  <c r="H13" i="48" s="1"/>
  <c r="D520" i="48"/>
  <c r="D519" i="48" s="1"/>
  <c r="E519" i="48" s="1"/>
  <c r="M1081" i="48"/>
  <c r="AK427" i="21"/>
  <c r="AL427" i="21" s="1"/>
  <c r="S208" i="21"/>
  <c r="S207" i="21" s="1"/>
  <c r="S203" i="21" s="1"/>
  <c r="T203" i="21" s="1"/>
  <c r="AK17" i="21"/>
  <c r="AT399" i="21"/>
  <c r="AH371" i="21"/>
  <c r="Y394" i="21"/>
  <c r="Y393" i="21" s="1"/>
  <c r="Z393" i="21" s="1"/>
  <c r="AB643" i="21"/>
  <c r="AC643" i="21" s="1"/>
  <c r="AF1490" i="21"/>
  <c r="J1448" i="48"/>
  <c r="S1210" i="21"/>
  <c r="T1210" i="21" s="1"/>
  <c r="AU377" i="21"/>
  <c r="M486" i="48"/>
  <c r="S1581" i="21"/>
  <c r="S1580" i="21" s="1"/>
  <c r="T1580" i="21" s="1"/>
  <c r="J1491" i="21"/>
  <c r="J1490" i="21" s="1"/>
  <c r="O74" i="29" s="1"/>
  <c r="O76" i="29" s="1"/>
  <c r="AY538" i="21"/>
  <c r="N33" i="44" s="1"/>
  <c r="N35" i="44" s="1"/>
  <c r="AT138" i="21"/>
  <c r="P1084" i="48"/>
  <c r="AQ1459" i="21"/>
  <c r="AR1459" i="21" s="1"/>
  <c r="AT978" i="21"/>
  <c r="AU978" i="21" s="1"/>
  <c r="V1580" i="21"/>
  <c r="W1580" i="21" s="1"/>
  <c r="Y18" i="21"/>
  <c r="AQ17" i="21"/>
  <c r="AE1580" i="21"/>
  <c r="AF1580" i="21" s="1"/>
  <c r="AU1716" i="21"/>
  <c r="AQ1580" i="21"/>
  <c r="AR1580" i="21" s="1"/>
  <c r="D1448" i="48"/>
  <c r="AY370" i="21"/>
  <c r="K33" i="44" s="1"/>
  <c r="K35" i="44" s="1"/>
  <c r="K36" i="44" s="1"/>
  <c r="AB1210" i="21"/>
  <c r="AC1210" i="21" s="1"/>
  <c r="P643" i="21"/>
  <c r="Q643" i="21" s="1"/>
  <c r="AB944" i="21"/>
  <c r="AC944" i="21" s="1"/>
  <c r="AT1215" i="21"/>
  <c r="AT87" i="21"/>
  <c r="AU87" i="21" s="1"/>
  <c r="AN851" i="21"/>
  <c r="AN1390" i="21"/>
  <c r="C54" i="39" s="1"/>
  <c r="J802" i="21"/>
  <c r="K802" i="21" s="1"/>
  <c r="AT1011" i="21"/>
  <c r="G1081" i="48"/>
  <c r="AT1611" i="21"/>
  <c r="AT1610" i="21" s="1"/>
  <c r="AU1610" i="21" s="1"/>
  <c r="P1552" i="21"/>
  <c r="P1551" i="21" s="1"/>
  <c r="Q1551" i="21" s="1"/>
  <c r="J1552" i="21"/>
  <c r="J1551" i="21" s="1"/>
  <c r="K1551" i="21" s="1"/>
  <c r="AT1558" i="21"/>
  <c r="AT1554" i="21"/>
  <c r="AN1455" i="21"/>
  <c r="AE1455" i="21"/>
  <c r="P1483" i="48"/>
  <c r="P1471" i="48"/>
  <c r="P1452" i="48" s="1"/>
  <c r="R75" i="31"/>
  <c r="R77" i="31" s="1"/>
  <c r="R75" i="32"/>
  <c r="R77" i="32" s="1"/>
  <c r="AT1518" i="21"/>
  <c r="AT1509" i="21" s="1"/>
  <c r="AT1003" i="21"/>
  <c r="AT854" i="21" s="1"/>
  <c r="AT1333" i="21"/>
  <c r="AT1332" i="21" s="1"/>
  <c r="AU1332" i="21" s="1"/>
  <c r="D400" i="48"/>
  <c r="P378" i="48"/>
  <c r="P376" i="48" s="1"/>
  <c r="T73" i="47"/>
  <c r="P1621" i="48"/>
  <c r="G701" i="48"/>
  <c r="G675" i="48" s="1"/>
  <c r="G532" i="48" s="1"/>
  <c r="M1290" i="48"/>
  <c r="M1280" i="48" s="1"/>
  <c r="P1560" i="48"/>
  <c r="AT816" i="21"/>
  <c r="P101" i="47"/>
  <c r="M1602" i="48"/>
  <c r="M1601" i="48" s="1"/>
  <c r="N1601" i="48" s="1"/>
  <c r="AI1490" i="21"/>
  <c r="AN18" i="21"/>
  <c r="O76" i="36"/>
  <c r="AT1497" i="21"/>
  <c r="O74" i="30"/>
  <c r="O76" i="30" s="1"/>
  <c r="AT1494" i="21"/>
  <c r="AE18" i="21"/>
  <c r="AT809" i="21"/>
  <c r="AT262" i="21"/>
  <c r="AT253" i="21" s="1"/>
  <c r="AT252" i="21" s="1"/>
  <c r="L74" i="34"/>
  <c r="L79" i="34" s="1"/>
  <c r="AM1396" i="21"/>
  <c r="G1470" i="48"/>
  <c r="H1470" i="48" s="1"/>
  <c r="G1448" i="48"/>
  <c r="M1470" i="48"/>
  <c r="N1470" i="48" s="1"/>
  <c r="M1448" i="48"/>
  <c r="J1206" i="48"/>
  <c r="J1202" i="48" s="1"/>
  <c r="P1302" i="48"/>
  <c r="P1301" i="48" s="1"/>
  <c r="P473" i="48"/>
  <c r="G1500" i="48"/>
  <c r="G1499" i="48" s="1"/>
  <c r="H1499" i="48" s="1"/>
  <c r="P1023" i="48"/>
  <c r="P433" i="48"/>
  <c r="P432" i="48" s="1"/>
  <c r="J18" i="21"/>
  <c r="P1565" i="48"/>
  <c r="M481" i="48"/>
  <c r="AT77" i="21"/>
  <c r="AT57" i="21" s="1"/>
  <c r="P1524" i="48"/>
  <c r="D783" i="48"/>
  <c r="D781" i="48" s="1"/>
  <c r="AT212" i="21"/>
  <c r="P1003" i="48"/>
  <c r="Q865" i="21"/>
  <c r="Q867" i="21" s="1"/>
  <c r="AT812" i="21"/>
  <c r="K50" i="48"/>
  <c r="K13" i="48" s="1"/>
  <c r="AT805" i="21"/>
  <c r="P785" i="48"/>
  <c r="AT1062" i="21"/>
  <c r="V120" i="47"/>
  <c r="V115" i="47" s="1"/>
  <c r="G112" i="48"/>
  <c r="G106" i="48" s="1"/>
  <c r="G105" i="48" s="1"/>
  <c r="H105" i="48" s="1"/>
  <c r="P823" i="48"/>
  <c r="AT878" i="21"/>
  <c r="H44" i="37"/>
  <c r="H46" i="37" s="1"/>
  <c r="H47" i="37" s="1"/>
  <c r="P1562" i="48"/>
  <c r="P1561" i="48" s="1"/>
  <c r="AT824" i="21"/>
  <c r="J1081" i="48"/>
  <c r="D916" i="48"/>
  <c r="D915" i="48" s="1"/>
  <c r="E915" i="48" s="1"/>
  <c r="P1523" i="48"/>
  <c r="P1605" i="48"/>
  <c r="U120" i="47"/>
  <c r="U115" i="47" s="1"/>
  <c r="D1545" i="48"/>
  <c r="P1528" i="48"/>
  <c r="AL1459" i="21"/>
  <c r="AT1464" i="21"/>
  <c r="AT1460" i="21" s="1"/>
  <c r="M802" i="21"/>
  <c r="N802" i="21" s="1"/>
  <c r="AQ802" i="21"/>
  <c r="AR802" i="21" s="1"/>
  <c r="AH802" i="21"/>
  <c r="AI802" i="21" s="1"/>
  <c r="AT792" i="21"/>
  <c r="AT790" i="21" s="1"/>
  <c r="P410" i="48"/>
  <c r="P408" i="48" s="1"/>
  <c r="D394" i="48"/>
  <c r="M1549" i="48"/>
  <c r="M1543" i="48" s="1"/>
  <c r="M1542" i="48" s="1"/>
  <c r="N1542" i="48" s="1"/>
  <c r="P457" i="48"/>
  <c r="D1509" i="48"/>
  <c r="D1500" i="48" s="1"/>
  <c r="D1499" i="48" s="1"/>
  <c r="E1499" i="48" s="1"/>
  <c r="P425" i="48"/>
  <c r="G869" i="48"/>
  <c r="P1551" i="48"/>
  <c r="M1057" i="48"/>
  <c r="G179" i="48"/>
  <c r="G178" i="48" s="1"/>
  <c r="H178" i="48" s="1"/>
  <c r="P1580" i="48"/>
  <c r="P1525" i="48"/>
  <c r="AN1083" i="21"/>
  <c r="AN1210" i="21"/>
  <c r="AO1210" i="21" s="1"/>
  <c r="P816" i="48"/>
  <c r="AQ18" i="21"/>
  <c r="V102" i="47"/>
  <c r="S1552" i="21"/>
  <c r="S1551" i="21" s="1"/>
  <c r="T1551" i="21" s="1"/>
  <c r="Y851" i="21"/>
  <c r="AE1210" i="21"/>
  <c r="AF1210" i="21" s="1"/>
  <c r="M217" i="48"/>
  <c r="M1004" i="21"/>
  <c r="N1004" i="21" s="1"/>
  <c r="P219" i="48"/>
  <c r="P217" i="48" s="1"/>
  <c r="AT1031" i="21"/>
  <c r="J426" i="48"/>
  <c r="D101" i="47"/>
  <c r="AT175" i="21"/>
  <c r="AU175" i="21" s="1"/>
  <c r="J789" i="21"/>
  <c r="K789" i="21" s="1"/>
  <c r="P17" i="21"/>
  <c r="AY1390" i="21"/>
  <c r="AK18" i="21"/>
  <c r="G783" i="48"/>
  <c r="G781" i="48" s="1"/>
  <c r="P1527" i="48"/>
  <c r="AO1508" i="21"/>
  <c r="AF1459" i="21"/>
  <c r="AB321" i="21"/>
  <c r="AC321" i="21" s="1"/>
  <c r="N50" i="48"/>
  <c r="N13" i="48" s="1"/>
  <c r="AT1595" i="21"/>
  <c r="N1648" i="48"/>
  <c r="G1018" i="48"/>
  <c r="AY1674" i="21"/>
  <c r="T33" i="44" s="1"/>
  <c r="R35" i="44" s="1"/>
  <c r="K1508" i="21"/>
  <c r="R74" i="38"/>
  <c r="R76" i="38" s="1"/>
  <c r="S1000" i="21"/>
  <c r="S850" i="21" s="1"/>
  <c r="AT1232" i="21"/>
  <c r="AT663" i="21"/>
  <c r="AT644" i="21" s="1"/>
  <c r="P208" i="21"/>
  <c r="P207" i="21" s="1"/>
  <c r="P203" i="21" s="1"/>
  <c r="Q203" i="21" s="1"/>
  <c r="S371" i="21"/>
  <c r="P1529" i="48"/>
  <c r="M730" i="21"/>
  <c r="M729" i="21" s="1"/>
  <c r="N729" i="21" s="1"/>
  <c r="AT1631" i="21"/>
  <c r="M17" i="21"/>
  <c r="J1459" i="21"/>
  <c r="K1459" i="21" s="1"/>
  <c r="AT1623" i="21"/>
  <c r="S18" i="21"/>
  <c r="M101" i="47"/>
  <c r="D1330" i="48"/>
  <c r="D1324" i="48" s="1"/>
  <c r="D1323" i="48" s="1"/>
  <c r="E1323" i="48" s="1"/>
  <c r="AT946" i="21"/>
  <c r="AT944" i="21" s="1"/>
  <c r="AU944" i="21" s="1"/>
  <c r="AT1090" i="21"/>
  <c r="AT1066" i="21"/>
  <c r="AT1396" i="21"/>
  <c r="AK1210" i="21"/>
  <c r="AL1210" i="21" s="1"/>
  <c r="M18" i="21"/>
  <c r="D508" i="48"/>
  <c r="D507" i="48" s="1"/>
  <c r="E507" i="48" s="1"/>
  <c r="G1558" i="48"/>
  <c r="S789" i="21"/>
  <c r="T789" i="21" s="1"/>
  <c r="M208" i="21"/>
  <c r="M204" i="21" s="1"/>
  <c r="M83" i="21" s="1"/>
  <c r="P215" i="48"/>
  <c r="AT1584" i="21"/>
  <c r="AQ1552" i="21"/>
  <c r="AQ1551" i="21" s="1"/>
  <c r="AR1551" i="21" s="1"/>
  <c r="AH1580" i="21"/>
  <c r="AI1580" i="21" s="1"/>
  <c r="M1519" i="48"/>
  <c r="AY1457" i="21"/>
  <c r="AY18" i="21" s="1"/>
  <c r="AY1459" i="21"/>
  <c r="J321" i="21"/>
  <c r="K321" i="21" s="1"/>
  <c r="AT216" i="21"/>
  <c r="V204" i="21"/>
  <c r="P944" i="21"/>
  <c r="Q944" i="21" s="1"/>
  <c r="AT1528" i="21"/>
  <c r="L80" i="41" s="1"/>
  <c r="G1324" i="48"/>
  <c r="G1323" i="48" s="1"/>
  <c r="H1323" i="48" s="1"/>
  <c r="V1680" i="21"/>
  <c r="U27" i="34"/>
  <c r="H44" i="30"/>
  <c r="H46" i="30" s="1"/>
  <c r="H47" i="30" s="1"/>
  <c r="AH944" i="21"/>
  <c r="AI944" i="21" s="1"/>
  <c r="J1580" i="21"/>
  <c r="K1580" i="21" s="1"/>
  <c r="AN17" i="21"/>
  <c r="AT925" i="21"/>
  <c r="AT924" i="21" s="1"/>
  <c r="AU924" i="21" s="1"/>
  <c r="J208" i="21"/>
  <c r="J207" i="21" s="1"/>
  <c r="J203" i="21" s="1"/>
  <c r="K203" i="21" s="1"/>
  <c r="AN1005" i="21"/>
  <c r="AN1004" i="21" s="1"/>
  <c r="AO1004" i="21" s="1"/>
  <c r="P1526" i="48"/>
  <c r="AT751" i="21"/>
  <c r="AT732" i="21"/>
  <c r="G1039" i="48"/>
  <c r="G993" i="48" s="1"/>
  <c r="G843" i="48" s="1"/>
  <c r="P1052" i="48"/>
  <c r="P541" i="21"/>
  <c r="N105" i="47"/>
  <c r="AT694" i="21"/>
  <c r="AB528" i="21"/>
  <c r="AC528" i="21" s="1"/>
  <c r="D1039" i="48"/>
  <c r="M540" i="21"/>
  <c r="M1039" i="48"/>
  <c r="M993" i="48" s="1"/>
  <c r="M843" i="48" s="1"/>
  <c r="K8" i="47"/>
  <c r="J1039" i="48"/>
  <c r="J993" i="48" s="1"/>
  <c r="J843" i="48" s="1"/>
  <c r="AK1045" i="21"/>
  <c r="AL1045" i="21" s="1"/>
  <c r="Y681" i="21"/>
  <c r="Z681" i="21" s="1"/>
  <c r="AN643" i="21"/>
  <c r="AO643" i="21" s="1"/>
  <c r="AQ643" i="21"/>
  <c r="AR643" i="21" s="1"/>
  <c r="P602" i="48"/>
  <c r="AT615" i="21"/>
  <c r="AT609" i="21" s="1"/>
  <c r="AT608" i="21" s="1"/>
  <c r="AU608" i="21" s="1"/>
  <c r="Y539" i="21"/>
  <c r="V18" i="21"/>
  <c r="G1719" i="48"/>
  <c r="G1717" i="48" s="1"/>
  <c r="H1717" i="48" s="1"/>
  <c r="N18" i="47"/>
  <c r="AE1680" i="21"/>
  <c r="L1082" i="21"/>
  <c r="D61" i="29" s="1"/>
  <c r="F150" i="47"/>
  <c r="M846" i="48"/>
  <c r="N846" i="48" s="1"/>
  <c r="AA1082" i="21"/>
  <c r="D61" i="34" s="1"/>
  <c r="H56" i="34" s="1"/>
  <c r="AH540" i="21"/>
  <c r="AT409" i="21"/>
  <c r="G590" i="48"/>
  <c r="H590" i="48" s="1"/>
  <c r="D590" i="48"/>
  <c r="E590" i="48" s="1"/>
  <c r="W96" i="47"/>
  <c r="U98" i="47"/>
  <c r="P1607" i="48"/>
  <c r="Y540" i="21"/>
  <c r="Y1527" i="21"/>
  <c r="Z1527" i="21" s="1"/>
  <c r="H101" i="47"/>
  <c r="J102" i="47"/>
  <c r="J590" i="48"/>
  <c r="K590" i="48" s="1"/>
  <c r="V540" i="21"/>
  <c r="AA1396" i="21"/>
  <c r="G299" i="48"/>
  <c r="H299" i="48" s="1"/>
  <c r="P596" i="48"/>
  <c r="P592" i="48" s="1"/>
  <c r="AE681" i="21"/>
  <c r="AF681" i="21" s="1"/>
  <c r="R90" i="47"/>
  <c r="P1721" i="48"/>
  <c r="D316" i="48"/>
  <c r="D315" i="48" s="1"/>
  <c r="D312" i="48" s="1"/>
  <c r="E312" i="48" s="1"/>
  <c r="N12" i="47"/>
  <c r="P817" i="48"/>
  <c r="G1653" i="48"/>
  <c r="G1651" i="48" s="1"/>
  <c r="H1651" i="48" s="1"/>
  <c r="D1719" i="48"/>
  <c r="D1717" i="48" s="1"/>
  <c r="E1717" i="48" s="1"/>
  <c r="I195" i="48"/>
  <c r="I74" i="48" s="1"/>
  <c r="J701" i="48"/>
  <c r="J675" i="48" s="1"/>
  <c r="J532" i="48" s="1"/>
  <c r="N1437" i="48"/>
  <c r="J456" i="21"/>
  <c r="Y1288" i="21"/>
  <c r="Z1288" i="21" s="1"/>
  <c r="F24" i="29"/>
  <c r="F25" i="29" s="1"/>
  <c r="P1459" i="48"/>
  <c r="P1457" i="48" s="1"/>
  <c r="S456" i="21"/>
  <c r="T456" i="21" s="1"/>
  <c r="V98" i="47"/>
  <c r="L8" i="47"/>
  <c r="L101" i="47"/>
  <c r="M1210" i="21"/>
  <c r="N1210" i="21" s="1"/>
  <c r="M1045" i="21"/>
  <c r="N1045" i="21" s="1"/>
  <c r="M681" i="21"/>
  <c r="N681" i="21" s="1"/>
  <c r="P561" i="48"/>
  <c r="AB252" i="21"/>
  <c r="AT1662" i="21"/>
  <c r="AT1660" i="21" s="1"/>
  <c r="AU1660" i="21" s="1"/>
  <c r="Q8" i="47"/>
  <c r="U9" i="47"/>
  <c r="J90" i="47"/>
  <c r="F9" i="47"/>
  <c r="R326" i="48"/>
  <c r="P560" i="48"/>
  <c r="M316" i="48"/>
  <c r="M315" i="48" s="1"/>
  <c r="M312" i="48" s="1"/>
  <c r="N312" i="48" s="1"/>
  <c r="U27" i="40"/>
  <c r="U102" i="47"/>
  <c r="F12" i="47"/>
  <c r="R178" i="48"/>
  <c r="I101" i="47"/>
  <c r="J217" i="48"/>
  <c r="J200" i="48" s="1"/>
  <c r="J199" i="48" s="1"/>
  <c r="O1447" i="21"/>
  <c r="T37" i="47"/>
  <c r="T36" i="47" s="1"/>
  <c r="V37" i="47"/>
  <c r="V36" i="47" s="1"/>
  <c r="X1082" i="21"/>
  <c r="D61" i="33" s="1"/>
  <c r="H56" i="33" s="1"/>
  <c r="AM1082" i="21"/>
  <c r="D61" i="38" s="1"/>
  <c r="H56" i="38" s="1"/>
  <c r="X1447" i="21"/>
  <c r="M701" i="48"/>
  <c r="M675" i="48" s="1"/>
  <c r="M532" i="48" s="1"/>
  <c r="T18" i="47"/>
  <c r="U37" i="47"/>
  <c r="U36" i="47" s="1"/>
  <c r="G316" i="48"/>
  <c r="G315" i="48" s="1"/>
  <c r="G312" i="48" s="1"/>
  <c r="H312" i="48" s="1"/>
  <c r="X1396" i="21"/>
  <c r="AG1454" i="21"/>
  <c r="Q35" i="36" s="1"/>
  <c r="U105" i="47"/>
  <c r="J98" i="47"/>
  <c r="S372" i="21"/>
  <c r="H44" i="33"/>
  <c r="H46" i="33" s="1"/>
  <c r="H47" i="33" s="1"/>
  <c r="AH1527" i="21"/>
  <c r="AI1527" i="21" s="1"/>
  <c r="S98" i="47"/>
  <c r="P540" i="21"/>
  <c r="K1648" i="48"/>
  <c r="N306" i="48"/>
  <c r="AM1447" i="21"/>
  <c r="AH1456" i="21"/>
  <c r="Y545" i="21"/>
  <c r="J1719" i="48"/>
  <c r="J1717" i="48" s="1"/>
  <c r="K1717" i="48" s="1"/>
  <c r="I990" i="48"/>
  <c r="W168" i="47"/>
  <c r="R36" i="47"/>
  <c r="R12" i="47"/>
  <c r="T66" i="47"/>
  <c r="W124" i="47"/>
  <c r="AK252" i="21"/>
  <c r="AK203" i="21" s="1"/>
  <c r="AL203" i="21" s="1"/>
  <c r="J643" i="21"/>
  <c r="K643" i="21" s="1"/>
  <c r="V137" i="21"/>
  <c r="W137" i="21" s="1"/>
  <c r="V85" i="21"/>
  <c r="V16" i="21" s="1"/>
  <c r="J150" i="47"/>
  <c r="AO1459" i="21"/>
  <c r="V643" i="21"/>
  <c r="W643" i="21" s="1"/>
  <c r="S93" i="47"/>
  <c r="AA1447" i="21"/>
  <c r="N9" i="47"/>
  <c r="AN1680" i="21"/>
  <c r="G1488" i="48"/>
  <c r="G1482" i="48" s="1"/>
  <c r="W82" i="47"/>
  <c r="W59" i="47"/>
  <c r="L1396" i="21"/>
  <c r="R1601" i="48"/>
  <c r="AK681" i="21"/>
  <c r="AL681" i="21" s="1"/>
  <c r="V66" i="47"/>
  <c r="U12" i="47"/>
  <c r="O1381" i="48"/>
  <c r="O1073" i="48" s="1"/>
  <c r="AT1582" i="21"/>
  <c r="AT1198" i="21"/>
  <c r="AT1196" i="21" s="1"/>
  <c r="AU1196" i="21" s="1"/>
  <c r="T61" i="47"/>
  <c r="R1648" i="48"/>
  <c r="H1648" i="48"/>
  <c r="R9" i="47"/>
  <c r="V90" i="47"/>
  <c r="AT206" i="21"/>
  <c r="AT86" i="21" s="1"/>
  <c r="P1579" i="48"/>
  <c r="AI865" i="21"/>
  <c r="AI867" i="21" s="1"/>
  <c r="AH1045" i="21"/>
  <c r="AI1045" i="21" s="1"/>
  <c r="P526" i="48"/>
  <c r="P523" i="48" s="1"/>
  <c r="J93" i="47"/>
  <c r="G101" i="47"/>
  <c r="S90" i="47"/>
  <c r="AT1212" i="21"/>
  <c r="R102" i="47"/>
  <c r="P1577" i="48"/>
  <c r="AT457" i="21"/>
  <c r="AT456" i="21" s="1"/>
  <c r="AU456" i="21" s="1"/>
  <c r="R161" i="48"/>
  <c r="O1082" i="21"/>
  <c r="D61" i="30" s="1"/>
  <c r="N90" i="47"/>
  <c r="M1573" i="48"/>
  <c r="G54" i="47"/>
  <c r="W65" i="47"/>
  <c r="T9" i="47"/>
  <c r="O195" i="48"/>
  <c r="O74" i="48" s="1"/>
  <c r="AU1657" i="21"/>
  <c r="W170" i="47"/>
  <c r="P1680" i="21"/>
  <c r="AT225" i="21"/>
  <c r="C55" i="30"/>
  <c r="M205" i="21"/>
  <c r="M84" i="21" s="1"/>
  <c r="M252" i="21"/>
  <c r="P1486" i="48"/>
  <c r="R576" i="48"/>
  <c r="K980" i="48"/>
  <c r="M288" i="48"/>
  <c r="D369" i="48"/>
  <c r="D368" i="48" s="1"/>
  <c r="E368" i="48" s="1"/>
  <c r="J735" i="48"/>
  <c r="P1162" i="48"/>
  <c r="R312" i="48"/>
  <c r="M1189" i="48"/>
  <c r="M1187" i="48" s="1"/>
  <c r="N1187" i="48" s="1"/>
  <c r="E1437" i="48"/>
  <c r="P484" i="48"/>
  <c r="F1381" i="48"/>
  <c r="F1073" i="48" s="1"/>
  <c r="M654" i="48"/>
  <c r="M635" i="48" s="1"/>
  <c r="M1324" i="48"/>
  <c r="M1323" i="48" s="1"/>
  <c r="N1323" i="48" s="1"/>
  <c r="H306" i="48"/>
  <c r="J636" i="48"/>
  <c r="J1314" i="48"/>
  <c r="J1313" i="48" s="1"/>
  <c r="K1313" i="48" s="1"/>
  <c r="P1016" i="48"/>
  <c r="P1015" i="48" s="1"/>
  <c r="D537" i="48"/>
  <c r="D363" i="48"/>
  <c r="P290" i="48"/>
  <c r="P289" i="48" s="1"/>
  <c r="P728" i="48"/>
  <c r="P727" i="48" s="1"/>
  <c r="P1024" i="48"/>
  <c r="M803" i="48"/>
  <c r="R1437" i="48"/>
  <c r="P152" i="48"/>
  <c r="P150" i="48" s="1"/>
  <c r="P608" i="48"/>
  <c r="P1329" i="48"/>
  <c r="P646" i="48"/>
  <c r="P645" i="48" s="1"/>
  <c r="R306" i="48"/>
  <c r="P210" i="48"/>
  <c r="R1542" i="48"/>
  <c r="R1571" i="48"/>
  <c r="R79" i="48"/>
  <c r="N1173" i="48"/>
  <c r="P1147" i="48"/>
  <c r="I1450" i="48"/>
  <c r="I1445" i="48" s="1"/>
  <c r="P812" i="48"/>
  <c r="P811" i="48" s="1"/>
  <c r="R96" i="48"/>
  <c r="P745" i="48"/>
  <c r="P742" i="48" s="1"/>
  <c r="J645" i="48"/>
  <c r="P1214" i="48"/>
  <c r="P1213" i="48" s="1"/>
  <c r="H161" i="48"/>
  <c r="J796" i="48"/>
  <c r="J794" i="48" s="1"/>
  <c r="P216" i="48"/>
  <c r="P692" i="48"/>
  <c r="M1053" i="48"/>
  <c r="R1651" i="48"/>
  <c r="K276" i="48"/>
  <c r="P691" i="48"/>
  <c r="Y1456" i="21"/>
  <c r="M299" i="48"/>
  <c r="N299" i="48" s="1"/>
  <c r="N1122" i="21"/>
  <c r="P163" i="48"/>
  <c r="P162" i="48" s="1"/>
  <c r="P161" i="48" s="1"/>
  <c r="P1059" i="48"/>
  <c r="P1057" i="48" s="1"/>
  <c r="W83" i="47"/>
  <c r="P1118" i="48"/>
  <c r="P1114" i="48" s="1"/>
  <c r="H142" i="48"/>
  <c r="R120" i="47"/>
  <c r="P264" i="48"/>
  <c r="P246" i="48" s="1"/>
  <c r="P197" i="48" s="1"/>
  <c r="P582" i="48"/>
  <c r="P580" i="48" s="1"/>
  <c r="P480" i="48"/>
  <c r="P478" i="48" s="1"/>
  <c r="R98" i="47"/>
  <c r="U61" i="47"/>
  <c r="R66" i="47"/>
  <c r="H44" i="35"/>
  <c r="H46" i="35" s="1"/>
  <c r="H47" i="35" s="1"/>
  <c r="E306" i="48"/>
  <c r="J1519" i="48"/>
  <c r="P826" i="48"/>
  <c r="AT546" i="21"/>
  <c r="G1455" i="48"/>
  <c r="G1451" i="48" s="1"/>
  <c r="J738" i="48"/>
  <c r="W103" i="47"/>
  <c r="G1189" i="48"/>
  <c r="G1187" i="48" s="1"/>
  <c r="H1187" i="48" s="1"/>
  <c r="L1450" i="48"/>
  <c r="L1445" i="48" s="1"/>
  <c r="J657" i="48"/>
  <c r="V9" i="47"/>
  <c r="W64" i="47"/>
  <c r="Y643" i="21"/>
  <c r="Z643" i="21" s="1"/>
  <c r="AQ1456" i="21"/>
  <c r="U90" i="47"/>
  <c r="O8" i="47"/>
  <c r="M448" i="48"/>
  <c r="M447" i="48" s="1"/>
  <c r="N447" i="48" s="1"/>
  <c r="P1020" i="48"/>
  <c r="U27" i="31"/>
  <c r="R105" i="47"/>
  <c r="G1519" i="48"/>
  <c r="D1653" i="48"/>
  <c r="D1651" i="48" s="1"/>
  <c r="E1651" i="48" s="1"/>
  <c r="P725" i="48"/>
  <c r="P730" i="48"/>
  <c r="Y541" i="21"/>
  <c r="W166" i="47"/>
  <c r="R384" i="48"/>
  <c r="J1160" i="48"/>
  <c r="J1159" i="48" s="1"/>
  <c r="K1159" i="48" s="1"/>
  <c r="AM1454" i="21"/>
  <c r="Q35" i="38" s="1"/>
  <c r="O76" i="47"/>
  <c r="J61" i="47"/>
  <c r="G1631" i="48"/>
  <c r="H1631" i="48" s="1"/>
  <c r="M254" i="48"/>
  <c r="M245" i="48" s="1"/>
  <c r="M244" i="48" s="1"/>
  <c r="AT232" i="21"/>
  <c r="P609" i="48"/>
  <c r="U27" i="36"/>
  <c r="M106" i="48"/>
  <c r="M105" i="48" s="1"/>
  <c r="N105" i="48" s="1"/>
  <c r="F1450" i="48"/>
  <c r="F1445" i="48" s="1"/>
  <c r="AB1680" i="21"/>
  <c r="S136" i="47"/>
  <c r="AE85" i="21"/>
  <c r="P801" i="48"/>
  <c r="K306" i="48"/>
  <c r="P1019" i="48"/>
  <c r="J821" i="48"/>
  <c r="J795" i="48" s="1"/>
  <c r="J535" i="48" s="1"/>
  <c r="P1291" i="48"/>
  <c r="P1580" i="21"/>
  <c r="Q1580" i="21" s="1"/>
  <c r="C55" i="29"/>
  <c r="R142" i="48"/>
  <c r="AV57" i="21"/>
  <c r="AT295" i="21"/>
  <c r="AU295" i="21" s="1"/>
  <c r="AT296" i="21"/>
  <c r="G1575" i="48"/>
  <c r="G1572" i="48" s="1"/>
  <c r="P678" i="48"/>
  <c r="J1290" i="48"/>
  <c r="J1280" i="48" s="1"/>
  <c r="W41" i="47"/>
  <c r="R77" i="47"/>
  <c r="J130" i="48"/>
  <c r="T102" i="47"/>
  <c r="S851" i="21"/>
  <c r="G337" i="48"/>
  <c r="G327" i="48" s="1"/>
  <c r="G326" i="48" s="1"/>
  <c r="H326" i="48" s="1"/>
  <c r="P686" i="48"/>
  <c r="P423" i="48"/>
  <c r="AB1580" i="21"/>
  <c r="AC1580" i="21" s="1"/>
  <c r="P54" i="47"/>
  <c r="P533" i="48"/>
  <c r="P401" i="48"/>
  <c r="F66" i="47"/>
  <c r="P1559" i="48"/>
  <c r="N1707" i="48"/>
  <c r="P483" i="48"/>
  <c r="P481" i="48" s="1"/>
  <c r="P1589" i="48"/>
  <c r="M1500" i="48"/>
  <c r="M1499" i="48" s="1"/>
  <c r="N1499" i="48" s="1"/>
  <c r="P1552" i="48"/>
  <c r="R167" i="48"/>
  <c r="D685" i="48"/>
  <c r="D796" i="48"/>
  <c r="P1298" i="48"/>
  <c r="E1648" i="48"/>
  <c r="P256" i="48"/>
  <c r="P254" i="48" s="1"/>
  <c r="P656" i="48"/>
  <c r="S120" i="47"/>
  <c r="S115" i="47" s="1"/>
  <c r="AT84" i="21"/>
  <c r="W40" i="47"/>
  <c r="J1203" i="48"/>
  <c r="M1288" i="21"/>
  <c r="N1288" i="21" s="1"/>
  <c r="W63" i="47"/>
  <c r="P1456" i="21"/>
  <c r="P318" i="48"/>
  <c r="AJ1082" i="21"/>
  <c r="D61" i="37" s="1"/>
  <c r="P650" i="48"/>
  <c r="P649" i="48" s="1"/>
  <c r="D211" i="48"/>
  <c r="P138" i="48"/>
  <c r="P136" i="48" s="1"/>
  <c r="J327" i="48"/>
  <c r="J326" i="48" s="1"/>
  <c r="K326" i="48" s="1"/>
  <c r="C55" i="37"/>
  <c r="P1148" i="48"/>
  <c r="M1001" i="21"/>
  <c r="P726" i="48"/>
  <c r="J9" i="47"/>
  <c r="V681" i="21"/>
  <c r="W681" i="21" s="1"/>
  <c r="E161" i="48"/>
  <c r="W134" i="47"/>
  <c r="P1045" i="21"/>
  <c r="Q1045" i="21" s="1"/>
  <c r="W155" i="47"/>
  <c r="H111" i="47"/>
  <c r="L1381" i="48"/>
  <c r="L1073" i="48" s="1"/>
  <c r="J55" i="47"/>
  <c r="D1674" i="48"/>
  <c r="N161" i="48"/>
  <c r="G198" i="48"/>
  <c r="G78" i="48" s="1"/>
  <c r="D287" i="48"/>
  <c r="E287" i="48" s="1"/>
  <c r="D1558" i="48"/>
  <c r="R1159" i="48"/>
  <c r="U27" i="32"/>
  <c r="W57" i="47"/>
  <c r="AJ1447" i="21"/>
  <c r="W122" i="47"/>
  <c r="P693" i="48"/>
  <c r="W94" i="47"/>
  <c r="W68" i="47"/>
  <c r="P655" i="48"/>
  <c r="P319" i="48"/>
  <c r="P313" i="48" s="1"/>
  <c r="U55" i="47"/>
  <c r="L74" i="39"/>
  <c r="L79" i="39" s="1"/>
  <c r="J66" i="47"/>
  <c r="S12" i="47"/>
  <c r="R519" i="48"/>
  <c r="W163" i="47"/>
  <c r="D1519" i="48"/>
  <c r="U73" i="47"/>
  <c r="S127" i="47"/>
  <c r="W89" i="47"/>
  <c r="P732" i="48"/>
  <c r="F49" i="48"/>
  <c r="K865" i="21"/>
  <c r="K867" i="21" s="1"/>
  <c r="P1224" i="48"/>
  <c r="P1223" i="48" s="1"/>
  <c r="N142" i="48"/>
  <c r="I49" i="48"/>
  <c r="P1004" i="48"/>
  <c r="D1586" i="48"/>
  <c r="D1572" i="48" s="1"/>
  <c r="M8" i="47"/>
  <c r="J519" i="48"/>
  <c r="K519" i="48" s="1"/>
  <c r="P1207" i="48"/>
  <c r="P1206" i="48" s="1"/>
  <c r="AE203" i="21"/>
  <c r="AF203" i="21" s="1"/>
  <c r="AF82" i="21" s="1"/>
  <c r="M731" i="48"/>
  <c r="M721" i="48" s="1"/>
  <c r="M720" i="48" s="1"/>
  <c r="N720" i="48" s="1"/>
  <c r="D800" i="48"/>
  <c r="P392" i="48"/>
  <c r="M390" i="48"/>
  <c r="M385" i="48" s="1"/>
  <c r="P1623" i="48"/>
  <c r="P1622" i="48" s="1"/>
  <c r="P797" i="48"/>
  <c r="P1021" i="48"/>
  <c r="G1206" i="48"/>
  <c r="G1202" i="48" s="1"/>
  <c r="P733" i="48"/>
  <c r="G390" i="48"/>
  <c r="G385" i="48" s="1"/>
  <c r="G384" i="48" s="1"/>
  <c r="P213" i="48"/>
  <c r="P211" i="48" s="1"/>
  <c r="M1614" i="48"/>
  <c r="M1611" i="48" s="1"/>
  <c r="M1610" i="48" s="1"/>
  <c r="N1610" i="48" s="1"/>
  <c r="P1150" i="48"/>
  <c r="P611" i="48"/>
  <c r="M208" i="48"/>
  <c r="P1012" i="48"/>
  <c r="P1011" i="48" s="1"/>
  <c r="P1503" i="48"/>
  <c r="G1037" i="48"/>
  <c r="P1054" i="48"/>
  <c r="G685" i="48"/>
  <c r="G673" i="48" s="1"/>
  <c r="P113" i="48"/>
  <c r="P112" i="48" s="1"/>
  <c r="P679" i="48"/>
  <c r="P1461" i="48"/>
  <c r="P391" i="48"/>
  <c r="P871" i="48"/>
  <c r="P869" i="48" s="1"/>
  <c r="P1441" i="48"/>
  <c r="P802" i="48"/>
  <c r="P430" i="48"/>
  <c r="P225" i="48"/>
  <c r="P224" i="48" s="1"/>
  <c r="J143" i="48"/>
  <c r="J142" i="48" s="1"/>
  <c r="K142" i="48" s="1"/>
  <c r="D224" i="48"/>
  <c r="G1602" i="48"/>
  <c r="G1601" i="48" s="1"/>
  <c r="H1601" i="48" s="1"/>
  <c r="P805" i="48"/>
  <c r="P803" i="48" s="1"/>
  <c r="G1290" i="48"/>
  <c r="G1280" i="48" s="1"/>
  <c r="P1585" i="48"/>
  <c r="D534" i="48"/>
  <c r="J1674" i="48"/>
  <c r="J1672" i="48" s="1"/>
  <c r="K1672" i="48" s="1"/>
  <c r="P1055" i="48"/>
  <c r="G846" i="48"/>
  <c r="H846" i="48" s="1"/>
  <c r="G600" i="48"/>
  <c r="G599" i="48" s="1"/>
  <c r="H599" i="48" s="1"/>
  <c r="G796" i="48"/>
  <c r="G794" i="48" s="1"/>
  <c r="P209" i="48"/>
  <c r="G1387" i="48"/>
  <c r="P1522" i="48"/>
  <c r="P798" i="48"/>
  <c r="M821" i="48"/>
  <c r="M795" i="48" s="1"/>
  <c r="M535" i="48" s="1"/>
  <c r="J133" i="48"/>
  <c r="J131" i="48" s="1"/>
  <c r="M520" i="48"/>
  <c r="M519" i="48" s="1"/>
  <c r="N519" i="48" s="1"/>
  <c r="P109" i="48"/>
  <c r="D376" i="48"/>
  <c r="D375" i="48" s="1"/>
  <c r="E375" i="48" s="1"/>
  <c r="G821" i="48"/>
  <c r="G795" i="48" s="1"/>
  <c r="G535" i="48" s="1"/>
  <c r="R599" i="48"/>
  <c r="P485" i="48"/>
  <c r="P1550" i="48"/>
  <c r="AQ371" i="21"/>
  <c r="AQ393" i="21"/>
  <c r="AR393" i="21" s="1"/>
  <c r="P1332" i="21"/>
  <c r="Q1332" i="21" s="1"/>
  <c r="M19" i="21"/>
  <c r="AH1000" i="21"/>
  <c r="AH850" i="21" s="1"/>
  <c r="AH1004" i="21"/>
  <c r="AI1004" i="21" s="1"/>
  <c r="Y1455" i="21"/>
  <c r="Y1580" i="21"/>
  <c r="Z1580" i="21" s="1"/>
  <c r="M427" i="21"/>
  <c r="N427" i="21" s="1"/>
  <c r="M371" i="21"/>
  <c r="AT543" i="21"/>
  <c r="P516" i="48"/>
  <c r="P510" i="48" s="1"/>
  <c r="P972" i="48"/>
  <c r="P970" i="48" s="1"/>
  <c r="P684" i="48"/>
  <c r="P682" i="48" s="1"/>
  <c r="G448" i="48"/>
  <c r="G447" i="48" s="1"/>
  <c r="H447" i="48" s="1"/>
  <c r="J313" i="48"/>
  <c r="G537" i="48"/>
  <c r="W86" i="47"/>
  <c r="N55" i="47"/>
  <c r="P687" i="48"/>
  <c r="S19" i="21"/>
  <c r="P18" i="21"/>
  <c r="P739" i="48"/>
  <c r="P738" i="48" s="1"/>
  <c r="O74" i="34"/>
  <c r="O76" i="34" s="1"/>
  <c r="Z1490" i="21"/>
  <c r="M944" i="21"/>
  <c r="N944" i="21" s="1"/>
  <c r="D54" i="46"/>
  <c r="D60" i="46" s="1"/>
  <c r="D61" i="46" s="1"/>
  <c r="Y865" i="21"/>
  <c r="AB803" i="21"/>
  <c r="AB802" i="21" s="1"/>
  <c r="AC802" i="21" s="1"/>
  <c r="AB478" i="21"/>
  <c r="AC478" i="21" s="1"/>
  <c r="AB1460" i="21"/>
  <c r="AB1459" i="21" s="1"/>
  <c r="AC1459" i="21" s="1"/>
  <c r="AB1463" i="21"/>
  <c r="AC1463" i="21" s="1"/>
  <c r="N66" i="47"/>
  <c r="P919" i="48"/>
  <c r="P916" i="48" s="1"/>
  <c r="N60" i="46"/>
  <c r="N61" i="46" s="1"/>
  <c r="AT1047" i="21"/>
  <c r="AT1001" i="21" s="1"/>
  <c r="P784" i="48"/>
  <c r="W140" i="47"/>
  <c r="R93" i="47"/>
  <c r="AT336" i="21"/>
  <c r="AT335" i="21" s="1"/>
  <c r="AU335" i="21" s="1"/>
  <c r="D1455" i="48"/>
  <c r="D1454" i="48" s="1"/>
  <c r="E1454" i="48" s="1"/>
  <c r="N159" i="47"/>
  <c r="W81" i="47"/>
  <c r="N98" i="47"/>
  <c r="D1053" i="48"/>
  <c r="P1331" i="48"/>
  <c r="P1330" i="48" s="1"/>
  <c r="AT830" i="21"/>
  <c r="AT804" i="21" s="1"/>
  <c r="AT544" i="21" s="1"/>
  <c r="P833" i="48"/>
  <c r="J1005" i="48"/>
  <c r="M1581" i="21"/>
  <c r="M1580" i="21" s="1"/>
  <c r="N1580" i="21" s="1"/>
  <c r="W158" i="47"/>
  <c r="AE19" i="21"/>
  <c r="AK19" i="21"/>
  <c r="Q1490" i="21"/>
  <c r="AN539" i="21"/>
  <c r="G727" i="48"/>
  <c r="G721" i="48" s="1"/>
  <c r="G720" i="48" s="1"/>
  <c r="H720" i="48" s="1"/>
  <c r="AE644" i="21"/>
  <c r="AQ208" i="21"/>
  <c r="V802" i="21"/>
  <c r="W802" i="21" s="1"/>
  <c r="AT686" i="21"/>
  <c r="AQ1000" i="21"/>
  <c r="AQ850" i="21" s="1"/>
  <c r="AQ1004" i="21"/>
  <c r="AR1004" i="21" s="1"/>
  <c r="S681" i="21"/>
  <c r="T681" i="21" s="1"/>
  <c r="L76" i="47"/>
  <c r="J673" i="48"/>
  <c r="V371" i="21"/>
  <c r="W106" i="47"/>
  <c r="W80" i="47"/>
  <c r="G654" i="48"/>
  <c r="G635" i="48" s="1"/>
  <c r="Q1089" i="21"/>
  <c r="H44" i="31"/>
  <c r="H46" i="31" s="1"/>
  <c r="H47" i="31" s="1"/>
  <c r="P384" i="21"/>
  <c r="V1463" i="21"/>
  <c r="W1463" i="21" s="1"/>
  <c r="V1460" i="21"/>
  <c r="V1459" i="21" s="1"/>
  <c r="W1459" i="21" s="1"/>
  <c r="F73" i="47"/>
  <c r="W100" i="47"/>
  <c r="W139" i="47"/>
  <c r="V296" i="21"/>
  <c r="V295" i="21"/>
  <c r="W295" i="21" s="1"/>
  <c r="Y1463" i="21"/>
  <c r="Z1463" i="21" s="1"/>
  <c r="Y1460" i="21"/>
  <c r="Y1459" i="21" s="1"/>
  <c r="Z1459" i="21" s="1"/>
  <c r="AH681" i="21"/>
  <c r="AI681" i="21" s="1"/>
  <c r="J127" i="47"/>
  <c r="AT372" i="21"/>
  <c r="AN1527" i="21"/>
  <c r="AO1527" i="21" s="1"/>
  <c r="V865" i="21"/>
  <c r="W865" i="21" s="1"/>
  <c r="W867" i="21" s="1"/>
  <c r="L74" i="32"/>
  <c r="L79" i="32" s="1"/>
  <c r="J136" i="47"/>
  <c r="R1279" i="48"/>
  <c r="P864" i="48"/>
  <c r="P863" i="48" s="1"/>
  <c r="J608" i="21"/>
  <c r="K608" i="21" s="1"/>
  <c r="V84" i="47"/>
  <c r="J577" i="48"/>
  <c r="J576" i="48" s="1"/>
  <c r="K576" i="48" s="1"/>
  <c r="P1510" i="48"/>
  <c r="P175" i="48"/>
  <c r="P170" i="48" s="1"/>
  <c r="J606" i="48"/>
  <c r="J600" i="48" s="1"/>
  <c r="J599" i="48" s="1"/>
  <c r="K599" i="48" s="1"/>
  <c r="P724" i="48"/>
  <c r="D742" i="48"/>
  <c r="D721" i="48" s="1"/>
  <c r="D720" i="48" s="1"/>
  <c r="E720" i="48" s="1"/>
  <c r="M327" i="48"/>
  <c r="M326" i="48" s="1"/>
  <c r="N326" i="48" s="1"/>
  <c r="D106" i="48"/>
  <c r="D105" i="48" s="1"/>
  <c r="E105" i="48" s="1"/>
  <c r="U27" i="39"/>
  <c r="G1438" i="48"/>
  <c r="G1437" i="48" s="1"/>
  <c r="H1437" i="48" s="1"/>
  <c r="J537" i="48"/>
  <c r="M545" i="21"/>
  <c r="AH545" i="21"/>
  <c r="W169" i="47"/>
  <c r="Q76" i="47"/>
  <c r="S61" i="47"/>
  <c r="AH18" i="21"/>
  <c r="E17" i="44"/>
  <c r="F15" i="44" s="1"/>
  <c r="AN681" i="21"/>
  <c r="AO681" i="21" s="1"/>
  <c r="AH1210" i="21"/>
  <c r="AI1210" i="21" s="1"/>
  <c r="D1549" i="48"/>
  <c r="S1391" i="21"/>
  <c r="S1395" i="21"/>
  <c r="T1395" i="21" s="1"/>
  <c r="AH207" i="21"/>
  <c r="AH203" i="21" s="1"/>
  <c r="AI203" i="21" s="1"/>
  <c r="AH204" i="21"/>
  <c r="AH83" i="21" s="1"/>
  <c r="AK802" i="21"/>
  <c r="AL802" i="21" s="1"/>
  <c r="AK1620" i="21"/>
  <c r="AK1619" i="21" s="1"/>
  <c r="AL1619" i="21" s="1"/>
  <c r="AT740" i="21"/>
  <c r="S803" i="21"/>
  <c r="S802" i="21" s="1"/>
  <c r="T802" i="21" s="1"/>
  <c r="AT1567" i="21"/>
  <c r="W87" i="47"/>
  <c r="P1395" i="21"/>
  <c r="Q1395" i="21" s="1"/>
  <c r="P1391" i="21"/>
  <c r="P1390" i="21" s="1"/>
  <c r="C54" i="31" s="1"/>
  <c r="D1622" i="48"/>
  <c r="D1611" i="48" s="1"/>
  <c r="D1610" i="48" s="1"/>
  <c r="E1610" i="48" s="1"/>
  <c r="P810" i="48"/>
  <c r="AL1490" i="21"/>
  <c r="O74" i="38"/>
  <c r="O76" i="38" s="1"/>
  <c r="N61" i="47"/>
  <c r="M507" i="48"/>
  <c r="N507" i="48" s="1"/>
  <c r="P585" i="48"/>
  <c r="P583" i="48" s="1"/>
  <c r="U27" i="30"/>
  <c r="AN802" i="21"/>
  <c r="AO802" i="21" s="1"/>
  <c r="AN544" i="21"/>
  <c r="AN19" i="21" s="1"/>
  <c r="E15" i="41"/>
  <c r="J105" i="47"/>
  <c r="K101" i="47"/>
  <c r="T90" i="47"/>
  <c r="J149" i="48"/>
  <c r="K149" i="48" s="1"/>
  <c r="U23" i="41"/>
  <c r="U25" i="41" s="1"/>
  <c r="U27" i="41" s="1"/>
  <c r="W95" i="47"/>
  <c r="O101" i="47"/>
  <c r="N150" i="47"/>
  <c r="P1576" i="48"/>
  <c r="N368" i="48"/>
  <c r="G208" i="48"/>
  <c r="G1011" i="48"/>
  <c r="J287" i="48"/>
  <c r="K287" i="48" s="1"/>
  <c r="M780" i="48"/>
  <c r="N780" i="48" s="1"/>
  <c r="P221" i="48"/>
  <c r="P220" i="48" s="1"/>
  <c r="J376" i="21"/>
  <c r="J19" i="21" s="1"/>
  <c r="AN371" i="21"/>
  <c r="AE204" i="21"/>
  <c r="AE83" i="21" s="1"/>
  <c r="AH17" i="21"/>
  <c r="AY19" i="21"/>
  <c r="AH1455" i="21"/>
  <c r="C55" i="32"/>
  <c r="U1082" i="21"/>
  <c r="D61" i="32" s="1"/>
  <c r="U1447" i="21"/>
  <c r="AB1000" i="21"/>
  <c r="AB850" i="21" s="1"/>
  <c r="AB1004" i="21"/>
  <c r="AC1004" i="21" s="1"/>
  <c r="M1575" i="48"/>
  <c r="M1572" i="48" s="1"/>
  <c r="J730" i="21"/>
  <c r="J729" i="21" s="1"/>
  <c r="K729" i="21" s="1"/>
  <c r="W1490" i="21"/>
  <c r="O74" i="33"/>
  <c r="O76" i="33" s="1"/>
  <c r="AE1395" i="21"/>
  <c r="AF1395" i="21" s="1"/>
  <c r="AE1391" i="21"/>
  <c r="AE1390" i="21" s="1"/>
  <c r="C54" i="36" s="1"/>
  <c r="M790" i="21"/>
  <c r="M789" i="21"/>
  <c r="N789" i="21" s="1"/>
  <c r="D677" i="48"/>
  <c r="AQ1395" i="21"/>
  <c r="AR1395" i="21" s="1"/>
  <c r="AQ1391" i="21"/>
  <c r="AQ1390" i="21" s="1"/>
  <c r="C54" i="40" s="1"/>
  <c r="Y208" i="21"/>
  <c r="AQ539" i="21"/>
  <c r="F115" i="47"/>
  <c r="M375" i="48"/>
  <c r="N375" i="48" s="1"/>
  <c r="J160" i="47"/>
  <c r="G277" i="48"/>
  <c r="G276" i="48" s="1"/>
  <c r="H276" i="48" s="1"/>
  <c r="K1707" i="48"/>
  <c r="S643" i="21"/>
  <c r="T643" i="21" s="1"/>
  <c r="N93" i="47"/>
  <c r="U77" i="47"/>
  <c r="M1084" i="21"/>
  <c r="J1038" i="48"/>
  <c r="J992" i="48" s="1"/>
  <c r="J1204" i="48"/>
  <c r="J1077" i="48" s="1"/>
  <c r="W20" i="47"/>
  <c r="J18" i="47"/>
  <c r="AB681" i="21"/>
  <c r="AC681" i="21" s="1"/>
  <c r="AU599" i="21"/>
  <c r="D1081" i="48"/>
  <c r="P735" i="48"/>
  <c r="P809" i="48"/>
  <c r="U27" i="35"/>
  <c r="M1552" i="21"/>
  <c r="M1551" i="21" s="1"/>
  <c r="N1551" i="21" s="1"/>
  <c r="AK539" i="21"/>
  <c r="P1487" i="48"/>
  <c r="N102" i="47"/>
  <c r="AQ19" i="21"/>
  <c r="AK1288" i="21"/>
  <c r="AL1288" i="21" s="1"/>
  <c r="D1387" i="48"/>
  <c r="D1382" i="48" s="1"/>
  <c r="W69" i="47"/>
  <c r="L75" i="38"/>
  <c r="L74" i="38" s="1"/>
  <c r="L79" i="38" s="1"/>
  <c r="AK1527" i="21"/>
  <c r="AL1527" i="21" s="1"/>
  <c r="AN1580" i="21"/>
  <c r="AO1580" i="21" s="1"/>
  <c r="AT384" i="21"/>
  <c r="AU384" i="21" s="1"/>
  <c r="P1459" i="21"/>
  <c r="Q1459" i="21" s="1"/>
  <c r="AB208" i="21"/>
  <c r="AT747" i="21"/>
  <c r="O74" i="40"/>
  <c r="O76" i="40" s="1"/>
  <c r="AR1490" i="21"/>
  <c r="AT1027" i="21"/>
  <c r="P1588" i="48"/>
  <c r="P853" i="48"/>
  <c r="P848" i="48" s="1"/>
  <c r="P631" i="48"/>
  <c r="P604" i="48" s="1"/>
  <c r="M96" i="48"/>
  <c r="N96" i="48" s="1"/>
  <c r="J96" i="48"/>
  <c r="K96" i="48" s="1"/>
  <c r="P657" i="48"/>
  <c r="M287" i="48"/>
  <c r="N287" i="48" s="1"/>
  <c r="J167" i="48"/>
  <c r="K167" i="48" s="1"/>
  <c r="D846" i="48"/>
  <c r="E846" i="48" s="1"/>
  <c r="M1314" i="48"/>
  <c r="M1313" i="48" s="1"/>
  <c r="N1313" i="48" s="1"/>
  <c r="D1189" i="48"/>
  <c r="D1187" i="48" s="1"/>
  <c r="E1187" i="48" s="1"/>
  <c r="D1160" i="48"/>
  <c r="D1159" i="48" s="1"/>
  <c r="E1159" i="48" s="1"/>
  <c r="P341" i="48"/>
  <c r="P328" i="48" s="1"/>
  <c r="D204" i="48"/>
  <c r="J1631" i="48"/>
  <c r="K1631" i="48" s="1"/>
  <c r="H368" i="48"/>
  <c r="D79" i="48"/>
  <c r="E79" i="48" s="1"/>
  <c r="P1442" i="48"/>
  <c r="M1653" i="48"/>
  <c r="M1651" i="48" s="1"/>
  <c r="N1651" i="48" s="1"/>
  <c r="R287" i="48"/>
  <c r="P1086" i="48"/>
  <c r="J375" i="48"/>
  <c r="K375" i="48" s="1"/>
  <c r="D149" i="48"/>
  <c r="E149" i="48" s="1"/>
  <c r="J1515" i="48"/>
  <c r="J1502" i="48" s="1"/>
  <c r="J1449" i="48" s="1"/>
  <c r="J178" i="48"/>
  <c r="K178" i="48" s="1"/>
  <c r="F990" i="48"/>
  <c r="P461" i="48"/>
  <c r="P450" i="48" s="1"/>
  <c r="P364" i="48" s="1"/>
  <c r="D1482" i="48"/>
  <c r="D1481" i="48" s="1"/>
  <c r="E1481" i="48" s="1"/>
  <c r="P1648" i="48"/>
  <c r="G245" i="48"/>
  <c r="G244" i="48" s="1"/>
  <c r="M673" i="48"/>
  <c r="D821" i="48"/>
  <c r="D795" i="48" s="1"/>
  <c r="D535" i="48" s="1"/>
  <c r="J538" i="48"/>
  <c r="H93" i="48"/>
  <c r="J1189" i="48"/>
  <c r="J1187" i="48" s="1"/>
  <c r="K1187" i="48" s="1"/>
  <c r="P435" i="48"/>
  <c r="P1708" i="48"/>
  <c r="D1203" i="48"/>
  <c r="P591" i="48"/>
  <c r="M636" i="48"/>
  <c r="G577" i="48"/>
  <c r="G576" i="48" s="1"/>
  <c r="H576" i="48" s="1"/>
  <c r="R915" i="48"/>
  <c r="D1204" i="48"/>
  <c r="D1077" i="48" s="1"/>
  <c r="G1549" i="48"/>
  <c r="O990" i="48"/>
  <c r="R1113" i="48"/>
  <c r="D635" i="48"/>
  <c r="J1485" i="48"/>
  <c r="J1482" i="48" s="1"/>
  <c r="J1481" i="48" s="1"/>
  <c r="K1481" i="48" s="1"/>
  <c r="G969" i="48"/>
  <c r="H969" i="48" s="1"/>
  <c r="M1038" i="48"/>
  <c r="M992" i="48" s="1"/>
  <c r="J106" i="48"/>
  <c r="J105" i="48" s="1"/>
  <c r="J887" i="48"/>
  <c r="J885" i="48" s="1"/>
  <c r="K885" i="48" s="1"/>
  <c r="P1662" i="48"/>
  <c r="P1655" i="48" s="1"/>
  <c r="R634" i="48"/>
  <c r="D1143" i="48"/>
  <c r="D1141" i="48" s="1"/>
  <c r="E1141" i="48" s="1"/>
  <c r="G167" i="48"/>
  <c r="H167" i="48" s="1"/>
  <c r="D327" i="48"/>
  <c r="D326" i="48" s="1"/>
  <c r="E326" i="48" s="1"/>
  <c r="D1202" i="48"/>
  <c r="P642" i="48"/>
  <c r="P1153" i="48"/>
  <c r="P333" i="48"/>
  <c r="M887" i="48"/>
  <c r="M885" i="48" s="1"/>
  <c r="N885" i="48" s="1"/>
  <c r="J1387" i="48"/>
  <c r="P1210" i="48"/>
  <c r="M1454" i="48"/>
  <c r="N1454" i="48" s="1"/>
  <c r="G915" i="48"/>
  <c r="H915" i="48" s="1"/>
  <c r="P1707" i="48"/>
  <c r="D1057" i="48"/>
  <c r="M1482" i="48"/>
  <c r="M1481" i="48" s="1"/>
  <c r="N1481" i="48" s="1"/>
  <c r="J49" i="48"/>
  <c r="R345" i="48"/>
  <c r="D1449" i="48"/>
  <c r="P788" i="48"/>
  <c r="P782" i="48" s="1"/>
  <c r="D600" i="48"/>
  <c r="D599" i="48" s="1"/>
  <c r="E599" i="48" s="1"/>
  <c r="J1500" i="48"/>
  <c r="P1005" i="48"/>
  <c r="D1520" i="48"/>
  <c r="P107" i="48"/>
  <c r="D1470" i="48"/>
  <c r="E1470" i="48" s="1"/>
  <c r="P258" i="48"/>
  <c r="M937" i="48"/>
  <c r="M935" i="48" s="1"/>
  <c r="N935" i="48" s="1"/>
  <c r="P976" i="48"/>
  <c r="P971" i="48" s="1"/>
  <c r="G994" i="48"/>
  <c r="G845" i="48" s="1"/>
  <c r="M1520" i="48"/>
  <c r="M577" i="48"/>
  <c r="M576" i="48" s="1"/>
  <c r="N576" i="48" s="1"/>
  <c r="J198" i="48"/>
  <c r="J78" i="48" s="1"/>
  <c r="J1572" i="48"/>
  <c r="D1631" i="48"/>
  <c r="E1631" i="48" s="1"/>
  <c r="K54" i="47"/>
  <c r="N73" i="47"/>
  <c r="T160" i="47"/>
  <c r="T159" i="47" s="1"/>
  <c r="W162" i="47"/>
  <c r="W56" i="47"/>
  <c r="T55" i="47"/>
  <c r="AB18" i="21"/>
  <c r="P1511" i="48"/>
  <c r="M1508" i="21"/>
  <c r="AO1490" i="21"/>
  <c r="O74" i="39"/>
  <c r="O76" i="39" s="1"/>
  <c r="AB1527" i="21"/>
  <c r="AC1527" i="21" s="1"/>
  <c r="L76" i="35"/>
  <c r="L74" i="35" s="1"/>
  <c r="L79" i="35" s="1"/>
  <c r="AB1456" i="21"/>
  <c r="Y1726" i="21"/>
  <c r="Z1726" i="21" s="1"/>
  <c r="Y1680" i="21"/>
  <c r="W142" i="47"/>
  <c r="W99" i="47"/>
  <c r="AQ478" i="21"/>
  <c r="AR478" i="21" s="1"/>
  <c r="AQ372" i="21"/>
  <c r="AS1396" i="21"/>
  <c r="M1387" i="48"/>
  <c r="M1382" i="48" s="1"/>
  <c r="P1391" i="48"/>
  <c r="AH541" i="21"/>
  <c r="F136" i="47"/>
  <c r="D111" i="47"/>
  <c r="L111" i="47"/>
  <c r="AH1458" i="21"/>
  <c r="AH1508" i="21"/>
  <c r="P1615" i="48"/>
  <c r="P1614" i="48" s="1"/>
  <c r="G1614" i="48"/>
  <c r="G1611" i="48" s="1"/>
  <c r="G1610" i="48" s="1"/>
  <c r="H1610" i="48" s="1"/>
  <c r="Q71" i="48"/>
  <c r="P69" i="48" s="1"/>
  <c r="D69" i="48"/>
  <c r="D49" i="48" s="1"/>
  <c r="AB1391" i="21"/>
  <c r="AB1395" i="21"/>
  <c r="AC1395" i="21" s="1"/>
  <c r="V1395" i="21"/>
  <c r="W1395" i="21" s="1"/>
  <c r="V1391" i="21"/>
  <c r="AK1657" i="21"/>
  <c r="AL1657" i="21" s="1"/>
  <c r="AU1692" i="21"/>
  <c r="P662" i="48"/>
  <c r="AK1681" i="21"/>
  <c r="AL1681" i="21" s="1"/>
  <c r="AK1680" i="21"/>
  <c r="P62" i="41"/>
  <c r="S60" i="41" s="1"/>
  <c r="C54" i="46"/>
  <c r="J851" i="21"/>
  <c r="R469" i="48"/>
  <c r="V127" i="47"/>
  <c r="W164" i="47"/>
  <c r="S66" i="47"/>
  <c r="M1631" i="48"/>
  <c r="N1631" i="48" s="1"/>
  <c r="P901" i="48"/>
  <c r="V545" i="21"/>
  <c r="V539" i="21"/>
  <c r="AB1490" i="21"/>
  <c r="AB1455" i="21"/>
  <c r="M1395" i="21"/>
  <c r="N1395" i="21" s="1"/>
  <c r="M1391" i="21"/>
  <c r="U18" i="47"/>
  <c r="L76" i="33"/>
  <c r="L74" i="33" s="1"/>
  <c r="L79" i="33" s="1"/>
  <c r="V1527" i="21"/>
  <c r="W1527" i="21" s="1"/>
  <c r="V1456" i="21"/>
  <c r="V1551" i="21"/>
  <c r="W1551" i="21" s="1"/>
  <c r="V1455" i="21"/>
  <c r="L76" i="31"/>
  <c r="L74" i="31" s="1"/>
  <c r="L79" i="31" s="1"/>
  <c r="P1527" i="21"/>
  <c r="Q1527" i="21" s="1"/>
  <c r="R74" i="35"/>
  <c r="R76" i="35" s="1"/>
  <c r="AC1508" i="21"/>
  <c r="W135" i="47"/>
  <c r="P1681" i="21"/>
  <c r="Q1681" i="21" s="1"/>
  <c r="G538" i="48"/>
  <c r="P115" i="47"/>
  <c r="R115" i="47" s="1"/>
  <c r="F84" i="47"/>
  <c r="V77" i="47"/>
  <c r="AU1383" i="21"/>
  <c r="M1160" i="48"/>
  <c r="M1159" i="48" s="1"/>
  <c r="N1159" i="48" s="1"/>
  <c r="W108" i="47"/>
  <c r="R61" i="47"/>
  <c r="J1611" i="48"/>
  <c r="J1610" i="48" s="1"/>
  <c r="K1610" i="48" s="1"/>
  <c r="J1037" i="48"/>
  <c r="F98" i="47"/>
  <c r="U150" i="47"/>
  <c r="R93" i="48"/>
  <c r="Q93" i="48" s="1"/>
  <c r="M79" i="48"/>
  <c r="N79" i="48" s="1"/>
  <c r="P261" i="48"/>
  <c r="Y1395" i="21"/>
  <c r="Z1395" i="21" s="1"/>
  <c r="Y1391" i="21"/>
  <c r="AB545" i="21"/>
  <c r="AH1395" i="21"/>
  <c r="AI1395" i="21" s="1"/>
  <c r="AH1391" i="21"/>
  <c r="AH1390" i="21" s="1"/>
  <c r="AR1122" i="21"/>
  <c r="H44" i="40"/>
  <c r="H46" i="40" s="1"/>
  <c r="H47" i="40" s="1"/>
  <c r="V1004" i="21"/>
  <c r="W1004" i="21" s="1"/>
  <c r="V1000" i="21"/>
  <c r="V850" i="21" s="1"/>
  <c r="V19" i="21"/>
  <c r="N182" i="47"/>
  <c r="Y19" i="21"/>
  <c r="AT1447" i="21"/>
  <c r="AT1446" i="21" s="1"/>
  <c r="AU1446" i="21" s="1"/>
  <c r="AY82" i="21"/>
  <c r="AY14" i="21"/>
  <c r="U93" i="47"/>
  <c r="E52" i="41"/>
  <c r="P292" i="48"/>
  <c r="W10" i="47"/>
  <c r="R74" i="40"/>
  <c r="R76" i="40" s="1"/>
  <c r="AR1508" i="21"/>
  <c r="P834" i="48"/>
  <c r="W156" i="47"/>
  <c r="G96" i="48"/>
  <c r="H96" i="48" s="1"/>
  <c r="P204" i="48"/>
  <c r="W133" i="47"/>
  <c r="P168" i="48"/>
  <c r="AT1683" i="21"/>
  <c r="AT1681" i="21" s="1"/>
  <c r="AU1681" i="21" s="1"/>
  <c r="W165" i="47"/>
  <c r="V55" i="47"/>
  <c r="D99" i="48"/>
  <c r="D97" i="48" s="1"/>
  <c r="D96" i="48" s="1"/>
  <c r="E96" i="48" s="1"/>
  <c r="O49" i="48"/>
  <c r="G76" i="47"/>
  <c r="P86" i="48"/>
  <c r="P81" i="48" s="1"/>
  <c r="L49" i="48"/>
  <c r="P104" i="21"/>
  <c r="Q104" i="21" s="1"/>
  <c r="AT1479" i="21"/>
  <c r="AU1479" i="21" s="1"/>
  <c r="AR865" i="21"/>
  <c r="AR867" i="21" s="1"/>
  <c r="F22" i="40"/>
  <c r="F24" i="40" s="1"/>
  <c r="F25" i="40" s="1"/>
  <c r="J545" i="21"/>
  <c r="W60" i="47"/>
  <c r="AL1089" i="21"/>
  <c r="H44" i="38"/>
  <c r="H46" i="38" s="1"/>
  <c r="H47" i="38" s="1"/>
  <c r="L76" i="29"/>
  <c r="L74" i="29" s="1"/>
  <c r="L79" i="29" s="1"/>
  <c r="J1527" i="21"/>
  <c r="K1527" i="21" s="1"/>
  <c r="P19" i="21"/>
  <c r="J1391" i="21"/>
  <c r="J1395" i="21"/>
  <c r="K1395" i="21" s="1"/>
  <c r="AB19" i="21"/>
  <c r="F120" i="47"/>
  <c r="R1374" i="48"/>
  <c r="J1143" i="48"/>
  <c r="J1141" i="48" s="1"/>
  <c r="K1141" i="48" s="1"/>
  <c r="AK1391" i="21"/>
  <c r="AK1395" i="21"/>
  <c r="AL1395" i="21" s="1"/>
  <c r="T1122" i="21"/>
  <c r="H44" i="32"/>
  <c r="H46" i="32" s="1"/>
  <c r="H47" i="32" s="1"/>
  <c r="AC865" i="21"/>
  <c r="AC867" i="21" s="1"/>
  <c r="F22" i="35"/>
  <c r="F24" i="35" s="1"/>
  <c r="F25" i="35" s="1"/>
  <c r="F54" i="46"/>
  <c r="F60" i="46" s="1"/>
  <c r="F61" i="46" s="1"/>
  <c r="S944" i="21"/>
  <c r="T944" i="21" s="1"/>
  <c r="AT376" i="21"/>
  <c r="K1711" i="48"/>
  <c r="U66" i="47"/>
  <c r="AB540" i="21"/>
  <c r="M1202" i="48"/>
  <c r="S9" i="47"/>
  <c r="M1204" i="48"/>
  <c r="AT157" i="21"/>
  <c r="AU157" i="21" s="1"/>
  <c r="V150" i="47"/>
  <c r="E111" i="47"/>
  <c r="D167" i="48"/>
  <c r="E167" i="48" s="1"/>
  <c r="M1674" i="48"/>
  <c r="M1672" i="48" s="1"/>
  <c r="N1672" i="48" s="1"/>
  <c r="F55" i="47"/>
  <c r="M1681" i="21"/>
  <c r="N1681" i="21" s="1"/>
  <c r="AN540" i="21"/>
  <c r="AQ1084" i="21"/>
  <c r="T77" i="47"/>
  <c r="AT1152" i="21"/>
  <c r="AT1150" i="21" s="1"/>
  <c r="AU1150" i="21" s="1"/>
  <c r="M811" i="48"/>
  <c r="P1539" i="48"/>
  <c r="P1521" i="48" s="1"/>
  <c r="AY1082" i="21"/>
  <c r="D61" i="44" s="1"/>
  <c r="V427" i="21"/>
  <c r="W427" i="21" s="1"/>
  <c r="G214" i="48"/>
  <c r="O74" i="32"/>
  <c r="O76" i="32" s="1"/>
  <c r="T1490" i="21"/>
  <c r="M1459" i="21"/>
  <c r="N1459" i="21" s="1"/>
  <c r="AT855" i="21"/>
  <c r="AU855" i="21" s="1"/>
  <c r="R1201" i="48"/>
  <c r="W154" i="47"/>
  <c r="W171" i="47"/>
  <c r="P337" i="48"/>
  <c r="J474" i="48"/>
  <c r="P474" i="48"/>
  <c r="AV370" i="21"/>
  <c r="K35" i="41" s="1"/>
  <c r="AT1213" i="21"/>
  <c r="R1499" i="48"/>
  <c r="J77" i="47"/>
  <c r="T127" i="47"/>
  <c r="S105" i="47"/>
  <c r="AT1728" i="21"/>
  <c r="AT1726" i="21" s="1"/>
  <c r="AU1726" i="21" s="1"/>
  <c r="P1546" i="48"/>
  <c r="P1545" i="48" s="1"/>
  <c r="AT1169" i="21"/>
  <c r="AT1168" i="21" s="1"/>
  <c r="AU1168" i="21" s="1"/>
  <c r="D54" i="47"/>
  <c r="R995" i="48"/>
  <c r="AI1459" i="21"/>
  <c r="R447" i="48"/>
  <c r="D996" i="48"/>
  <c r="D995" i="48" s="1"/>
  <c r="E995" i="48" s="1"/>
  <c r="P281" i="48"/>
  <c r="P277" i="48" s="1"/>
  <c r="P276" i="48" s="1"/>
  <c r="M149" i="48"/>
  <c r="N149" i="48" s="1"/>
  <c r="J937" i="48"/>
  <c r="J935" i="48" s="1"/>
  <c r="K935" i="48" s="1"/>
  <c r="AU989" i="21"/>
  <c r="AB150" i="21"/>
  <c r="AC150" i="21" s="1"/>
  <c r="AK545" i="21"/>
  <c r="D969" i="48"/>
  <c r="E969" i="48" s="1"/>
  <c r="M167" i="48"/>
  <c r="N167" i="48" s="1"/>
  <c r="M994" i="48"/>
  <c r="M845" i="48" s="1"/>
  <c r="P99" i="48"/>
  <c r="P97" i="48" s="1"/>
  <c r="G1143" i="48"/>
  <c r="G1141" i="48" s="1"/>
  <c r="H1141" i="48" s="1"/>
  <c r="M49" i="48"/>
  <c r="P896" i="48"/>
  <c r="J288" i="48"/>
  <c r="M178" i="48"/>
  <c r="N178" i="48" s="1"/>
  <c r="P230" i="48"/>
  <c r="P1370" i="48"/>
  <c r="P1328" i="48" s="1"/>
  <c r="G507" i="48"/>
  <c r="H507" i="48" s="1"/>
  <c r="P1634" i="48"/>
  <c r="P1632" i="48" s="1"/>
  <c r="E1173" i="48"/>
  <c r="P1515" i="48"/>
  <c r="P1502" i="48" s="1"/>
  <c r="Q1667" i="48"/>
  <c r="Q1666" i="48" s="1"/>
  <c r="E1666" i="48"/>
  <c r="R199" i="48"/>
  <c r="P1640" i="48"/>
  <c r="P1639" i="48" s="1"/>
  <c r="P1633" i="48" s="1"/>
  <c r="P985" i="48"/>
  <c r="P982" i="48" s="1"/>
  <c r="P980" i="48" s="1"/>
  <c r="J846" i="48"/>
  <c r="K846" i="48" s="1"/>
  <c r="G149" i="48"/>
  <c r="H149" i="48" s="1"/>
  <c r="K1683" i="48"/>
  <c r="P380" i="48"/>
  <c r="P377" i="48" s="1"/>
  <c r="M1449" i="48"/>
  <c r="M590" i="48"/>
  <c r="N590" i="48" s="1"/>
  <c r="E13" i="48"/>
  <c r="D980" i="48"/>
  <c r="E980" i="48" s="1"/>
  <c r="D407" i="48"/>
  <c r="E407" i="48" s="1"/>
  <c r="M781" i="48"/>
  <c r="J79" i="48"/>
  <c r="K79" i="48" s="1"/>
  <c r="D577" i="48"/>
  <c r="D576" i="48" s="1"/>
  <c r="E576" i="48" s="1"/>
  <c r="P908" i="48"/>
  <c r="H1707" i="48"/>
  <c r="N980" i="48"/>
  <c r="G533" i="48"/>
  <c r="P1390" i="48"/>
  <c r="P1385" i="48" s="1"/>
  <c r="P273" i="48"/>
  <c r="P247" i="48" s="1"/>
  <c r="Q857" i="48"/>
  <c r="P1226" i="48"/>
  <c r="J994" i="48"/>
  <c r="J845" i="48" s="1"/>
  <c r="P936" i="48"/>
  <c r="G937" i="48"/>
  <c r="G935" i="48" s="1"/>
  <c r="H935" i="48" s="1"/>
  <c r="R793" i="48"/>
  <c r="G407" i="48"/>
  <c r="H407" i="48" s="1"/>
  <c r="H1173" i="48"/>
  <c r="P911" i="48"/>
  <c r="P888" i="48" s="1"/>
  <c r="P307" i="48"/>
  <c r="M1079" i="48"/>
  <c r="P330" i="48"/>
  <c r="P1465" i="48"/>
  <c r="P1456" i="48" s="1"/>
  <c r="P1453" i="48" s="1"/>
  <c r="P80" i="48"/>
  <c r="D178" i="48"/>
  <c r="E178" i="48" s="1"/>
  <c r="P1149" i="48"/>
  <c r="J385" i="48"/>
  <c r="J384" i="48" s="1"/>
  <c r="K384" i="48" s="1"/>
  <c r="D636" i="48"/>
  <c r="G419" i="48"/>
  <c r="G418" i="48" s="1"/>
  <c r="H418" i="48" s="1"/>
  <c r="P1582" i="48"/>
  <c r="P443" i="48"/>
  <c r="P422" i="48" s="1"/>
  <c r="J969" i="48"/>
  <c r="K969" i="48" s="1"/>
  <c r="P1336" i="48"/>
  <c r="P1325" i="48" s="1"/>
  <c r="P182" i="48"/>
  <c r="P179" i="48" s="1"/>
  <c r="P1170" i="48"/>
  <c r="P1161" i="48" s="1"/>
  <c r="D345" i="48"/>
  <c r="E345" i="48" s="1"/>
  <c r="M133" i="48"/>
  <c r="M131" i="48" s="1"/>
  <c r="M129" i="48" s="1"/>
  <c r="N129" i="48" s="1"/>
  <c r="P1191" i="48"/>
  <c r="M969" i="48"/>
  <c r="N969" i="48" s="1"/>
  <c r="D419" i="48"/>
  <c r="D418" i="48" s="1"/>
  <c r="E418" i="48" s="1"/>
  <c r="P157" i="48"/>
  <c r="P151" i="48" s="1"/>
  <c r="P661" i="48"/>
  <c r="P44" i="48"/>
  <c r="J1543" i="48"/>
  <c r="J1542" i="48" s="1"/>
  <c r="K1542" i="48" s="1"/>
  <c r="P944" i="48"/>
  <c r="J368" i="48"/>
  <c r="K368" i="48" s="1"/>
  <c r="J780" i="48"/>
  <c r="K780" i="48" s="1"/>
  <c r="P951" i="48"/>
  <c r="H1711" i="48"/>
  <c r="P1681" i="48"/>
  <c r="D994" i="48"/>
  <c r="D845" i="48" s="1"/>
  <c r="P1712" i="48"/>
  <c r="P1711" i="48" s="1"/>
  <c r="M538" i="48"/>
  <c r="M536" i="48" s="1"/>
  <c r="P102" i="48"/>
  <c r="P98" i="48" s="1"/>
  <c r="J245" i="48"/>
  <c r="J244" i="48" s="1"/>
  <c r="P1658" i="48"/>
  <c r="P1652" i="48" s="1"/>
  <c r="J1454" i="48"/>
  <c r="K1454" i="48" s="1"/>
  <c r="M1113" i="48"/>
  <c r="N1113" i="48" s="1"/>
  <c r="D245" i="48"/>
  <c r="D244" i="48" s="1"/>
  <c r="J363" i="48"/>
  <c r="L195" i="48"/>
  <c r="P171" i="48"/>
  <c r="P169" i="48" s="1"/>
  <c r="D367" i="48"/>
  <c r="R1141" i="48"/>
  <c r="P960" i="48"/>
  <c r="D447" i="48"/>
  <c r="E447" i="48" s="1"/>
  <c r="P394" i="48"/>
  <c r="P1288" i="48"/>
  <c r="J1451" i="48"/>
  <c r="J1520" i="48"/>
  <c r="P314" i="48"/>
  <c r="F840" i="48"/>
  <c r="N1711" i="48"/>
  <c r="P1627" i="48"/>
  <c r="P1613" i="48" s="1"/>
  <c r="P508" i="48"/>
  <c r="R856" i="48"/>
  <c r="P1555" i="48"/>
  <c r="P1044" i="48"/>
  <c r="P139" i="48"/>
  <c r="G49" i="48"/>
  <c r="D288" i="48"/>
  <c r="P236" i="48"/>
  <c r="P201" i="48" s="1"/>
  <c r="R368" i="48"/>
  <c r="P663" i="48"/>
  <c r="P637" i="48" s="1"/>
  <c r="G1449" i="48"/>
  <c r="R31" i="48"/>
  <c r="G375" i="48"/>
  <c r="H375" i="48" s="1"/>
  <c r="P493" i="48"/>
  <c r="P472" i="48" s="1"/>
  <c r="M915" i="48"/>
  <c r="N915" i="48" s="1"/>
  <c r="E1707" i="48"/>
  <c r="P1417" i="48"/>
  <c r="I361" i="48"/>
  <c r="P186" i="48"/>
  <c r="P180" i="48" s="1"/>
  <c r="G76" i="48"/>
  <c r="R59" i="48"/>
  <c r="P890" i="48"/>
  <c r="R590" i="48"/>
  <c r="P1027" i="48"/>
  <c r="P997" i="48" s="1"/>
  <c r="G887" i="48"/>
  <c r="G885" i="48" s="1"/>
  <c r="H885" i="48" s="1"/>
  <c r="P866" i="48"/>
  <c r="P119" i="48"/>
  <c r="P108" i="48" s="1"/>
  <c r="P413" i="48"/>
  <c r="P409" i="48" s="1"/>
  <c r="M419" i="48"/>
  <c r="P1156" i="48"/>
  <c r="D887" i="48"/>
  <c r="D885" i="48" s="1"/>
  <c r="E885" i="48" s="1"/>
  <c r="P358" i="48"/>
  <c r="P348" i="48" s="1"/>
  <c r="AT896" i="21"/>
  <c r="AT894" i="21" s="1"/>
  <c r="AU894" i="21" s="1"/>
  <c r="G367" i="48"/>
  <c r="J534" i="48"/>
  <c r="U160" i="47"/>
  <c r="U159" i="47" s="1"/>
  <c r="N160" i="47"/>
  <c r="AJ1454" i="21"/>
  <c r="P704" i="48"/>
  <c r="P676" i="48" s="1"/>
  <c r="D76" i="47"/>
  <c r="P1130" i="48"/>
  <c r="P1117" i="48" s="1"/>
  <c r="D1384" i="48"/>
  <c r="R276" i="48"/>
  <c r="F127" i="47"/>
  <c r="G133" i="48"/>
  <c r="G131" i="48" s="1"/>
  <c r="W167" i="47"/>
  <c r="N84" i="47"/>
  <c r="P1538" i="48"/>
  <c r="AQ1288" i="21"/>
  <c r="AR1288" i="21" s="1"/>
  <c r="AQ1085" i="21"/>
  <c r="R846" i="48"/>
  <c r="X1454" i="21"/>
  <c r="P874" i="48"/>
  <c r="T150" i="47"/>
  <c r="G1079" i="48"/>
  <c r="R1080" i="48"/>
  <c r="AH1288" i="21"/>
  <c r="AI1288" i="21" s="1"/>
  <c r="H54" i="47"/>
  <c r="AB84" i="21"/>
  <c r="AS1447" i="21"/>
  <c r="S1456" i="21"/>
  <c r="G1160" i="48"/>
  <c r="G1159" i="48" s="1"/>
  <c r="H1159" i="48" s="1"/>
  <c r="M1451" i="48"/>
  <c r="P570" i="48"/>
  <c r="P541" i="48" s="1"/>
  <c r="P1566" i="48"/>
  <c r="P1544" i="48" s="1"/>
  <c r="D198" i="48"/>
  <c r="D78" i="48" s="1"/>
  <c r="N1683" i="48"/>
  <c r="R150" i="47"/>
  <c r="G1573" i="48"/>
  <c r="AU21" i="21"/>
  <c r="AE372" i="21"/>
  <c r="R1187" i="48"/>
  <c r="W11" i="47"/>
  <c r="J1726" i="21"/>
  <c r="K1726" i="21" s="1"/>
  <c r="J1680" i="21"/>
  <c r="R244" i="48"/>
  <c r="F195" i="48"/>
  <c r="F74" i="48" s="1"/>
  <c r="J540" i="21"/>
  <c r="R507" i="48"/>
  <c r="AD1447" i="21"/>
  <c r="AD1082" i="21"/>
  <c r="D61" i="35" s="1"/>
  <c r="C55" i="35"/>
  <c r="R1313" i="48"/>
  <c r="AT307" i="21"/>
  <c r="AU307" i="21" s="1"/>
  <c r="AT309" i="21"/>
  <c r="AH1726" i="21"/>
  <c r="AI1726" i="21" s="1"/>
  <c r="AH1680" i="21"/>
  <c r="J301" i="48"/>
  <c r="J299" i="48"/>
  <c r="K299" i="48" s="1"/>
  <c r="R1323" i="48"/>
  <c r="G345" i="48"/>
  <c r="H345" i="48" s="1"/>
  <c r="H45" i="41"/>
  <c r="G1204" i="48"/>
  <c r="G1077" i="48" s="1"/>
  <c r="P1146" i="48"/>
  <c r="J73" i="47"/>
  <c r="M1143" i="48"/>
  <c r="M1141" i="48" s="1"/>
  <c r="N1141" i="48" s="1"/>
  <c r="K1374" i="48"/>
  <c r="P346" i="48"/>
  <c r="G36" i="47"/>
  <c r="J36" i="47" s="1"/>
  <c r="J37" i="47"/>
  <c r="AB372" i="21"/>
  <c r="H22" i="38"/>
  <c r="D937" i="48"/>
  <c r="D1038" i="48"/>
  <c r="D992" i="48" s="1"/>
  <c r="V136" i="47"/>
  <c r="D8" i="47"/>
  <c r="O82" i="21"/>
  <c r="H35" i="30" s="1"/>
  <c r="L82" i="21"/>
  <c r="H35" i="29" s="1"/>
  <c r="P317" i="48"/>
  <c r="P998" i="48"/>
  <c r="M534" i="48"/>
  <c r="R18" i="47"/>
  <c r="AT645" i="21"/>
  <c r="R84" i="47"/>
  <c r="P462" i="48"/>
  <c r="P449" i="48" s="1"/>
  <c r="W132" i="47"/>
  <c r="T98" i="47"/>
  <c r="U84" i="47"/>
  <c r="P1167" i="48"/>
  <c r="V12" i="47"/>
  <c r="F90" i="47"/>
  <c r="L361" i="48"/>
  <c r="R1173" i="48"/>
  <c r="R1481" i="48"/>
  <c r="M54" i="47"/>
  <c r="R37" i="47"/>
  <c r="J159" i="47"/>
  <c r="S37" i="47"/>
  <c r="S36" i="47" s="1"/>
  <c r="AB1084" i="21"/>
  <c r="M115" i="47"/>
  <c r="N115" i="47" s="1"/>
  <c r="N120" i="47"/>
  <c r="P1209" i="48"/>
  <c r="M1203" i="48"/>
  <c r="D299" i="48"/>
  <c r="E299" i="48" s="1"/>
  <c r="P302" i="48"/>
  <c r="P301" i="48" s="1"/>
  <c r="D301" i="48"/>
  <c r="P76" i="47"/>
  <c r="R149" i="48"/>
  <c r="P1041" i="48"/>
  <c r="P8" i="47"/>
  <c r="W70" i="47"/>
  <c r="AE1681" i="21"/>
  <c r="AF1681" i="21" s="1"/>
  <c r="P1682" i="48"/>
  <c r="P1593" i="48"/>
  <c r="P1574" i="48" s="1"/>
  <c r="W72" i="47"/>
  <c r="I76" i="47"/>
  <c r="T136" i="47"/>
  <c r="J1601" i="48"/>
  <c r="K1601" i="48" s="1"/>
  <c r="Y372" i="21"/>
  <c r="V93" i="47"/>
  <c r="R1454" i="48"/>
  <c r="H8" i="47"/>
  <c r="P1211" i="48"/>
  <c r="G1203" i="48"/>
  <c r="M456" i="21"/>
  <c r="M372" i="21"/>
  <c r="Q101" i="47"/>
  <c r="AE851" i="21"/>
  <c r="AE865" i="21"/>
  <c r="AT325" i="21"/>
  <c r="AT324" i="21" s="1"/>
  <c r="AT321" i="21" s="1"/>
  <c r="AU321" i="21" s="1"/>
  <c r="F61" i="47"/>
  <c r="R1447" i="21"/>
  <c r="R1082" i="21"/>
  <c r="D61" i="31" s="1"/>
  <c r="C55" i="31"/>
  <c r="L1454" i="21"/>
  <c r="Q35" i="29" s="1"/>
  <c r="AV203" i="21"/>
  <c r="H22" i="29"/>
  <c r="AP1396" i="21"/>
  <c r="AP1082" i="21"/>
  <c r="D61" i="39" s="1"/>
  <c r="C55" i="39"/>
  <c r="AP1447" i="21"/>
  <c r="Q14" i="48"/>
  <c r="R16" i="47"/>
  <c r="F37" i="47"/>
  <c r="D365" i="48"/>
  <c r="K36" i="47"/>
  <c r="N36" i="47" s="1"/>
  <c r="N37" i="47"/>
  <c r="R105" i="48"/>
  <c r="AV1459" i="21"/>
  <c r="AV1454" i="21" s="1"/>
  <c r="G521" i="48"/>
  <c r="G363" i="48" s="1"/>
  <c r="P528" i="48"/>
  <c r="P521" i="48" s="1"/>
  <c r="W161" i="47"/>
  <c r="V160" i="47"/>
  <c r="V159" i="47" s="1"/>
  <c r="P1062" i="48"/>
  <c r="P1040" i="48" s="1"/>
  <c r="W71" i="47"/>
  <c r="P135" i="48"/>
  <c r="P1427" i="48"/>
  <c r="P1388" i="48" s="1"/>
  <c r="P1383" i="48" s="1"/>
  <c r="H980" i="48"/>
  <c r="AT1529" i="21"/>
  <c r="L81" i="41" s="1"/>
  <c r="F93" i="47"/>
  <c r="F36" i="47"/>
  <c r="W92" i="47"/>
  <c r="P491" i="48"/>
  <c r="P471" i="48" s="1"/>
  <c r="AT710" i="21"/>
  <c r="AT684" i="21" s="1"/>
  <c r="AT541" i="21" s="1"/>
  <c r="G1674" i="48"/>
  <c r="R1036" i="48"/>
  <c r="L990" i="48"/>
  <c r="W15" i="47"/>
  <c r="R299" i="48"/>
  <c r="P1536" i="48"/>
  <c r="V372" i="21"/>
  <c r="V528" i="21"/>
  <c r="O159" i="47"/>
  <c r="R160" i="47"/>
  <c r="R136" i="47"/>
  <c r="N276" i="48"/>
  <c r="L76" i="36"/>
  <c r="L74" i="36" s="1"/>
  <c r="L79" i="36" s="1"/>
  <c r="AE1456" i="21"/>
  <c r="AE1527" i="21"/>
  <c r="AF1527" i="21" s="1"/>
  <c r="R935" i="48"/>
  <c r="O840" i="48"/>
  <c r="R127" i="47"/>
  <c r="Q111" i="47"/>
  <c r="F105" i="47"/>
  <c r="C101" i="47"/>
  <c r="R418" i="48"/>
  <c r="P703" i="48"/>
  <c r="R672" i="48"/>
  <c r="AH137" i="21"/>
  <c r="AH85" i="21"/>
  <c r="I54" i="47"/>
  <c r="AG1447" i="21"/>
  <c r="C55" i="36"/>
  <c r="AG1082" i="21"/>
  <c r="D61" i="36" s="1"/>
  <c r="AV1390" i="21"/>
  <c r="C55" i="41" s="1"/>
  <c r="AG1396" i="21"/>
  <c r="J1470" i="48"/>
  <c r="K1470" i="48" s="1"/>
  <c r="J1573" i="48"/>
  <c r="P1591" i="48"/>
  <c r="H1683" i="48"/>
  <c r="P1398" i="48"/>
  <c r="P1676" i="48"/>
  <c r="P1673" i="48" s="1"/>
  <c r="P924" i="48"/>
  <c r="P917" i="48" s="1"/>
  <c r="J1079" i="48"/>
  <c r="E76" i="47"/>
  <c r="U136" i="47"/>
  <c r="Y1045" i="21"/>
  <c r="Z1045" i="21" s="1"/>
  <c r="M76" i="47"/>
  <c r="P1535" i="48"/>
  <c r="J76" i="48"/>
  <c r="J345" i="48"/>
  <c r="K345" i="48" s="1"/>
  <c r="S1680" i="21"/>
  <c r="S1681" i="21"/>
  <c r="T1681" i="21" s="1"/>
  <c r="G1314" i="48"/>
  <c r="G1313" i="48" s="1"/>
  <c r="H1313" i="48" s="1"/>
  <c r="P1317" i="48"/>
  <c r="P1537" i="48"/>
  <c r="P1316" i="48"/>
  <c r="T143" i="47"/>
  <c r="W143" i="47" s="1"/>
  <c r="W147" i="47"/>
  <c r="P752" i="48"/>
  <c r="P722" i="48" s="1"/>
  <c r="S150" i="47"/>
  <c r="R1706" i="48"/>
  <c r="Q1706" i="48" s="1"/>
  <c r="AT1048" i="21"/>
  <c r="AT1002" i="21" s="1"/>
  <c r="AT852" i="21" s="1"/>
  <c r="V73" i="47"/>
  <c r="P540" i="48"/>
  <c r="D76" i="48"/>
  <c r="AT1323" i="21"/>
  <c r="AT1322" i="21" s="1"/>
  <c r="AU1322" i="21" s="1"/>
  <c r="AT354" i="21"/>
  <c r="AU354" i="21" s="1"/>
  <c r="S160" i="47"/>
  <c r="S159" i="47" s="1"/>
  <c r="AK1084" i="21"/>
  <c r="J1113" i="48"/>
  <c r="K1113" i="48" s="1"/>
  <c r="S1527" i="21"/>
  <c r="T1527" i="21" s="1"/>
  <c r="E54" i="47"/>
  <c r="M1374" i="48"/>
  <c r="N1374" i="48" s="1"/>
  <c r="K1173" i="48"/>
  <c r="I111" i="47"/>
  <c r="J316" i="48"/>
  <c r="J315" i="48" s="1"/>
  <c r="AD1454" i="21"/>
  <c r="Q35" i="35" s="1"/>
  <c r="M420" i="48"/>
  <c r="P439" i="48"/>
  <c r="P420" i="48" s="1"/>
  <c r="W131" i="47"/>
  <c r="W157" i="47"/>
  <c r="T120" i="47"/>
  <c r="T115" i="47" s="1"/>
  <c r="W121" i="47"/>
  <c r="J84" i="47"/>
  <c r="G1520" i="48"/>
  <c r="AC456" i="21"/>
  <c r="M1719" i="48"/>
  <c r="M1717" i="48" s="1"/>
  <c r="N1717" i="48" s="1"/>
  <c r="P1720" i="48"/>
  <c r="P1680" i="48"/>
  <c r="AQ85" i="21"/>
  <c r="AQ137" i="21"/>
  <c r="AR137" i="21" s="1"/>
  <c r="O80" i="41"/>
  <c r="C159" i="47"/>
  <c r="F159" i="47" s="1"/>
  <c r="F160" i="47"/>
  <c r="P1411" i="48"/>
  <c r="V18" i="47"/>
  <c r="AQ1680" i="21"/>
  <c r="AQ1726" i="21"/>
  <c r="AR1726" i="21" s="1"/>
  <c r="Q35" i="34"/>
  <c r="C55" i="40"/>
  <c r="AS1082" i="21"/>
  <c r="D61" i="40" s="1"/>
  <c r="T84" i="47"/>
  <c r="W88" i="47"/>
  <c r="W141" i="47"/>
  <c r="N136" i="47"/>
  <c r="P1406" i="48"/>
  <c r="J1285" i="48"/>
  <c r="J1282" i="48" s="1"/>
  <c r="J1076" i="48" s="1"/>
  <c r="P404" i="48"/>
  <c r="P386" i="48" s="1"/>
  <c r="U127" i="47"/>
  <c r="H76" i="47"/>
  <c r="W125" i="47"/>
  <c r="P1488" i="48"/>
  <c r="R1631" i="48"/>
  <c r="M1726" i="21"/>
  <c r="N1726" i="21" s="1"/>
  <c r="M1680" i="21"/>
  <c r="M367" i="48"/>
  <c r="J365" i="48"/>
  <c r="J507" i="48"/>
  <c r="K507" i="48" s="1"/>
  <c r="AE1085" i="21"/>
  <c r="AE1288" i="21"/>
  <c r="AF1288" i="21" s="1"/>
  <c r="D1079" i="48"/>
  <c r="P1289" i="48"/>
  <c r="G115" i="47"/>
  <c r="J120" i="47"/>
  <c r="V61" i="47"/>
  <c r="W62" i="47"/>
  <c r="AQ1527" i="21"/>
  <c r="AR1527" i="21" s="1"/>
  <c r="L76" i="40"/>
  <c r="L74" i="40" s="1"/>
  <c r="L79" i="40" s="1"/>
  <c r="T105" i="47"/>
  <c r="P1656" i="48"/>
  <c r="J1653" i="48"/>
  <c r="P852" i="21"/>
  <c r="M137" i="21"/>
  <c r="M85" i="21"/>
  <c r="M16" i="21" s="1"/>
  <c r="R73" i="47"/>
  <c r="J1610" i="21"/>
  <c r="K1610" i="21" s="1"/>
  <c r="J1456" i="21"/>
  <c r="F361" i="48"/>
  <c r="R375" i="48"/>
  <c r="S1002" i="21"/>
  <c r="S1045" i="21"/>
  <c r="T1045" i="21" s="1"/>
  <c r="AT141" i="21"/>
  <c r="AT139" i="21" s="1"/>
  <c r="J16" i="47"/>
  <c r="G8" i="47"/>
  <c r="P137" i="21"/>
  <c r="P85" i="21"/>
  <c r="AB1085" i="21"/>
  <c r="AB1288" i="21"/>
  <c r="AC1288" i="21" s="1"/>
  <c r="P1048" i="48"/>
  <c r="G1038" i="48"/>
  <c r="R969" i="48"/>
  <c r="P660" i="48"/>
  <c r="G636" i="48"/>
  <c r="S84" i="47"/>
  <c r="W85" i="47"/>
  <c r="V105" i="47"/>
  <c r="W107" i="47"/>
  <c r="K76" i="47"/>
  <c r="N77" i="47"/>
  <c r="T12" i="47"/>
  <c r="W14" i="47"/>
  <c r="M347" i="48"/>
  <c r="P349" i="48"/>
  <c r="P347" i="48" s="1"/>
  <c r="S182" i="47"/>
  <c r="W185" i="47"/>
  <c r="S18" i="47"/>
  <c r="W19" i="47"/>
  <c r="G1376" i="48"/>
  <c r="G1374" i="48" s="1"/>
  <c r="H1374" i="48" s="1"/>
  <c r="Y852" i="21"/>
  <c r="Y944" i="21"/>
  <c r="Z944" i="21" s="1"/>
  <c r="W104" i="47"/>
  <c r="S102" i="47"/>
  <c r="AK372" i="21"/>
  <c r="J364" i="48"/>
  <c r="P1051" i="48"/>
  <c r="AE1122" i="21"/>
  <c r="AE1084" i="21"/>
  <c r="M407" i="48"/>
  <c r="N407" i="48" s="1"/>
  <c r="M865" i="21"/>
  <c r="G1281" i="48"/>
  <c r="P1300" i="48"/>
  <c r="P1281" i="48" s="1"/>
  <c r="K111" i="47"/>
  <c r="N127" i="47"/>
  <c r="G1113" i="48"/>
  <c r="H1113" i="48" s="1"/>
  <c r="AE1002" i="21"/>
  <c r="AE1045" i="21"/>
  <c r="AF1045" i="21" s="1"/>
  <c r="AB137" i="21"/>
  <c r="AB85" i="21"/>
  <c r="P1234" i="48"/>
  <c r="AT1462" i="21"/>
  <c r="AT1458" i="21"/>
  <c r="G534" i="48"/>
  <c r="AQ540" i="21"/>
  <c r="P132" i="48"/>
  <c r="D7" i="36"/>
  <c r="C76" i="47"/>
  <c r="F77" i="47"/>
  <c r="AN84" i="21"/>
  <c r="AN354" i="21"/>
  <c r="AO354" i="21" s="1"/>
  <c r="F182" i="47"/>
  <c r="C176" i="47"/>
  <c r="F176" i="47" s="1"/>
  <c r="C54" i="47"/>
  <c r="F18" i="47"/>
  <c r="E8" i="47"/>
  <c r="W79" i="47"/>
  <c r="S1383" i="21"/>
  <c r="T1383" i="21" s="1"/>
  <c r="S1084" i="21"/>
  <c r="D276" i="48"/>
  <c r="E276" i="48" s="1"/>
  <c r="E101" i="47"/>
  <c r="F102" i="47"/>
  <c r="O54" i="47"/>
  <c r="AK540" i="21"/>
  <c r="R980" i="48"/>
  <c r="P1163" i="48"/>
  <c r="M601" i="48"/>
  <c r="M599" i="48" s="1"/>
  <c r="N599" i="48" s="1"/>
  <c r="P613" i="48"/>
  <c r="P601" i="48" s="1"/>
  <c r="D938" i="48"/>
  <c r="P941" i="48"/>
  <c r="P938" i="48" s="1"/>
  <c r="AT1122" i="21"/>
  <c r="T93" i="47"/>
  <c r="C8" i="47"/>
  <c r="P1168" i="21"/>
  <c r="Q1168" i="21" s="1"/>
  <c r="P1084" i="21"/>
  <c r="S540" i="21"/>
  <c r="S545" i="21"/>
  <c r="W78" i="47"/>
  <c r="S77" i="47"/>
  <c r="V1288" i="21"/>
  <c r="W1288" i="21" s="1"/>
  <c r="P1248" i="48"/>
  <c r="P1205" i="48" s="1"/>
  <c r="AB1001" i="21"/>
  <c r="AB1045" i="21"/>
  <c r="AC1045" i="21" s="1"/>
  <c r="Y137" i="21"/>
  <c r="Y85" i="21"/>
  <c r="W97" i="47"/>
  <c r="V1168" i="21"/>
  <c r="W1168" i="21" s="1"/>
  <c r="V1084" i="21"/>
  <c r="AQ1002" i="21"/>
  <c r="AQ1045" i="21"/>
  <c r="AR1045" i="21" s="1"/>
  <c r="D133" i="48"/>
  <c r="P134" i="48"/>
  <c r="W75" i="47"/>
  <c r="AT1393" i="21"/>
  <c r="S112" i="47"/>
  <c r="W114" i="47"/>
  <c r="J407" i="48"/>
  <c r="J367" i="48"/>
  <c r="G79" i="48"/>
  <c r="G1285" i="48"/>
  <c r="G1282" i="48" s="1"/>
  <c r="G1076" i="48" s="1"/>
  <c r="P1287" i="48"/>
  <c r="L840" i="48"/>
  <c r="R885" i="48"/>
  <c r="AE540" i="21"/>
  <c r="AE545" i="21"/>
  <c r="D7" i="32"/>
  <c r="AV849" i="21"/>
  <c r="M1527" i="21"/>
  <c r="N1527" i="21" s="1"/>
  <c r="L76" i="30"/>
  <c r="L74" i="30" s="1"/>
  <c r="L79" i="30" s="1"/>
  <c r="M1456" i="21"/>
  <c r="K35" i="30"/>
  <c r="Q54" i="47"/>
  <c r="R55" i="47"/>
  <c r="J1085" i="21"/>
  <c r="J1288" i="21"/>
  <c r="K1288" i="21" s="1"/>
  <c r="E36" i="41"/>
  <c r="L54" i="47"/>
  <c r="AR354" i="21"/>
  <c r="D1115" i="48"/>
  <c r="P1123" i="48"/>
  <c r="P1115" i="48" s="1"/>
  <c r="P702" i="48"/>
  <c r="D701" i="48"/>
  <c r="D675" i="48" s="1"/>
  <c r="M1285" i="48"/>
  <c r="M1282" i="48" s="1"/>
  <c r="M1076" i="48" s="1"/>
  <c r="H22" i="39"/>
  <c r="O361" i="48"/>
  <c r="P1657" i="48"/>
  <c r="G366" i="48"/>
  <c r="W17" i="47"/>
  <c r="S16" i="47"/>
  <c r="W16" i="47" s="1"/>
  <c r="J915" i="48"/>
  <c r="K915" i="48" s="1"/>
  <c r="S137" i="21"/>
  <c r="S85" i="21"/>
  <c r="D1603" i="48"/>
  <c r="D1601" i="48" s="1"/>
  <c r="E1601" i="48" s="1"/>
  <c r="P1609" i="48"/>
  <c r="P1603" i="48" s="1"/>
  <c r="Q35" i="40"/>
  <c r="U21" i="41"/>
  <c r="M55" i="41"/>
  <c r="M1383" i="48"/>
  <c r="AN1660" i="21"/>
  <c r="AO1660" i="21" s="1"/>
  <c r="AN1456" i="21"/>
  <c r="AK865" i="21"/>
  <c r="AK851" i="21"/>
  <c r="AN1084" i="21"/>
  <c r="V1001" i="21"/>
  <c r="V1045" i="21"/>
  <c r="W1045" i="21" s="1"/>
  <c r="S1085" i="21"/>
  <c r="S1288" i="21"/>
  <c r="T1288" i="21" s="1"/>
  <c r="R720" i="48"/>
  <c r="R1610" i="48"/>
  <c r="AT1294" i="21"/>
  <c r="AT1291" i="21" s="1"/>
  <c r="AT1085" i="21" s="1"/>
  <c r="AN1288" i="21"/>
  <c r="AO1288" i="21" s="1"/>
  <c r="AN1085" i="21"/>
  <c r="S73" i="47"/>
  <c r="W74" i="47"/>
  <c r="AK137" i="21"/>
  <c r="AK85" i="21"/>
  <c r="AK16" i="21" s="1"/>
  <c r="F112" i="47"/>
  <c r="R1470" i="48"/>
  <c r="O1450" i="48"/>
  <c r="AT547" i="21"/>
  <c r="D7" i="33"/>
  <c r="P1590" i="48"/>
  <c r="D1573" i="48"/>
  <c r="H35" i="35"/>
  <c r="R780" i="48"/>
  <c r="F24" i="31"/>
  <c r="F25" i="31" s="1"/>
  <c r="H22" i="31"/>
  <c r="S55" i="47"/>
  <c r="W58" i="47"/>
  <c r="AH1168" i="21"/>
  <c r="AI1168" i="21" s="1"/>
  <c r="AH1084" i="21"/>
  <c r="D1285" i="48"/>
  <c r="D1282" i="48" s="1"/>
  <c r="P1286" i="48"/>
  <c r="AT150" i="21"/>
  <c r="AU150" i="21" s="1"/>
  <c r="AQ541" i="21"/>
  <c r="AQ681" i="21"/>
  <c r="AR681" i="21" s="1"/>
  <c r="P1683" i="48"/>
  <c r="R407" i="48"/>
  <c r="J1084" i="21"/>
  <c r="J1122" i="21"/>
  <c r="I840" i="48"/>
  <c r="G674" i="48"/>
  <c r="P700" i="48"/>
  <c r="P674" i="48" s="1"/>
  <c r="W91" i="47"/>
  <c r="AH851" i="21"/>
  <c r="R1386" i="48"/>
  <c r="I1381" i="48"/>
  <c r="D1314" i="48"/>
  <c r="D1313" i="48" s="1"/>
  <c r="E1313" i="48" s="1"/>
  <c r="P1315" i="48"/>
  <c r="P1050" i="48"/>
  <c r="AH372" i="21"/>
  <c r="AH478" i="21"/>
  <c r="J944" i="21"/>
  <c r="K944" i="21" s="1"/>
  <c r="J161" i="48"/>
  <c r="K161" i="48" s="1"/>
  <c r="AC608" i="21"/>
  <c r="P1085" i="21"/>
  <c r="P1288" i="21"/>
  <c r="Q1288" i="21" s="1"/>
  <c r="R129" i="48"/>
  <c r="J541" i="21"/>
  <c r="J681" i="21"/>
  <c r="AN1002" i="21"/>
  <c r="AN1045" i="21"/>
  <c r="AO1045" i="21" s="1"/>
  <c r="W67" i="47"/>
  <c r="AT1088" i="21"/>
  <c r="AN137" i="21"/>
  <c r="AN85" i="21"/>
  <c r="R1518" i="48"/>
  <c r="D538" i="48"/>
  <c r="E1158" i="48"/>
  <c r="R1158" i="48"/>
  <c r="Q1158" i="48" s="1"/>
  <c r="F23" i="41"/>
  <c r="R182" i="47"/>
  <c r="O176" i="47"/>
  <c r="R176" i="47" s="1"/>
  <c r="I8" i="47"/>
  <c r="J12" i="47"/>
  <c r="J354" i="21"/>
  <c r="K354" i="21" s="1"/>
  <c r="J84" i="21"/>
  <c r="M198" i="48"/>
  <c r="M78" i="48" s="1"/>
  <c r="P859" i="48"/>
  <c r="P844" i="48" s="1"/>
  <c r="AK1456" i="21"/>
  <c r="P300" i="48"/>
  <c r="J1002" i="21"/>
  <c r="J1045" i="21"/>
  <c r="K1045" i="21" s="1"/>
  <c r="F22" i="32"/>
  <c r="F24" i="32" s="1"/>
  <c r="F25" i="32" s="1"/>
  <c r="T865" i="21"/>
  <c r="T867" i="21" s="1"/>
  <c r="AV999" i="21"/>
  <c r="D858" i="48"/>
  <c r="P881" i="48"/>
  <c r="P858" i="48" s="1"/>
  <c r="Y1084" i="21"/>
  <c r="Y1122" i="21"/>
  <c r="G287" i="48"/>
  <c r="H287" i="48" s="1"/>
  <c r="G288" i="48"/>
  <c r="R1717" i="48"/>
  <c r="T35" i="31"/>
  <c r="R1711" i="48"/>
  <c r="E1711" i="48"/>
  <c r="T35" i="39"/>
  <c r="R1707" i="48"/>
  <c r="T35" i="33"/>
  <c r="T35" i="29"/>
  <c r="I1665" i="48"/>
  <c r="T35" i="34"/>
  <c r="R1683" i="48"/>
  <c r="E1683" i="48"/>
  <c r="T35" i="30"/>
  <c r="F1665" i="48"/>
  <c r="R1672" i="48"/>
  <c r="T35" i="37"/>
  <c r="T35" i="38"/>
  <c r="AV1674" i="21"/>
  <c r="L1665" i="48"/>
  <c r="O1665" i="48"/>
  <c r="AT1087" i="21" l="1"/>
  <c r="AT18" i="21" s="1"/>
  <c r="J1078" i="48"/>
  <c r="J10" i="48" s="1"/>
  <c r="AT1086" i="21"/>
  <c r="AT17" i="21" s="1"/>
  <c r="M1077" i="48"/>
  <c r="AY1454" i="21"/>
  <c r="Q33" i="44" s="1"/>
  <c r="Q35" i="44" s="1"/>
  <c r="C55" i="44"/>
  <c r="C57" i="44" s="1"/>
  <c r="E55" i="44"/>
  <c r="M1078" i="48"/>
  <c r="M10" i="48" s="1"/>
  <c r="W24" i="47"/>
  <c r="S174" i="47"/>
  <c r="W174" i="47" s="1"/>
  <c r="D63" i="44"/>
  <c r="P1389" i="48"/>
  <c r="G1078" i="48"/>
  <c r="G10" i="48" s="1"/>
  <c r="D1078" i="48"/>
  <c r="D10" i="48" s="1"/>
  <c r="AE1000" i="21"/>
  <c r="AE850" i="21" s="1"/>
  <c r="M999" i="21"/>
  <c r="N999" i="21" s="1"/>
  <c r="AN370" i="21"/>
  <c r="K34" i="39" s="1"/>
  <c r="K36" i="39" s="1"/>
  <c r="K37" i="39" s="1"/>
  <c r="J1004" i="21"/>
  <c r="K1004" i="21" s="1"/>
  <c r="AE371" i="21"/>
  <c r="D1080" i="48"/>
  <c r="E1080" i="48" s="1"/>
  <c r="AT1089" i="21"/>
  <c r="AU1089" i="21" s="1"/>
  <c r="M1080" i="48"/>
  <c r="N1080" i="48" s="1"/>
  <c r="AF478" i="21"/>
  <c r="AE370" i="21"/>
  <c r="AF370" i="21" s="1"/>
  <c r="F22" i="39"/>
  <c r="F24" i="39" s="1"/>
  <c r="F25" i="39" s="1"/>
  <c r="AO865" i="21"/>
  <c r="AO867" i="21" s="1"/>
  <c r="P520" i="48"/>
  <c r="P519" i="48" s="1"/>
  <c r="Q519" i="48" s="1"/>
  <c r="G1080" i="48"/>
  <c r="H1080" i="48" s="1"/>
  <c r="P1083" i="48"/>
  <c r="J1080" i="48"/>
  <c r="K1080" i="48" s="1"/>
  <c r="J419" i="48"/>
  <c r="J418" i="48" s="1"/>
  <c r="K418" i="48" s="1"/>
  <c r="P857" i="48"/>
  <c r="P856" i="48" s="1"/>
  <c r="Q856" i="48" s="1"/>
  <c r="AT479" i="21"/>
  <c r="AT478" i="21" s="1"/>
  <c r="AU478" i="21" s="1"/>
  <c r="G857" i="48"/>
  <c r="G856" i="48" s="1"/>
  <c r="H856" i="48" s="1"/>
  <c r="AT866" i="21"/>
  <c r="AT865" i="21" s="1"/>
  <c r="P999" i="21"/>
  <c r="Q999" i="21" s="1"/>
  <c r="M470" i="48"/>
  <c r="M469" i="48" s="1"/>
  <c r="N469" i="48" s="1"/>
  <c r="P470" i="48"/>
  <c r="P469" i="48" s="1"/>
  <c r="Q469" i="48" s="1"/>
  <c r="J470" i="48"/>
  <c r="J469" i="48" s="1"/>
  <c r="P426" i="48"/>
  <c r="P419" i="48" s="1"/>
  <c r="P418" i="48" s="1"/>
  <c r="Q418" i="48" s="1"/>
  <c r="P400" i="48"/>
  <c r="P371" i="21"/>
  <c r="J996" i="48"/>
  <c r="J995" i="48" s="1"/>
  <c r="K995" i="48" s="1"/>
  <c r="P1448" i="48"/>
  <c r="S1455" i="21"/>
  <c r="S1454" i="21" s="1"/>
  <c r="Q34" i="32" s="1"/>
  <c r="Q36" i="32" s="1"/>
  <c r="AN207" i="21"/>
  <c r="AN203" i="21" s="1"/>
  <c r="AO203" i="21" s="1"/>
  <c r="V83" i="21"/>
  <c r="J204" i="21"/>
  <c r="J83" i="21" s="1"/>
  <c r="Y850" i="21"/>
  <c r="Y849" i="21" s="1"/>
  <c r="D6" i="34" s="1"/>
  <c r="Y999" i="21"/>
  <c r="Z999" i="21" s="1"/>
  <c r="AK849" i="21"/>
  <c r="D6" i="38" s="1"/>
  <c r="P1455" i="21"/>
  <c r="P1454" i="21" s="1"/>
  <c r="Q1454" i="21" s="1"/>
  <c r="AT1211" i="21"/>
  <c r="AT1210" i="21" s="1"/>
  <c r="AU1210" i="21" s="1"/>
  <c r="Y1004" i="21"/>
  <c r="Z1004" i="21" s="1"/>
  <c r="AE539" i="21"/>
  <c r="P539" i="21"/>
  <c r="AY851" i="21"/>
  <c r="AH643" i="21"/>
  <c r="AI643" i="21" s="1"/>
  <c r="P448" i="48"/>
  <c r="P447" i="48" s="1"/>
  <c r="Q447" i="48" s="1"/>
  <c r="AT1391" i="21"/>
  <c r="AT1390" i="21" s="1"/>
  <c r="M207" i="21"/>
  <c r="M203" i="21" s="1"/>
  <c r="N203" i="21" s="1"/>
  <c r="AH1083" i="21"/>
  <c r="AH1082" i="21" s="1"/>
  <c r="D60" i="37" s="1"/>
  <c r="S204" i="21"/>
  <c r="S83" i="21" s="1"/>
  <c r="AT789" i="21"/>
  <c r="AU789" i="21" s="1"/>
  <c r="AK999" i="21"/>
  <c r="AL999" i="21" s="1"/>
  <c r="AT1005" i="21"/>
  <c r="AT1004" i="21" s="1"/>
  <c r="AU1004" i="21" s="1"/>
  <c r="P849" i="21"/>
  <c r="Q849" i="21" s="1"/>
  <c r="AO1390" i="21"/>
  <c r="E56" i="39" s="1"/>
  <c r="J1455" i="21"/>
  <c r="J1454" i="21" s="1"/>
  <c r="K1454" i="21" s="1"/>
  <c r="J370" i="21"/>
  <c r="K34" i="29" s="1"/>
  <c r="K36" i="29" s="1"/>
  <c r="K37" i="29" s="1"/>
  <c r="AK393" i="21"/>
  <c r="AL393" i="21" s="1"/>
  <c r="AN1000" i="21"/>
  <c r="AN850" i="21" s="1"/>
  <c r="J371" i="21"/>
  <c r="C56" i="39"/>
  <c r="J1382" i="48"/>
  <c r="J1074" i="48" s="1"/>
  <c r="P1081" i="48"/>
  <c r="J999" i="21"/>
  <c r="K999" i="21" s="1"/>
  <c r="P204" i="21"/>
  <c r="P83" i="21" s="1"/>
  <c r="AF1390" i="21"/>
  <c r="E56" i="36" s="1"/>
  <c r="Y371" i="21"/>
  <c r="AT394" i="21"/>
  <c r="AT393" i="21" s="1"/>
  <c r="AU393" i="21" s="1"/>
  <c r="K1490" i="21"/>
  <c r="AB539" i="21"/>
  <c r="P538" i="21"/>
  <c r="N34" i="31" s="1"/>
  <c r="AB371" i="21"/>
  <c r="AT1552" i="21"/>
  <c r="AT1551" i="21" s="1"/>
  <c r="AU1551" i="21" s="1"/>
  <c r="AE1454" i="21"/>
  <c r="AF1454" i="21" s="1"/>
  <c r="AT1581" i="21"/>
  <c r="AT1580" i="21" s="1"/>
  <c r="AU1580" i="21" s="1"/>
  <c r="AN1454" i="21"/>
  <c r="Q34" i="39" s="1"/>
  <c r="Q36" i="39" s="1"/>
  <c r="AQ1455" i="21"/>
  <c r="AQ1454" i="21" s="1"/>
  <c r="Q34" i="40" s="1"/>
  <c r="Q36" i="40" s="1"/>
  <c r="D385" i="48"/>
  <c r="D362" i="48" s="1"/>
  <c r="AT1491" i="21"/>
  <c r="AT1490" i="21" s="1"/>
  <c r="O79" i="41" s="1"/>
  <c r="O81" i="41" s="1"/>
  <c r="P1558" i="48"/>
  <c r="P1002" i="48"/>
  <c r="AT1463" i="21"/>
  <c r="AU1463" i="21" s="1"/>
  <c r="AT803" i="21"/>
  <c r="AT802" i="21" s="1"/>
  <c r="AU802" i="21" s="1"/>
  <c r="AT1459" i="21"/>
  <c r="AU1459" i="21" s="1"/>
  <c r="G780" i="48"/>
  <c r="H780" i="48" s="1"/>
  <c r="P1022" i="48"/>
  <c r="AT682" i="21"/>
  <c r="AT681" i="21" s="1"/>
  <c r="AU681" i="21" s="1"/>
  <c r="U101" i="47"/>
  <c r="P783" i="48"/>
  <c r="P780" i="48" s="1"/>
  <c r="Q780" i="48" s="1"/>
  <c r="AT1046" i="21"/>
  <c r="AT1045" i="21" s="1"/>
  <c r="AU1045" i="21" s="1"/>
  <c r="D780" i="48"/>
  <c r="E780" i="48" s="1"/>
  <c r="H56" i="29"/>
  <c r="P1602" i="48"/>
  <c r="P1601" i="48" s="1"/>
  <c r="Q1601" i="48" s="1"/>
  <c r="P815" i="48"/>
  <c r="M1037" i="48"/>
  <c r="M1036" i="48" s="1"/>
  <c r="N1036" i="48" s="1"/>
  <c r="L79" i="41"/>
  <c r="L84" i="41" s="1"/>
  <c r="P1519" i="48"/>
  <c r="M200" i="48"/>
  <c r="M199" i="48" s="1"/>
  <c r="M195" i="48" s="1"/>
  <c r="N195" i="48" s="1"/>
  <c r="P214" i="48"/>
  <c r="Y1454" i="21"/>
  <c r="Q34" i="34" s="1"/>
  <c r="Q36" i="34" s="1"/>
  <c r="V101" i="47"/>
  <c r="V1454" i="21"/>
  <c r="Q34" i="33" s="1"/>
  <c r="G1543" i="48"/>
  <c r="G1542" i="48" s="1"/>
  <c r="H1542" i="48" s="1"/>
  <c r="G996" i="48"/>
  <c r="G991" i="48" s="1"/>
  <c r="T35" i="44"/>
  <c r="T36" i="44" s="1"/>
  <c r="M1455" i="21"/>
  <c r="M1454" i="21" s="1"/>
  <c r="Q34" i="30" s="1"/>
  <c r="Q36" i="30" s="1"/>
  <c r="M1518" i="48"/>
  <c r="N1518" i="48" s="1"/>
  <c r="AT1620" i="21"/>
  <c r="AT1619" i="21" s="1"/>
  <c r="AU1619" i="21" s="1"/>
  <c r="R101" i="47"/>
  <c r="M539" i="21"/>
  <c r="AT730" i="21"/>
  <c r="AT729" i="21" s="1"/>
  <c r="AU729" i="21" s="1"/>
  <c r="G1671" i="48"/>
  <c r="P1039" i="48"/>
  <c r="P993" i="48" s="1"/>
  <c r="P843" i="48" s="1"/>
  <c r="AH1454" i="21"/>
  <c r="Q34" i="37" s="1"/>
  <c r="T101" i="47"/>
  <c r="S370" i="21"/>
  <c r="T370" i="21" s="1"/>
  <c r="D1671" i="48"/>
  <c r="AT643" i="21"/>
  <c r="AU643" i="21" s="1"/>
  <c r="P606" i="48"/>
  <c r="P600" i="48" s="1"/>
  <c r="P599" i="48" s="1"/>
  <c r="Q599" i="48" s="1"/>
  <c r="Q1648" i="48"/>
  <c r="P807" i="48"/>
  <c r="N8" i="47"/>
  <c r="N101" i="47"/>
  <c r="M851" i="21"/>
  <c r="M15" i="21" s="1"/>
  <c r="K456" i="21"/>
  <c r="P590" i="48"/>
  <c r="Q590" i="48" s="1"/>
  <c r="AT208" i="21"/>
  <c r="AT204" i="21" s="1"/>
  <c r="AT83" i="21" s="1"/>
  <c r="P1719" i="48"/>
  <c r="P1717" i="48" s="1"/>
  <c r="Q1717" i="48" s="1"/>
  <c r="H56" i="36"/>
  <c r="Y370" i="21"/>
  <c r="K34" i="34" s="1"/>
  <c r="K36" i="34" s="1"/>
  <c r="K37" i="34" s="1"/>
  <c r="J101" i="47"/>
  <c r="U8" i="47"/>
  <c r="P1575" i="48"/>
  <c r="D794" i="48"/>
  <c r="D793" i="48" s="1"/>
  <c r="E793" i="48" s="1"/>
  <c r="J672" i="48"/>
  <c r="K672" i="48" s="1"/>
  <c r="P1290" i="48"/>
  <c r="P1280" i="48" s="1"/>
  <c r="Q161" i="48"/>
  <c r="P1455" i="48"/>
  <c r="P1451" i="48" s="1"/>
  <c r="P1450" i="48" s="1"/>
  <c r="W36" i="47"/>
  <c r="T54" i="47"/>
  <c r="C56" i="36"/>
  <c r="Y538" i="21"/>
  <c r="N34" i="34" s="1"/>
  <c r="J531" i="48"/>
  <c r="P1485" i="48"/>
  <c r="P1482" i="48" s="1"/>
  <c r="P1481" i="48" s="1"/>
  <c r="Q1481" i="48" s="1"/>
  <c r="M1571" i="48"/>
  <c r="N1571" i="48" s="1"/>
  <c r="J635" i="48"/>
  <c r="J634" i="48" s="1"/>
  <c r="K634" i="48" s="1"/>
  <c r="W98" i="47"/>
  <c r="M672" i="48"/>
  <c r="N672" i="48" s="1"/>
  <c r="W82" i="21"/>
  <c r="M794" i="48"/>
  <c r="M793" i="48" s="1"/>
  <c r="N793" i="48" s="1"/>
  <c r="W37" i="47"/>
  <c r="H56" i="30"/>
  <c r="F22" i="33"/>
  <c r="F24" i="33" s="1"/>
  <c r="F25" i="33" s="1"/>
  <c r="G536" i="48"/>
  <c r="J793" i="48"/>
  <c r="K793" i="48" s="1"/>
  <c r="W90" i="47"/>
  <c r="J54" i="47"/>
  <c r="AK538" i="21"/>
  <c r="N34" i="38" s="1"/>
  <c r="G51" i="47"/>
  <c r="R76" i="47"/>
  <c r="Q306" i="48"/>
  <c r="M634" i="48"/>
  <c r="N634" i="48" s="1"/>
  <c r="D673" i="48"/>
  <c r="P731" i="48"/>
  <c r="J721" i="48"/>
  <c r="J720" i="48" s="1"/>
  <c r="K720" i="48" s="1"/>
  <c r="P800" i="48"/>
  <c r="P390" i="48"/>
  <c r="D1672" i="48"/>
  <c r="E1672" i="48" s="1"/>
  <c r="P106" i="48"/>
  <c r="P105" i="48" s="1"/>
  <c r="Q105" i="48" s="1"/>
  <c r="P1324" i="48"/>
  <c r="P1323" i="48" s="1"/>
  <c r="Q1323" i="48" s="1"/>
  <c r="P208" i="48"/>
  <c r="Q142" i="48"/>
  <c r="P1509" i="48"/>
  <c r="P1500" i="48" s="1"/>
  <c r="P1499" i="48" s="1"/>
  <c r="Q1499" i="48" s="1"/>
  <c r="P316" i="48"/>
  <c r="P315" i="48" s="1"/>
  <c r="P312" i="48" s="1"/>
  <c r="Q312" i="48" s="1"/>
  <c r="M1450" i="48"/>
  <c r="N1450" i="48" s="1"/>
  <c r="P1586" i="48"/>
  <c r="G1382" i="48"/>
  <c r="G1074" i="48" s="1"/>
  <c r="D1543" i="48"/>
  <c r="D1542" i="48" s="1"/>
  <c r="E1542" i="48" s="1"/>
  <c r="P821" i="48"/>
  <c r="P795" i="48" s="1"/>
  <c r="P535" i="48" s="1"/>
  <c r="P846" i="48"/>
  <c r="Q846" i="48" s="1"/>
  <c r="P1018" i="48"/>
  <c r="D1451" i="48"/>
  <c r="D1450" i="48" s="1"/>
  <c r="E1450" i="48" s="1"/>
  <c r="D634" i="48"/>
  <c r="E634" i="48" s="1"/>
  <c r="P723" i="48"/>
  <c r="P685" i="48"/>
  <c r="W9" i="47"/>
  <c r="P1438" i="48"/>
  <c r="P1437" i="48" s="1"/>
  <c r="Q1437" i="48" s="1"/>
  <c r="P654" i="48"/>
  <c r="P635" i="48" s="1"/>
  <c r="P1549" i="48"/>
  <c r="J129" i="48"/>
  <c r="K129" i="48" s="1"/>
  <c r="V8" i="47"/>
  <c r="R8" i="47"/>
  <c r="G1454" i="48"/>
  <c r="H1454" i="48" s="1"/>
  <c r="P796" i="48"/>
  <c r="H56" i="37"/>
  <c r="AB538" i="21"/>
  <c r="J1518" i="48"/>
  <c r="K1518" i="48" s="1"/>
  <c r="P677" i="48"/>
  <c r="AE82" i="21"/>
  <c r="H34" i="36" s="1"/>
  <c r="H36" i="36" s="1"/>
  <c r="H37" i="36" s="1"/>
  <c r="P1053" i="48"/>
  <c r="P1037" i="48" s="1"/>
  <c r="P15" i="21"/>
  <c r="P375" i="48"/>
  <c r="Q375" i="48" s="1"/>
  <c r="G793" i="48"/>
  <c r="H793" i="48" s="1"/>
  <c r="J536" i="48"/>
  <c r="AH16" i="21"/>
  <c r="P51" i="47"/>
  <c r="P130" i="48"/>
  <c r="P111" i="47"/>
  <c r="W66" i="47"/>
  <c r="F24" i="44"/>
  <c r="U54" i="47"/>
  <c r="D1518" i="48"/>
  <c r="E1518" i="48" s="1"/>
  <c r="J1671" i="48"/>
  <c r="D1037" i="48"/>
  <c r="D1036" i="48" s="1"/>
  <c r="E1036" i="48" s="1"/>
  <c r="D200" i="48"/>
  <c r="D199" i="48" s="1"/>
  <c r="D195" i="48" s="1"/>
  <c r="E195" i="48" s="1"/>
  <c r="M842" i="48"/>
  <c r="G672" i="48"/>
  <c r="H672" i="48" s="1"/>
  <c r="AQ207" i="21"/>
  <c r="AQ203" i="21" s="1"/>
  <c r="AR203" i="21" s="1"/>
  <c r="AR82" i="21" s="1"/>
  <c r="AQ204" i="21"/>
  <c r="AQ83" i="21" s="1"/>
  <c r="T76" i="47"/>
  <c r="G200" i="48"/>
  <c r="G199" i="48" s="1"/>
  <c r="G195" i="48" s="1"/>
  <c r="H195" i="48" s="1"/>
  <c r="AT1508" i="21"/>
  <c r="R79" i="41" s="1"/>
  <c r="R81" i="41" s="1"/>
  <c r="M538" i="21"/>
  <c r="P1083" i="21"/>
  <c r="P1082" i="21" s="1"/>
  <c r="AH849" i="21"/>
  <c r="AI849" i="21" s="1"/>
  <c r="V538" i="21"/>
  <c r="N34" i="33" s="1"/>
  <c r="C56" i="40"/>
  <c r="D51" i="47"/>
  <c r="D6" i="47" s="1"/>
  <c r="J1201" i="48"/>
  <c r="K1201" i="48" s="1"/>
  <c r="V82" i="21"/>
  <c r="H34" i="33" s="1"/>
  <c r="H36" i="33" s="1"/>
  <c r="H37" i="33" s="1"/>
  <c r="AN538" i="21"/>
  <c r="S539" i="21"/>
  <c r="AE643" i="21"/>
  <c r="AF643" i="21" s="1"/>
  <c r="Y207" i="21"/>
  <c r="Y203" i="21" s="1"/>
  <c r="Z203" i="21" s="1"/>
  <c r="Y204" i="21"/>
  <c r="Y83" i="21" s="1"/>
  <c r="AE1083" i="21"/>
  <c r="AE1082" i="21" s="1"/>
  <c r="AQ370" i="21"/>
  <c r="AR370" i="21" s="1"/>
  <c r="W127" i="47"/>
  <c r="C56" i="31"/>
  <c r="V76" i="47"/>
  <c r="AT1680" i="21"/>
  <c r="AR1390" i="21"/>
  <c r="E56" i="40" s="1"/>
  <c r="H56" i="32"/>
  <c r="Q384" i="21"/>
  <c r="P370" i="21"/>
  <c r="AQ1083" i="21"/>
  <c r="AQ1082" i="21" s="1"/>
  <c r="D60" i="40" s="1"/>
  <c r="D62" i="40" s="1"/>
  <c r="D63" i="40" s="1"/>
  <c r="F22" i="34"/>
  <c r="F24" i="34" s="1"/>
  <c r="F25" i="34" s="1"/>
  <c r="Z865" i="21"/>
  <c r="Z867" i="21" s="1"/>
  <c r="J539" i="21"/>
  <c r="AQ15" i="21"/>
  <c r="AH999" i="21"/>
  <c r="AI999" i="21" s="1"/>
  <c r="AB370" i="21"/>
  <c r="AC370" i="21" s="1"/>
  <c r="P507" i="48"/>
  <c r="Q507" i="48" s="1"/>
  <c r="AK1455" i="21"/>
  <c r="AK1454" i="21" s="1"/>
  <c r="Q34" i="38" s="1"/>
  <c r="Q36" i="38" s="1"/>
  <c r="M1447" i="48"/>
  <c r="AB207" i="21"/>
  <c r="AB203" i="21" s="1"/>
  <c r="AC203" i="21" s="1"/>
  <c r="AB204" i="21"/>
  <c r="AB83" i="21" s="1"/>
  <c r="S1390" i="21"/>
  <c r="S1083" i="21"/>
  <c r="S1082" i="21" s="1"/>
  <c r="D60" i="32" s="1"/>
  <c r="W73" i="47"/>
  <c r="Q1390" i="21"/>
  <c r="E56" i="31" s="1"/>
  <c r="P1470" i="48"/>
  <c r="Q1470" i="48" s="1"/>
  <c r="P79" i="48"/>
  <c r="Q79" i="48" s="1"/>
  <c r="Q1707" i="48"/>
  <c r="M1201" i="48"/>
  <c r="N1201" i="48" s="1"/>
  <c r="P1189" i="48"/>
  <c r="P1187" i="48" s="1"/>
  <c r="Q1187" i="48" s="1"/>
  <c r="P537" i="48"/>
  <c r="D1201" i="48"/>
  <c r="E1201" i="48" s="1"/>
  <c r="P636" i="48"/>
  <c r="J1571" i="48"/>
  <c r="K1571" i="48" s="1"/>
  <c r="P969" i="48"/>
  <c r="Q969" i="48" s="1"/>
  <c r="P288" i="48"/>
  <c r="J1499" i="48"/>
  <c r="K1499" i="48" s="1"/>
  <c r="P167" i="48"/>
  <c r="Q167" i="48" s="1"/>
  <c r="P287" i="48"/>
  <c r="Q287" i="48" s="1"/>
  <c r="P49" i="48"/>
  <c r="Q980" i="48"/>
  <c r="Q276" i="48"/>
  <c r="P327" i="48"/>
  <c r="P326" i="48" s="1"/>
  <c r="Q326" i="48" s="1"/>
  <c r="Q368" i="48"/>
  <c r="P1611" i="48"/>
  <c r="P1610" i="48" s="1"/>
  <c r="Q1610" i="48" s="1"/>
  <c r="P1387" i="48"/>
  <c r="G1450" i="48"/>
  <c r="H1450" i="48" s="1"/>
  <c r="R990" i="48"/>
  <c r="J195" i="48"/>
  <c r="K195" i="48" s="1"/>
  <c r="J9" i="48"/>
  <c r="Q50" i="48"/>
  <c r="Q13" i="48" s="1"/>
  <c r="D1386" i="48"/>
  <c r="E1386" i="48" s="1"/>
  <c r="P149" i="48"/>
  <c r="Q149" i="48" s="1"/>
  <c r="P1202" i="48"/>
  <c r="G530" i="48"/>
  <c r="M1074" i="48"/>
  <c r="G634" i="48"/>
  <c r="H634" i="48" s="1"/>
  <c r="P1674" i="48"/>
  <c r="P1672" i="48" s="1"/>
  <c r="Q1672" i="48" s="1"/>
  <c r="M1446" i="48"/>
  <c r="AK1390" i="21"/>
  <c r="AK1083" i="21"/>
  <c r="AK1082" i="21" s="1"/>
  <c r="J1390" i="21"/>
  <c r="J1083" i="21"/>
  <c r="J1082" i="21" s="1"/>
  <c r="D60" i="29" s="1"/>
  <c r="M1390" i="21"/>
  <c r="M1083" i="21"/>
  <c r="M1082" i="21" s="1"/>
  <c r="N1082" i="21" s="1"/>
  <c r="T111" i="47"/>
  <c r="AN1082" i="21"/>
  <c r="AO1082" i="21" s="1"/>
  <c r="W18" i="47"/>
  <c r="J842" i="48"/>
  <c r="Q1173" i="48"/>
  <c r="U76" i="47"/>
  <c r="R195" i="48"/>
  <c r="R49" i="48"/>
  <c r="Y1390" i="21"/>
  <c r="Y1083" i="21"/>
  <c r="Y1082" i="21" s="1"/>
  <c r="O54" i="46"/>
  <c r="C60" i="46"/>
  <c r="H56" i="35"/>
  <c r="V1390" i="21"/>
  <c r="V1083" i="21"/>
  <c r="V1082" i="21" s="1"/>
  <c r="D60" i="33" s="1"/>
  <c r="W150" i="47"/>
  <c r="M111" i="47"/>
  <c r="N111" i="47" s="1"/>
  <c r="P1631" i="48"/>
  <c r="Q1631" i="48" s="1"/>
  <c r="H33" i="44"/>
  <c r="AH19" i="21"/>
  <c r="H56" i="39"/>
  <c r="O74" i="35"/>
  <c r="O76" i="35" s="1"/>
  <c r="AC1490" i="21"/>
  <c r="R75" i="30"/>
  <c r="R77" i="30" s="1"/>
  <c r="N1508" i="21"/>
  <c r="J1075" i="48"/>
  <c r="W115" i="47"/>
  <c r="Q1374" i="48"/>
  <c r="W136" i="47"/>
  <c r="P198" i="48"/>
  <c r="P78" i="48" s="1"/>
  <c r="P245" i="48"/>
  <c r="P244" i="48" s="1"/>
  <c r="AI1390" i="21"/>
  <c r="E56" i="37" s="1"/>
  <c r="C54" i="37"/>
  <c r="C56" i="37" s="1"/>
  <c r="AB1454" i="21"/>
  <c r="Q34" i="35" s="1"/>
  <c r="Q36" i="35" s="1"/>
  <c r="H56" i="31"/>
  <c r="AI1508" i="21"/>
  <c r="R74" i="37"/>
  <c r="R76" i="37" s="1"/>
  <c r="AT1288" i="21"/>
  <c r="AU1288" i="21" s="1"/>
  <c r="AB1390" i="21"/>
  <c r="AB1083" i="21"/>
  <c r="AB1082" i="21" s="1"/>
  <c r="D842" i="48"/>
  <c r="P76" i="48"/>
  <c r="G9" i="48"/>
  <c r="P367" i="48"/>
  <c r="G1481" i="48"/>
  <c r="H1481" i="48" s="1"/>
  <c r="P407" i="48"/>
  <c r="Q407" i="48" s="1"/>
  <c r="P96" i="48"/>
  <c r="Q96" i="48" s="1"/>
  <c r="P178" i="48"/>
  <c r="Q178" i="48" s="1"/>
  <c r="Q1711" i="48"/>
  <c r="D531" i="48"/>
  <c r="J196" i="48"/>
  <c r="J75" i="48" s="1"/>
  <c r="P887" i="48"/>
  <c r="P885" i="48" s="1"/>
  <c r="Q885" i="48" s="1"/>
  <c r="P577" i="48"/>
  <c r="P576" i="48" s="1"/>
  <c r="Q576" i="48" s="1"/>
  <c r="M1381" i="48"/>
  <c r="N1381" i="48" s="1"/>
  <c r="P1204" i="48"/>
  <c r="J1446" i="48"/>
  <c r="M77" i="48"/>
  <c r="M8" i="48" s="1"/>
  <c r="G1201" i="48"/>
  <c r="H1201" i="48" s="1"/>
  <c r="P1449" i="48"/>
  <c r="G1571" i="48"/>
  <c r="H1571" i="48" s="1"/>
  <c r="P1079" i="48"/>
  <c r="M11" i="48"/>
  <c r="M1386" i="48"/>
  <c r="N1386" i="48" s="1"/>
  <c r="P538" i="48"/>
  <c r="G362" i="48"/>
  <c r="P937" i="48"/>
  <c r="P935" i="48" s="1"/>
  <c r="Q935" i="48" s="1"/>
  <c r="P994" i="48"/>
  <c r="P845" i="48" s="1"/>
  <c r="L74" i="48"/>
  <c r="R74" i="48" s="1"/>
  <c r="P1038" i="48"/>
  <c r="P992" i="48" s="1"/>
  <c r="G519" i="48"/>
  <c r="H519" i="48" s="1"/>
  <c r="M418" i="48"/>
  <c r="N418" i="48" s="1"/>
  <c r="G469" i="48"/>
  <c r="H469" i="48" s="1"/>
  <c r="P1314" i="48"/>
  <c r="P1313" i="48" s="1"/>
  <c r="Q1313" i="48" s="1"/>
  <c r="P1143" i="48"/>
  <c r="P1141" i="48" s="1"/>
  <c r="Q1141" i="48" s="1"/>
  <c r="J1450" i="48"/>
  <c r="K1450" i="48" s="1"/>
  <c r="R840" i="48"/>
  <c r="M1075" i="48"/>
  <c r="AV1082" i="21"/>
  <c r="D71" i="41" s="1"/>
  <c r="H56" i="41" s="1"/>
  <c r="N456" i="21"/>
  <c r="M370" i="21"/>
  <c r="J1386" i="48"/>
  <c r="K1386" i="48" s="1"/>
  <c r="W84" i="47"/>
  <c r="E51" i="47"/>
  <c r="E6" i="47" s="1"/>
  <c r="P1203" i="48"/>
  <c r="AV82" i="21"/>
  <c r="H35" i="41" s="1"/>
  <c r="M51" i="47"/>
  <c r="P1160" i="48"/>
  <c r="P1159" i="48" s="1"/>
  <c r="Q1159" i="48" s="1"/>
  <c r="Q35" i="33"/>
  <c r="AT1527" i="21"/>
  <c r="AU1527" i="21" s="1"/>
  <c r="J852" i="21"/>
  <c r="J849" i="21" s="1"/>
  <c r="K849" i="21" s="1"/>
  <c r="AT851" i="21"/>
  <c r="P299" i="48"/>
  <c r="Q299" i="48" s="1"/>
  <c r="M384" i="48"/>
  <c r="AT1456" i="21"/>
  <c r="Q51" i="47"/>
  <c r="Q6" i="47" s="1"/>
  <c r="D9" i="48"/>
  <c r="J1279" i="48"/>
  <c r="K1279" i="48" s="1"/>
  <c r="M1671" i="48"/>
  <c r="G1386" i="48"/>
  <c r="H1386" i="48" s="1"/>
  <c r="G11" i="48"/>
  <c r="J76" i="47"/>
  <c r="F22" i="36"/>
  <c r="F24" i="36" s="1"/>
  <c r="F25" i="36" s="1"/>
  <c r="AF865" i="21"/>
  <c r="AF867" i="21" s="1"/>
  <c r="P1285" i="48"/>
  <c r="P1282" i="48" s="1"/>
  <c r="P1076" i="48" s="1"/>
  <c r="AT540" i="21"/>
  <c r="Q35" i="37"/>
  <c r="P345" i="48"/>
  <c r="Q345" i="48" s="1"/>
  <c r="P534" i="48"/>
  <c r="V54" i="47"/>
  <c r="I51" i="47"/>
  <c r="I6" i="47" s="1"/>
  <c r="V111" i="47"/>
  <c r="M363" i="48"/>
  <c r="P1573" i="48"/>
  <c r="P701" i="48"/>
  <c r="P675" i="48" s="1"/>
  <c r="P532" i="48" s="1"/>
  <c r="D11" i="48"/>
  <c r="M995" i="48"/>
  <c r="N995" i="48" s="1"/>
  <c r="P1520" i="48"/>
  <c r="W528" i="21"/>
  <c r="V370" i="21"/>
  <c r="W61" i="47"/>
  <c r="G1672" i="48"/>
  <c r="H1672" i="48" s="1"/>
  <c r="AQ538" i="21"/>
  <c r="J11" i="48"/>
  <c r="AT1395" i="21"/>
  <c r="AU1395" i="21" s="1"/>
  <c r="S15" i="21"/>
  <c r="M1279" i="48"/>
  <c r="N1279" i="48" s="1"/>
  <c r="H56" i="40"/>
  <c r="G1518" i="48"/>
  <c r="H1518" i="48" s="1"/>
  <c r="G1447" i="48"/>
  <c r="AH15" i="21"/>
  <c r="G1075" i="48"/>
  <c r="AE15" i="21"/>
  <c r="W160" i="47"/>
  <c r="F101" i="47"/>
  <c r="J312" i="48"/>
  <c r="K312" i="48" s="1"/>
  <c r="J77" i="48"/>
  <c r="J8" i="48" s="1"/>
  <c r="AT1084" i="21"/>
  <c r="W120" i="47"/>
  <c r="C111" i="47"/>
  <c r="F111" i="47" s="1"/>
  <c r="P915" i="48"/>
  <c r="Q915" i="48" s="1"/>
  <c r="F76" i="47"/>
  <c r="P363" i="48"/>
  <c r="J115" i="47"/>
  <c r="G111" i="47"/>
  <c r="J111" i="47" s="1"/>
  <c r="U111" i="47"/>
  <c r="P1384" i="48"/>
  <c r="J15" i="21"/>
  <c r="Y16" i="21"/>
  <c r="W105" i="47"/>
  <c r="H51" i="47"/>
  <c r="H6" i="47" s="1"/>
  <c r="AI137" i="21"/>
  <c r="AI82" i="21" s="1"/>
  <c r="AH82" i="21"/>
  <c r="H34" i="37" s="1"/>
  <c r="H36" i="37" s="1"/>
  <c r="H37" i="37" s="1"/>
  <c r="O111" i="47"/>
  <c r="R159" i="47"/>
  <c r="K105" i="48"/>
  <c r="AC137" i="21"/>
  <c r="S111" i="47"/>
  <c r="W112" i="47"/>
  <c r="G1036" i="48"/>
  <c r="H1036" i="48" s="1"/>
  <c r="G992" i="48"/>
  <c r="R361" i="48"/>
  <c r="J1447" i="48"/>
  <c r="J1651" i="48"/>
  <c r="K1651" i="48" s="1"/>
  <c r="L51" i="47"/>
  <c r="L6" i="47" s="1"/>
  <c r="N54" i="47"/>
  <c r="H79" i="48"/>
  <c r="AB851" i="21"/>
  <c r="AB999" i="21"/>
  <c r="AC999" i="21" s="1"/>
  <c r="S76" i="47"/>
  <c r="W77" i="47"/>
  <c r="P1113" i="48"/>
  <c r="Q1113" i="48" s="1"/>
  <c r="AE852" i="21"/>
  <c r="K51" i="47"/>
  <c r="N76" i="47"/>
  <c r="J8" i="47"/>
  <c r="S852" i="21"/>
  <c r="S849" i="21" s="1"/>
  <c r="S999" i="21"/>
  <c r="T999" i="21" s="1"/>
  <c r="AU113" i="21"/>
  <c r="AO137" i="21"/>
  <c r="O1445" i="48"/>
  <c r="R1450" i="48"/>
  <c r="M9" i="48"/>
  <c r="T137" i="21"/>
  <c r="T82" i="21" s="1"/>
  <c r="S82" i="21"/>
  <c r="Z137" i="21"/>
  <c r="AU1122" i="21"/>
  <c r="O51" i="47"/>
  <c r="R54" i="47"/>
  <c r="AN15" i="21"/>
  <c r="F22" i="30"/>
  <c r="F24" i="30" s="1"/>
  <c r="F25" i="30" s="1"/>
  <c r="N865" i="21"/>
  <c r="N867" i="21" s="1"/>
  <c r="J1036" i="48"/>
  <c r="K1036" i="48" s="1"/>
  <c r="AT19" i="21"/>
  <c r="W93" i="47"/>
  <c r="AK15" i="21"/>
  <c r="W102" i="47"/>
  <c r="S101" i="47"/>
  <c r="H22" i="32"/>
  <c r="G1279" i="48"/>
  <c r="H1279" i="48" s="1"/>
  <c r="AL137" i="21"/>
  <c r="AL82" i="21" s="1"/>
  <c r="AK82" i="21"/>
  <c r="R1381" i="48"/>
  <c r="I1073" i="48"/>
  <c r="R1073" i="48" s="1"/>
  <c r="D532" i="48"/>
  <c r="Q35" i="41"/>
  <c r="AF1122" i="21"/>
  <c r="H44" i="36"/>
  <c r="H46" i="36" s="1"/>
  <c r="H47" i="36" s="1"/>
  <c r="S176" i="47"/>
  <c r="W176" i="47" s="1"/>
  <c r="W182" i="47"/>
  <c r="H384" i="48"/>
  <c r="K681" i="21"/>
  <c r="J538" i="21"/>
  <c r="W12" i="47"/>
  <c r="T8" i="47"/>
  <c r="Q1683" i="48"/>
  <c r="H44" i="34"/>
  <c r="H46" i="34" s="1"/>
  <c r="H47" i="34" s="1"/>
  <c r="Z1122" i="21"/>
  <c r="D1571" i="48"/>
  <c r="E1571" i="48" s="1"/>
  <c r="D1447" i="48"/>
  <c r="V851" i="21"/>
  <c r="V999" i="21"/>
  <c r="W999" i="21" s="1"/>
  <c r="AQ852" i="21"/>
  <c r="AQ849" i="21" s="1"/>
  <c r="AQ999" i="21"/>
  <c r="AR999" i="21" s="1"/>
  <c r="C51" i="47"/>
  <c r="F54" i="47"/>
  <c r="H22" i="36"/>
  <c r="D993" i="48"/>
  <c r="P16" i="21"/>
  <c r="AT137" i="21"/>
  <c r="AU137" i="21" s="1"/>
  <c r="AT85" i="21"/>
  <c r="AT16" i="21" s="1"/>
  <c r="D856" i="48"/>
  <c r="E856" i="48" s="1"/>
  <c r="S538" i="21"/>
  <c r="G77" i="48"/>
  <c r="G8" i="48" s="1"/>
  <c r="G129" i="48"/>
  <c r="H129" i="48" s="1"/>
  <c r="S8" i="47"/>
  <c r="D1381" i="48"/>
  <c r="E1381" i="48" s="1"/>
  <c r="D1074" i="48"/>
  <c r="D1076" i="48"/>
  <c r="D1279" i="48"/>
  <c r="E1279" i="48" s="1"/>
  <c r="H22" i="33"/>
  <c r="D1113" i="48"/>
  <c r="E1113" i="48" s="1"/>
  <c r="D1075" i="48"/>
  <c r="D7" i="41"/>
  <c r="W159" i="47"/>
  <c r="AI478" i="21"/>
  <c r="AH370" i="21"/>
  <c r="F22" i="38"/>
  <c r="F24" i="38" s="1"/>
  <c r="F25" i="38" s="1"/>
  <c r="AL865" i="21"/>
  <c r="AL867" i="21" s="1"/>
  <c r="P1653" i="48"/>
  <c r="P1651" i="48" s="1"/>
  <c r="Q1651" i="48" s="1"/>
  <c r="M531" i="48"/>
  <c r="P133" i="48"/>
  <c r="P131" i="48" s="1"/>
  <c r="D131" i="48"/>
  <c r="Y15" i="21"/>
  <c r="AN852" i="21"/>
  <c r="G531" i="48"/>
  <c r="K1122" i="21"/>
  <c r="H44" i="29"/>
  <c r="H46" i="29" s="1"/>
  <c r="H47" i="29" s="1"/>
  <c r="S54" i="47"/>
  <c r="W55" i="47"/>
  <c r="K407" i="48"/>
  <c r="D536" i="48"/>
  <c r="F8" i="47"/>
  <c r="D935" i="48"/>
  <c r="E935" i="48" s="1"/>
  <c r="AB16" i="21"/>
  <c r="AT545" i="21"/>
  <c r="M76" i="48"/>
  <c r="M345" i="48"/>
  <c r="Q137" i="21"/>
  <c r="Q82" i="21" s="1"/>
  <c r="P82" i="21"/>
  <c r="H34" i="31" s="1"/>
  <c r="H36" i="31" s="1"/>
  <c r="H37" i="31" s="1"/>
  <c r="J85" i="21"/>
  <c r="J137" i="21"/>
  <c r="N137" i="21"/>
  <c r="R1665" i="48"/>
  <c r="T35" i="41"/>
  <c r="P46" i="44" l="1"/>
  <c r="Q36" i="44" s="1"/>
  <c r="H54" i="44"/>
  <c r="H56" i="44" s="1"/>
  <c r="H57" i="44" s="1"/>
  <c r="AO370" i="21"/>
  <c r="P1078" i="48"/>
  <c r="P10" i="48" s="1"/>
  <c r="P1077" i="48"/>
  <c r="P9" i="48" s="1"/>
  <c r="AE999" i="21"/>
  <c r="AF999" i="21" s="1"/>
  <c r="H44" i="41"/>
  <c r="H46" i="41" s="1"/>
  <c r="H47" i="41" s="1"/>
  <c r="K34" i="36"/>
  <c r="K36" i="36" s="1"/>
  <c r="K37" i="36" s="1"/>
  <c r="P1080" i="48"/>
  <c r="Q1080" i="48" s="1"/>
  <c r="G841" i="48"/>
  <c r="F22" i="41"/>
  <c r="F24" i="41" s="1"/>
  <c r="F25" i="41" s="1"/>
  <c r="AU865" i="21"/>
  <c r="J362" i="48"/>
  <c r="P385" i="48"/>
  <c r="P384" i="48" s="1"/>
  <c r="Q384" i="48" s="1"/>
  <c r="K469" i="48"/>
  <c r="J361" i="48"/>
  <c r="K361" i="48" s="1"/>
  <c r="AL849" i="21"/>
  <c r="D64" i="44"/>
  <c r="J991" i="48"/>
  <c r="J841" i="48" s="1"/>
  <c r="J840" i="48" s="1"/>
  <c r="K840" i="48" s="1"/>
  <c r="AN82" i="21"/>
  <c r="H34" i="39" s="1"/>
  <c r="H36" i="39" s="1"/>
  <c r="H37" i="39" s="1"/>
  <c r="AO82" i="21"/>
  <c r="AK370" i="21"/>
  <c r="K34" i="38" s="1"/>
  <c r="K36" i="38" s="1"/>
  <c r="K37" i="38" s="1"/>
  <c r="AT370" i="21"/>
  <c r="AU370" i="21" s="1"/>
  <c r="K370" i="21"/>
  <c r="J1381" i="48"/>
  <c r="K1381" i="48" s="1"/>
  <c r="AH538" i="21"/>
  <c r="N34" i="37" s="1"/>
  <c r="D6" i="31"/>
  <c r="D8" i="31" s="1"/>
  <c r="D9" i="31" s="1"/>
  <c r="AO1454" i="21"/>
  <c r="AT1083" i="21"/>
  <c r="AT1082" i="21" s="1"/>
  <c r="AU1082" i="21" s="1"/>
  <c r="C57" i="39"/>
  <c r="AY849" i="21"/>
  <c r="AY15" i="21"/>
  <c r="AN999" i="21"/>
  <c r="AO999" i="21" s="1"/>
  <c r="AN849" i="21"/>
  <c r="D6" i="39" s="1"/>
  <c r="M362" i="48"/>
  <c r="C57" i="36"/>
  <c r="Q34" i="36"/>
  <c r="Q36" i="36" s="1"/>
  <c r="AT371" i="21"/>
  <c r="D384" i="48"/>
  <c r="E384" i="48" s="1"/>
  <c r="AT1455" i="21"/>
  <c r="AT1454" i="21" s="1"/>
  <c r="Q34" i="41" s="1"/>
  <c r="Q36" i="41" s="1"/>
  <c r="K34" i="40"/>
  <c r="K36" i="40" s="1"/>
  <c r="K37" i="40" s="1"/>
  <c r="P1543" i="48"/>
  <c r="P1542" i="48" s="1"/>
  <c r="Q1542" i="48" s="1"/>
  <c r="P781" i="48"/>
  <c r="AU1490" i="21"/>
  <c r="AU1508" i="21"/>
  <c r="AT1000" i="21"/>
  <c r="AT999" i="21" s="1"/>
  <c r="AU999" i="21" s="1"/>
  <c r="Z849" i="21"/>
  <c r="P996" i="48"/>
  <c r="P995" i="48" s="1"/>
  <c r="Q995" i="48" s="1"/>
  <c r="M991" i="48"/>
  <c r="M990" i="48" s="1"/>
  <c r="N990" i="48" s="1"/>
  <c r="AT539" i="21"/>
  <c r="AI1082" i="21"/>
  <c r="P1518" i="48"/>
  <c r="Q1518" i="48" s="1"/>
  <c r="T1454" i="21"/>
  <c r="M196" i="48"/>
  <c r="M75" i="48" s="1"/>
  <c r="W1454" i="21"/>
  <c r="Q36" i="33"/>
  <c r="Z1454" i="21"/>
  <c r="P200" i="48"/>
  <c r="P199" i="48" s="1"/>
  <c r="P195" i="48" s="1"/>
  <c r="Q195" i="48" s="1"/>
  <c r="G1446" i="48"/>
  <c r="G1445" i="48" s="1"/>
  <c r="H1445" i="48" s="1"/>
  <c r="G995" i="48"/>
  <c r="H995" i="48" s="1"/>
  <c r="Q36" i="37"/>
  <c r="AI1454" i="21"/>
  <c r="K34" i="32"/>
  <c r="K36" i="32" s="1"/>
  <c r="K37" i="32" s="1"/>
  <c r="W101" i="47"/>
  <c r="M849" i="21"/>
  <c r="N849" i="21" s="1"/>
  <c r="P1572" i="48"/>
  <c r="AT207" i="21"/>
  <c r="AT203" i="21" s="1"/>
  <c r="AU203" i="21" s="1"/>
  <c r="AU82" i="21" s="1"/>
  <c r="D530" i="48"/>
  <c r="T51" i="47"/>
  <c r="T6" i="47" s="1"/>
  <c r="M82" i="21"/>
  <c r="H34" i="30" s="1"/>
  <c r="H36" i="30" s="1"/>
  <c r="H37" i="30" s="1"/>
  <c r="Z370" i="21"/>
  <c r="N82" i="21"/>
  <c r="N1454" i="21"/>
  <c r="P1454" i="48"/>
  <c r="Q1454" i="48" s="1"/>
  <c r="G1381" i="48"/>
  <c r="H1381" i="48" s="1"/>
  <c r="M530" i="48"/>
  <c r="AC1454" i="21"/>
  <c r="D672" i="48"/>
  <c r="E672" i="48" s="1"/>
  <c r="N34" i="35"/>
  <c r="N34" i="40"/>
  <c r="P6" i="47"/>
  <c r="AR1454" i="21"/>
  <c r="D6" i="37"/>
  <c r="D8" i="37" s="1"/>
  <c r="D9" i="37" s="1"/>
  <c r="Q34" i="31"/>
  <c r="Q36" i="31" s="1"/>
  <c r="J530" i="48"/>
  <c r="C57" i="37"/>
  <c r="P794" i="48"/>
  <c r="P721" i="48"/>
  <c r="P720" i="48" s="1"/>
  <c r="Q720" i="48" s="1"/>
  <c r="M529" i="48"/>
  <c r="P1382" i="48"/>
  <c r="P1074" i="48" s="1"/>
  <c r="P673" i="48"/>
  <c r="P672" i="48" s="1"/>
  <c r="Q672" i="48" s="1"/>
  <c r="D1446" i="48"/>
  <c r="D1445" i="48" s="1"/>
  <c r="E1445" i="48" s="1"/>
  <c r="D991" i="48"/>
  <c r="D841" i="48" s="1"/>
  <c r="K1082" i="21"/>
  <c r="D196" i="48"/>
  <c r="D75" i="48" s="1"/>
  <c r="C57" i="31"/>
  <c r="C57" i="40"/>
  <c r="K34" i="35"/>
  <c r="K36" i="35" s="1"/>
  <c r="K37" i="35" s="1"/>
  <c r="G529" i="48"/>
  <c r="W1082" i="21"/>
  <c r="AT15" i="21"/>
  <c r="Y82" i="21"/>
  <c r="H34" i="34" s="1"/>
  <c r="H36" i="34" s="1"/>
  <c r="H37" i="34" s="1"/>
  <c r="J529" i="48"/>
  <c r="Z82" i="21"/>
  <c r="Q34" i="29"/>
  <c r="Q36" i="29" s="1"/>
  <c r="R111" i="47"/>
  <c r="U51" i="47"/>
  <c r="U6" i="47" s="1"/>
  <c r="AF1082" i="21"/>
  <c r="D60" i="36"/>
  <c r="D62" i="36" s="1"/>
  <c r="D63" i="36" s="1"/>
  <c r="AC1082" i="21"/>
  <c r="D60" i="35"/>
  <c r="D62" i="35" s="1"/>
  <c r="D63" i="35" s="1"/>
  <c r="AR1082" i="21"/>
  <c r="H55" i="40"/>
  <c r="H57" i="40" s="1"/>
  <c r="H58" i="40" s="1"/>
  <c r="AC82" i="21"/>
  <c r="P634" i="48"/>
  <c r="Q634" i="48" s="1"/>
  <c r="AL1454" i="21"/>
  <c r="G196" i="48"/>
  <c r="G75" i="48" s="1"/>
  <c r="C54" i="32"/>
  <c r="C56" i="32" s="1"/>
  <c r="T1390" i="21"/>
  <c r="E56" i="32" s="1"/>
  <c r="Q370" i="21"/>
  <c r="K34" i="31"/>
  <c r="K36" i="31" s="1"/>
  <c r="K37" i="31" s="1"/>
  <c r="D60" i="39"/>
  <c r="H55" i="39" s="1"/>
  <c r="H57" i="39" s="1"/>
  <c r="H58" i="39" s="1"/>
  <c r="D60" i="30"/>
  <c r="D62" i="30" s="1"/>
  <c r="D63" i="30" s="1"/>
  <c r="W76" i="47"/>
  <c r="V51" i="47"/>
  <c r="V6" i="47" s="1"/>
  <c r="M1445" i="48"/>
  <c r="N1445" i="48" s="1"/>
  <c r="N34" i="39"/>
  <c r="N34" i="30"/>
  <c r="P531" i="48"/>
  <c r="AE538" i="21"/>
  <c r="N34" i="36" s="1"/>
  <c r="AQ82" i="21"/>
  <c r="H34" i="40" s="1"/>
  <c r="H36" i="40" s="1"/>
  <c r="H37" i="40" s="1"/>
  <c r="AB82" i="21"/>
  <c r="H34" i="35" s="1"/>
  <c r="H36" i="35" s="1"/>
  <c r="H37" i="35" s="1"/>
  <c r="P1671" i="48"/>
  <c r="P1201" i="48"/>
  <c r="Q1201" i="48" s="1"/>
  <c r="J1073" i="48"/>
  <c r="K1073" i="48" s="1"/>
  <c r="C54" i="33"/>
  <c r="C56" i="33" s="1"/>
  <c r="W1390" i="21"/>
  <c r="E56" i="33" s="1"/>
  <c r="K1390" i="21"/>
  <c r="E56" i="29" s="1"/>
  <c r="C54" i="29"/>
  <c r="C56" i="29" s="1"/>
  <c r="D843" i="48"/>
  <c r="C54" i="35"/>
  <c r="C56" i="35" s="1"/>
  <c r="AC1390" i="21"/>
  <c r="E56" i="35" s="1"/>
  <c r="H35" i="44"/>
  <c r="C54" i="34"/>
  <c r="C56" i="34" s="1"/>
  <c r="Z1390" i="21"/>
  <c r="E56" i="34" s="1"/>
  <c r="C54" i="38"/>
  <c r="C56" i="38" s="1"/>
  <c r="AL1390" i="21"/>
  <c r="E56" i="38" s="1"/>
  <c r="D6" i="29"/>
  <c r="D8" i="29" s="1"/>
  <c r="D9" i="29" s="1"/>
  <c r="C61" i="46"/>
  <c r="O60" i="46"/>
  <c r="N1390" i="21"/>
  <c r="E56" i="30" s="1"/>
  <c r="C54" i="30"/>
  <c r="C56" i="30" s="1"/>
  <c r="D60" i="38"/>
  <c r="AL1082" i="21"/>
  <c r="J16" i="21"/>
  <c r="M6" i="47"/>
  <c r="P11" i="48"/>
  <c r="M361" i="48"/>
  <c r="N361" i="48" s="1"/>
  <c r="N384" i="48"/>
  <c r="P1279" i="48"/>
  <c r="Q1279" i="48" s="1"/>
  <c r="P536" i="48"/>
  <c r="P842" i="48"/>
  <c r="P1036" i="48"/>
  <c r="Q1036" i="48" s="1"/>
  <c r="G361" i="48"/>
  <c r="H361" i="48" s="1"/>
  <c r="P1075" i="48"/>
  <c r="J51" i="47"/>
  <c r="F51" i="47"/>
  <c r="P1447" i="48"/>
  <c r="G74" i="48"/>
  <c r="K34" i="30"/>
  <c r="K36" i="30" s="1"/>
  <c r="K37" i="30" s="1"/>
  <c r="N370" i="21"/>
  <c r="T1082" i="21"/>
  <c r="AQ16" i="21"/>
  <c r="M7" i="48"/>
  <c r="C6" i="47"/>
  <c r="F6" i="47" s="1"/>
  <c r="D7" i="48"/>
  <c r="AN16" i="21"/>
  <c r="W370" i="21"/>
  <c r="K34" i="33"/>
  <c r="K36" i="33" s="1"/>
  <c r="K37" i="33" s="1"/>
  <c r="G1073" i="48"/>
  <c r="H1073" i="48" s="1"/>
  <c r="G6" i="47"/>
  <c r="J6" i="47" s="1"/>
  <c r="K74" i="48"/>
  <c r="P1386" i="48"/>
  <c r="Q1386" i="48" s="1"/>
  <c r="W111" i="47"/>
  <c r="J74" i="48"/>
  <c r="N345" i="48"/>
  <c r="N74" i="48" s="1"/>
  <c r="M74" i="48"/>
  <c r="D62" i="32"/>
  <c r="D63" i="32" s="1"/>
  <c r="W8" i="47"/>
  <c r="D129" i="48"/>
  <c r="D77" i="48"/>
  <c r="H34" i="38"/>
  <c r="R51" i="47"/>
  <c r="O6" i="47"/>
  <c r="D6" i="32"/>
  <c r="T849" i="21"/>
  <c r="P77" i="48"/>
  <c r="P8" i="48" s="1"/>
  <c r="P129" i="48"/>
  <c r="D62" i="33"/>
  <c r="D63" i="33" s="1"/>
  <c r="D1073" i="48"/>
  <c r="E1073" i="48" s="1"/>
  <c r="N34" i="32"/>
  <c r="D6" i="40"/>
  <c r="AR849" i="21"/>
  <c r="V849" i="21"/>
  <c r="V15" i="21"/>
  <c r="H22" i="41"/>
  <c r="H34" i="32"/>
  <c r="H36" i="32" s="1"/>
  <c r="H37" i="32" s="1"/>
  <c r="D8" i="34"/>
  <c r="D9" i="34" s="1"/>
  <c r="H21" i="34"/>
  <c r="H23" i="34" s="1"/>
  <c r="H24" i="34" s="1"/>
  <c r="N51" i="47"/>
  <c r="K6" i="47"/>
  <c r="M1073" i="48"/>
  <c r="N1073" i="48" s="1"/>
  <c r="H74" i="48"/>
  <c r="S51" i="47"/>
  <c r="W54" i="47"/>
  <c r="D60" i="34"/>
  <c r="Z1082" i="21"/>
  <c r="D60" i="31"/>
  <c r="Q1082" i="21"/>
  <c r="K34" i="37"/>
  <c r="K36" i="37" s="1"/>
  <c r="K37" i="37" s="1"/>
  <c r="AI370" i="21"/>
  <c r="AE849" i="21"/>
  <c r="AE16" i="21"/>
  <c r="C54" i="41"/>
  <c r="C56" i="41" s="1"/>
  <c r="AU1390" i="21"/>
  <c r="H55" i="37"/>
  <c r="H57" i="37" s="1"/>
  <c r="H58" i="37" s="1"/>
  <c r="D62" i="37"/>
  <c r="D63" i="37" s="1"/>
  <c r="D8" i="38"/>
  <c r="D9" i="38" s="1"/>
  <c r="H21" i="38"/>
  <c r="H23" i="38" s="1"/>
  <c r="H24" i="38" s="1"/>
  <c r="AB849" i="21"/>
  <c r="AB15" i="21"/>
  <c r="J1445" i="48"/>
  <c r="K1445" i="48" s="1"/>
  <c r="J7" i="48"/>
  <c r="K137" i="21"/>
  <c r="K82" i="21" s="1"/>
  <c r="J82" i="21"/>
  <c r="N34" i="29"/>
  <c r="AT538" i="21"/>
  <c r="S16" i="21"/>
  <c r="D62" i="29"/>
  <c r="D63" i="29" s="1"/>
  <c r="Q1450" i="48"/>
  <c r="R1445" i="48"/>
  <c r="G990" i="48"/>
  <c r="H990" i="48" s="1"/>
  <c r="G842" i="48"/>
  <c r="U21" i="44" l="1"/>
  <c r="N46" i="44"/>
  <c r="T13" i="44" s="1"/>
  <c r="P362" i="48"/>
  <c r="H21" i="31"/>
  <c r="H23" i="31" s="1"/>
  <c r="H24" i="31" s="1"/>
  <c r="P361" i="48"/>
  <c r="Q361" i="48" s="1"/>
  <c r="J990" i="48"/>
  <c r="K990" i="48" s="1"/>
  <c r="AO849" i="21"/>
  <c r="AL370" i="21"/>
  <c r="K34" i="41"/>
  <c r="K36" i="41" s="1"/>
  <c r="K37" i="41" s="1"/>
  <c r="D5" i="44"/>
  <c r="AY13" i="21"/>
  <c r="BA13" i="21" s="1"/>
  <c r="D361" i="48"/>
  <c r="E361" i="48" s="1"/>
  <c r="AT850" i="21"/>
  <c r="AT849" i="21" s="1"/>
  <c r="D6" i="41" s="1"/>
  <c r="P1446" i="48"/>
  <c r="P1445" i="48" s="1"/>
  <c r="Q1445" i="48" s="1"/>
  <c r="M841" i="48"/>
  <c r="M840" i="48" s="1"/>
  <c r="N840" i="48" s="1"/>
  <c r="P991" i="48"/>
  <c r="P841" i="48" s="1"/>
  <c r="P840" i="48" s="1"/>
  <c r="Q840" i="48" s="1"/>
  <c r="AT82" i="21"/>
  <c r="H34" i="41" s="1"/>
  <c r="H36" i="41" s="1"/>
  <c r="H37" i="41" s="1"/>
  <c r="P1571" i="48"/>
  <c r="Q1571" i="48" s="1"/>
  <c r="D6" i="30"/>
  <c r="H21" i="30" s="1"/>
  <c r="H23" i="30" s="1"/>
  <c r="H24" i="30" s="1"/>
  <c r="P196" i="48"/>
  <c r="P75" i="48" s="1"/>
  <c r="D62" i="39"/>
  <c r="D63" i="39" s="1"/>
  <c r="AU1454" i="21"/>
  <c r="R6" i="47"/>
  <c r="D529" i="48"/>
  <c r="D840" i="48"/>
  <c r="E840" i="48" s="1"/>
  <c r="P530" i="48"/>
  <c r="H21" i="37"/>
  <c r="H23" i="37" s="1"/>
  <c r="H24" i="37" s="1"/>
  <c r="H21" i="29"/>
  <c r="H23" i="29" s="1"/>
  <c r="H24" i="29" s="1"/>
  <c r="H55" i="33"/>
  <c r="H57" i="33" s="1"/>
  <c r="H58" i="33" s="1"/>
  <c r="C57" i="34"/>
  <c r="P793" i="48"/>
  <c r="Q793" i="48" s="1"/>
  <c r="D70" i="41"/>
  <c r="H55" i="41" s="1"/>
  <c r="H57" i="41" s="1"/>
  <c r="C57" i="29"/>
  <c r="P1381" i="48"/>
  <c r="Q1381" i="48" s="1"/>
  <c r="D990" i="48"/>
  <c r="E990" i="48" s="1"/>
  <c r="N6" i="47"/>
  <c r="H55" i="36"/>
  <c r="H57" i="36" s="1"/>
  <c r="H58" i="36" s="1"/>
  <c r="W51" i="47"/>
  <c r="H55" i="32"/>
  <c r="H57" i="32" s="1"/>
  <c r="H58" i="32" s="1"/>
  <c r="C57" i="35"/>
  <c r="C57" i="30"/>
  <c r="C57" i="32"/>
  <c r="H55" i="35"/>
  <c r="H57" i="35" s="1"/>
  <c r="H58" i="35" s="1"/>
  <c r="D8" i="48"/>
  <c r="D62" i="38"/>
  <c r="D63" i="38" s="1"/>
  <c r="H55" i="38"/>
  <c r="H57" i="38" s="1"/>
  <c r="H58" i="38" s="1"/>
  <c r="E57" i="41"/>
  <c r="C57" i="41" s="1"/>
  <c r="C57" i="38"/>
  <c r="H55" i="29"/>
  <c r="H57" i="29" s="1"/>
  <c r="H58" i="29" s="1"/>
  <c r="H55" i="30"/>
  <c r="H57" i="30" s="1"/>
  <c r="H58" i="30" s="1"/>
  <c r="H36" i="44"/>
  <c r="C57" i="33"/>
  <c r="P1073" i="48"/>
  <c r="Q1073" i="48" s="1"/>
  <c r="P7" i="48"/>
  <c r="H21" i="40"/>
  <c r="H23" i="40" s="1"/>
  <c r="H24" i="40" s="1"/>
  <c r="D8" i="40"/>
  <c r="D9" i="40" s="1"/>
  <c r="G840" i="48"/>
  <c r="G7" i="48"/>
  <c r="D62" i="31"/>
  <c r="D63" i="31" s="1"/>
  <c r="H55" i="31"/>
  <c r="H57" i="31" s="1"/>
  <c r="H58" i="31" s="1"/>
  <c r="P74" i="48"/>
  <c r="Q129" i="48"/>
  <c r="Q74" i="48" s="1"/>
  <c r="S6" i="47"/>
  <c r="W6" i="47" s="1"/>
  <c r="H21" i="39"/>
  <c r="H23" i="39" s="1"/>
  <c r="H24" i="39" s="1"/>
  <c r="D8" i="39"/>
  <c r="H55" i="34"/>
  <c r="H57" i="34" s="1"/>
  <c r="H58" i="34" s="1"/>
  <c r="D62" i="34"/>
  <c r="D63" i="34" s="1"/>
  <c r="H36" i="38"/>
  <c r="D6" i="35"/>
  <c r="AC849" i="21"/>
  <c r="D74" i="48"/>
  <c r="E129" i="48"/>
  <c r="E74" i="48" s="1"/>
  <c r="N34" i="41"/>
  <c r="D6" i="36"/>
  <c r="AF849" i="21"/>
  <c r="D6" i="33"/>
  <c r="W849" i="21"/>
  <c r="H34" i="29"/>
  <c r="H21" i="32"/>
  <c r="H23" i="32" s="1"/>
  <c r="H24" i="32" s="1"/>
  <c r="D8" i="32"/>
  <c r="S61" i="44" l="1"/>
  <c r="N36" i="44"/>
  <c r="U20" i="44"/>
  <c r="U18" i="44"/>
  <c r="U17" i="44" s="1"/>
  <c r="U16" i="44" s="1"/>
  <c r="O59" i="44"/>
  <c r="AU849" i="21"/>
  <c r="D7" i="44"/>
  <c r="R13" i="44" s="1"/>
  <c r="H20" i="44"/>
  <c r="H22" i="44" s="1"/>
  <c r="H23" i="44" s="1"/>
  <c r="R11" i="44"/>
  <c r="U13" i="44" s="1"/>
  <c r="D8" i="30"/>
  <c r="D9" i="30" s="1"/>
  <c r="P990" i="48"/>
  <c r="Q990" i="48" s="1"/>
  <c r="D72" i="41"/>
  <c r="D73" i="41" s="1"/>
  <c r="P529" i="48"/>
  <c r="H58" i="41"/>
  <c r="H36" i="29"/>
  <c r="D8" i="35"/>
  <c r="H21" i="35"/>
  <c r="H23" i="35" s="1"/>
  <c r="H24" i="35" s="1"/>
  <c r="D9" i="32"/>
  <c r="D9" i="39"/>
  <c r="H37" i="38"/>
  <c r="H21" i="36"/>
  <c r="H23" i="36" s="1"/>
  <c r="H24" i="36" s="1"/>
  <c r="D8" i="36"/>
  <c r="H840" i="48"/>
  <c r="H21" i="33"/>
  <c r="H23" i="33" s="1"/>
  <c r="H24" i="33" s="1"/>
  <c r="D8" i="33"/>
  <c r="H21" i="41"/>
  <c r="H23" i="41" s="1"/>
  <c r="H24" i="41" s="1"/>
  <c r="D8" i="41"/>
  <c r="D8" i="44" l="1"/>
  <c r="D9" i="36"/>
  <c r="D9" i="33"/>
  <c r="D9" i="35"/>
  <c r="D9" i="41"/>
  <c r="H37" i="29"/>
  <c r="AT1710" i="21" l="1"/>
  <c r="AT1708" i="21" s="1"/>
  <c r="AT1705" i="21" s="1"/>
  <c r="AT1679" i="21" s="1"/>
  <c r="M1701" i="48"/>
  <c r="M1699" i="48" s="1"/>
  <c r="M1696" i="48" s="1"/>
  <c r="D1701" i="48"/>
  <c r="D1699" i="48" s="1"/>
  <c r="D1696" i="48" s="1"/>
  <c r="D1695" i="48" s="1"/>
  <c r="E1695" i="48" s="1"/>
  <c r="G1701" i="48"/>
  <c r="G1699" i="48" s="1"/>
  <c r="G1696" i="48" s="1"/>
  <c r="V1708" i="21"/>
  <c r="V1705" i="21" s="1"/>
  <c r="M1708" i="21"/>
  <c r="M1705" i="21" s="1"/>
  <c r="J1701" i="48"/>
  <c r="J1699" i="48" s="1"/>
  <c r="J1696" i="48" s="1"/>
  <c r="S1708" i="21"/>
  <c r="S1705" i="21" s="1"/>
  <c r="S1704" i="21" s="1"/>
  <c r="T1704" i="21" s="1"/>
  <c r="AK1708" i="21"/>
  <c r="AK1705" i="21" s="1"/>
  <c r="AK1704" i="21" s="1"/>
  <c r="AL1704" i="21" s="1"/>
  <c r="AN1708" i="21"/>
  <c r="AN1705" i="21" s="1"/>
  <c r="AH1708" i="21"/>
  <c r="AH1705" i="21" s="1"/>
  <c r="AH1704" i="21" s="1"/>
  <c r="AI1704" i="21" s="1"/>
  <c r="AB1708" i="21"/>
  <c r="AB1705" i="21" s="1"/>
  <c r="AB1704" i="21" s="1"/>
  <c r="AC1704" i="21" s="1"/>
  <c r="AE1708" i="21"/>
  <c r="AE1705" i="21" s="1"/>
  <c r="J1708" i="21"/>
  <c r="J1705" i="21" s="1"/>
  <c r="J1704" i="21" s="1"/>
  <c r="K1704" i="21" s="1"/>
  <c r="Y1708" i="21"/>
  <c r="Y1705" i="21" s="1"/>
  <c r="P1708" i="21"/>
  <c r="P1705" i="21" s="1"/>
  <c r="P1704" i="21" s="1"/>
  <c r="Q1704" i="21" s="1"/>
  <c r="AQ1708" i="21"/>
  <c r="AQ1705" i="21" s="1"/>
  <c r="AH1679" i="21" l="1"/>
  <c r="AH14" i="21" s="1"/>
  <c r="V1704" i="21"/>
  <c r="W1704" i="21" s="1"/>
  <c r="V1679" i="21"/>
  <c r="V1674" i="21" s="1"/>
  <c r="T34" i="33" s="1"/>
  <c r="R12" i="33" s="1"/>
  <c r="AN1704" i="21"/>
  <c r="AO1704" i="21" s="1"/>
  <c r="AN1679" i="21"/>
  <c r="AN14" i="21" s="1"/>
  <c r="AK1679" i="21"/>
  <c r="AK14" i="21" s="1"/>
  <c r="J1679" i="21"/>
  <c r="J14" i="21" s="1"/>
  <c r="M1670" i="48"/>
  <c r="M1695" i="48"/>
  <c r="N1695" i="48" s="1"/>
  <c r="AQ1679" i="21"/>
  <c r="AQ1704" i="21"/>
  <c r="AR1704" i="21" s="1"/>
  <c r="J1695" i="48"/>
  <c r="K1695" i="48" s="1"/>
  <c r="J1670" i="48"/>
  <c r="AE1679" i="21"/>
  <c r="AE1704" i="21"/>
  <c r="AF1704" i="21" s="1"/>
  <c r="AT14" i="21"/>
  <c r="AT1674" i="21"/>
  <c r="G1695" i="48"/>
  <c r="H1695" i="48" s="1"/>
  <c r="G1670" i="48"/>
  <c r="AB1679" i="21"/>
  <c r="Y1679" i="21"/>
  <c r="Y1704" i="21"/>
  <c r="Z1704" i="21" s="1"/>
  <c r="M1679" i="21"/>
  <c r="M1704" i="21"/>
  <c r="N1704" i="21" s="1"/>
  <c r="AT1704" i="21"/>
  <c r="AU1704" i="21" s="1"/>
  <c r="P1679" i="21"/>
  <c r="D1670" i="48"/>
  <c r="S1679" i="21"/>
  <c r="P1701" i="48"/>
  <c r="P1699" i="48" s="1"/>
  <c r="P1696" i="48" s="1"/>
  <c r="AH1674" i="21" l="1"/>
  <c r="T34" i="37" s="1"/>
  <c r="T36" i="37" s="1"/>
  <c r="V14" i="21"/>
  <c r="W1674" i="21"/>
  <c r="T36" i="33"/>
  <c r="R36" i="33"/>
  <c r="P47" i="33" s="1"/>
  <c r="Q37" i="33" s="1"/>
  <c r="V13" i="21"/>
  <c r="AK1674" i="21"/>
  <c r="AL1674" i="21" s="1"/>
  <c r="J1674" i="21"/>
  <c r="J13" i="21" s="1"/>
  <c r="AN1674" i="21"/>
  <c r="AO1674" i="21" s="1"/>
  <c r="D6" i="48"/>
  <c r="D1665" i="48"/>
  <c r="P14" i="21"/>
  <c r="P1674" i="21"/>
  <c r="J6" i="48"/>
  <c r="J1665" i="48"/>
  <c r="M14" i="21"/>
  <c r="M1674" i="21"/>
  <c r="AQ14" i="21"/>
  <c r="AQ1674" i="21"/>
  <c r="AB1674" i="21"/>
  <c r="AB14" i="21"/>
  <c r="P1695" i="48"/>
  <c r="Q1695" i="48" s="1"/>
  <c r="P1670" i="48"/>
  <c r="S14" i="21"/>
  <c r="S1674" i="21"/>
  <c r="T34" i="41"/>
  <c r="AT13" i="21"/>
  <c r="AU1674" i="21"/>
  <c r="Y1674" i="21"/>
  <c r="Y14" i="21"/>
  <c r="G1665" i="48"/>
  <c r="G6" i="48"/>
  <c r="AE1674" i="21"/>
  <c r="AE14" i="21"/>
  <c r="M6" i="48"/>
  <c r="M1665" i="48"/>
  <c r="R12" i="37" l="1"/>
  <c r="S74" i="33"/>
  <c r="W1453" i="21"/>
  <c r="AH13" i="21"/>
  <c r="AI1674" i="21"/>
  <c r="R36" i="37"/>
  <c r="P47" i="37" s="1"/>
  <c r="Q37" i="37" s="1"/>
  <c r="T37" i="33"/>
  <c r="AN13" i="21"/>
  <c r="K1674" i="21"/>
  <c r="AK13" i="21"/>
  <c r="T34" i="38"/>
  <c r="R12" i="38" s="1"/>
  <c r="T34" i="29"/>
  <c r="T36" i="29" s="1"/>
  <c r="T34" i="39"/>
  <c r="R36" i="39" s="1"/>
  <c r="P47" i="39" s="1"/>
  <c r="Q37" i="39" s="1"/>
  <c r="AI1453" i="21"/>
  <c r="D5" i="48"/>
  <c r="E1665" i="48"/>
  <c r="N1665" i="48"/>
  <c r="M5" i="48"/>
  <c r="Q1674" i="21"/>
  <c r="P13" i="21"/>
  <c r="T34" i="31"/>
  <c r="P6" i="48"/>
  <c r="P1665" i="48"/>
  <c r="H1665" i="48"/>
  <c r="G5" i="48"/>
  <c r="R12" i="41"/>
  <c r="T36" i="41"/>
  <c r="T1674" i="21"/>
  <c r="S13" i="21"/>
  <c r="T34" i="32"/>
  <c r="AC1674" i="21"/>
  <c r="T34" i="35"/>
  <c r="AB13" i="21"/>
  <c r="P74" i="33"/>
  <c r="Y13" i="21"/>
  <c r="Z1674" i="21"/>
  <c r="T34" i="34"/>
  <c r="M13" i="21"/>
  <c r="T34" i="30"/>
  <c r="N1674" i="21"/>
  <c r="T34" i="36"/>
  <c r="AF1674" i="21"/>
  <c r="AE13" i="21"/>
  <c r="T34" i="40"/>
  <c r="AQ13" i="21"/>
  <c r="AR1674" i="21"/>
  <c r="K1665" i="48"/>
  <c r="J5" i="48"/>
  <c r="N47" i="33"/>
  <c r="O60" i="33" s="1"/>
  <c r="S62" i="33" l="1"/>
  <c r="T14" i="33"/>
  <c r="S74" i="37"/>
  <c r="P74" i="37" s="1"/>
  <c r="R77" i="37" s="1"/>
  <c r="T37" i="37"/>
  <c r="N47" i="37"/>
  <c r="O60" i="37" s="1"/>
  <c r="T36" i="38"/>
  <c r="R36" i="38"/>
  <c r="R12" i="39"/>
  <c r="R12" i="29"/>
  <c r="R36" i="29"/>
  <c r="T36" i="39"/>
  <c r="T37" i="39" s="1"/>
  <c r="T36" i="36"/>
  <c r="R36" i="36"/>
  <c r="P47" i="36" s="1"/>
  <c r="Q37" i="36" s="1"/>
  <c r="R12" i="36"/>
  <c r="R12" i="31"/>
  <c r="R36" i="31"/>
  <c r="P47" i="31" s="1"/>
  <c r="Q37" i="31" s="1"/>
  <c r="T36" i="31"/>
  <c r="U20" i="33"/>
  <c r="U19" i="33" s="1"/>
  <c r="U18" i="33"/>
  <c r="R12" i="40"/>
  <c r="T36" i="40"/>
  <c r="R36" i="40"/>
  <c r="P47" i="40" s="1"/>
  <c r="Q37" i="40" s="1"/>
  <c r="R36" i="32"/>
  <c r="P47" i="32" s="1"/>
  <c r="Q37" i="32" s="1"/>
  <c r="T36" i="32"/>
  <c r="R12" i="32"/>
  <c r="R12" i="30"/>
  <c r="T36" i="30"/>
  <c r="R36" i="30"/>
  <c r="P47" i="30" s="1"/>
  <c r="Q37" i="30" s="1"/>
  <c r="M74" i="33"/>
  <c r="T36" i="34"/>
  <c r="R12" i="34"/>
  <c r="R36" i="34"/>
  <c r="P47" i="34" s="1"/>
  <c r="Q37" i="34" s="1"/>
  <c r="R36" i="35"/>
  <c r="P47" i="35" s="1"/>
  <c r="Q37" i="35" s="1"/>
  <c r="R12" i="35"/>
  <c r="T36" i="35"/>
  <c r="S74" i="39"/>
  <c r="AO1453" i="21"/>
  <c r="R77" i="33"/>
  <c r="Q1665" i="48"/>
  <c r="P5" i="48"/>
  <c r="AL1453" i="21" l="1"/>
  <c r="P47" i="38"/>
  <c r="Q37" i="38" s="1"/>
  <c r="S74" i="29"/>
  <c r="P47" i="29"/>
  <c r="Q37" i="29" s="1"/>
  <c r="S62" i="37"/>
  <c r="T14" i="37"/>
  <c r="M74" i="37"/>
  <c r="O77" i="37" s="1"/>
  <c r="U20" i="37"/>
  <c r="U19" i="37" s="1"/>
  <c r="U18" i="37"/>
  <c r="T37" i="29"/>
  <c r="T37" i="38"/>
  <c r="S74" i="38"/>
  <c r="P74" i="38" s="1"/>
  <c r="R77" i="38" s="1"/>
  <c r="K1453" i="21"/>
  <c r="K1458" i="21" s="1"/>
  <c r="R36" i="41"/>
  <c r="P74" i="39"/>
  <c r="R77" i="39" s="1"/>
  <c r="AC1453" i="21"/>
  <c r="S74" i="35"/>
  <c r="T37" i="32"/>
  <c r="N47" i="39"/>
  <c r="O60" i="39" s="1"/>
  <c r="P74" i="29"/>
  <c r="R77" i="29" s="1"/>
  <c r="AR1453" i="21"/>
  <c r="N1444" i="48" s="1"/>
  <c r="S74" i="40"/>
  <c r="J74" i="33"/>
  <c r="J80" i="33" s="1"/>
  <c r="T37" i="34"/>
  <c r="N1453" i="21"/>
  <c r="S75" i="30"/>
  <c r="T37" i="30"/>
  <c r="T37" i="40"/>
  <c r="T37" i="31"/>
  <c r="AF1453" i="21"/>
  <c r="S74" i="36"/>
  <c r="Z1453" i="21"/>
  <c r="S74" i="34"/>
  <c r="S75" i="32"/>
  <c r="T1453" i="21"/>
  <c r="O77" i="33"/>
  <c r="T37" i="35"/>
  <c r="S75" i="31"/>
  <c r="Q1453" i="21"/>
  <c r="T37" i="36"/>
  <c r="N47" i="38" l="1"/>
  <c r="O60" i="38" s="1"/>
  <c r="U18" i="38" s="1"/>
  <c r="P47" i="41"/>
  <c r="N47" i="41" s="1"/>
  <c r="S62" i="41" s="1"/>
  <c r="S62" i="39"/>
  <c r="T14" i="39"/>
  <c r="J74" i="37"/>
  <c r="J80" i="37" s="1"/>
  <c r="N47" i="29"/>
  <c r="K1444" i="48"/>
  <c r="T37" i="41"/>
  <c r="AU1453" i="21"/>
  <c r="P75" i="32"/>
  <c r="R78" i="32" s="1"/>
  <c r="P74" i="40"/>
  <c r="R77" i="40" s="1"/>
  <c r="P74" i="34"/>
  <c r="M74" i="38"/>
  <c r="O77" i="38" s="1"/>
  <c r="P74" i="36"/>
  <c r="N47" i="36"/>
  <c r="O60" i="36" s="1"/>
  <c r="U18" i="39"/>
  <c r="U20" i="39"/>
  <c r="U19" i="39" s="1"/>
  <c r="H1444" i="48"/>
  <c r="N47" i="34"/>
  <c r="P75" i="30"/>
  <c r="N47" i="30"/>
  <c r="N47" i="40"/>
  <c r="E1444" i="48"/>
  <c r="M74" i="29"/>
  <c r="O77" i="29" s="1"/>
  <c r="N47" i="35"/>
  <c r="M74" i="39"/>
  <c r="O77" i="39" s="1"/>
  <c r="L80" i="33"/>
  <c r="S79" i="41"/>
  <c r="N47" i="31"/>
  <c r="P75" i="31"/>
  <c r="N47" i="32"/>
  <c r="O60" i="32" s="1"/>
  <c r="P74" i="35"/>
  <c r="S62" i="38" l="1"/>
  <c r="T14" i="38"/>
  <c r="U20" i="38"/>
  <c r="U19" i="38" s="1"/>
  <c r="U20" i="41"/>
  <c r="U19" i="41" s="1"/>
  <c r="L80" i="37"/>
  <c r="Q37" i="41"/>
  <c r="T14" i="41"/>
  <c r="O60" i="41"/>
  <c r="U18" i="41" s="1"/>
  <c r="T14" i="40"/>
  <c r="O60" i="40"/>
  <c r="U18" i="40" s="1"/>
  <c r="T14" i="30"/>
  <c r="O60" i="29"/>
  <c r="U18" i="29" s="1"/>
  <c r="T14" i="29"/>
  <c r="S62" i="36"/>
  <c r="T14" i="36"/>
  <c r="T14" i="35"/>
  <c r="O60" i="35"/>
  <c r="U18" i="35" s="1"/>
  <c r="T14" i="34"/>
  <c r="O60" i="34"/>
  <c r="U18" i="34" s="1"/>
  <c r="S62" i="32"/>
  <c r="T14" i="32"/>
  <c r="T14" i="31"/>
  <c r="O60" i="31"/>
  <c r="S62" i="30"/>
  <c r="O60" i="30"/>
  <c r="U18" i="30" s="1"/>
  <c r="U20" i="29"/>
  <c r="U19" i="29" s="1"/>
  <c r="S62" i="29"/>
  <c r="P79" i="41"/>
  <c r="R82" i="41" s="1"/>
  <c r="Q1444" i="48"/>
  <c r="U20" i="31"/>
  <c r="U19" i="31" s="1"/>
  <c r="U18" i="31"/>
  <c r="U20" i="30"/>
  <c r="U19" i="30" s="1"/>
  <c r="J74" i="38"/>
  <c r="J80" i="38" s="1"/>
  <c r="M74" i="35"/>
  <c r="O77" i="35" s="1"/>
  <c r="R78" i="30"/>
  <c r="M74" i="31"/>
  <c r="O77" i="31" s="1"/>
  <c r="U20" i="34"/>
  <c r="U19" i="34" s="1"/>
  <c r="M74" i="34"/>
  <c r="J74" i="39"/>
  <c r="J80" i="39" s="1"/>
  <c r="M74" i="30"/>
  <c r="M74" i="40"/>
  <c r="O77" i="40" s="1"/>
  <c r="U20" i="35"/>
  <c r="U19" i="35" s="1"/>
  <c r="R78" i="31"/>
  <c r="S62" i="35"/>
  <c r="J74" i="29"/>
  <c r="L80" i="29" s="1"/>
  <c r="U20" i="40"/>
  <c r="U19" i="40" s="1"/>
  <c r="S62" i="34"/>
  <c r="M74" i="36"/>
  <c r="O77" i="36" s="1"/>
  <c r="R77" i="34"/>
  <c r="U20" i="32"/>
  <c r="U19" i="32" s="1"/>
  <c r="U18" i="32"/>
  <c r="U20" i="36"/>
  <c r="U19" i="36" s="1"/>
  <c r="U18" i="36"/>
  <c r="R77" i="35"/>
  <c r="S62" i="31"/>
  <c r="S62" i="40"/>
  <c r="R77" i="36"/>
  <c r="M74" i="32"/>
  <c r="O77" i="32" s="1"/>
  <c r="L80" i="38" l="1"/>
  <c r="L80" i="39"/>
  <c r="J74" i="31"/>
  <c r="J80" i="31" s="1"/>
  <c r="J74" i="34"/>
  <c r="J80" i="34" s="1"/>
  <c r="J74" i="32"/>
  <c r="J80" i="32" s="1"/>
  <c r="J74" i="40"/>
  <c r="J80" i="40" s="1"/>
  <c r="J80" i="29"/>
  <c r="O77" i="34"/>
  <c r="M79" i="41"/>
  <c r="J74" i="36"/>
  <c r="J80" i="36" s="1"/>
  <c r="J74" i="30"/>
  <c r="J80" i="30" s="1"/>
  <c r="J74" i="35"/>
  <c r="J80" i="35" s="1"/>
  <c r="O77" i="30"/>
  <c r="L80" i="31" l="1"/>
  <c r="L80" i="34"/>
  <c r="L80" i="30"/>
  <c r="L80" i="35"/>
  <c r="L80" i="40"/>
  <c r="O82" i="41"/>
  <c r="L80" i="36"/>
  <c r="L80" i="32"/>
  <c r="J79" i="41"/>
  <c r="J85" i="41" s="1"/>
  <c r="L85" i="41" l="1"/>
  <c r="P42" i="45"/>
  <c r="D41" i="45"/>
  <c r="D6" i="45" s="1"/>
  <c r="J41" i="45"/>
  <c r="J6" i="45" s="1"/>
  <c r="H41" i="45"/>
  <c r="H6" i="45" s="1"/>
  <c r="L41" i="45"/>
  <c r="L6" i="45" s="1"/>
  <c r="AS545" i="21"/>
  <c r="AS538" i="21" s="1"/>
  <c r="AA545" i="21"/>
  <c r="AA538" i="21" s="1"/>
  <c r="F41" i="45"/>
  <c r="R545" i="21"/>
  <c r="R538" i="21" s="1"/>
  <c r="O545" i="21"/>
  <c r="N545" i="21" s="1"/>
  <c r="I41" i="45"/>
  <c r="I6" i="45" s="1"/>
  <c r="O41" i="45"/>
  <c r="O6" i="45" s="1"/>
  <c r="N41" i="45"/>
  <c r="N6" i="45" s="1"/>
  <c r="AJ545" i="21"/>
  <c r="AI545" i="21" s="1"/>
  <c r="M41" i="45"/>
  <c r="M6" i="45" s="1"/>
  <c r="AD545" i="21"/>
  <c r="AC545" i="21" s="1"/>
  <c r="E41" i="45"/>
  <c r="E6" i="45" s="1"/>
  <c r="AM545" i="21"/>
  <c r="AL545" i="21" s="1"/>
  <c r="AP545" i="21"/>
  <c r="AO545" i="21" s="1"/>
  <c r="U545" i="21"/>
  <c r="U538" i="21" s="1"/>
  <c r="G41" i="45"/>
  <c r="G6" i="45" s="1"/>
  <c r="X545" i="21"/>
  <c r="W545" i="21" s="1"/>
  <c r="AG545" i="21"/>
  <c r="AF545" i="21" s="1"/>
  <c r="K41" i="45"/>
  <c r="K6" i="45" s="1"/>
  <c r="L545" i="21"/>
  <c r="K545" i="21" s="1"/>
  <c r="X538" i="21" l="1"/>
  <c r="X13" i="21" s="1"/>
  <c r="W13" i="21" s="1"/>
  <c r="W20" i="21" s="1"/>
  <c r="T545" i="21"/>
  <c r="AJ538" i="21"/>
  <c r="N35" i="37" s="1"/>
  <c r="N36" i="37" s="1"/>
  <c r="L538" i="21"/>
  <c r="K538" i="21" s="1"/>
  <c r="AP538" i="21"/>
  <c r="AP13" i="21" s="1"/>
  <c r="AO13" i="21" s="1"/>
  <c r="AO20" i="21" s="1"/>
  <c r="U13" i="21"/>
  <c r="T13" i="21" s="1"/>
  <c r="T20" i="21" s="1"/>
  <c r="N35" i="32"/>
  <c r="R13" i="32" s="1"/>
  <c r="U14" i="32" s="1"/>
  <c r="T538" i="21"/>
  <c r="P41" i="45"/>
  <c r="AR545" i="21"/>
  <c r="N35" i="31"/>
  <c r="Q538" i="21"/>
  <c r="R13" i="21"/>
  <c r="Q13" i="21" s="1"/>
  <c r="Q20" i="21" s="1"/>
  <c r="AA13" i="21"/>
  <c r="Z13" i="21" s="1"/>
  <c r="Z20" i="21" s="1"/>
  <c r="N35" i="34"/>
  <c r="Z538" i="21"/>
  <c r="AR538" i="21"/>
  <c r="N35" i="40"/>
  <c r="AS13" i="21"/>
  <c r="AR13" i="21" s="1"/>
  <c r="AR20" i="21" s="1"/>
  <c r="AG538" i="21"/>
  <c r="O536" i="48"/>
  <c r="AD538" i="21"/>
  <c r="L536" i="48"/>
  <c r="AM538" i="21"/>
  <c r="F6" i="45"/>
  <c r="P6" i="45" s="1"/>
  <c r="AV545" i="21"/>
  <c r="AU545" i="21" s="1"/>
  <c r="F536" i="48"/>
  <c r="Z545" i="21"/>
  <c r="Q545" i="21"/>
  <c r="I536" i="48"/>
  <c r="O538" i="21"/>
  <c r="AJ13" i="21" l="1"/>
  <c r="AI13" i="21" s="1"/>
  <c r="AI20" i="21" s="1"/>
  <c r="AI538" i="21"/>
  <c r="R13" i="37"/>
  <c r="U14" i="37" s="1"/>
  <c r="N35" i="29"/>
  <c r="R13" i="29" s="1"/>
  <c r="U14" i="29" s="1"/>
  <c r="N35" i="33"/>
  <c r="N36" i="33" s="1"/>
  <c r="R14" i="33" s="1"/>
  <c r="W538" i="21"/>
  <c r="L13" i="21"/>
  <c r="K13" i="21" s="1"/>
  <c r="K20" i="21" s="1"/>
  <c r="AO538" i="21"/>
  <c r="N35" i="39"/>
  <c r="R13" i="39" s="1"/>
  <c r="U14" i="39" s="1"/>
  <c r="N36" i="32"/>
  <c r="R14" i="32" s="1"/>
  <c r="AL538" i="21"/>
  <c r="N35" i="38"/>
  <c r="AM13" i="21"/>
  <c r="AL13" i="21" s="1"/>
  <c r="AL20" i="21" s="1"/>
  <c r="K536" i="48"/>
  <c r="L529" i="48"/>
  <c r="N37" i="37"/>
  <c r="R14" i="37"/>
  <c r="H536" i="48"/>
  <c r="I529" i="48"/>
  <c r="N536" i="48"/>
  <c r="O529" i="48"/>
  <c r="N35" i="36"/>
  <c r="AF538" i="21"/>
  <c r="AG13" i="21"/>
  <c r="AF13" i="21" s="1"/>
  <c r="AF20" i="21" s="1"/>
  <c r="N36" i="40"/>
  <c r="R13" i="40"/>
  <c r="U14" i="40" s="1"/>
  <c r="AV538" i="21"/>
  <c r="N36" i="31"/>
  <c r="R13" i="31"/>
  <c r="U14" i="31" s="1"/>
  <c r="E536" i="48"/>
  <c r="R536" i="48"/>
  <c r="Q536" i="48" s="1"/>
  <c r="F529" i="48"/>
  <c r="O13" i="21"/>
  <c r="N13" i="21" s="1"/>
  <c r="N20" i="21" s="1"/>
  <c r="N35" i="30"/>
  <c r="N538" i="21"/>
  <c r="AD13" i="21"/>
  <c r="AC13" i="21" s="1"/>
  <c r="AC20" i="21" s="1"/>
  <c r="AC538" i="21"/>
  <c r="N35" i="35"/>
  <c r="N36" i="34"/>
  <c r="R13" i="34"/>
  <c r="U14" i="34" s="1"/>
  <c r="R13" i="33" l="1"/>
  <c r="U14" i="33" s="1"/>
  <c r="N37" i="33"/>
  <c r="N36" i="29"/>
  <c r="R14" i="29" s="1"/>
  <c r="N37" i="32"/>
  <c r="N36" i="39"/>
  <c r="N37" i="39" s="1"/>
  <c r="N36" i="35"/>
  <c r="R13" i="35"/>
  <c r="U14" i="35" s="1"/>
  <c r="R13" i="30"/>
  <c r="U14" i="30" s="1"/>
  <c r="N36" i="30"/>
  <c r="N37" i="30" s="1"/>
  <c r="N36" i="36"/>
  <c r="R13" i="36"/>
  <c r="U14" i="36" s="1"/>
  <c r="AV13" i="21"/>
  <c r="AU13" i="21" s="1"/>
  <c r="AU20" i="21" s="1"/>
  <c r="AU538" i="21"/>
  <c r="N35" i="41"/>
  <c r="N529" i="48"/>
  <c r="O5" i="48"/>
  <c r="N5" i="48" s="1"/>
  <c r="N12" i="48" s="1"/>
  <c r="K529" i="48"/>
  <c r="L5" i="48"/>
  <c r="K5" i="48" s="1"/>
  <c r="K12" i="48" s="1"/>
  <c r="N37" i="31"/>
  <c r="R14" i="31"/>
  <c r="R13" i="38"/>
  <c r="U14" i="38" s="1"/>
  <c r="N36" i="38"/>
  <c r="E529" i="48"/>
  <c r="R529" i="48"/>
  <c r="F5" i="48"/>
  <c r="E5" i="48" s="1"/>
  <c r="E12" i="48" s="1"/>
  <c r="R14" i="40"/>
  <c r="N37" i="40"/>
  <c r="R14" i="34"/>
  <c r="N37" i="34"/>
  <c r="H529" i="48"/>
  <c r="I5" i="48"/>
  <c r="H5" i="48" s="1"/>
  <c r="H12" i="48" s="1"/>
  <c r="N37" i="29" l="1"/>
  <c r="R14" i="39"/>
  <c r="R14" i="30"/>
  <c r="R5" i="48"/>
  <c r="Q5" i="48" s="1"/>
  <c r="Q12" i="48" s="1"/>
  <c r="Q529" i="48"/>
  <c r="N37" i="36"/>
  <c r="R14" i="36"/>
  <c r="N37" i="38"/>
  <c r="R14" i="38"/>
  <c r="R13" i="41"/>
  <c r="U14" i="41" s="1"/>
  <c r="N36" i="41"/>
  <c r="R14" i="35"/>
  <c r="N37" i="35"/>
  <c r="R14" i="41" l="1"/>
  <c r="N37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Постникова Наталия Олеговна</author>
  </authors>
  <commentList>
    <comment ref="V404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Y404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B404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E404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H404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Y406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B406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E406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S408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V408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Y408" authorId="0" shapeId="0" xr:uid="{00000000-0006-0000-0300-00000B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B408" authorId="0" shapeId="0" xr:uid="{00000000-0006-0000-0300-00000C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E408" authorId="0" shapeId="0" xr:uid="{00000000-0006-0000-0300-00000D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H408" authorId="0" shapeId="0" xr:uid="{00000000-0006-0000-0300-00000E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P493" authorId="0" shapeId="0" xr:uid="{00000000-0006-0000-0300-00000F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S493" authorId="0" shapeId="0" xr:uid="{00000000-0006-0000-0300-000010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V493" authorId="0" shapeId="0" xr:uid="{00000000-0006-0000-0300-000011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Y493" authorId="0" shapeId="0" xr:uid="{00000000-0006-0000-0300-000012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B493" authorId="0" shapeId="0" xr:uid="{00000000-0006-0000-0300-000013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E493" authorId="0" shapeId="0" xr:uid="{00000000-0006-0000-0300-000014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H493" authorId="0" shapeId="0" xr:uid="{00000000-0006-0000-0300-000015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K493" authorId="0" shapeId="0" xr:uid="{00000000-0006-0000-0300-000016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N493" authorId="0" shapeId="0" xr:uid="{00000000-0006-0000-0300-000017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P494" authorId="0" shapeId="0" xr:uid="{00000000-0006-0000-0300-000018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S494" authorId="0" shapeId="0" xr:uid="{00000000-0006-0000-0300-000019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V494" authorId="0" shapeId="0" xr:uid="{00000000-0006-0000-0300-00001A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Y494" authorId="0" shapeId="0" xr:uid="{00000000-0006-0000-0300-00001B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B494" authorId="0" shapeId="0" xr:uid="{00000000-0006-0000-0300-00001C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E494" authorId="0" shapeId="0" xr:uid="{00000000-0006-0000-0300-00001D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H494" authorId="0" shapeId="0" xr:uid="{00000000-0006-0000-0300-00001E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K494" authorId="0" shapeId="0" xr:uid="{00000000-0006-0000-0300-00001F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N494" authorId="0" shapeId="0" xr:uid="{00000000-0006-0000-0300-000020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P496" authorId="0" shapeId="0" xr:uid="{00000000-0006-0000-0300-000021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S496" authorId="0" shapeId="0" xr:uid="{00000000-0006-0000-0300-000022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V496" authorId="0" shapeId="0" xr:uid="{00000000-0006-0000-0300-000023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Y496" authorId="0" shapeId="0" xr:uid="{00000000-0006-0000-0300-000024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B496" authorId="0" shapeId="0" xr:uid="{00000000-0006-0000-0300-000025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E496" authorId="0" shapeId="0" xr:uid="{00000000-0006-0000-0300-000026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H496" authorId="0" shapeId="0" xr:uid="{00000000-0006-0000-0300-000027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K496" authorId="0" shapeId="0" xr:uid="{00000000-0006-0000-0300-000028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  <comment ref="AN496" authorId="0" shapeId="0" xr:uid="{00000000-0006-0000-0300-000029000000}">
      <text>
        <r>
          <rPr>
            <b/>
            <sz val="9"/>
            <color indexed="81"/>
            <rFont val="Tahoma"/>
            <family val="2"/>
            <charset val="204"/>
          </rPr>
          <t>Постникова Наталия Олеговна:</t>
        </r>
        <r>
          <rPr>
            <sz val="9"/>
            <color indexed="81"/>
            <rFont val="Tahoma"/>
            <family val="2"/>
            <charset val="204"/>
          </rPr>
          <t xml:space="preserve">
с учетом обеспечения непревышения МДП</t>
        </r>
      </text>
    </comment>
  </commentList>
</comments>
</file>

<file path=xl/sharedStrings.xml><?xml version="1.0" encoding="utf-8"?>
<sst xmlns="http://schemas.openxmlformats.org/spreadsheetml/2006/main" count="6623" uniqueCount="1837">
  <si>
    <t>март</t>
  </si>
  <si>
    <t>май</t>
  </si>
  <si>
    <t>июнь</t>
  </si>
  <si>
    <t>июль</t>
  </si>
  <si>
    <t>Белгородская область</t>
  </si>
  <si>
    <t>Брянская область</t>
  </si>
  <si>
    <t>Владимирская область</t>
  </si>
  <si>
    <t>Вологодская область</t>
  </si>
  <si>
    <t>Воронежская область</t>
  </si>
  <si>
    <t>Ивановская область</t>
  </si>
  <si>
    <t>Калужская область</t>
  </si>
  <si>
    <t>Курская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</si>
  <si>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</si>
  <si>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</si>
  <si>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</si>
  <si>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</si>
  <si>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Тульская область</t>
  </si>
  <si>
    <t>Ярославская область</t>
  </si>
  <si>
    <t>г. Москва и Московская обл.</t>
  </si>
  <si>
    <t>январь</t>
  </si>
  <si>
    <t>февраль</t>
  </si>
  <si>
    <t>апрель</t>
  </si>
  <si>
    <t>август</t>
  </si>
  <si>
    <t>сентябрь</t>
  </si>
  <si>
    <t>октябрь</t>
  </si>
  <si>
    <t>ноябрь</t>
  </si>
  <si>
    <t>декабрь</t>
  </si>
  <si>
    <t>ОЭС Центра</t>
  </si>
  <si>
    <t>млн.кВтч</t>
  </si>
  <si>
    <t>выработка</t>
  </si>
  <si>
    <t>сальдо</t>
  </si>
  <si>
    <t>потребление</t>
  </si>
  <si>
    <t>ЕЭС России</t>
  </si>
  <si>
    <t>Экспорт (-), импорт (+) (сальдо-переток) всего:</t>
  </si>
  <si>
    <t>Экспорт из России всего:</t>
  </si>
  <si>
    <t>Импорт в Россию всего:</t>
  </si>
  <si>
    <t>Небаланс</t>
  </si>
  <si>
    <t>ОЭС Средней Волги</t>
  </si>
  <si>
    <t>Пензенская область</t>
  </si>
  <si>
    <t>Самарская область</t>
  </si>
  <si>
    <t>Саратовская область</t>
  </si>
  <si>
    <t>Ульяновская область</t>
  </si>
  <si>
    <t>Республика Татарстан</t>
  </si>
  <si>
    <t>Архангельская область</t>
  </si>
  <si>
    <t>Калининградская область</t>
  </si>
  <si>
    <t>ГЭС ОАО "Янтарьэнерго"</t>
  </si>
  <si>
    <t>Республика Карелия</t>
  </si>
  <si>
    <t>Мурманская область</t>
  </si>
  <si>
    <t>Кислогубская ПЭС</t>
  </si>
  <si>
    <t>Республика Коми</t>
  </si>
  <si>
    <t>Новгородская область</t>
  </si>
  <si>
    <t>Псковская область</t>
  </si>
  <si>
    <t>г.Санкт-Петербург</t>
  </si>
  <si>
    <t>Ленинградская область</t>
  </si>
  <si>
    <t>ОЭС Сибири</t>
  </si>
  <si>
    <t>ГЭС</t>
  </si>
  <si>
    <t>ТЭС</t>
  </si>
  <si>
    <t>Алтайский край</t>
  </si>
  <si>
    <t>Республика Алтай</t>
  </si>
  <si>
    <t>Республика Бурятия</t>
  </si>
  <si>
    <t>Забайкальский край</t>
  </si>
  <si>
    <t>Ново-Иркутская ТЭЦ</t>
  </si>
  <si>
    <t>Усть-Илимская ТЭЦ</t>
  </si>
  <si>
    <t>Ново-Зиминская ТЭЦ</t>
  </si>
  <si>
    <t>Кемеровская область</t>
  </si>
  <si>
    <t>ОАО "Каскад-Энерго"</t>
  </si>
  <si>
    <t>ТЭЦ ОАО "РУСАЛ-Ачинск"</t>
  </si>
  <si>
    <t>Республика Тыва</t>
  </si>
  <si>
    <t>Новосибирская область</t>
  </si>
  <si>
    <t>Омская область</t>
  </si>
  <si>
    <t>Томская область</t>
  </si>
  <si>
    <t>Республика Хакасия</t>
  </si>
  <si>
    <t>Январь</t>
  </si>
  <si>
    <t>Февраль</t>
  </si>
  <si>
    <t>Март</t>
  </si>
  <si>
    <t>Сальдо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</si>
  <si>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</si>
  <si>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</si>
  <si>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</si>
  <si>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</si>
  <si>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</si>
  <si>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</si>
  <si>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</si>
  <si>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</si>
  <si>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</si>
  <si>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ОЭС Юга</t>
  </si>
  <si>
    <t>Астраханская область</t>
  </si>
  <si>
    <t>Волгоградская область</t>
  </si>
  <si>
    <t>Республика Дагестан</t>
  </si>
  <si>
    <t>Республика Калмыкия</t>
  </si>
  <si>
    <t xml:space="preserve"> </t>
  </si>
  <si>
    <t>Ростовская область</t>
  </si>
  <si>
    <t>Ставропольский край</t>
  </si>
  <si>
    <t>ОЭС Урала</t>
  </si>
  <si>
    <t>ОЭС Северо-Запада</t>
  </si>
  <si>
    <t>ОЭС Востока</t>
  </si>
  <si>
    <t>Амурская область</t>
  </si>
  <si>
    <t>Приморский край</t>
  </si>
  <si>
    <t>АЭС</t>
  </si>
  <si>
    <t>Эл. станции пром. предприятий</t>
  </si>
  <si>
    <t>БАЛАНС   ЭЛЕКТРОЭНЕРГИИ</t>
  </si>
  <si>
    <t>Финляндия</t>
  </si>
  <si>
    <t>ВЫРАБОТКА  ВСЕГО</t>
  </si>
  <si>
    <t xml:space="preserve">      ОЭС   БАЛТИИ</t>
  </si>
  <si>
    <t>ОЭС СЕВЕРО-ЗАПАДА</t>
  </si>
  <si>
    <t>ПОТРЕБЛЕНИЕ</t>
  </si>
  <si>
    <t>САЛЬДО</t>
  </si>
  <si>
    <t>потреблен</t>
  </si>
  <si>
    <t xml:space="preserve">    сальдо</t>
  </si>
  <si>
    <t>неб</t>
  </si>
  <si>
    <t>СЕВЕРО-ЗАПАД</t>
  </si>
  <si>
    <t>ЯНТАРЬ</t>
  </si>
  <si>
    <t>без Янтаря</t>
  </si>
  <si>
    <t>Сальдо с ОЭС Казахстана</t>
  </si>
  <si>
    <t>Урал - Казахстан, млн.кВтч</t>
  </si>
  <si>
    <t>в т.ч.</t>
  </si>
  <si>
    <t>Зап.Казахстан</t>
  </si>
  <si>
    <t xml:space="preserve">            ОЭС</t>
  </si>
  <si>
    <t>ОЭС</t>
  </si>
  <si>
    <t>ЦЕНТРА</t>
  </si>
  <si>
    <t>ВОЛГИ</t>
  </si>
  <si>
    <t>УРАЛА</t>
  </si>
  <si>
    <t>СИБИРИ</t>
  </si>
  <si>
    <t>ВОСТОКА</t>
  </si>
  <si>
    <t>Польша</t>
  </si>
  <si>
    <t xml:space="preserve">        БЕЛАРУСЬ</t>
  </si>
  <si>
    <t>Липецк-Волгогр</t>
  </si>
  <si>
    <t>Воронеж-Волг</t>
  </si>
  <si>
    <t>Волгогр.-Саратов</t>
  </si>
  <si>
    <t>справочно</t>
  </si>
  <si>
    <t>Волгоград Астрахань</t>
  </si>
  <si>
    <t>Запказ</t>
  </si>
  <si>
    <r>
      <t xml:space="preserve">     </t>
    </r>
    <r>
      <rPr>
        <b/>
        <sz val="10"/>
        <rFont val="Times New Roman"/>
        <family val="1"/>
      </rPr>
      <t xml:space="preserve"> МНР</t>
    </r>
  </si>
  <si>
    <t xml:space="preserve">  Китай</t>
  </si>
  <si>
    <t>Молдавия</t>
  </si>
  <si>
    <t>Волг-Донб</t>
  </si>
  <si>
    <t>Астрах-Калмык</t>
  </si>
  <si>
    <t xml:space="preserve">            УКРАИНА</t>
  </si>
  <si>
    <t>Волгогр-Ростов</t>
  </si>
  <si>
    <t>ЗАПКАЗ</t>
  </si>
  <si>
    <t xml:space="preserve"> ГУРЬЕВ</t>
  </si>
  <si>
    <t xml:space="preserve">   К А З А Х С Т А Н</t>
  </si>
  <si>
    <t>+   прием</t>
  </si>
  <si>
    <r>
      <t xml:space="preserve"> </t>
    </r>
    <r>
      <rPr>
        <b/>
        <sz val="10"/>
        <rFont val="Times New Roman"/>
        <family val="1"/>
      </rPr>
      <t>ГРУЗИЯ</t>
    </r>
  </si>
  <si>
    <t>АЗЕРБ.</t>
  </si>
  <si>
    <t>терр.</t>
  </si>
  <si>
    <t>-   отдача</t>
  </si>
  <si>
    <t>По корпоративному балансу ОАО "СО ЕЭС"</t>
  </si>
  <si>
    <t>ГОД</t>
  </si>
  <si>
    <t>Энергосистема</t>
  </si>
  <si>
    <t>Забайкальского края</t>
  </si>
  <si>
    <t>небаланс</t>
  </si>
  <si>
    <t>Амурская э.с.</t>
  </si>
  <si>
    <t>Респ. Бурятия</t>
  </si>
  <si>
    <t>Иркутской обл.</t>
  </si>
  <si>
    <t>бл. ст.</t>
  </si>
  <si>
    <t>Западная часть ОЭС Сибири</t>
  </si>
  <si>
    <t>МДП</t>
  </si>
  <si>
    <t>Мин. возможная загрузка ТЭС</t>
  </si>
  <si>
    <t>Макс. загрузка ГЭС по МДП</t>
  </si>
  <si>
    <t>Иркутская ТЭЦ-1</t>
  </si>
  <si>
    <t>Иркутская ТЭЦ-5</t>
  </si>
  <si>
    <t>Иркутская ТЭЦ-6</t>
  </si>
  <si>
    <t>Иркутская ТЭЦ-7 (БТС)</t>
  </si>
  <si>
    <t>Иркутская ТЭЦ-9</t>
  </si>
  <si>
    <t>Иркутская ТЭЦ-10</t>
  </si>
  <si>
    <t>Иркутская ТЭЦ-11</t>
  </si>
  <si>
    <t>Иркутская ТЭЦ-12</t>
  </si>
  <si>
    <t>Иркутская ТЭЦ-16</t>
  </si>
  <si>
    <t>по   ЕЭС РОССИИ   на</t>
  </si>
  <si>
    <t>ФАКТИЧЕСКИЙ БАЛАНС   ЭЛЕКТРОЭНЕРГИИ</t>
  </si>
  <si>
    <t>Ветроэнергетическая станция WINCON-200</t>
  </si>
  <si>
    <t>ОАО "Мобильные ГТЭС" (площадка ПС "Кирилловская" 45 МВт)</t>
  </si>
  <si>
    <t xml:space="preserve">ТЭС </t>
  </si>
  <si>
    <t>Электростанции пром. предприятий</t>
  </si>
  <si>
    <t>Костромская область</t>
  </si>
  <si>
    <t xml:space="preserve">АЭС </t>
  </si>
  <si>
    <t xml:space="preserve">ГЭС </t>
  </si>
  <si>
    <t>г.Москва</t>
  </si>
  <si>
    <t>Московская область</t>
  </si>
  <si>
    <t>Республика Марий Эл</t>
  </si>
  <si>
    <t>Пермский край</t>
  </si>
  <si>
    <t>Челябинская область</t>
  </si>
  <si>
    <t>Эл.станции пром. Предприятий</t>
  </si>
  <si>
    <t>Эл.станции пром.предприятий</t>
  </si>
  <si>
    <t>Иркутская область</t>
  </si>
  <si>
    <t>в т.ч. Угличская ГЭС</t>
  </si>
  <si>
    <t xml:space="preserve">          Рыбинская ГЭС</t>
  </si>
  <si>
    <t>Игумновская ТЭЦ (филиал ОАО "ТГК-6")</t>
  </si>
  <si>
    <t>ОАО "ГТ-ТЭЦ Энерго" (ГТ-ТЭЦ "Саратовская - 1")  - новый ввод</t>
  </si>
  <si>
    <t>ОАО "ГТ-ТЭЦ Энерго" (ГТ-ТЭЦ "Саратовская - 2") - новый ввод</t>
  </si>
  <si>
    <t>Чебоксарская ТЭЦ-1 (филиал ОАО "ТГК-5")</t>
  </si>
  <si>
    <t>Нижнекамская ГЭС (ОАО "Генерирующая компания")</t>
  </si>
  <si>
    <t>Новгородская ТЭЦ-20 (филиал ОАО "ТГК-2")</t>
  </si>
  <si>
    <t>Астраханская ТЭЦ-2 (ООО "ЛУКОЙЛ-Астраханьэнерго")</t>
  </si>
  <si>
    <t>Белореченская ГЭС (ООО "ЛУКОЙЛ-Экоэнерго")</t>
  </si>
  <si>
    <t>Краснополянская ГЭС (ООО "ЛУКОЙЛ-Экоэнерго")</t>
  </si>
  <si>
    <t>Майкопская ГЭС (ООО "ЛУКОЙЛ-Экоэнерго")</t>
  </si>
  <si>
    <t>Волгодонская ТЭЦ-2 (ООО "ЛУКОЙЛ-Ростовэнерго")</t>
  </si>
  <si>
    <t>Ростовская ТЭЦ-2 (ООО "ЛУКОЙЛ-Ростовэнерго")</t>
  </si>
  <si>
    <t>Братская ГЭС (ОАО "Иркутскэнерго")</t>
  </si>
  <si>
    <t>Иркутская ГЭС (ОАО "Иркутскэнерго")</t>
  </si>
  <si>
    <t>Усть-Илимская ГЭС (ОАО "Иркутскэнерго")</t>
  </si>
  <si>
    <t>Благовещенская ТЭЦ(филиал ОАО "ДГК")</t>
  </si>
  <si>
    <t>Райчихинская ГРЭС (филиал ОАО "ДГК")</t>
  </si>
  <si>
    <t>Нерюнгринская ГРЭС (филиал ОАО "ДГК" )</t>
  </si>
  <si>
    <t>Чульманская ТЭЦ (филиал ОАО "ДГК" )</t>
  </si>
  <si>
    <t>Партизанская ГРЭС (филиал ОАО "ДГК" )</t>
  </si>
  <si>
    <t>Владивостокская ТЭЦ-2  (филиал ОАО "ДГК" )</t>
  </si>
  <si>
    <t>Артемовская ТЭЦ (филиал ОАО "ДГК" )</t>
  </si>
  <si>
    <t>Приморская ГРЭС (ЛуТЭК) (филиал ОАО "ДГК")</t>
  </si>
  <si>
    <t>Амурская ТЭЦ-1 (филиал ОАО "ДГК" )</t>
  </si>
  <si>
    <t>Комсомольская ТЭЦ-2 с филиалом Комсомольская ТЭЦ -1 (филиал ОАО "ДГК")</t>
  </si>
  <si>
    <t>Комсомольская ТЭЦ-3 (филиал ОАО "ДГК" )</t>
  </si>
  <si>
    <t>Майская ГРЭС (филиал ОАО "ДГК" )</t>
  </si>
  <si>
    <t>Хабаровская ТЭЦ-1 (филиал ОАО "ДГК" )</t>
  </si>
  <si>
    <t>Хабаровская ТЭЦ-3 (филиал ОАО "ДГК" )</t>
  </si>
  <si>
    <t>ГУП "ТЭК Санкт-Петербурга"</t>
  </si>
  <si>
    <t>ОАО "ГТ-ТЭЦ Энерго" (ГТ-ТЭЦ "Вологодская") - новый ввод</t>
  </si>
  <si>
    <t>Гусевская ТЭЦ (ОАО "Калининградская генерирующая компания")</t>
  </si>
  <si>
    <t>Зеленоградская ВЭС (ОАО "Калининградская генерирующая компания")</t>
  </si>
  <si>
    <t>Каскад Выгских ГЭС филиала "Карельский" ОАО "ТГК-1"</t>
  </si>
  <si>
    <t>Каскад Кемских ГЭС филиала "Карельский" ОАО "ТГК-1"</t>
  </si>
  <si>
    <t>Каскад Сунских ГЭС филиала "Карельский" ОАО "ТГК-1"</t>
  </si>
  <si>
    <t>ТЭЦ ФКП "Завод им. Я.М.Свердлова"</t>
  </si>
  <si>
    <t>ООО "Соликамская ТЭЦ"</t>
  </si>
  <si>
    <t>ГОУ ВПО "УГТУ-УПИ имени первого Президента России Б.Н. Ельцина" структурное подразделение "Экспериментально-производственный комбинат УГТУ-УПИ", г.Екатеринбург</t>
  </si>
  <si>
    <t>Эркен-Шахарская ТЭЦ (ОАО "Карачаево-Черкесский сахарный завод")</t>
  </si>
  <si>
    <t>ТЭЦ ЗАО " Сахарный комбинат Тихорецкий"</t>
  </si>
  <si>
    <t>ТЭЦ ЗАО "Картонтара"</t>
  </si>
  <si>
    <t>ТЭЦ ЗАО "Кубаньжелдормаш"</t>
  </si>
  <si>
    <t>ООО "ИнвестГруппЭнержди"</t>
  </si>
  <si>
    <t>ООО "Теплоэнергодар"</t>
  </si>
  <si>
    <t>Цимлянская ГЭС (ООО "ЛУКОЙЛ-Экоэнерго")</t>
  </si>
  <si>
    <t>ТЭЦ ООО "Ростсельмашэнерго"</t>
  </si>
  <si>
    <t>Якутская ТЭЦ</t>
  </si>
  <si>
    <t>Якутская ГРЭС</t>
  </si>
  <si>
    <t>Энергозона Востока</t>
  </si>
  <si>
    <t>Энергозона Сибири</t>
  </si>
  <si>
    <t>в т.ч. Комсомольская ТЭЦ-1 (для ПО ОАО "СО ЕЭС")</t>
  </si>
  <si>
    <t>в т.ч. Комсомольская ТЭЦ-2 (для ПО ОАО "СО ЕЭС")</t>
  </si>
  <si>
    <t>ГЭС ОАО "Адыгэнергострой"</t>
  </si>
  <si>
    <t>Прочие поставщики Кубанской энергосистемы (для ПО ОАО "СО ЕЭС")</t>
  </si>
  <si>
    <t>Лен. - Фин.</t>
  </si>
  <si>
    <t>Кол. - Фин</t>
  </si>
  <si>
    <t>Кол. - Норвег.</t>
  </si>
  <si>
    <t>ОЭС ЮГА</t>
  </si>
  <si>
    <t>ЮГ без</t>
  </si>
  <si>
    <t>Омск -</t>
  </si>
  <si>
    <t>Велиханово,</t>
  </si>
  <si>
    <t>Мынкуль</t>
  </si>
  <si>
    <t>Оренбург -</t>
  </si>
  <si>
    <t>млн. кВт.ч</t>
  </si>
  <si>
    <t>Год</t>
  </si>
  <si>
    <t xml:space="preserve">Липецкая область </t>
  </si>
  <si>
    <t>Тверская область</t>
  </si>
  <si>
    <t>Республика  Мордовия</t>
  </si>
  <si>
    <t>Нижегородская область</t>
  </si>
  <si>
    <t>Республика Чувашия</t>
  </si>
  <si>
    <t xml:space="preserve">ОЭС Урала </t>
  </si>
  <si>
    <t>Республика Башкортостан</t>
  </si>
  <si>
    <t>Кировская область</t>
  </si>
  <si>
    <t>Курганская область</t>
  </si>
  <si>
    <t>Оренбургская область</t>
  </si>
  <si>
    <t>Свердловская  область</t>
  </si>
  <si>
    <t>Удмуртская республика</t>
  </si>
  <si>
    <t>Тюменская область</t>
  </si>
  <si>
    <t>г. Санкт-Петербург и Ленинградская область</t>
  </si>
  <si>
    <t>Краснодарский край</t>
  </si>
  <si>
    <t>Карачаево-Черкесская Республика</t>
  </si>
  <si>
    <t>Кабардино-Балкарская Республика</t>
  </si>
  <si>
    <t xml:space="preserve">Республика Северная Осетия-Алания </t>
  </si>
  <si>
    <t xml:space="preserve">Республика Ингушетия </t>
  </si>
  <si>
    <t>Чеченская Республика</t>
  </si>
  <si>
    <t xml:space="preserve">Алтайский край + Республика Алтай </t>
  </si>
  <si>
    <t>Красноярский край без НТЭК</t>
  </si>
  <si>
    <t>ОЭС  Востока</t>
  </si>
  <si>
    <t>г. Москва</t>
  </si>
  <si>
    <t>Московская обл.</t>
  </si>
  <si>
    <t>г. Санкт-Петербург</t>
  </si>
  <si>
    <t>Еврейская АО</t>
  </si>
  <si>
    <t xml:space="preserve">          Хоробровская ГЭС                                                                                                                        РЕГ</t>
  </si>
  <si>
    <t>Вилюйская ГЭС-3 (Светлинская ГЭС)</t>
  </si>
  <si>
    <t>Хабаровский край и Еврейская АО (без Николаевского э/р)</t>
  </si>
  <si>
    <t>Хабаровский край без Николаевского энергорайона</t>
  </si>
  <si>
    <t>Идентификатор параметра</t>
  </si>
  <si>
    <t>ВыработкаИаКорпПлан</t>
  </si>
  <si>
    <t>ПотребИаКорпПлан</t>
  </si>
  <si>
    <t>ЭкспортКорпПлан</t>
  </si>
  <si>
    <t>ИмпортКорпПлан</t>
  </si>
  <si>
    <t>Единицы измерения</t>
  </si>
  <si>
    <t>млн. кВт*ч</t>
  </si>
  <si>
    <t>Код объекта импорта для строковых параметров</t>
  </si>
  <si>
    <t>Код объекта импорта для столбцовых параметров</t>
  </si>
  <si>
    <t>Временные метки столбцовых параметров</t>
  </si>
  <si>
    <t>Временные метки строковых параметров</t>
  </si>
  <si>
    <t>01.2015</t>
  </si>
  <si>
    <t>02.2015</t>
  </si>
  <si>
    <t>03.2015</t>
  </si>
  <si>
    <t>04.2015</t>
  </si>
  <si>
    <t>05.2015</t>
  </si>
  <si>
    <t>06.2015</t>
  </si>
  <si>
    <t>07.2015</t>
  </si>
  <si>
    <t>08.2015</t>
  </si>
  <si>
    <t>09.2015</t>
  </si>
  <si>
    <t>10.2015</t>
  </si>
  <si>
    <t>11.2015</t>
  </si>
  <si>
    <t>12.2015</t>
  </si>
  <si>
    <t>530060</t>
  </si>
  <si>
    <t>АМО ТЭЦ ЗИЛ</t>
  </si>
  <si>
    <t>Кармановская ГРЭС  (ООО "Башкирская генерирующая компания")</t>
  </si>
  <si>
    <t>Уфимская ТЭЦ-1 (ООО "Башкирская генерирующая компания")</t>
  </si>
  <si>
    <t>Уфимская ТЭЦ-2 (ООО "Башкирская генерирующая компания")</t>
  </si>
  <si>
    <t>Уфимская ТЭЦ-3 (ООО "Башкирская генерирующая компания")</t>
  </si>
  <si>
    <t>Уфимская ТЭЦ-4 (ООО "Башкирская генерирующая компания")</t>
  </si>
  <si>
    <t>Салаватская ТЭЦ (ООО "Башкирская генерирующая компания")</t>
  </si>
  <si>
    <t>ГТУ-1 г. Сибай (ООО "Башкирская генерирующая компания")</t>
  </si>
  <si>
    <t>Стерлитамакская ТЭЦ (ООО "Башкирская генерирующая компания")</t>
  </si>
  <si>
    <t>Ново-Стерлитамакская ТЭЦ (ООО "Башкирская генерирующая компания")</t>
  </si>
  <si>
    <t>Приуфимская ТЭЦ (ООО "Башкирская генерирующая компания")</t>
  </si>
  <si>
    <t>Зауральская ТЭЦ  (ООО "Башкирская генерирующая компания")</t>
  </si>
  <si>
    <t>ГТЭС Агидель (ООО "Башкирские распределительные тепловые сети")</t>
  </si>
  <si>
    <t>ГТУ Ишимбай (ООО "Башкирские распределительные тепловые сети")</t>
  </si>
  <si>
    <t>ГТУ Шакша (ООО "Башкирские распределительные тепловые сети")</t>
  </si>
  <si>
    <t>Павловская ГЭС  (ООО "Башкирская генерирующая компания")</t>
  </si>
  <si>
    <t xml:space="preserve">Юмагузинская ГЭС (ООО "Башкирская генерирующая компания") </t>
  </si>
  <si>
    <t>ТЭЦ ОАО "БСК" (Башкирский содовый комбинат)</t>
  </si>
  <si>
    <t>ГТУ совхоза "Алексеевский"</t>
  </si>
  <si>
    <t>ГПЭС "Метели"</t>
  </si>
  <si>
    <t>Нижневартовская ГРЭС (ЗАО Нижневартовская ГРЭС) без ДПМ/НВ/ВР</t>
  </si>
  <si>
    <t>Махачкалинская ТЭЦ (ООО "Дагестанэнерго")</t>
  </si>
  <si>
    <t>Сальдо-перетоков ОЭС Востока</t>
  </si>
  <si>
    <t>Амурская область - Китай</t>
  </si>
  <si>
    <t>Амурская область - Забайкальский край</t>
  </si>
  <si>
    <t>Благовещенская ТЭЦ (филиал ОАО "ДГК") (без ДПМ/НВ/ВР)</t>
  </si>
  <si>
    <t>Якутская ГРЭС - 2  (НВ)</t>
  </si>
  <si>
    <t>Актюбинск</t>
  </si>
  <si>
    <t>САЛЬДО Казахстана всего:</t>
  </si>
  <si>
    <t>САЛЬДО Казахстана на транзите:</t>
  </si>
  <si>
    <r>
      <rPr>
        <sz val="11"/>
        <color indexed="10"/>
        <rFont val="Arial"/>
        <family val="2"/>
        <charset val="204"/>
      </rPr>
      <t>Транзит</t>
    </r>
    <r>
      <rPr>
        <sz val="11"/>
        <rFont val="Arial"/>
        <family val="2"/>
        <charset val="204"/>
      </rPr>
      <t xml:space="preserve"> Сибирь-Казахстан, млн.кВтч</t>
    </r>
  </si>
  <si>
    <r>
      <rPr>
        <sz val="11"/>
        <color indexed="10"/>
        <rFont val="Arial"/>
        <family val="2"/>
        <charset val="204"/>
      </rPr>
      <t>Транзит</t>
    </r>
    <r>
      <rPr>
        <sz val="11"/>
        <rFont val="Arial"/>
        <family val="2"/>
        <charset val="204"/>
      </rPr>
      <t xml:space="preserve"> (Урал+Казахстан) в Сибирь, млн.кВтч</t>
    </r>
  </si>
  <si>
    <t>Центральный энергорайон Республики Саха (Якутия)</t>
  </si>
  <si>
    <t>Западный энергорайон Республики Саха (Якутия)</t>
  </si>
  <si>
    <t>Участок ТИиТС Иркутской ТЭЦ-6 (БТС)</t>
  </si>
  <si>
    <t>Энергообъединения, энергосистемы</t>
  </si>
  <si>
    <t xml:space="preserve">ОЭС Центра </t>
  </si>
  <si>
    <t>ВЭС</t>
  </si>
  <si>
    <t>СЭС</t>
  </si>
  <si>
    <t>Энергосистема Республики Крым</t>
  </si>
  <si>
    <t>Симферопольская ТЭЦ (ПАО "КРЫМ ТЭЦ")</t>
  </si>
  <si>
    <t>Камыш-Бурунская ТЭЦ (ПАО "КРЫМ ТЭЦ")</t>
  </si>
  <si>
    <t>Сакские теплосети (ПАО "КРЫМ ТЭЦ")</t>
  </si>
  <si>
    <t>Западно-Крымская МГТЭС (ОАО "Мобильные ГТЭС")</t>
  </si>
  <si>
    <t>Симферопольская МГТЭС (ОАО "Мобильные ГТЭС")</t>
  </si>
  <si>
    <t>СЭС Перово (ООО "ПАУЕР СЕРВИС ЕЗ")</t>
  </si>
  <si>
    <t>СЭС Охотниково (ООО "ПАУЕР СЕРВИС ЕЗ")</t>
  </si>
  <si>
    <t>СЭС Митяево (ООО "ПАУЕР СЕРВИС ЕЗ")</t>
  </si>
  <si>
    <t>СЭС Родниковое (ООО "ПАУЕР СЕРВИС ЕЗ")</t>
  </si>
  <si>
    <t>Останинская ВЭС (ООО "Ветряной парк Керченский")</t>
  </si>
  <si>
    <t>Севастопольская ТЭЦ (ООО "СГС ПЛЮС")</t>
  </si>
  <si>
    <t>Севастопольская МГТЭС (ОАО "Мобильные ГТЭС")</t>
  </si>
  <si>
    <t>СЭС г.Севастополь ул. Богданова, 74 (ООО "С.Энерджи-Севастополь")</t>
  </si>
  <si>
    <t>ТЭЦ ПАО "Крымский содовый завод"</t>
  </si>
  <si>
    <t>Энергозона Юга</t>
  </si>
  <si>
    <t>ОПТ</t>
  </si>
  <si>
    <t>РОЗН</t>
  </si>
  <si>
    <t xml:space="preserve">ООО "Альтэнерго"                                                                                                                                         </t>
  </si>
  <si>
    <t xml:space="preserve">ТЭЦ ОАО "Калужский турбинный завод"                                                                               </t>
  </si>
  <si>
    <t>ТЭЦ ОАО "Добринский сахарный завод"</t>
  </si>
  <si>
    <t>Дорогобужская ТЭЦ (ООО "Дорогобужская ТЭЦ")</t>
  </si>
  <si>
    <t xml:space="preserve">Электростанции пром. предприятий                                                                                              </t>
  </si>
  <si>
    <t>Тверская ТЭЦ3 (ООО "Тверская генерация")</t>
  </si>
  <si>
    <t>Тверская ТЭЦ4 (ООО "Тверская генерация")</t>
  </si>
  <si>
    <t>Тверская ТЭЦ1 (ООО "Тверская генерация")</t>
  </si>
  <si>
    <t>Вышневолоцкая ТЭЦ (ООО "Вышневолоцкая ТГК")</t>
  </si>
  <si>
    <t>Новотверецкая  ГЭС (ФГУП "Канал имени Москвы")</t>
  </si>
  <si>
    <t>Щекинская ГРЭС (ООО "Щёкинская ГРЭС")</t>
  </si>
  <si>
    <t xml:space="preserve">Первомайская ТЭЦ (филиал ОАО "Щекиноазот")                                                                     </t>
  </si>
  <si>
    <t>ГТЭС "Коломенское" (ООО "НафтаСибЭнергия")</t>
  </si>
  <si>
    <t>ГТЭС "Терешково" (ООО "РОСМИКС" )</t>
  </si>
  <si>
    <t>ТЭЦ МЭИ (ФГБОУ ВПО "НИУ МЭИ")</t>
  </si>
  <si>
    <t>ТЭС Международная   (ООО "Ситиэнерго")</t>
  </si>
  <si>
    <t>ТЭС Международная (1 очередь) (ООО "Ситиэнерго")</t>
  </si>
  <si>
    <t>ТЭС Международная (2 очередь) (ООО "Ситиэнерго")</t>
  </si>
  <si>
    <t>ГТУ-ТЭЦ "Внуково" (ГТЭС "Постниково") (КП "МЭД")</t>
  </si>
  <si>
    <t>ФГУП "Канал им. Москвы"</t>
  </si>
  <si>
    <t xml:space="preserve">МГУП «Мосводоканал» </t>
  </si>
  <si>
    <t>ТЭЦ г. Рошаль (ООО "ТЭК-Е" )</t>
  </si>
  <si>
    <t>Костромская ТЭЦ1 (Костромской филиал ОАО "ТГК-2")</t>
  </si>
  <si>
    <t>Костромская ТЭЦ2 (Костромской филиал ОАО "ТГК-2")</t>
  </si>
  <si>
    <t>Клинцовская ТЭЦ  (ООО "Клинцовская ТЭЦ")</t>
  </si>
  <si>
    <t>Шарьинская ТЭЦ (МУП "Шарьинская ТЭЦ")</t>
  </si>
  <si>
    <t>Ярославская ТЭЦ1 (Ярославский филиал ОАО "ТГК-2")</t>
  </si>
  <si>
    <t>Ярославская ТЭЦ2 (Ярославский филиал ОАО "ТГК-2")</t>
  </si>
  <si>
    <t>Ярославская ТЭЦ3 (Ярославский филиал ОАО "ТГК-2")</t>
  </si>
  <si>
    <t>Автозаводская ТЭЦ (ООО "Автозаводская ТЭЦ")</t>
  </si>
  <si>
    <t>Курганская ТЭЦ - 2 (ООО "Курганская ТЭЦ") НВ</t>
  </si>
  <si>
    <t>Широковская ГЭС (ООО "ГЭК")</t>
  </si>
  <si>
    <t>Качканарская ТЭЦ (ОАО "ЕВРАЗ Качканарский ГОК")</t>
  </si>
  <si>
    <t>Богословская ТЭЦ (Филиал ОАО «СУАЛ» «БАЗ-СУАЛ»)</t>
  </si>
  <si>
    <t>Нижневартовская ГРЭС (ЗАО "Нижневартовская ГРЭС")</t>
  </si>
  <si>
    <r>
      <t xml:space="preserve">Нижневартовская ГРЭС (ЗАО "Нижневартовская ГРЭС") ПГУ-413 НВ, ДПМ </t>
    </r>
    <r>
      <rPr>
        <b/>
        <sz val="12"/>
        <color indexed="10"/>
        <rFont val="Times New Roman"/>
        <family val="1"/>
        <charset val="204"/>
      </rPr>
      <t>11.03.2014</t>
    </r>
  </si>
  <si>
    <t>Ноябрьская ПГЭ (ООО "Ноябрьская ПГЭ") НВ</t>
  </si>
  <si>
    <t>ПЛЭС Надым (ООО "Северная ПЛЭС")</t>
  </si>
  <si>
    <t>ГТЭС (ООО "Лукойл - Западная Сибирь")</t>
  </si>
  <si>
    <t>ГТЭС (ЗАО "ЛУКОЙЛ-АИК")</t>
  </si>
  <si>
    <t>ГТЭС Песцовая (OOO "Газпром добыча Уренгой")</t>
  </si>
  <si>
    <t>ГТЭС Западно-Салымская (ООО "Салым Петролеум Девелопмент")</t>
  </si>
  <si>
    <t>ГТЭС Приобская (ОАО "НК Роснефть")</t>
  </si>
  <si>
    <t>ГТЭС Приразломная (ОАО "НК Роснефть")</t>
  </si>
  <si>
    <t>ГТЭС Южно-Приобская (ООО "Газпромнефть-Хантос")</t>
  </si>
  <si>
    <t>ГПЭС КНС-2 Приобского м/р (ООО "Газпромнефть-Хантос")</t>
  </si>
  <si>
    <t>ГТЭС "Каменная" (ОАО "РН-Няганьнефтегаз")</t>
  </si>
  <si>
    <t>ГТЭС Юрхаровская (ООО "НОВАТЭК-Юрхаровнефтегаз")</t>
  </si>
  <si>
    <t>Выгостровская ГЭС-5 (филиал "Карельский" ОАО "ТГК-1")</t>
  </si>
  <si>
    <t>Ондская ГЭС (Филиал НАЗ - СУАЛ)</t>
  </si>
  <si>
    <t>Беломорская ГЭС-6 (филиал "Карельский" ОАО "ТГК-1")</t>
  </si>
  <si>
    <t xml:space="preserve">Палокоргская ГЭС-7 (филиал "Карельский" ОАО "ТГК-1") </t>
  </si>
  <si>
    <t>Матконежская ГЭС-3 (филиал "Карельский" ОАО "ТГК-1")</t>
  </si>
  <si>
    <t>Путкинская ГЭС-9 (филиал "Карельский" ОАО "ТГК-1")</t>
  </si>
  <si>
    <t>Подужемская ГЭС-10 (филиал "Карельский" ОАО "ТГК-1")</t>
  </si>
  <si>
    <t>Кривопорожская ГЭС-14 (филиал "Карельский" ОАО "ТГК-1")</t>
  </si>
  <si>
    <t>Юшкозерская ГЭС-16 (филиал "Карельский" ОАО "ТГК-1")</t>
  </si>
  <si>
    <t>Пальеозерская ГЭС-2 (филиал "Карельский" ОАО "ТГК-1")</t>
  </si>
  <si>
    <t>Кондопожская ГЭС-1 (филиал "Карельский" ОАО "ТГК-1")</t>
  </si>
  <si>
    <t>Малые ГЭС Каскада Сунских ГЭС (филиал "Карельский" ОАО "ТГК-1")</t>
  </si>
  <si>
    <t>МГЭС Ляскеля (ЗАО "Норд Гидро")</t>
  </si>
  <si>
    <t>МГЭС Рюмякоски (ЗАО "Норд Гидро")</t>
  </si>
  <si>
    <t>МГЭС "Каллиокоски" (ЗАО "Норд Гидро")</t>
  </si>
  <si>
    <t>Нива ГЭС-1 (филиал "Кольский" ОАО "ТГК-1")</t>
  </si>
  <si>
    <t>Нива ГЭС-2 (филиал "Кольский" ОАО "ТГК-1")</t>
  </si>
  <si>
    <t>Нива ГЭС-3 (филиал "Кольский" ОАО "ТГК-1")</t>
  </si>
  <si>
    <t>Княжегубская ГЭС-11 (филиал "Кольский" ОАО "ТГК-1")</t>
  </si>
  <si>
    <t>Кумская ГЭС-9 (филиал "Кольский" ОАО "ТГК-1")</t>
  </si>
  <si>
    <t>Иовская ГЭС-10 (филиал "Кольский" ОАО "ТГК-1")</t>
  </si>
  <si>
    <t>Кайтакоски ГЭС-4 (филиал "Кольский" ОАО "ТГК-1")</t>
  </si>
  <si>
    <t>Янискоски ГЭС-5 (филиал "Кольский" ОАО "ТГК-1")</t>
  </si>
  <si>
    <t>Раякоски ГЭС-6 (филиал "Кольский" ОАО "ТГК-1")</t>
  </si>
  <si>
    <t>Хеваскоски ГЭС-7 (филиал "Кольский" ОАО "ТГК-1")</t>
  </si>
  <si>
    <t>Борисоглебская ГЭС-8 (филиал "Кольский" ОАО "ТГК-1")</t>
  </si>
  <si>
    <t>Верхне-Туломская ГЭС-12 (филиал "Кольский" ОАО "ТГК-1")</t>
  </si>
  <si>
    <t>Нижне-Туломская ГЭС (филиал "Кольский" ОАО "ТГК-1")</t>
  </si>
  <si>
    <t>ГЭС-15 Серебрянская-1 (филиал "Кольский" ОАО "ТГК-1")</t>
  </si>
  <si>
    <t>ГЭС-16 Серебрянская-2 (филиал "Кольский" ОАО "ТГК-1")</t>
  </si>
  <si>
    <t>Верхнетериберская ГЭС-18 (филиал "Кольский" ОАО "ТГК-1")</t>
  </si>
  <si>
    <t>Нижнетериберская ГЭС-19 (филиал "Кольский" ОАО "ТГК-1")</t>
  </si>
  <si>
    <t>Воркутинская ТЭЦ-1 (ООО "Воркутинские ТЭЦ")</t>
  </si>
  <si>
    <t>Воркутинская ТЭЦ-2 (ОАО "Воркутинские ТЭЦ")</t>
  </si>
  <si>
    <t>ТЭС (ООО "Самсон")</t>
  </si>
  <si>
    <t>ТЭЦ (ОАО "НПО ЦКТИ")</t>
  </si>
  <si>
    <t xml:space="preserve">Лесогорская ГЭС-10 (филиал "Невский" ОАО "ТГК-1") </t>
  </si>
  <si>
    <t>Светлогорская ГЭС-11 (филиал "Невский" ОАО "ТГК-1")</t>
  </si>
  <si>
    <t>Нарвская ГЭС-13 (филиал "Невский" ОАО "ТГК-1")</t>
  </si>
  <si>
    <t>Северная ТЭЦ-21 (филиал "Невский" ОАО "ТГК-1")</t>
  </si>
  <si>
    <t>ТЭЦ (ЗАО "Интернешнл Пейпер")</t>
  </si>
  <si>
    <r>
      <t xml:space="preserve">Астраханская ГРЭС (ООО "ЛУКОЙЛ-Астраханьэнерго") - ПГУ 110 НВ, ДПМ </t>
    </r>
    <r>
      <rPr>
        <b/>
        <sz val="12"/>
        <color indexed="10"/>
        <rFont val="Times New Roman Cyr"/>
        <charset val="204"/>
      </rPr>
      <t>01.07.2011</t>
    </r>
  </si>
  <si>
    <t>Котельная "Центральная" (ООО "ЛУКОЙЛ-Астраханьэнерго")</t>
  </si>
  <si>
    <r>
      <t xml:space="preserve">Котельная "Центральная" (ООО "ЛУКОЙЛ-Астраханьэнерго") ПГУ №1 118 МВт НВ </t>
    </r>
    <r>
      <rPr>
        <b/>
        <sz val="12"/>
        <color indexed="10"/>
        <rFont val="Times New Roman"/>
        <family val="1"/>
        <charset val="204"/>
      </rPr>
      <t>28.06.2013</t>
    </r>
    <r>
      <rPr>
        <sz val="12"/>
        <rFont val="Times New Roman"/>
        <family val="1"/>
        <charset val="204"/>
      </rPr>
      <t/>
    </r>
  </si>
  <si>
    <r>
      <t xml:space="preserve">Котельная "Центральная" (ООО "ЛУКОЙЛ-Астраханьэнерго") </t>
    </r>
    <r>
      <rPr>
        <sz val="12"/>
        <rFont val="Times New Roman"/>
        <family val="1"/>
        <charset val="204"/>
      </rPr>
      <t xml:space="preserve">ПГУ №2 117 МВт НВ </t>
    </r>
    <r>
      <rPr>
        <b/>
        <sz val="12"/>
        <color indexed="10"/>
        <rFont val="Times New Roman"/>
        <family val="1"/>
        <charset val="204"/>
      </rPr>
      <t>01.10.2013</t>
    </r>
  </si>
  <si>
    <t>Михайловская ТЭЦ (Михайловские теплосети)</t>
  </si>
  <si>
    <t>ТЭС Жирновской компрессорной станции (ООО "Газпром трансгаз Волгоград")</t>
  </si>
  <si>
    <t>Мини-ТЭС г. Черкесск (ООО Генерация)</t>
  </si>
  <si>
    <r>
      <t xml:space="preserve">Краснодарская ТЭЦ (ООО "ЛУКОЙЛ-Кубаньэнерго") ПГУ 410 НВ </t>
    </r>
    <r>
      <rPr>
        <b/>
        <sz val="12"/>
        <color indexed="10"/>
        <rFont val="Times New Roman"/>
        <family val="1"/>
        <charset val="204"/>
      </rPr>
      <t>15.03.2012</t>
    </r>
  </si>
  <si>
    <t>Ейская ТЭС (ООО "Ейская ТЭС")</t>
  </si>
  <si>
    <t>ТЭЦ-1 (ООО "Коммунальная энергетика" )</t>
  </si>
  <si>
    <t>ТЭЦ ООО "Хоста"</t>
  </si>
  <si>
    <t>Шахтинская ГТЭС (ООО "Шахтинская ГТЭС")</t>
  </si>
  <si>
    <r>
      <t xml:space="preserve">Ростовская ТЭЦ-2 (ООО "ЛУКОЙЛ-Ростовэнерго") Бл №1 перемаркир </t>
    </r>
    <r>
      <rPr>
        <b/>
        <sz val="12"/>
        <color indexed="10"/>
        <rFont val="Times New Roman Cyr"/>
        <charset val="204"/>
      </rPr>
      <t>01.07.2015</t>
    </r>
  </si>
  <si>
    <t>Ростовская ТЭЦ-2 (ООО "ЛУКОЙЛ-Ростовэнерго") Бл №2</t>
  </si>
  <si>
    <t>Фаснальская ГЭС (ОАО "Турбохолод")</t>
  </si>
  <si>
    <t>Павлодольская ГЭС (ОАО "Павлодольская ГЭС")</t>
  </si>
  <si>
    <t>Каскад Кубанских ГЭС (филиал ОАО "РусГидро")</t>
  </si>
  <si>
    <t>Кисловодская ТЭЦ (ООО "ЛУКОЙЛ Ставропольэнерго")</t>
  </si>
  <si>
    <t>Лермонтовская ТЭЦ (ЗАО "Южная энергетическая компания")</t>
  </si>
  <si>
    <r>
      <t xml:space="preserve">Запикетная ГПА-ТЭЦ (ООО "ЛУКОЙЛ Ставропольэнерго") 5,3 МВт НВ </t>
    </r>
    <r>
      <rPr>
        <b/>
        <sz val="12"/>
        <color indexed="10"/>
        <rFont val="Times New Roman"/>
        <family val="1"/>
        <charset val="204"/>
      </rPr>
      <t>01.01.2016</t>
    </r>
  </si>
  <si>
    <r>
      <t xml:space="preserve">Буденновская ПГУ-ТЭС  (ООО "ЛУКОЙЛ Ставропольэнерго") ПГУ 136 НВ, ДПМ </t>
    </r>
    <r>
      <rPr>
        <b/>
        <sz val="12"/>
        <color indexed="10"/>
        <rFont val="Times New Roman"/>
        <family val="1"/>
        <charset val="204"/>
      </rPr>
      <t>21.02.2015</t>
    </r>
  </si>
  <si>
    <t>ТЭЦ (ОАО "Ставропольсахар")</t>
  </si>
  <si>
    <t>ГПЭС (ЗАО "Сен-Гобен Кавминстекло")</t>
  </si>
  <si>
    <t>Барнаульская ТЭЦ-2 (ОАО "Барнаульская генерация")</t>
  </si>
  <si>
    <t>ТЭЦ (МУП "Яровской теплоэлектрокомплекс" ОАО "Алтайские Гербициды")</t>
  </si>
  <si>
    <t>ТЭЦ (ОАО "Кучуксульфат")</t>
  </si>
  <si>
    <t>ТЭЦ (ОАО Черемновский сахарный завод)</t>
  </si>
  <si>
    <t>ТЭЦ Алтай-кокс (ОАО "Алтай-Кокс")</t>
  </si>
  <si>
    <t>Кош-Агачская СЭС (ООО "Авелар Солар Технолоджи")</t>
  </si>
  <si>
    <t>Украина (в энергосистему Республики Крым и г. Севастополь)</t>
  </si>
  <si>
    <t>ТЭЦ (ОАО "Селенгинский ЦКК")</t>
  </si>
  <si>
    <r>
      <t xml:space="preserve">ВЭС (ООО "АЛТЭН") 2,4 МВт НВ </t>
    </r>
    <r>
      <rPr>
        <b/>
        <sz val="12"/>
        <color indexed="10"/>
        <rFont val="Times New Roman Cyr"/>
        <charset val="204"/>
      </rPr>
      <t>01.01.2016</t>
    </r>
  </si>
  <si>
    <t>Приютненская ВЭС (ООО "АЛТЭН") 1 очередь НВ</t>
  </si>
  <si>
    <t>ТЭЦ (ОАО "Приаргунское производственное горно-химическое объединение")</t>
  </si>
  <si>
    <t>Первомайская ТЭЦ (ООО "Первомайская ТЭЦ")</t>
  </si>
  <si>
    <t>Мамаканская ГЭС (ЗАО "Витимэнергосбыт")</t>
  </si>
  <si>
    <t>ТЭЦ (ООО «Теплоснабжение»)</t>
  </si>
  <si>
    <t>Енашиминская ГЭС (ООО "Енашиминская ГЭС")</t>
  </si>
  <si>
    <t>Красноярская ГЭС (ПАО "Красноярская ГЭС")</t>
  </si>
  <si>
    <t>Богучанская ГЭС (ОАО "Богучанская ГЭС")</t>
  </si>
  <si>
    <t>Кызыльская ТЭЦ (ОАО "Кызылская ТЭЦ")</t>
  </si>
  <si>
    <t>Центральная ТЭЦ (ООО "Центральная ТЭЦ" (ТЭЦ ОАО "НКМК"))</t>
  </si>
  <si>
    <t>Южно-Кузбасская ГРЭС (ОАО "Южно-Кузбасская ГРЭС")</t>
  </si>
  <si>
    <t>ТЭЦ (ООО"Юргинский машзавод")</t>
  </si>
  <si>
    <t>Абазинская ТЭЦ (ООО "Абаза - Энерго")</t>
  </si>
  <si>
    <t>Сорская  ТЭЦ (ООО "Сорский ГОК")</t>
  </si>
  <si>
    <r>
      <t xml:space="preserve">Благовещенская ТЭЦ (филиал ОАО "ДГК") Бл №4 120 МВт НВ </t>
    </r>
    <r>
      <rPr>
        <b/>
        <sz val="12"/>
        <color indexed="10"/>
        <rFont val="Times New Roman Cyr"/>
        <charset val="204"/>
      </rPr>
      <t>01.11.2015</t>
    </r>
  </si>
  <si>
    <t>Каскад Вилюйских ГЭС</t>
  </si>
  <si>
    <r>
      <t xml:space="preserve">Восточная ГТУ-ТЭЦ на площадке ЦПВБ НВ </t>
    </r>
    <r>
      <rPr>
        <b/>
        <sz val="12"/>
        <color indexed="10"/>
        <rFont val="Times New Roman Cyr"/>
        <charset val="204"/>
      </rPr>
      <t>01.08.2015</t>
    </r>
  </si>
  <si>
    <t>мини ТЭЦ Северная (о. Русский)</t>
  </si>
  <si>
    <t>мини ТЭЦ Центральная (о. Русский)</t>
  </si>
  <si>
    <t>мини ТЭЦ Океанариум (о. Русский)</t>
  </si>
  <si>
    <t>Север. Казахстан</t>
  </si>
  <si>
    <t>Волгогр-Калмык</t>
  </si>
  <si>
    <t>Новокарачаевская МГЭС (ЗАО "Фотон")</t>
  </si>
  <si>
    <t>ТЭЦ ООО "Тепло-Сбыт-Сервис" (ТЭЦ Канского биохимзавода)</t>
  </si>
  <si>
    <t>КРЫМСКАЯ</t>
  </si>
  <si>
    <t>энергосистема</t>
  </si>
  <si>
    <t>КРЫМ</t>
  </si>
  <si>
    <t>Прогнозное сальдо перетоков ОЭС Сибири</t>
  </si>
  <si>
    <t>Владимирская ТЭЦ2 (Владимирский филиал ПАО  "Т Плюс")</t>
  </si>
  <si>
    <t>Владимирская ТЭЦ2 без ДПМ/НВ/ВР (Владимирский филиал ПАО  "Т Плюс")</t>
  </si>
  <si>
    <r>
      <t xml:space="preserve">Владимирская ТЭЦ-2 (Владимирский филиал ПАО  "Т Плюс") ПГУ-231 МВт ДПМ </t>
    </r>
    <r>
      <rPr>
        <b/>
        <sz val="12"/>
        <color indexed="10"/>
        <rFont val="Times New Roman Cyr"/>
        <charset val="204"/>
      </rPr>
      <t>01.01.2015</t>
    </r>
  </si>
  <si>
    <r>
      <t xml:space="preserve">Череповецкая ГРЭС (филиал ПАО "ОГК-2" ) ПГУ-420 Мвт ДПМ </t>
    </r>
    <r>
      <rPr>
        <b/>
        <sz val="12"/>
        <color indexed="10"/>
        <rFont val="Times New Roman"/>
        <family val="1"/>
        <charset val="204"/>
      </rPr>
      <t>01.09.2014</t>
    </r>
  </si>
  <si>
    <t>Воронежская ТЭЦ 1 (Воронежский филиал ПАО "Квадра")</t>
  </si>
  <si>
    <t>Воронежская ТЭЦ 2 (Воронежский филиал ПАО "Квадра")</t>
  </si>
  <si>
    <r>
      <t xml:space="preserve">Воронежская ТЭЦ 2 ПГУ-115 (Воронежский филиал ПАО "Квадра") НВ, ДПМ </t>
    </r>
    <r>
      <rPr>
        <b/>
        <sz val="12"/>
        <color indexed="10"/>
        <rFont val="Times New Roman Cyr"/>
        <charset val="204"/>
      </rPr>
      <t>01.01.2011</t>
    </r>
  </si>
  <si>
    <t>Ивановская ТЭЦ 2 (Ивановский филиал ПАО  "Т Плюс")</t>
  </si>
  <si>
    <t>Ивановская ТЭЦ 3 (Ивановский филиал ПАО  "Т Плюс")</t>
  </si>
  <si>
    <t>Калужская ТЭЦ-1 (Калужский филиал ПАО "Квадра")</t>
  </si>
  <si>
    <r>
      <t xml:space="preserve">Калужская ТЭЦ-1 ГТУ 30  (Калужский филиал ПАО "Квадра") НВ, ДПМ </t>
    </r>
    <r>
      <rPr>
        <b/>
        <sz val="12"/>
        <color indexed="10"/>
        <rFont val="Times New Roman Cyr"/>
        <charset val="204"/>
      </rPr>
      <t>01.08.2011</t>
    </r>
  </si>
  <si>
    <t>Курская ТЭЦ-1 (Курский филиал ПАО "Квадра")</t>
  </si>
  <si>
    <t>Липецкая ТЭЦ-2 (Восточный филиал Липецкий район ПАО "Квадра")</t>
  </si>
  <si>
    <t>Елецкая ТЭЦ (Восточный филиал Липецкий район ПАО "Квадра")</t>
  </si>
  <si>
    <r>
      <t xml:space="preserve">Елецкая ТЭЦ (Восточный филиал Липецкий район ПАО "Квадра") (ПГУ-52) НВ, ДПМ </t>
    </r>
    <r>
      <rPr>
        <b/>
        <sz val="12"/>
        <color indexed="10"/>
        <rFont val="Times New Roman Cyr"/>
        <charset val="204"/>
      </rPr>
      <t>01.08.2009</t>
    </r>
  </si>
  <si>
    <t>Данковская ТЭЦ (Восточный филиал Липецкий район ПАО "Квадра")</t>
  </si>
  <si>
    <t>ТЭЦ сахарных заводов Липецкой области</t>
  </si>
  <si>
    <t>Орловская ТЭЦ (Орловский филиал ПАО "Квадра")</t>
  </si>
  <si>
    <t>Ливенская ТЭЦ (Орловский филиал ПАО "Квадра")</t>
  </si>
  <si>
    <t>Ливенская ТЭЦ (Орловский филиал ПАО "Квадра") ГТУ 30 МВт НВ, ДПМ</t>
  </si>
  <si>
    <t xml:space="preserve">ТЭЦ ОАО "Мценский завод "Коммаш"                                                                                                 </t>
  </si>
  <si>
    <t>Дягилевская ТЭЦ (Рязанский филиал ПАО "Квадра")</t>
  </si>
  <si>
    <t>ГРЭС-24 (филиал ПАО "ОГК-2") ПГУ-420</t>
  </si>
  <si>
    <r>
      <t xml:space="preserve">Рязанская ГРЭС (филиал ПАО "ОГК-2") ПСУ-330 К-330-240 ст.№2 ДПМ НВ </t>
    </r>
    <r>
      <rPr>
        <b/>
        <sz val="12"/>
        <color indexed="10"/>
        <rFont val="Times New Roman"/>
        <family val="1"/>
        <charset val="204"/>
      </rPr>
      <t>30.11.2015</t>
    </r>
  </si>
  <si>
    <t>Ново-Рязанская ТЭЦ (ООО "Новорязанская ТЭЦ")</t>
  </si>
  <si>
    <t>Смоленская ТЭЦ-2 (Смоленский филиал ПАО "Квадра")</t>
  </si>
  <si>
    <t>Тамбовская ТЭЦ (Восточный филиал Тамбовский район ПАО "Квадра")</t>
  </si>
  <si>
    <t>Новомосковская ГРЭС (Тульский филиал ПАО "Квадра")</t>
  </si>
  <si>
    <r>
      <t xml:space="preserve">Новомосковская ГРЭС (Тульский филиал ПАО "Квадра") ПГУ 190 НВ ДПМ </t>
    </r>
    <r>
      <rPr>
        <b/>
        <sz val="12"/>
        <color indexed="10"/>
        <rFont val="Times New Roman Cyr"/>
        <charset val="204"/>
      </rPr>
      <t>17.04.2013</t>
    </r>
  </si>
  <si>
    <t>Алексинская ТЭЦ (Тульский филиал ПАО "Квадра")</t>
  </si>
  <si>
    <t>Ефремовская ТЭЦ (Тульский филиал ПАО "Квадра")</t>
  </si>
  <si>
    <t>Каскад Верхневолжских ГЭС -(филиал ПАО "РусГидро")</t>
  </si>
  <si>
    <t>ГЭС-1 им. Смидовича (филиал ПАО "Мосэнерго" )</t>
  </si>
  <si>
    <t>ТЭЦ-8 (филиал ПАО "Мосэнерго")</t>
  </si>
  <si>
    <t>ТЭЦ-9 (филиал ПАО "Мосэнерго" )</t>
  </si>
  <si>
    <r>
      <t xml:space="preserve">ТЭЦ-9 (филиал ПАО "Мосэнерго" )  ГТУ-64,8 НВ </t>
    </r>
    <r>
      <rPr>
        <b/>
        <sz val="12"/>
        <color indexed="10"/>
        <rFont val="Times New Roman"/>
        <family val="1"/>
        <charset val="204"/>
      </rPr>
      <t>24.02.2014</t>
    </r>
  </si>
  <si>
    <t>ТЭЦ-11 (филиал ПАО "Мосэнерго" )</t>
  </si>
  <si>
    <t>ТЭЦ-9 (филиал ПАО "Мосэнерго" ) без ДПМ/НВ/ВР</t>
  </si>
  <si>
    <t>ТЭЦ12 (филиал ПАО "Мосэнерго" )</t>
  </si>
  <si>
    <r>
      <t xml:space="preserve">ТЭЦ-12 (филиал ПАО "Мосэнерго" ) ПГУ-220 НВ, ДПМ </t>
    </r>
    <r>
      <rPr>
        <b/>
        <sz val="12"/>
        <color indexed="10"/>
        <rFont val="Times New Roman"/>
        <family val="1"/>
        <charset val="204"/>
      </rPr>
      <t>01.05.2015</t>
    </r>
  </si>
  <si>
    <t>ТЭЦ16 (филиал ПАО "Мосэнерго" )</t>
  </si>
  <si>
    <t>ТЭЦ20 (филиал ПАО "Мосэнерго" )</t>
  </si>
  <si>
    <r>
      <t xml:space="preserve">ТЭЦ-20 (филиал ПАО "Мосэнерго" ) ПГУ-420 НВ, ДПМ </t>
    </r>
    <r>
      <rPr>
        <b/>
        <sz val="12"/>
        <color indexed="10"/>
        <rFont val="Times New Roman"/>
        <family val="1"/>
        <charset val="204"/>
      </rPr>
      <t>01.12.2015</t>
    </r>
  </si>
  <si>
    <t>ТЭЦ-21 (филиал ПАО "Мосэнерго" )</t>
  </si>
  <si>
    <t>ТЭЦ-21 (филиал ПАО "Мосэнерго" ) без ДПМ/НВ/ВР</t>
  </si>
  <si>
    <r>
      <t xml:space="preserve">ТЭЦ-21 (филиал ПАО "Мосэнерго" ) бл. №11 ПГУ-450 НВ, ДПМ </t>
    </r>
    <r>
      <rPr>
        <b/>
        <sz val="12"/>
        <color indexed="10"/>
        <rFont val="Times New Roman"/>
        <family val="1"/>
        <charset val="204"/>
      </rPr>
      <t>01.08.2008</t>
    </r>
  </si>
  <si>
    <t>ТЭЦ-23 (филиал ПАО "Мосэнерго" )</t>
  </si>
  <si>
    <t>ТЭЦ-25 (филиал ПАО "Мосэнерго" )</t>
  </si>
  <si>
    <t>ТЭЦ-26 (филиал ПАО "Мосэнерго" )</t>
  </si>
  <si>
    <t>ТЭЦ-23 (филиал ПАО "Мосэнерго" ) без ДПМ/НВ/ВР</t>
  </si>
  <si>
    <r>
      <t xml:space="preserve">ТЭЦ-23 (филиал ПАО "Мосэнерго" ) ТА № 2 110 МВт НВ </t>
    </r>
    <r>
      <rPr>
        <b/>
        <sz val="12"/>
        <color indexed="10"/>
        <rFont val="Times New Roman"/>
        <family val="1"/>
        <charset val="204"/>
      </rPr>
      <t>01.01.2009</t>
    </r>
  </si>
  <si>
    <t>ТЭЦ-26 (филиал ПАО "Мосэнерго" ) без ДПМ/НВ/ВР</t>
  </si>
  <si>
    <r>
      <t xml:space="preserve">ТЭЦ-26 (филиал ПАО "Мосэнерго" ) бл. № 8 ПГУ-420 НВ, ДПМ </t>
    </r>
    <r>
      <rPr>
        <b/>
        <sz val="12"/>
        <color indexed="10"/>
        <rFont val="Times New Roman"/>
        <family val="1"/>
        <charset val="204"/>
      </rPr>
      <t>01.07.2011</t>
    </r>
  </si>
  <si>
    <t>ГРЭС-3 им. Классона (филиал ПАО "Мосэнерго" )</t>
  </si>
  <si>
    <t>ТЭЦ-29 (ООО "Глобус")</t>
  </si>
  <si>
    <t>ТЭЦ-6 (ООО "Орехово-Зуевская теплосеть")</t>
  </si>
  <si>
    <t>ГТУ ТЭЦ г. Павловский Посад (ТЭЦ-30 филиал ПАО "Мосэнерго")</t>
  </si>
  <si>
    <t>ТЭЦ-17 (филиал ПАО "Мосэнерго")</t>
  </si>
  <si>
    <t>ТЭЦ-22 (филиал ПАО "Мосэнерго" )</t>
  </si>
  <si>
    <t>ТЭЦ-27 (филиал ПАО "Мосэнерго" )</t>
  </si>
  <si>
    <t xml:space="preserve">ТЭЦ-27 (филиал ПАО "Мосэнерго") Бл №1,2 без ДПМ/НВ/ВР </t>
  </si>
  <si>
    <r>
      <t xml:space="preserve">ТЭЦ-27 (филиал ПАО "Мосэнерго" ) - бл.№ 3 НВ, ДПМ </t>
    </r>
    <r>
      <rPr>
        <b/>
        <sz val="12"/>
        <color indexed="10"/>
        <rFont val="Times New Roman Cyr"/>
        <charset val="204"/>
      </rPr>
      <t>01.12.2007</t>
    </r>
  </si>
  <si>
    <r>
      <t xml:space="preserve">ТЭЦ-27 (филиал ПАО "Мосэнерго" ) - бл.№ 4 НВ, ДПМ </t>
    </r>
    <r>
      <rPr>
        <b/>
        <sz val="12"/>
        <color indexed="10"/>
        <rFont val="Times New Roman Cyr"/>
        <charset val="204"/>
      </rPr>
      <t>01.01.2009</t>
    </r>
  </si>
  <si>
    <t>Загорская ГАЭС (филиал ПАО "РусГидро")</t>
  </si>
  <si>
    <t>Нижегородская ГЭС (филиал ПАО "РусГидро")</t>
  </si>
  <si>
    <t>Саратовская ГЭС (филиал ПАО "РусГидро")</t>
  </si>
  <si>
    <t>Кировская ТЭЦ-1 (Кировский филиал ПАО "Т Плюс")</t>
  </si>
  <si>
    <t>Кировская ТЭЦ-3 (Кировский филиал ПАО "Т Плюс")</t>
  </si>
  <si>
    <t>Кировская ТЭЦ3 (Кировский филиал ПАО "Т Плюс") без ДПМ/НВ/ВР</t>
  </si>
  <si>
    <t>Кировская ТЭЦ-3 (Кировский филиал ПАО "Т Плюс") ПГУ БЛ-1 ДПМ</t>
  </si>
  <si>
    <t>Кировская ТЭЦ-4 (Кировский филиал ПАО "Т Плюс")</t>
  </si>
  <si>
    <r>
      <t xml:space="preserve">Кировская ТЭЦ-4 (Кировский филиал ПАО "Т Плюс") ТГ 2 ДПМ </t>
    </r>
    <r>
      <rPr>
        <b/>
        <sz val="12"/>
        <color indexed="10"/>
        <rFont val="Times New Roman Cyr"/>
        <charset val="204"/>
      </rPr>
      <t>21.03.2014</t>
    </r>
  </si>
  <si>
    <r>
      <t xml:space="preserve">Кировская ТЭЦ-4 (Кировский филиал ПАО "Т Плюс") ТГ-6 ДПМ </t>
    </r>
    <r>
      <rPr>
        <b/>
        <sz val="12"/>
        <color indexed="10"/>
        <rFont val="Times New Roman Cyr"/>
        <charset val="204"/>
      </rPr>
      <t>12.12.2014</t>
    </r>
  </si>
  <si>
    <t>Кировская ТЭЦ-4 (Кировский филиал ПАО "Т Плюс") ТГ 1,3-5 без ДПМ/НВ/ВР</t>
  </si>
  <si>
    <t>Кировская ТЭЦ-5 (Кировский филиал ПАО "Т Плюс")</t>
  </si>
  <si>
    <t>Орская ТЭЦ-1 (Оренбургский филиал ПАО "Т Плюс")</t>
  </si>
  <si>
    <t>Сакмарская ТЭЦ (Оренбургский филиал ПАО "Т Плюс")</t>
  </si>
  <si>
    <t>Сакмарская ТЭЦ (Оренбургский филиал ПАО "Т Плюс") без ДПМ/НВ/ВР</t>
  </si>
  <si>
    <t>Сакмарская ТЭЦ (Оренбургский филиал ПАО "Т Плюс") ТГ-1 отказ от ДПМ НВ</t>
  </si>
  <si>
    <t>Сакмарская ТЭЦ (Оренбургский филиал ПАО "Т Плюс") ТГ-4 отказ от ДПМ НВ</t>
  </si>
  <si>
    <t>Каргалинская ТЭЦ (Оренбургский филиал ПАО "Т Плюс")</t>
  </si>
  <si>
    <t>Медногорская ТЭЦ (Оренбургский филиал ПАО "Т Плюс")</t>
  </si>
  <si>
    <t>Березниковская ТЭЦ-2 (Пермский филиал ПАО "Т Плюс")</t>
  </si>
  <si>
    <t>Березниковская ТЭЦ-4 (Пермский филиал ПАО "Т Плюс")</t>
  </si>
  <si>
    <t>Закамская ТЭЦ-5 (Пермский филиал ПАО "Т Плюс")</t>
  </si>
  <si>
    <t>Пермская ТЭЦ-6 (Пермский филиал ПАО "Т Плюс")</t>
  </si>
  <si>
    <t>Пермская ТЭЦ-6 (Пермский филиал ПАО "Т Плюс") без ДПМ/НВ/ВР</t>
  </si>
  <si>
    <r>
      <t xml:space="preserve">Пермская ТЭЦ-6 ПГУ (Пермский филиал ПАО "Т Плюс") ПГУ-124 НВ, ДПМ </t>
    </r>
    <r>
      <rPr>
        <b/>
        <sz val="12"/>
        <color indexed="10"/>
        <rFont val="Times New Roman Cyr"/>
        <charset val="204"/>
      </rPr>
      <t>27.02.2012</t>
    </r>
  </si>
  <si>
    <t>Пермская ТЭЦ-9 (Пермский филиал ПАО "Т Плюс")</t>
  </si>
  <si>
    <t>Пермская ТЭЦ-9 (Пермский филиал ПАО "Т Плюс") без ДПМ/НВ/ВР</t>
  </si>
  <si>
    <r>
      <t xml:space="preserve">Пермская ТЭЦ-9 (Пермский филиал ПАО "Т Плюс") ПГУ 165 НВ, ДПМ </t>
    </r>
    <r>
      <rPr>
        <b/>
        <sz val="12"/>
        <color indexed="10"/>
        <rFont val="Times New Roman Cyr"/>
        <charset val="204"/>
      </rPr>
      <t>01.12.2013</t>
    </r>
  </si>
  <si>
    <t>Березниковская ТЭЦ-10 (Пермский филиал ПАО "Т Плюс")</t>
  </si>
  <si>
    <t>Пермская ТЭЦ-14 (Пермский филиал ПАО "Т Плюс")</t>
  </si>
  <si>
    <t>Пермская ТЭЦ-14 ((Пермский филиал ПАО "Т Плюс") без ДПМ/НВ/ВР</t>
  </si>
  <si>
    <t>Пермская ТЭЦ-14 (Пермский филиал ПАО "Т Плюс") ТГ 2 НВ</t>
  </si>
  <si>
    <t>Чайковская ТЭЦ-18 (Пермский филиал ПАО "Т Плюс")</t>
  </si>
  <si>
    <t>Пермская ТЭЦ-13 (Пермский филиал ПАО "Т Плюс")</t>
  </si>
  <si>
    <t>Пермская ГРЭС (АО "ИНТЕР РАО - Электрогенерация")</t>
  </si>
  <si>
    <t>Ириклинская ГРЭС АО ""Интер РАО-электрогенерация"")</t>
  </si>
  <si>
    <t>Ириклинская ГЭС (АО ""Интер РАО-электрогенерация"") ГГ 2-5</t>
  </si>
  <si>
    <t xml:space="preserve">Черепетская ГРЭС (филиал АО "Интер РАО - Электрогенерация") </t>
  </si>
  <si>
    <r>
      <t xml:space="preserve">Черепетская ГРЭС (АО "Интер РАО - Электрогенерация") блок №8 НВ </t>
    </r>
    <r>
      <rPr>
        <b/>
        <sz val="12"/>
        <color indexed="10"/>
        <rFont val="Times New Roman"/>
        <family val="1"/>
        <charset val="204"/>
      </rPr>
      <t>01.10.2014</t>
    </r>
  </si>
  <si>
    <r>
      <t xml:space="preserve">Черепетская ГРЭС (АО "Интер РАО - Электрогенерация") блок №9 НВ </t>
    </r>
    <r>
      <rPr>
        <b/>
        <sz val="12"/>
        <color indexed="10"/>
        <rFont val="Times New Roman"/>
        <family val="1"/>
        <charset val="204"/>
      </rPr>
      <t>01.03.2015</t>
    </r>
  </si>
  <si>
    <t>Костромская ГРЭС (филиал АО ""Интер РАО-электрогенерация"")</t>
  </si>
  <si>
    <t>Ивановские ПГУ (филиал АО "Интер РАО-электрогенерация") энергоблок № 2 ПГУ 325  ДПМ</t>
  </si>
  <si>
    <t>Воткинская ГЭС( филиал ПАО "РусГидро")</t>
  </si>
  <si>
    <t>Камская ГЭС (филиал ПАО "РусГидро")</t>
  </si>
  <si>
    <t>Среднеуральская ГРЭС (филиал ПАО "Энел Россия")</t>
  </si>
  <si>
    <t>Среднеуральская ГРЭС (филиал ПАО "Энел Россия") без ДПМ/НВ/ВР</t>
  </si>
  <si>
    <r>
      <t xml:space="preserve">Среднеуральская ГРЭС (филиал ПАО "Энел Россия") ПГУ блок №12  </t>
    </r>
    <r>
      <rPr>
        <b/>
        <sz val="12"/>
        <color indexed="10"/>
        <rFont val="Times New Roman Cyr"/>
        <charset val="204"/>
      </rPr>
      <t>01.12.2011</t>
    </r>
  </si>
  <si>
    <t>Рефтинская ГРЭС (филиал ПАО "Энел Россия")</t>
  </si>
  <si>
    <t xml:space="preserve">Рязанская ГРЭС (филиал ПАО "ОГК-2") без ДПМ/НВ/ВР </t>
  </si>
  <si>
    <t>Рязанская ГРЭС (филиал ПАО "ОГК-2")</t>
  </si>
  <si>
    <t>Череповецкая ГРЭС (филиал ПАО "ОГК-2" )</t>
  </si>
  <si>
    <t>Череповецкая ГРЭС без ДПМ/НВ/ВР (филиал ПАО "ОГК-2" )</t>
  </si>
  <si>
    <r>
      <t xml:space="preserve">Серовская ГРЭС  (Филиал ПАО "ОГК-2") БЛ-1 ПГУ-420 НВ, ДПМ </t>
    </r>
    <r>
      <rPr>
        <b/>
        <sz val="12"/>
        <color indexed="10"/>
        <rFont val="Times New Roman Cyr"/>
        <charset val="204"/>
      </rPr>
      <t>01.12.2015</t>
    </r>
  </si>
  <si>
    <t>Верхнетагильская ГРЭС (АО "ИНТЕР РАО - Электрогенерация")</t>
  </si>
  <si>
    <t>Нижнетуринская ГРЭС (Свердловский филиал ПАО "Т Плюс")</t>
  </si>
  <si>
    <r>
      <t xml:space="preserve">Нижнетуринская ГРЭС (Свердловский филиал ПАО "Т Плюс") БЛ-1 ПГУ-230 НВ, ДПМ </t>
    </r>
    <r>
      <rPr>
        <b/>
        <sz val="12"/>
        <color indexed="10"/>
        <rFont val="Times New Roman Cyr"/>
        <charset val="204"/>
      </rPr>
      <t>01.01.2016</t>
    </r>
  </si>
  <si>
    <t>Ново-Свердловская ТЭЦ (Свердловский филиал ПАО "Т Плюс")</t>
  </si>
  <si>
    <t>Свердловская ТЭЦ (Свердловский филиал ПАО "Т Плюс")</t>
  </si>
  <si>
    <t>Первоуральская ТЭЦ (Свердловский филиал ПАО "Т Плюс")</t>
  </si>
  <si>
    <t>Верхотурская ГЭС (Свердловский филиал ПАО "Т Плюс")</t>
  </si>
  <si>
    <t>Ижевская ТЭЦ-1 (Удмуртский филиал ПАО "Т Плюс")</t>
  </si>
  <si>
    <t>Ижевская ТЭЦ-1 (Удмуртский филиал ПАО "Т Плюс") без ДПМ/НВ/ВР</t>
  </si>
  <si>
    <r>
      <t xml:space="preserve">Ижевская ТЭЦ-1 (Удмуртский филиал ПАО "Т Плюс") ПГУ 230,6 ДПМ </t>
    </r>
    <r>
      <rPr>
        <b/>
        <sz val="12"/>
        <color indexed="10"/>
        <rFont val="Times New Roman Cyr"/>
        <charset val="204"/>
      </rPr>
      <t>18.04.2014</t>
    </r>
  </si>
  <si>
    <t>Ижевская ТЭЦ-2 (Удмуртский филиал ПАО "Т Плюс")</t>
  </si>
  <si>
    <t>Воткинская ТЭЦ (ФГУП "Воткинский завод")</t>
  </si>
  <si>
    <t>мини-ТЭЦ (ООО "Удмуртские коммунальные системы")</t>
  </si>
  <si>
    <t>Троицкая ГРЭС (филиал ПАО "ОГК-2")</t>
  </si>
  <si>
    <t>Троицкая ГРЭС (филиал ПАО "ОГК-2")  без ДПМ/НВ/ВР</t>
  </si>
  <si>
    <r>
      <t xml:space="preserve">Троицкая ГРЭС (филиал ПАО "ОГК-2")  БЛ-10 660 МВт НВ, ДПМ </t>
    </r>
    <r>
      <rPr>
        <b/>
        <sz val="12"/>
        <color indexed="10"/>
        <rFont val="Times New Roman Cyr"/>
        <charset val="204"/>
      </rPr>
      <t>01.12.2015</t>
    </r>
  </si>
  <si>
    <t>Южноуральская ГРЭС (филиал АО "Интер РАО - Электрогенерация")</t>
  </si>
  <si>
    <t>Южноуральская ГРЭС - 2 (филиал АО "Интер РАО - Электрогенерация")</t>
  </si>
  <si>
    <r>
      <t xml:space="preserve">Южноуральская ГРЭС-2 (филиал АО "Интер РАО - Электрогенерация") БЛ-1 ПГУ-408 НВ, ДПМ </t>
    </r>
    <r>
      <rPr>
        <b/>
        <sz val="12"/>
        <color indexed="10"/>
        <rFont val="Times New Roman Cyr"/>
        <charset val="204"/>
      </rPr>
      <t>04.02.2014</t>
    </r>
  </si>
  <si>
    <r>
      <t xml:space="preserve">Южноуральская ГРЭС-2 (филиал АО "Интер РАО - Электрогенерация") БЛ-2  ПГУ-419,6 НВ, ДПМ </t>
    </r>
    <r>
      <rPr>
        <b/>
        <sz val="12"/>
        <color indexed="10"/>
        <rFont val="Times New Roman Cyr"/>
        <charset val="204"/>
      </rPr>
      <t>28.10.2014</t>
    </r>
  </si>
  <si>
    <t>Уренгойская ГРЭС (филиал АО "Интер РАО - Электрогенерация")</t>
  </si>
  <si>
    <t>Уренгойская ГРЭС (филиал АО "Интер РАО - Электрогенерация") без ДПМ/НВ/ВР</t>
  </si>
  <si>
    <r>
      <t xml:space="preserve">Уренгойская ГРЭС (филиал АО "Интер РАО - Электрогенерация") ПГУ-450 НВ, ДПМ </t>
    </r>
    <r>
      <rPr>
        <b/>
        <sz val="12"/>
        <color indexed="10"/>
        <rFont val="Times New Roman Cyr"/>
        <charset val="204"/>
      </rPr>
      <t>05.11.2012</t>
    </r>
  </si>
  <si>
    <t>Калининградская ТЭЦ-2 (филиал АО "Интер РАО - Электрогенерация")</t>
  </si>
  <si>
    <t>Калининградская ТЭЦ-2 (филиал АО "Интер РАО - Электрогенерация") ПГУ 450 НВ</t>
  </si>
  <si>
    <t>Интинская ТЭЦ (филиал "Коми" ПАО "Т Плюс")</t>
  </si>
  <si>
    <t>Сосногорская ТЭЦ (филиал "Коми" ПАО "Т Плюс")</t>
  </si>
  <si>
    <t>Печорская ГРЭС (филиал АО "Интер РАО - Электрогенерация")</t>
  </si>
  <si>
    <t>Псковская ГРЭС (филиал ПАО "ОГК-2")</t>
  </si>
  <si>
    <t>Волжская ГЭС (филиал ПАО "РусГидро")</t>
  </si>
  <si>
    <t>Чиркейская ГЭС (Дагестанский филиал ПАО "РусГидро")</t>
  </si>
  <si>
    <t>Ирганайская ГЭС  (Дагестанский филиал ПАО "РусГидро")</t>
  </si>
  <si>
    <t>Миатлинская ГЭС  (Дагестанский филиал ПАО "РусГидро")</t>
  </si>
  <si>
    <r>
      <t xml:space="preserve">Гоцатлинская ГЭС (Дагестанский филиал ПАО "РусГидро") НВ </t>
    </r>
    <r>
      <rPr>
        <b/>
        <sz val="12"/>
        <color indexed="10"/>
        <rFont val="Times New Roman"/>
        <family val="1"/>
        <charset val="204"/>
      </rPr>
      <t>01.01.2015</t>
    </r>
  </si>
  <si>
    <t>Чирюртская ГЭС-1 (Дагестанский филиал ПАО "РусГидро")</t>
  </si>
  <si>
    <t>Чирюртская ГЭС-2 (Дагестанский филиал ПАО "РусГидро")</t>
  </si>
  <si>
    <t>Гельбахская ГЭС (Дагестанский филиал ПАО "РусГидро")</t>
  </si>
  <si>
    <t>Гергебильская ГЭС (Дагестанский филиал ПАО "РусГидро")</t>
  </si>
  <si>
    <t>Гунибская ГЭС  (Дагестанский филиал ПАО "РусГидро")</t>
  </si>
  <si>
    <t>Малые ГЭС  (Дагестанский филиал ПАО "РусГидро")</t>
  </si>
  <si>
    <t>Аушигерская ГЭС (Кабардино-Балкарский филиал ПАО "РусГидро")</t>
  </si>
  <si>
    <t>Баксанская ГЭС(Кабардино-Балкарский филиал ПАО "РусГидро")</t>
  </si>
  <si>
    <t>Акбашская ГЭС, Малые ГЭС (Кабардино-Балкарский филиал ПАО "РусГидро")</t>
  </si>
  <si>
    <t>Мухольская ГЭС, Малые ГЭС (Кабардино-Балкарский филиал ПАО "РусГидро")</t>
  </si>
  <si>
    <t>ГЭС-3, Малые ГЭС (Кабардино-Балкарский филиал ПАО "РусГидро")</t>
  </si>
  <si>
    <t>Кашхатау ГЭС (Кабардино-Балкарский филиал ПАО "РусГидро") - новый ввод, ДПМ</t>
  </si>
  <si>
    <t>ТЭЦ (ООО "Росс-Спирт")</t>
  </si>
  <si>
    <t>ТЭЦ (ОАО "Гидрометаллург")</t>
  </si>
  <si>
    <t>Калмыцкая ВЭС (филиал ПАО "РусГидро")</t>
  </si>
  <si>
    <t>Зеленчукские ГЭС (Карачаево-Черкесский филиал ПАО "РусГидро")</t>
  </si>
  <si>
    <t>Эшкаконская малая ГЭС (Карачаево-Черкесский филиал ПАО "РусГидро")</t>
  </si>
  <si>
    <t>Краснодарская ТЭЦ (ООО "ЛУКОЙЛ-Кубаньэнерго")</t>
  </si>
  <si>
    <t xml:space="preserve">Сочинская ТЭС (филиал АО "Интер РАО-Электрогенерация") </t>
  </si>
  <si>
    <r>
      <t xml:space="preserve">Сочинская ТЭС (филиал АО "Интер РАО-Электрогенерация") - Бл №3 НВ, ДПМ </t>
    </r>
    <r>
      <rPr>
        <b/>
        <sz val="12"/>
        <color indexed="10"/>
        <rFont val="Times New Roman Cyr"/>
        <charset val="204"/>
      </rPr>
      <t>01.01.2010</t>
    </r>
  </si>
  <si>
    <t>Адлерская ТЭС (Филиал ПАО "ОГК-2")</t>
  </si>
  <si>
    <r>
      <t xml:space="preserve">Адлерская ТЭС (Филиал ПАО "ОГК-2") Бл №1 НВ, ДПМ </t>
    </r>
    <r>
      <rPr>
        <b/>
        <sz val="12"/>
        <color indexed="10"/>
        <rFont val="Times New Roman"/>
        <family val="1"/>
        <charset val="204"/>
      </rPr>
      <t>07.11.2012</t>
    </r>
  </si>
  <si>
    <r>
      <t xml:space="preserve">Адлерская ТЭС (Филиал ПАО "ОГК-2") Бл №2 НВ, ДПМ </t>
    </r>
    <r>
      <rPr>
        <b/>
        <sz val="12"/>
        <color indexed="10"/>
        <rFont val="Times New Roman"/>
        <family val="1"/>
        <charset val="204"/>
      </rPr>
      <t>07.11.2012</t>
    </r>
  </si>
  <si>
    <t>Джубгинская ТЭС (филиал АО "Интер РАО-Электрогенерация")</t>
  </si>
  <si>
    <r>
      <t xml:space="preserve">Джубгинская ТЭС (филиал АО "Интер РАО-Электрогенерация") Бл №1 НВ, ДПМ </t>
    </r>
    <r>
      <rPr>
        <b/>
        <sz val="12"/>
        <color indexed="10"/>
        <rFont val="Times New Roman"/>
        <family val="1"/>
        <charset val="204"/>
      </rPr>
      <t>15.10.2013</t>
    </r>
  </si>
  <si>
    <r>
      <t xml:space="preserve">Джубгинская ТЭС (филиал АО "Интер РАО-Электрогенерация") Бл №2 НВ, ДПМ </t>
    </r>
    <r>
      <rPr>
        <b/>
        <sz val="12"/>
        <color indexed="10"/>
        <rFont val="Times New Roman"/>
        <family val="1"/>
        <charset val="204"/>
      </rPr>
      <t>16.10.2013</t>
    </r>
  </si>
  <si>
    <t>Новочеркасская ГРЭС (филиал ПАО "ОГК-2")</t>
  </si>
  <si>
    <r>
      <t xml:space="preserve">Новочеркасская ГРЭС (филиал ПАО "ОГК-2") Бл №6 модерн </t>
    </r>
    <r>
      <rPr>
        <b/>
        <sz val="12"/>
        <color indexed="10"/>
        <rFont val="Times New Roman"/>
        <family val="1"/>
        <charset val="204"/>
      </rPr>
      <t>01.01.2015</t>
    </r>
  </si>
  <si>
    <r>
      <t xml:space="preserve">Новочеркасская ГРЭС (филиал ПАО "ОГК-2") Бл №7 модерн </t>
    </r>
    <r>
      <rPr>
        <b/>
        <sz val="12"/>
        <color indexed="10"/>
        <rFont val="Times New Roman"/>
        <family val="1"/>
        <charset val="204"/>
      </rPr>
      <t>01.01.2013</t>
    </r>
  </si>
  <si>
    <t>Эзминская ГЭС (Северо-Осетинский филиал ПАО "РусГидро")</t>
  </si>
  <si>
    <t>Гизельдонская ГЭС (Северо-Осетинский филиал ПАО "РусГидро")</t>
  </si>
  <si>
    <t>Малые ГЭС (Северо-Осетинский филиал ПАО "РусГидро")</t>
  </si>
  <si>
    <t>Зарамагские ГЭС - Головная ГЭС Ардонского каскада (Северо-Осетинский филиал ПАО "РусГидро")</t>
  </si>
  <si>
    <t>Ставропольская ГРЭС (филиал ПАО "ОГК-2")</t>
  </si>
  <si>
    <t>Невинномысская ГРЭС (филиал ПАО "Энел Россия")</t>
  </si>
  <si>
    <t>Невинномысская ГРЭС (филиал ПАО "Энел Россия") - ПГУ-410, новый ввод, ДПМ</t>
  </si>
  <si>
    <t>Кубанская ГАЭС (филиал ПАО "РусГидро")</t>
  </si>
  <si>
    <t>Кубанская ГЭС-1 (филиал ПАО "РусГидро")</t>
  </si>
  <si>
    <t>Кубанская ГЭС-2 (филиал ПАО "РусГидро")</t>
  </si>
  <si>
    <t>Кубанская ГЭС-3 (филиал ПАО "РусГидро")</t>
  </si>
  <si>
    <t>Кубанская ГЭС-4 (филиал ПАО "РусГидро")</t>
  </si>
  <si>
    <t>Егорлыкская ГЭС (филиал ПАО "РусГидро")</t>
  </si>
  <si>
    <t>Свистухинская ГЭС (филиал ПАО "РусГидро")</t>
  </si>
  <si>
    <t>Сенгилеевская ГЭС (филиал ПАО "РусГидро")</t>
  </si>
  <si>
    <t>Новотроицкая ГЭС (филиал ПАО "РусГидро")</t>
  </si>
  <si>
    <t>Конаковская ГРЭС (филиал ПАО "Энел Россия")</t>
  </si>
  <si>
    <t>Гусиноозерская ГРЭС (филиал АО "Интер РАО - Электрогенерация")</t>
  </si>
  <si>
    <r>
      <t xml:space="preserve">Гусиноозерская ГРЭС (филиал АО "Интер РАО - Электрогенерация") Перемаркир  Бл.4 - 210 МВт </t>
    </r>
    <r>
      <rPr>
        <b/>
        <sz val="12"/>
        <color indexed="10"/>
        <rFont val="Times New Roman Cyr"/>
        <charset val="204"/>
      </rPr>
      <t>01.11.2013</t>
    </r>
  </si>
  <si>
    <t>Улан-Удэнская ТЭЦ-1 (филиал ПАО "ТГК-14")</t>
  </si>
  <si>
    <t>Улан-Удэнская ТЭЦ-1 (Бурятский филиал ПАО "ТГК-14")</t>
  </si>
  <si>
    <r>
      <t xml:space="preserve">Улан-Удэнская ТЭЦ-1 (Бурятский филиал ПАО "ТГК-14") Модернизация  ТГ-6 - 30 МВт ДПМ </t>
    </r>
    <r>
      <rPr>
        <b/>
        <sz val="12"/>
        <color indexed="10"/>
        <rFont val="Times New Roman Cyr"/>
        <charset val="204"/>
      </rPr>
      <t>01.04.2011</t>
    </r>
  </si>
  <si>
    <r>
      <t xml:space="preserve">Улан-Удэнская ТЭЦ-1 (Бурятский филиал ПАО "ТГК-14") Перемаркировка  ТГ-7 - 98.37 МВт ДПМ </t>
    </r>
    <r>
      <rPr>
        <b/>
        <sz val="12"/>
        <color indexed="10"/>
        <rFont val="Times New Roman Cyr"/>
        <charset val="204"/>
      </rPr>
      <t>01.04.2011</t>
    </r>
  </si>
  <si>
    <t>Читинская ТЭЦ-1 (Читинский филиал ПАО "ТГК-14")</t>
  </si>
  <si>
    <t>Читинская ТЭЦ-2 (Читинский филиал ПАО "ТГК-14")</t>
  </si>
  <si>
    <r>
      <t xml:space="preserve">Читинская ТЭЦ-2 (Читинский филиал ПАО "ТГК-14") ТГ №2  6МВт ДПМ </t>
    </r>
    <r>
      <rPr>
        <b/>
        <sz val="12"/>
        <color indexed="10"/>
        <rFont val="Times New Roman Cyr"/>
        <charset val="204"/>
      </rPr>
      <t>01.11.2009</t>
    </r>
  </si>
  <si>
    <t>Шерловогорская ТЭЦ (Читинский филиал ПАО "ТГК-14")</t>
  </si>
  <si>
    <t>Приаргунская ТЭЦ (Читинский филиал ПАО "ТГК-14")</t>
  </si>
  <si>
    <t>Харанорская ГРЭС (филиал АО "Интер РАО - Электрогенерация")</t>
  </si>
  <si>
    <t>Харанорская ГРЭС (филиал АО "Интер РАО - Электрогенерация") Бл №1,2</t>
  </si>
  <si>
    <t>Красноярская ГРЭС-2 (филиал ПАО "ОГК-2")</t>
  </si>
  <si>
    <t>Новосибирская ГЭС (филиал ПАО "РусГидро")</t>
  </si>
  <si>
    <t>Омская ТЭЦ-3 (филиал АО "ТГК-11")</t>
  </si>
  <si>
    <t>Омская ТЭЦ-4 (филиал АО "ТГК-11")</t>
  </si>
  <si>
    <t>Омская ТЭЦ-5 (филиал АО "ТГК-11")</t>
  </si>
  <si>
    <t>Омская ТЭЦ-5 (филиал АО "ТГК-11") без ДПМ/НВ/ВР</t>
  </si>
  <si>
    <r>
      <t xml:space="preserve">Омская ТЭЦ-5 (филиал АО "ТГК-11") Бл №1 98 МВт реконструкц, ДПМ </t>
    </r>
    <r>
      <rPr>
        <b/>
        <sz val="12"/>
        <color indexed="10"/>
        <rFont val="Times New Roman Cyr"/>
        <charset val="204"/>
      </rPr>
      <t>01.01.2015</t>
    </r>
  </si>
  <si>
    <t>Саяно-Шушенская ГЭС  (филиал ПАО "РусГидро")</t>
  </si>
  <si>
    <t>Майнская ГЭС (филиал ПАО "РусГидро")</t>
  </si>
  <si>
    <t>Зейская ГЭС (филиал ПАО "РусГидро")</t>
  </si>
  <si>
    <t>Бурейская ГЭС (филиал ПАО "РусГидро")</t>
  </si>
  <si>
    <t>Электростанции</t>
  </si>
  <si>
    <t xml:space="preserve">Выработка электроэнергии  АЭС,  млн.кВт.ч. </t>
  </si>
  <si>
    <t xml:space="preserve">янваpь </t>
  </si>
  <si>
    <t>февpаль</t>
  </si>
  <si>
    <t xml:space="preserve">маpт </t>
  </si>
  <si>
    <t xml:space="preserve">апpель </t>
  </si>
  <si>
    <t xml:space="preserve">май  </t>
  </si>
  <si>
    <t xml:space="preserve">июнь  </t>
  </si>
  <si>
    <t xml:space="preserve">июль  </t>
  </si>
  <si>
    <t xml:space="preserve">август </t>
  </si>
  <si>
    <t>сентябpь</t>
  </si>
  <si>
    <t>октябpь</t>
  </si>
  <si>
    <t xml:space="preserve">ноябpь </t>
  </si>
  <si>
    <t>декабpь</t>
  </si>
  <si>
    <t>Выработка АЭС всего:</t>
  </si>
  <si>
    <t>Нововоронежская АЭС</t>
  </si>
  <si>
    <t>Курская АЭС</t>
  </si>
  <si>
    <t>Смоленская АЭС</t>
  </si>
  <si>
    <t>Кольская АЭС</t>
  </si>
  <si>
    <t>Ленинградская АЭС</t>
  </si>
  <si>
    <t>Балаковская АЭС</t>
  </si>
  <si>
    <t>Билибинская АЭС</t>
  </si>
  <si>
    <t>Выработка электроэнергии атомными электростанциями филиалами ОАО "Концерн Росэнергоатом"</t>
  </si>
  <si>
    <t>Калининская АЭС бл. № 1,2,3</t>
  </si>
  <si>
    <t>Калининская АЭС бл. № 4</t>
  </si>
  <si>
    <t>Белоярская АЭС бл. № 3</t>
  </si>
  <si>
    <t>Белоярская АЭС бл. № 4</t>
  </si>
  <si>
    <t>Ростовская АЭС бл. № 1</t>
  </si>
  <si>
    <t>Ростовская АЭС бл. № 2</t>
  </si>
  <si>
    <t>Ростовская АЭС бл. № 3</t>
  </si>
  <si>
    <r>
      <t xml:space="preserve">Алексинская ТЭЦ (Тульский филиал ПАО "Квадра") ПГУ 115 НВ, ДПМ </t>
    </r>
    <r>
      <rPr>
        <b/>
        <sz val="12"/>
        <color indexed="10"/>
        <rFont val="Times New Roman"/>
        <family val="1"/>
        <charset val="204"/>
      </rPr>
      <t>01.01.2016 (31.12.2016)</t>
    </r>
  </si>
  <si>
    <t>Название объекта</t>
  </si>
  <si>
    <t>1 квартал</t>
  </si>
  <si>
    <t>Энергозона Центра</t>
  </si>
  <si>
    <t>Вытегорская ГЭС (ФБУ "Администрация "Волго-Балт")</t>
  </si>
  <si>
    <t>Шекснинская ГЭС (ФБУ "Администрация "Волго-Балт")</t>
  </si>
  <si>
    <t xml:space="preserve">  Московская область</t>
  </si>
  <si>
    <t>ГЭС ФГУП "Канал им. Москвы"</t>
  </si>
  <si>
    <t>ГЭС МГУП «Мосводоканал»</t>
  </si>
  <si>
    <t xml:space="preserve">  Ярославская область</t>
  </si>
  <si>
    <t>Каскад Верхневолжских ГЭС (филиал ПАО "РусГидро")</t>
  </si>
  <si>
    <t>Энергозона Волги</t>
  </si>
  <si>
    <t xml:space="preserve">  Нижегородская область</t>
  </si>
  <si>
    <t xml:space="preserve">  Самарская область</t>
  </si>
  <si>
    <t>Жигулевская ГЭС (филиал ПАО "РусГидро")</t>
  </si>
  <si>
    <t xml:space="preserve">  Саратовская область</t>
  </si>
  <si>
    <t xml:space="preserve">  Чувашская республика</t>
  </si>
  <si>
    <t>Чебоксарская ГЭС (филиал ПАО "РусГидро")</t>
  </si>
  <si>
    <t xml:space="preserve">  Республика Татарстан</t>
  </si>
  <si>
    <t>Энергозона Урала</t>
  </si>
  <si>
    <t xml:space="preserve">  Республика Башкортостан</t>
  </si>
  <si>
    <t>МикроГЭС (ООО "Башкирская генерирующая компания")</t>
  </si>
  <si>
    <t>ООО "Нугушский гидротехнический узел" (Нугушская ГЭС)</t>
  </si>
  <si>
    <t xml:space="preserve">  Оренбургская область</t>
  </si>
  <si>
    <t>Ириклинская ГЭС (филиал АО "Интер РАО-электрогенерация")</t>
  </si>
  <si>
    <t xml:space="preserve">  Пермский край</t>
  </si>
  <si>
    <t>Воткинская ГЭС(филиал ПАО "РусГидро")</t>
  </si>
  <si>
    <t xml:space="preserve">  Свердловская область</t>
  </si>
  <si>
    <t>Энергозона Северо-Запада</t>
  </si>
  <si>
    <t>ГЭС Калининградской области (Янтарьэнерго)</t>
  </si>
  <si>
    <t>Каскад Нивских ГЭС (филиал "Кольский" ОАО "ТГК-1")</t>
  </si>
  <si>
    <t>Каскад Пазских ГЭС (филиал "Кольский" ОАО "ТГК-1")</t>
  </si>
  <si>
    <t>Каскад Туломских ГЭС (филиал "Кольский" ОАО "ТГК-1")</t>
  </si>
  <si>
    <t>Каскад Серебрянских ГЭС (филиал "Кольский" ОАО "ТГК-1")</t>
  </si>
  <si>
    <t>Шильская ГЭС (ЗАО"Норд Гидро")</t>
  </si>
  <si>
    <t>Максютинская ГЭС (ЗАО"Норд Гидро")</t>
  </si>
  <si>
    <t>Каскад Вуоксинских ГЭС (филиал "Невский" ОАО "ТГК-1")</t>
  </si>
  <si>
    <t>Каскад Ладожских ГЭС (филиал "Невский" ОАО "ТГК-1")</t>
  </si>
  <si>
    <t>Волховская ГЭС-6 (филиал "Невский" ОАО "ТГК-1")</t>
  </si>
  <si>
    <t>Нижне-Свирская ГЭС-9 (филиал "Невский" ОАО "ТГК-1")</t>
  </si>
  <si>
    <t>Верхне-Свирская ГЭС-12 (филиал "Невский" ОАО "ТГК-1")</t>
  </si>
  <si>
    <t xml:space="preserve">Шлюзовая ГЭС (ФБУ "Администрация Волго-Дон") </t>
  </si>
  <si>
    <t>Чиркейская ГЭС  (Дагестанский филиал ПАО "РусГидро")</t>
  </si>
  <si>
    <t>Ирганайская ГЭС (Дагестанский филиал ПАО "РусГидро")</t>
  </si>
  <si>
    <t>Миатлинская ГЭС (Дагестанский филиал ПАО "РусГидро")</t>
  </si>
  <si>
    <t>Гоцатлинская ГЭС (филиал ПАО "РусГидро")</t>
  </si>
  <si>
    <t>Каскад Чир-Юртских ГЭС (Дагестанский филиал ПАО "РусГидро")</t>
  </si>
  <si>
    <t>Чирюртская ГЭС-1 (Дагестанский филиал ОАО "РусГидро")</t>
  </si>
  <si>
    <t>Чирюртская ГЭС-2 (Дагестанский филиал ОАО "РусГидро")</t>
  </si>
  <si>
    <t>Гунибская ГЭС (Дагестанский филиал ПАО "РусГидро")</t>
  </si>
  <si>
    <t>Малые ГЭС (Дагестанский филиал ПАО "РусГидро")</t>
  </si>
  <si>
    <t>Кабардино-Балкарская республика</t>
  </si>
  <si>
    <t>Баксанская ГЭС (Кабардино-Балкарский филиал ПАО "РусГидро")</t>
  </si>
  <si>
    <t>Кашхатау ГЭС (Кабардино-Балкарский филиал ПАО "РусГидро")</t>
  </si>
  <si>
    <t>Зарагижская ГЭС (Кабардино-Балкарский филиал ПАО "РусГидро")</t>
  </si>
  <si>
    <t>Карачаево-Черкесская республика</t>
  </si>
  <si>
    <t>Зеленчукские ГЭС(Карачаево-Черкесский филиал ПАО "РусГидро")</t>
  </si>
  <si>
    <t>Зеленчукская ГЭС-ГАЭС (Карачаево-Черкесский филиал ПАО "РусГидро")</t>
  </si>
  <si>
    <t>Республика Северная Осетия - Алания</t>
  </si>
  <si>
    <t>Гизельдонская ГЭС(Северо-Осетинский филиал ПАО "РусГидро")</t>
  </si>
  <si>
    <t>Дзауджикауская ГЭС(Северо-Осетинский филиал ПАО "РусГидро")</t>
  </si>
  <si>
    <t>Малые ГЭС (Северо-Осетинский филиал ПАО "РусГидро"):  Беканская ГЭС, Кора-Урсдонская ГЭС</t>
  </si>
  <si>
    <t>Фаснальская ГЭС (Северо-Осетинский филиал ПАО "РусГидро")</t>
  </si>
  <si>
    <t>Павлодольская ГЭС (Северо-Осетинский филиал ПАО "РусГидро")</t>
  </si>
  <si>
    <t>Егорлыкская ГЭС-2 (филиал ПАО "РусГидро")</t>
  </si>
  <si>
    <t>Волжско-Камский каскад</t>
  </si>
  <si>
    <t>Красноярский край</t>
  </si>
  <si>
    <t>Ангаро-Енисейский каскад</t>
  </si>
  <si>
    <t>2 квартал</t>
  </si>
  <si>
    <t>3 квартал</t>
  </si>
  <si>
    <t xml:space="preserve">Октябрь </t>
  </si>
  <si>
    <t>4 квартал</t>
  </si>
  <si>
    <t>Предложения СО ЕЭС</t>
  </si>
  <si>
    <r>
      <t xml:space="preserve">Дягилевская ТЭЦ (Рязанский филиал ПАО "Квадра") ПГУ-115 </t>
    </r>
    <r>
      <rPr>
        <b/>
        <sz val="12"/>
        <color indexed="10"/>
        <rFont val="Times New Roman"/>
        <family val="1"/>
        <charset val="204"/>
      </rPr>
      <t>01.12.2015 (31.12.2016)</t>
    </r>
  </si>
  <si>
    <t>ВЭС ООО "ЭкоСельЭнерго"</t>
  </si>
  <si>
    <r>
      <t xml:space="preserve">Нижнетуринская ГРЭС (Свердловский филиал ПАО "Т Плюс") БЛ-2 ПГУ-230 НВ, ДПМ </t>
    </r>
    <r>
      <rPr>
        <b/>
        <sz val="12"/>
        <color indexed="10"/>
        <rFont val="Times New Roman Cyr"/>
        <charset val="204"/>
      </rPr>
      <t>01.01.2016</t>
    </r>
  </si>
  <si>
    <r>
      <t xml:space="preserve">Зарагижская ГЭС (Кабардино-Балкарский филиал ПАО "РусГидро") ГГ №1,2,3 30,6 МВт НВ </t>
    </r>
    <r>
      <rPr>
        <b/>
        <sz val="12"/>
        <color indexed="10"/>
        <rFont val="Times New Roman Cyr"/>
        <charset val="204"/>
      </rPr>
      <t>01.07.2016</t>
    </r>
  </si>
  <si>
    <r>
      <t xml:space="preserve">Зеленчукская ГЭС-ГАЭС (Карачаево-Черкесский филиал ПАО "РусГидро") ГГ №1,2 НВ </t>
    </r>
    <r>
      <rPr>
        <b/>
        <sz val="12"/>
        <color indexed="10"/>
        <rFont val="Times New Roman Cyr"/>
        <charset val="204"/>
      </rPr>
      <t>01.04.2016</t>
    </r>
  </si>
  <si>
    <r>
      <t xml:space="preserve">Районная котельная -3 (ООО "ЛУКОЙЛ-Ростовэнерго) НВ  </t>
    </r>
    <r>
      <rPr>
        <b/>
        <sz val="12"/>
        <color indexed="10"/>
        <rFont val="Times New Roman Cyr"/>
        <charset val="204"/>
      </rPr>
      <t>01.11.2015</t>
    </r>
  </si>
  <si>
    <r>
      <t xml:space="preserve">Новочеркасская ГРЭС (филиал ПАО "ОГК-2") Бл №9 НВ, ДПМ </t>
    </r>
    <r>
      <rPr>
        <b/>
        <sz val="12"/>
        <color indexed="10"/>
        <rFont val="Times New Roman"/>
        <family val="1"/>
        <charset val="204"/>
      </rPr>
      <t>01.04.2016</t>
    </r>
  </si>
  <si>
    <r>
      <t xml:space="preserve">Тутаевская ПГУ (ОАО "Тутаевская ПГУ") 52 МВт НВ  </t>
    </r>
    <r>
      <rPr>
        <b/>
        <sz val="12"/>
        <color indexed="10"/>
        <rFont val="Times New Roman"/>
        <family val="1"/>
        <charset val="204"/>
      </rPr>
      <t>01.01.2017</t>
    </r>
    <r>
      <rPr>
        <sz val="12"/>
        <rFont val="Times New Roman"/>
        <family val="1"/>
        <charset val="204"/>
      </rPr>
      <t xml:space="preserve">                                  </t>
    </r>
  </si>
  <si>
    <t>Кош-Агачская СЭС-2 (ООО "Авелар Солар Технолоджи")</t>
  </si>
  <si>
    <t>Энергосистема Республики Крым и г. Севастополь</t>
  </si>
  <si>
    <t>Нововоронежская АЭС - 2 бл. № 1</t>
  </si>
  <si>
    <t xml:space="preserve">ТЭС ОАО "Новокондровская бумажная компания"                                                                           </t>
  </si>
  <si>
    <t>ТЭЦ ЗАО "Грязинский сахарный завод"</t>
  </si>
  <si>
    <t>Йошкар-Олинская ТЭЦ-1 (МУП Йошкар-Олинская ТЭЦ-1)</t>
  </si>
  <si>
    <t>Чебоксарская ТЭЦ-2 (Филиал "Марий Эл и Чувашии" ПАО "Т Плюс")</t>
  </si>
  <si>
    <t>Новочебоксарская ТЭЦ-3  (Филиал "Марий Эл и Чувашии" ПАО "Т Плюс")</t>
  </si>
  <si>
    <r>
      <t xml:space="preserve">Новочебоксарская ТЭЦ-3 (Филиал "Марий Эл и Чувашии" ПАО "Т Плюс") ТГ-7 ДПМ </t>
    </r>
    <r>
      <rPr>
        <b/>
        <sz val="12"/>
        <color indexed="10"/>
        <rFont val="Times New Roman Cyr"/>
        <charset val="204"/>
      </rPr>
      <t>01.06.2014</t>
    </r>
  </si>
  <si>
    <t xml:space="preserve">Новочебоксарская ТЭЦ-3 (Филиал "Марий Эл и Чувашии" ПАО "Т Плюс") (ТГ-5,6) ВР </t>
  </si>
  <si>
    <t>Новочебоксарская ТЭЦ-3  (Филиал "Марий Эл и Чувашии" ПАО "Т Плюс") без ДПМ/НВ/ВР</t>
  </si>
  <si>
    <t>ТЭЦ ПАО "Нижнекамскнефтехим"</t>
  </si>
  <si>
    <t>ВЭС "Тюпкильды" (ООО "Башкирская генерирующая компания")</t>
  </si>
  <si>
    <t>Микро ГЭС (ООО "Башкирская генерирующая компания")</t>
  </si>
  <si>
    <t>Переволоцкая СЭС (ООО "Авелар Солар Технолоджи")</t>
  </si>
  <si>
    <t>Соль- Илецкая СЭС (ООО "Авелар Солар Технолоджи")</t>
  </si>
  <si>
    <t>Верхнетагильская ГРЭС (АО "ИНТЕР РАО - Электрогенерация") без ДПМ/НВ</t>
  </si>
  <si>
    <t>Верхнетагильская ГРЭС (АО "ИНТЕР РАО - Электрогенерация") блок 12 ДПМ НВ</t>
  </si>
  <si>
    <t>ГПЭС Кирско-Коттынского м/р (ООО "Башнефть-Добыча")</t>
  </si>
  <si>
    <t>ТЭЦ (ООО РК-Гранд)</t>
  </si>
  <si>
    <t>Малая ГЭС на р.Аргун (ГУП "Чеченская генерирующая компания") НВ</t>
  </si>
  <si>
    <t>Каспийская СЭС (ООО "МЭК-Инжиниринг") НВ</t>
  </si>
  <si>
    <t>Краснодарская ТЭЦ  (ООО "ЛУКОЙЛ-Кубаньэнерго") (660 МВт) без ДПМ/НВ/ВР</t>
  </si>
  <si>
    <t>ТЭЦ АО "РАМО-М"филиал "Краснодарское военно-энергетическое предприятие"</t>
  </si>
  <si>
    <t>ГТУ-ТЭС ООО "РН-Туапсинский НПЗ"</t>
  </si>
  <si>
    <t>ВЭС ГУП РК "КГС" (ГУП РК "Крымские Генерирующие Системы")</t>
  </si>
  <si>
    <t>Энергосистема г. Севастополь</t>
  </si>
  <si>
    <t>Онгудайская СЭС (ООО "Авелар Солар Технолоджи")</t>
  </si>
  <si>
    <t>Усть-Канская СЭС (ООО "Авелар Солар Технолоджи")</t>
  </si>
  <si>
    <r>
      <rPr>
        <sz val="12"/>
        <rFont val="Times New Roman Cyr"/>
        <charset val="204"/>
      </rPr>
      <t>Харанорская ГРЭС (филиал АО "Интер РАО - Электрогенерация") Бл №3 225 МВт НВ, ДПМ</t>
    </r>
    <r>
      <rPr>
        <sz val="12"/>
        <color indexed="10"/>
        <rFont val="Times New Roman Cyr"/>
        <family val="1"/>
        <charset val="204"/>
      </rPr>
      <t xml:space="preserve"> </t>
    </r>
    <r>
      <rPr>
        <b/>
        <sz val="12"/>
        <color indexed="10"/>
        <rFont val="Times New Roman Cyr"/>
        <family val="1"/>
        <charset val="204"/>
      </rPr>
      <t>12.10.2012</t>
    </r>
  </si>
  <si>
    <t>ТЭЦ (Филиал ОАО "Группа" Илим" в г. Братске)</t>
  </si>
  <si>
    <t>ТЭЦ (Филиал ОАО "Группа" Илим" в г. Усть-Илимске)</t>
  </si>
  <si>
    <r>
      <t xml:space="preserve">Омская ТЭЦ-3 (филиал АО "ТГК-11") Бл №13 60 МВт реконструкц, ДПМ </t>
    </r>
    <r>
      <rPr>
        <b/>
        <sz val="12"/>
        <color indexed="10"/>
        <rFont val="Times New Roman Cyr"/>
        <charset val="204"/>
      </rPr>
      <t>01.12.2014</t>
    </r>
  </si>
  <si>
    <r>
      <rPr>
        <sz val="12"/>
        <rFont val="Times New Roman Cyr"/>
        <charset val="204"/>
      </rPr>
      <t>Омская ТЭЦ-5 (филиал АО "ТГК-11") Бл №2 98 МВт реконструкц, ДПМ</t>
    </r>
    <r>
      <rPr>
        <sz val="12"/>
        <color indexed="10"/>
        <rFont val="Times New Roman Cyr"/>
        <family val="1"/>
        <charset val="204"/>
      </rPr>
      <t xml:space="preserve"> </t>
    </r>
    <r>
      <rPr>
        <b/>
        <sz val="12"/>
        <color indexed="10"/>
        <rFont val="Times New Roman Cyr"/>
        <family val="1"/>
        <charset val="204"/>
      </rPr>
      <t>01.01.2016</t>
    </r>
  </si>
  <si>
    <t>ТЭС ПАО "Омскшина"</t>
  </si>
  <si>
    <t>ТЭС ООО "Омсктехуглерод"</t>
  </si>
  <si>
    <t>ТЭС ООО "Теплогенерирующий комплекс"</t>
  </si>
  <si>
    <t>Нижне-Бурейская ГЭС (филиал АО "Нижне-Бурейская ГЭС")</t>
  </si>
  <si>
    <r>
      <t xml:space="preserve">Нижне-Бурейская ГЭС (филиал АО "Нижне-Бурейская ГЭС") НВ </t>
    </r>
    <r>
      <rPr>
        <b/>
        <sz val="12"/>
        <color indexed="10"/>
        <rFont val="Times New Roman Cyr"/>
        <charset val="204"/>
      </rPr>
      <t>31.12.2016</t>
    </r>
  </si>
  <si>
    <t>ДЭС Центрального энергорайона Республики Саха (Якутия)</t>
  </si>
  <si>
    <t>Республика Саха (Якутия)</t>
  </si>
  <si>
    <t>Каскад Вилюйских ГЭС 1,2 (ПАО «Якутскэнерго»)</t>
  </si>
  <si>
    <t>Светлинская ГЭС (ОАО «Вилюйская ГЭС-3»)</t>
  </si>
  <si>
    <t>Волгограда, Астрахани</t>
  </si>
  <si>
    <r>
      <t xml:space="preserve">ЮГ </t>
    </r>
    <r>
      <rPr>
        <sz val="11"/>
        <rFont val="Times New Roman"/>
        <family val="1"/>
        <charset val="204"/>
      </rPr>
      <t>без Крыма,</t>
    </r>
  </si>
  <si>
    <r>
      <t xml:space="preserve">Воронежская ТЭЦ 1 (Воронежский филиал ПАО "Квадра") ПГУ 223 МВт НВ, ДПМ </t>
    </r>
    <r>
      <rPr>
        <b/>
        <sz val="12"/>
        <color indexed="10"/>
        <rFont val="Times New Roman"/>
        <family val="1"/>
        <charset val="204"/>
      </rPr>
      <t>01.01.2016 (2018)</t>
    </r>
  </si>
  <si>
    <r>
      <rPr>
        <sz val="12"/>
        <rFont val="Times New Roman Cyr"/>
        <charset val="204"/>
      </rPr>
      <t>Омская ТЭЦ-3 (филиал АО "ТГК-11") ПГУ Бл №1,2,3 85,2 МВт НВ, ДПМ</t>
    </r>
    <r>
      <rPr>
        <sz val="12"/>
        <color indexed="10"/>
        <rFont val="Times New Roman Cyr"/>
        <family val="1"/>
        <charset val="204"/>
      </rPr>
      <t xml:space="preserve"> </t>
    </r>
    <r>
      <rPr>
        <b/>
        <sz val="12"/>
        <color indexed="10"/>
        <rFont val="Times New Roman Cyr"/>
        <charset val="204"/>
      </rPr>
      <t>01</t>
    </r>
    <r>
      <rPr>
        <b/>
        <sz val="12"/>
        <color indexed="10"/>
        <rFont val="Times New Roman Cyr"/>
        <charset val="204"/>
      </rPr>
      <t>.01.2014</t>
    </r>
  </si>
  <si>
    <r>
      <t xml:space="preserve">Омская ТЭЦ-3 (филиал АО "ТГК-11") Бл №10 120 МВт НВ, ДПМ </t>
    </r>
    <r>
      <rPr>
        <b/>
        <sz val="12"/>
        <color indexed="10"/>
        <rFont val="Times New Roman Cyr"/>
        <charset val="204"/>
      </rPr>
      <t>01.01.2017</t>
    </r>
  </si>
  <si>
    <t xml:space="preserve">Саранская ГТ-ТЭЦ  (АО "ГТ Энерго") </t>
  </si>
  <si>
    <t>ПГЭС ПАО "Мордовцемент"</t>
  </si>
  <si>
    <t>Саровская ТЭЦ (АО "Саровская генерирующая компания")</t>
  </si>
  <si>
    <t>Саратовская ТЭЦ-1 (ООО "Саратовская ТЭЦ-1")</t>
  </si>
  <si>
    <t>Балаковская АЭС (филиал АО "Концерн Росэнергоатом")</t>
  </si>
  <si>
    <t>Мини-ТЭЦ №2 АПТС</t>
  </si>
  <si>
    <t>Мини-ТЭЦ №3 АПТС</t>
  </si>
  <si>
    <t>Мини-ТЭЦ №4 АПТС</t>
  </si>
  <si>
    <t>Нововоронежская АЭС (филиал АО "Концерн Росэнергоатом")</t>
  </si>
  <si>
    <t>Нововоронежская АЭС - 2 (АО "Концерн Росэнергоатом")</t>
  </si>
  <si>
    <t>Курская АЭС (филиал АО "Концерн Росэнергоатом")</t>
  </si>
  <si>
    <t>Калининская АЭС (филиал АО "Концерн Росэнергоатом") блок № 4, НВ</t>
  </si>
  <si>
    <t>Калининская АЭС (филиал АО "Концерн Росэнергоатом")</t>
  </si>
  <si>
    <t>Смоленская АЭС (филиал АО "Концерн Росэнергоатом")</t>
  </si>
  <si>
    <t>АО "ГТ Энерго" (ГТ-ТЭЦ "Орловская")</t>
  </si>
  <si>
    <t>Смоленская ГРЭС (филиал ПАО "Юнипро")</t>
  </si>
  <si>
    <t>Каширская ГРЭС (АО "Интер РАО - Электрогенерация")</t>
  </si>
  <si>
    <t>Каширская ГРЭС (АО "Интер РАО - Электрогенерация") без ДПМ/НВ/ВР</t>
  </si>
  <si>
    <t>Шатурская ГРЭС-5 (филиал ПАО "Юнипро")</t>
  </si>
  <si>
    <t>Шатурская ГРЭС-5 (филиал ПАО "Юнипро") без ДПМ/НВ/ВР</t>
  </si>
  <si>
    <r>
      <t xml:space="preserve">Ново-Салаватская ТЭЦ (ООО "Ново-Салаватская ТЭЦ") ПГУ-410Т НВ </t>
    </r>
    <r>
      <rPr>
        <b/>
        <sz val="12"/>
        <color indexed="10"/>
        <rFont val="Times New Roman Cyr"/>
        <charset val="204"/>
      </rPr>
      <t>01.04.2016</t>
    </r>
  </si>
  <si>
    <t>Нугушская ГЭС (ООО "Нугушский гидротехнический узел")</t>
  </si>
  <si>
    <t>Бурибаевская СЭС (ООО "Авелар Солар Технолоджи")</t>
  </si>
  <si>
    <t>Исянгуловская СЭС (ООО "Авелар Солар Технолоджи")</t>
  </si>
  <si>
    <t>Пермская ГРЭС (АО "ИНТЕР РАО - Электрогенерация") без ДПМ/НВ/ВР</t>
  </si>
  <si>
    <r>
      <t xml:space="preserve">Пермская ГРЭС (АО "ИНТЕР РАО - Электрогенерация") Бл № 4 ПГУ-800 НВ, ДПМ </t>
    </r>
    <r>
      <rPr>
        <b/>
        <sz val="12"/>
        <color indexed="10"/>
        <rFont val="Times New Roman Cyr"/>
        <charset val="204"/>
      </rPr>
      <t>01.07.2017</t>
    </r>
  </si>
  <si>
    <t>Яйвинская ГРЭС (филиал ПАО "Юнипро")</t>
  </si>
  <si>
    <t>Яйвинская ГРЭС (филиал ПАО "Юнипро") без ДПМ/НВ/ВР</t>
  </si>
  <si>
    <r>
      <t xml:space="preserve">Яйвинская ГРЭС ПГУ (филиал ПАО "Юнипро") ПГУ-400 НВ, ДПМ </t>
    </r>
    <r>
      <rPr>
        <b/>
        <sz val="12"/>
        <color indexed="10"/>
        <rFont val="Times New Roman Cyr"/>
        <charset val="204"/>
      </rPr>
      <t>01.08.2011</t>
    </r>
  </si>
  <si>
    <t>Белоярская АЭС (филиал АО "Концерн Росэнергоатом")</t>
  </si>
  <si>
    <t>Белоярская АЭС (АО "Концерн Росэнергоатом") без ДПМ/НВ/ВР</t>
  </si>
  <si>
    <r>
      <t xml:space="preserve">Белоярская АЭС  (АО "Концерн Росэнергоатом") энергоблок №4 НВ </t>
    </r>
    <r>
      <rPr>
        <b/>
        <sz val="12"/>
        <color indexed="10"/>
        <rFont val="Times New Roman Cyr"/>
        <charset val="204"/>
      </rPr>
      <t>01.10.2015</t>
    </r>
  </si>
  <si>
    <t>Сургутская ГРЭС-2 (филиал ПАО "Юнипро")</t>
  </si>
  <si>
    <t>Сургутская ГРЭС-2 (филиал ПАО "Юнипро") без ДПМ/НВ/ВР</t>
  </si>
  <si>
    <r>
      <t xml:space="preserve">Сургутская ГРЭС-2 (филиал ПАО "Юнипро") бл.№ 7 ПГУ НВ, ДПМ </t>
    </r>
    <r>
      <rPr>
        <b/>
        <sz val="12"/>
        <color indexed="10"/>
        <rFont val="Times New Roman Cyr"/>
        <charset val="204"/>
      </rPr>
      <t>01.07.2011</t>
    </r>
  </si>
  <si>
    <r>
      <t>Сургутская ГРЭС-2 (филиал ПАО "Юнипро") бл.№ 8 ПГУ НВ, ДПМ</t>
    </r>
    <r>
      <rPr>
        <b/>
        <sz val="12"/>
        <color indexed="10"/>
        <rFont val="Times New Roman Cyr"/>
        <charset val="204"/>
      </rPr>
      <t xml:space="preserve"> 01.08.2011</t>
    </r>
  </si>
  <si>
    <t>ПЭС Казым (ПАО "Передвижная энергетика")</t>
  </si>
  <si>
    <t>ПЭС Уренгой (ПАО "Передвижная энергетика")</t>
  </si>
  <si>
    <t>АО "ГТ Энерго" (ГТ-ТЭЦ "Вельская")</t>
  </si>
  <si>
    <t>Петрозаводская ТЭЦ (филиал "Карельский" ПАО "ТГК-1")</t>
  </si>
  <si>
    <t>Каскад Выгских ГЭС филиала "Карельский" ПАО "ТГК-1"</t>
  </si>
  <si>
    <t>Выгостровская ГЭС-5 (филиал "Карельский" ПАО "ТГК-1")</t>
  </si>
  <si>
    <t>Беломорская ГЭС-6 (филиал "Карельский" ПАО "ТГК-1")</t>
  </si>
  <si>
    <t xml:space="preserve">Палокоргская ГЭС-7 (филиал "Карельский" ПАО "ТГК-1") </t>
  </si>
  <si>
    <t>Матконежская ГЭС-3 (филиал "Карельский" ПАО "ТГК-1")</t>
  </si>
  <si>
    <t>Каскад Кемских ГЭС филиала "Карельский" ПАО "ТГК-1"</t>
  </si>
  <si>
    <t>Путкинская ГЭС-9 (филиал "Карельский" ПАО "ТГК-1")</t>
  </si>
  <si>
    <t>Подужемская ГЭС-10 (филиал "Карельский" ПАО "ТГК-1")</t>
  </si>
  <si>
    <t>Кривопорожская ГЭС-14 (филиал "Карельский" ПАО "ТГК-1")</t>
  </si>
  <si>
    <t>Юшкозерская ГЭС-16 (филиал "Карельский" ПАО "ТГК-1")</t>
  </si>
  <si>
    <t>Каскад Сунских ГЭС филиала "Карельский" ПАО "ТГК-1"</t>
  </si>
  <si>
    <t>Пальеозерская ГЭС-2 (филиал "Карельский" ПАО "ТГК-1")</t>
  </si>
  <si>
    <t>Кондопожская ГЭС-1 (филиал "Карельский" ПАО "ТГК-1")</t>
  </si>
  <si>
    <t>Малые ГЭС Каскада Сунских ГЭС (филиал "Карельский" ПАО "ТГК-1")</t>
  </si>
  <si>
    <t>МГЭС "Каллиокоски" (АО "Норд Гидро")</t>
  </si>
  <si>
    <t>Кольская АЭС (филиал АО "Концерн Росэнергоатом")</t>
  </si>
  <si>
    <t>Апатитская ТЭЦ (филиал "Кольский" ПАО "ТГК-1")</t>
  </si>
  <si>
    <t>Мурманская ТЭЦ  (филиал "Кольский" ПАО "ТГК-1")</t>
  </si>
  <si>
    <t>к-д Нивских ГЭС (филиал "Кольский" ПАО "ТГК-1")</t>
  </si>
  <si>
    <t>Нива ГЭС-1 (филиал "Кольский" ПАО "ТГК-1")</t>
  </si>
  <si>
    <t>Нива ГЭС-2 (филиал "Кольский" ПАО "ТГК-1")</t>
  </si>
  <si>
    <t>Нива ГЭС-3 (филиал "Кольский" ПАО "ТГК-1")</t>
  </si>
  <si>
    <t>Княжегубская ГЭС-11 (филиал "Кольский" ПАО "ТГК-1")</t>
  </si>
  <si>
    <t>Кумская ГЭС-9 (филиал "Кольский" ПАО "ТГК-1")</t>
  </si>
  <si>
    <t>Иовская ГЭС-10 (филиал "Кольский" ПАО "ТГК-1")</t>
  </si>
  <si>
    <t>к-д Пазских ГЭС (филиал "Кольский" ПАО "ТГК-1")</t>
  </si>
  <si>
    <t>Кайтакоски ГЭС-4 (филиал "Кольский" ПАО "ТГК-1")</t>
  </si>
  <si>
    <t>Янискоски ГЭС-5 (филиал "Кольский" ПАО "ТГК-1")</t>
  </si>
  <si>
    <t>Раякоски ГЭС-6 (филиал "Кольский" ПАО "ТГК-1")</t>
  </si>
  <si>
    <t>Хеваскоски ГЭС-7 (филиал "Кольский" ПАО "ТГК-1")</t>
  </si>
  <si>
    <t>Борисоглебская ГЭС-8 (филиал "Кольский" ПАО "ТГК-1")</t>
  </si>
  <si>
    <t>к-д Туломских ГЭС (филиал "Кольский" ПАО "ТГК-1")</t>
  </si>
  <si>
    <t>Верхне-Туломская ГЭС-12 (филиал "Кольский" ПАО "ТГК-1")</t>
  </si>
  <si>
    <t>Нижне-Туломская ГЭС (филиал "Кольский" ПАО "ТГК-1")</t>
  </si>
  <si>
    <t>к-д Серебрянских ГЭС (филиал "Кольский" ПАО "ТГК-1")</t>
  </si>
  <si>
    <t>ГЭС-15 Серебрянская-1 (филиал "Кольский" ПАО "ТГК-1")</t>
  </si>
  <si>
    <t>ГЭС-16 Серебрянская-2 (филиал "Кольский" ПАО "ТГК-1")</t>
  </si>
  <si>
    <t>Верхнетериберская ГЭС-18 (филиал "Кольский" ПАО "ТГК-1")</t>
  </si>
  <si>
    <t>Нижнетериберская ГЭС-19 (филиал "Кольский" ПАО "ТГК-1")</t>
  </si>
  <si>
    <t>Шильская и Максютинская ГЭС (АО"Норд Гидро")</t>
  </si>
  <si>
    <t>в т.ч. Шильская ГЭС (АО"Норд Гидро")</t>
  </si>
  <si>
    <t>в т.ч. Максютинская ГЭС (АО"Норд Гидро")</t>
  </si>
  <si>
    <t>ЭС-1 Центральной ТЭЦ (филиал "Невский" ПАО "ТГК-1")</t>
  </si>
  <si>
    <t>ЭС-2 Центральной ТЭЦ (филиал "Невский" ПАО "ТГК-1")</t>
  </si>
  <si>
    <t>Правобережная ТЭЦ-5 (филиал "Невский" ПАО "ТГК-1")</t>
  </si>
  <si>
    <t>Правобережная ТЭЦ-5  (филиал "Невский" ПАО "ТГК-1") без ДПМ/НВ/ВР</t>
  </si>
  <si>
    <r>
      <t xml:space="preserve">Правобережная ТЭЦ-5 (филиал "Невский" ПАО "ТГК-1") ПГУ 450 МВт Бл №2 НВ, ДПМ </t>
    </r>
    <r>
      <rPr>
        <b/>
        <sz val="12"/>
        <color indexed="10"/>
        <rFont val="Times New Roman"/>
        <family val="1"/>
        <charset val="204"/>
      </rPr>
      <t>18.11.2012</t>
    </r>
  </si>
  <si>
    <t>Василеостровская ТЭЦ-7 (филиал "Невский" ПАО "ТГК-1")</t>
  </si>
  <si>
    <r>
      <t xml:space="preserve">Василеостровская ТЭЦ-7 (филиал "Невский" ПАО "ТГК-1") - Бл №3 НВ, ДПМ </t>
    </r>
    <r>
      <rPr>
        <b/>
        <sz val="12"/>
        <color indexed="10"/>
        <rFont val="Times New Roman Cyr"/>
        <charset val="204"/>
      </rPr>
      <t>01.10.2009</t>
    </r>
  </si>
  <si>
    <t>Первомайская ТЭЦ-14 (филиал "Невский" ПАО "ТГК-1")</t>
  </si>
  <si>
    <r>
      <t xml:space="preserve">Первомайская ТЭЦ-14 (филиал "Невский" ПАО "ТГК-1") ПГУ 180 Бл №1 НВ, ДПМ </t>
    </r>
    <r>
      <rPr>
        <b/>
        <sz val="12"/>
        <color indexed="10"/>
        <rFont val="Times New Roman Cyr"/>
        <charset val="204"/>
      </rPr>
      <t>01.01.2011</t>
    </r>
  </si>
  <si>
    <r>
      <t xml:space="preserve">Первомайская ТЭЦ-14 (филиал "Невский" ПАО "ТГК-1") ПГУ-180 Бл №2 НВ, ДПМ </t>
    </r>
    <r>
      <rPr>
        <b/>
        <sz val="12"/>
        <color indexed="10"/>
        <rFont val="Times New Roman Cyr"/>
        <charset val="204"/>
      </rPr>
      <t>01.01.2012</t>
    </r>
  </si>
  <si>
    <t>Автовская ТЭЦ-15 (филиал "Невский" ПАО "ТГК-1")</t>
  </si>
  <si>
    <t>АвтовскаяТЭЦ (ТЭЦ-15) (филиал "Невский" ПАО "ТГК-1") ТГ-2,3,7 ВР</t>
  </si>
  <si>
    <t>АвтовскаяТЭЦ (ТЭЦ-15) (филиал "Невский" ПАО "ТГК-1") ТГ-6 ВР</t>
  </si>
  <si>
    <t>АвтовскаяТЭЦ (ТЭЦ-15) (филиал "Невский" ПАО "ТГК-1") ТГ-1,4,5</t>
  </si>
  <si>
    <t>Выборгская ТЭЦ-17 (филиал "Невский" ПАО "ТГК-1")</t>
  </si>
  <si>
    <t>Выборгская ТЭЦ-17 (филиал "Невский" ПАО "ТГК-1") ТГ-2,3</t>
  </si>
  <si>
    <t>Выборгская ТЭЦ-17 (филиал "Невский" ПАО "ТГК-1") ТГ-4 ВР</t>
  </si>
  <si>
    <t>Южная ТЭЦ-22 (филиал "Невский" ПАО "ТГК-1")</t>
  </si>
  <si>
    <r>
      <t xml:space="preserve">Южная ТЭЦ-22 (филиал "Невский" ПАО "ТГК-1") Бл №4 ПГУ 457 НВ, ДПМ </t>
    </r>
    <r>
      <rPr>
        <b/>
        <sz val="12"/>
        <color indexed="10"/>
        <rFont val="Times New Roman Cyr"/>
        <charset val="204"/>
      </rPr>
      <t>01.04.2011</t>
    </r>
  </si>
  <si>
    <t>Северо-Западная ТЭЦ (филиал АО "Интер РАО - Электрогенерация")</t>
  </si>
  <si>
    <t>Юго-Западная ТЭЦ (АО "Юго-Западная ТЭЦ")</t>
  </si>
  <si>
    <r>
      <t xml:space="preserve">Юго-Западная ТЭЦ (АО "Юго-Западная ТЭЦ") Бл №1 ПГУ 185 НВ </t>
    </r>
    <r>
      <rPr>
        <b/>
        <sz val="12"/>
        <color indexed="10"/>
        <rFont val="Times New Roman Cyr"/>
        <charset val="204"/>
      </rPr>
      <t>01.04.2012</t>
    </r>
  </si>
  <si>
    <r>
      <t xml:space="preserve">Юго-Западная ТЭЦ (АО "Юго-Западная ТЭЦ") Бл №2 ПГУ 300 НВ </t>
    </r>
    <r>
      <rPr>
        <b/>
        <sz val="12"/>
        <color indexed="10"/>
        <rFont val="Times New Roman Cyr"/>
        <charset val="204"/>
      </rPr>
      <t>01.09.2016</t>
    </r>
  </si>
  <si>
    <t>ТЭЦ (АО "ГСР ТЭЦ")</t>
  </si>
  <si>
    <t>КАСКАД-1 Каскад Вуоксинских ГЭС (филиал "Невский" ПАО "ТГК-1")</t>
  </si>
  <si>
    <t xml:space="preserve">Лесогорская ГЭС-10 (филиал "Невский" ПАО "ТГК-1") </t>
  </si>
  <si>
    <t>Светлогорская ГЭС-11 (филиал "Невский" ПАО "ТГК-1")</t>
  </si>
  <si>
    <t>КАСКАД-2 Каскад Ладожских ГЭС (филиал "Невский" ПАО "ТГК-1")</t>
  </si>
  <si>
    <t>Нарвская ГЭС-13 (филиал "Невский" ПАО "ТГК-1")</t>
  </si>
  <si>
    <t>Ленинградская АЭС (филиал АО "Концерн Росэнергоатом")</t>
  </si>
  <si>
    <t>Киришская ГРЭС/ТЭЦ19 (филиал ПАО "ОГК-2")</t>
  </si>
  <si>
    <r>
      <t xml:space="preserve">Киришская ГРЭС/ТЭЦ19 (филиал ПАО "ОГК-2") - ПГУ 500, </t>
    </r>
    <r>
      <rPr>
        <b/>
        <sz val="12"/>
        <color indexed="10"/>
        <rFont val="Times New Roman Cyr"/>
        <charset val="204"/>
      </rPr>
      <t>01.02.2012</t>
    </r>
    <r>
      <rPr>
        <sz val="12"/>
        <rFont val="Times New Roman Cyr"/>
        <family val="1"/>
        <charset val="204"/>
      </rPr>
      <t>, ДПМ</t>
    </r>
  </si>
  <si>
    <t>Ростовская АЭС (филиал АО "Концерн Росэнергоатом") Бл №1</t>
  </si>
  <si>
    <t>Ростовская АЭС (филиал АО "Концерн Росэнергоатом")</t>
  </si>
  <si>
    <r>
      <t xml:space="preserve">Ростовская АЭС (филиал АО "Концерн Росэнергоатом") Бл №2 НВ, ДПМ </t>
    </r>
    <r>
      <rPr>
        <b/>
        <sz val="12"/>
        <color indexed="10"/>
        <rFont val="Times New Roman Cyr"/>
        <charset val="204"/>
      </rPr>
      <t>29.11.2010</t>
    </r>
  </si>
  <si>
    <r>
      <t xml:space="preserve">Ростовская АЭС (филиал АО "Концерн Росэнергоатом") Бл №3 НВ, ДПМ </t>
    </r>
    <r>
      <rPr>
        <b/>
        <sz val="12"/>
        <color indexed="10"/>
        <rFont val="Times New Roman Cyr"/>
        <charset val="204"/>
      </rPr>
      <t>25.12.2014</t>
    </r>
  </si>
  <si>
    <t>Дзауджикауская ГЭС (Северо-Осетинский филиал ПАО "РусГидро")</t>
  </si>
  <si>
    <t>Каскад Кубанских ГЭС (филиал ПАО "РусГидро")</t>
  </si>
  <si>
    <t>Барнаульская ТЭЦ-2 (АО "Барнаульская генерация")</t>
  </si>
  <si>
    <r>
      <t xml:space="preserve">Барнаульская ТЭЦ-2 (АО "Барнаульская генерация") ТГ №8 </t>
    </r>
    <r>
      <rPr>
        <b/>
        <sz val="12"/>
        <color indexed="10"/>
        <rFont val="Times New Roman Cyr"/>
        <charset val="204"/>
      </rPr>
      <t>14.02.2014</t>
    </r>
  </si>
  <si>
    <r>
      <t xml:space="preserve">Барнаульская ТЭЦ-2 (АО "Барнаульская генерация") ТГ №9 </t>
    </r>
    <r>
      <rPr>
        <b/>
        <sz val="12"/>
        <color indexed="10"/>
        <rFont val="Times New Roman Cyr"/>
        <charset val="204"/>
      </rPr>
      <t>28.11.2014</t>
    </r>
  </si>
  <si>
    <t>Барнаульская ТЭЦ-3 (АО "Барнаульская ТЭЦ-3")</t>
  </si>
  <si>
    <t>Бийская ТЭЦ-1 (АО "Бийскэнерго")</t>
  </si>
  <si>
    <t>Уч. №1 Иркутской ТЭЦ-9 (ТЭЦ-1) (ПАО "Иркутскэнерго")</t>
  </si>
  <si>
    <t>Иркутская ТЭЦ-6 (ПАО "Иркутскэнерго")</t>
  </si>
  <si>
    <t>Иркутская ТЭЦ-9 (ПАО "Иркутскэнерго")</t>
  </si>
  <si>
    <t>Иркутская ТЭЦ-10 (ПАО "Иркутскэнерго")</t>
  </si>
  <si>
    <t>Иркутская ТЭЦ-11 (ПАО "Иркутскэнерго")</t>
  </si>
  <si>
    <t>Ново-Иркутская ТЭЦ (ПАО "Иркутскэнерго")</t>
  </si>
  <si>
    <t>Усть-Илимская ТЭЦ (ПАО "Иркутскэнерго")</t>
  </si>
  <si>
    <t>Ново-Зиминская ТЭЦ (ПАО "Иркутскэнерго")</t>
  </si>
  <si>
    <t>Иркутская ТЭЦ-12 (ПАО "Иркутскэнерго")</t>
  </si>
  <si>
    <t>Иркутская ТЭЦ-16 (ПАО "Иркутскэнерго")</t>
  </si>
  <si>
    <t>Назаровская ГРЭС (АО Назаровская ГРЭС)</t>
  </si>
  <si>
    <r>
      <t xml:space="preserve">Назаровская ГРЭС (АО Назаровская ГРЭС) Бл № 7 реконструкц ДПМ </t>
    </r>
    <r>
      <rPr>
        <b/>
        <sz val="12"/>
        <color indexed="10"/>
        <rFont val="Times New Roman"/>
        <family val="1"/>
        <charset val="204"/>
      </rPr>
      <t>01.04.2014</t>
    </r>
  </si>
  <si>
    <t>Красноярская ТЭЦ-1 (АО "Красноярская ТЭЦ-1")</t>
  </si>
  <si>
    <t>Канская ТЭЦ (АО "Канская ТЭЦ")</t>
  </si>
  <si>
    <r>
      <t xml:space="preserve">Канская ТЭЦ (АО "Канская ТЭЦ") Бл №2 НВ </t>
    </r>
    <r>
      <rPr>
        <b/>
        <sz val="12"/>
        <color indexed="10"/>
        <rFont val="Times New Roman"/>
        <family val="1"/>
        <charset val="204"/>
      </rPr>
      <t>01.07.2009</t>
    </r>
  </si>
  <si>
    <t>Березовская ГРЭС-1 (филиал ПАО "Юнипро")</t>
  </si>
  <si>
    <r>
      <t xml:space="preserve">Березовская ГРЭС-1 (филиал ПАО "Юнипро") Бл №1 800 МВт отказ от ДПМ </t>
    </r>
    <r>
      <rPr>
        <b/>
        <sz val="12"/>
        <color indexed="10"/>
        <rFont val="Times New Roman Cyr"/>
        <charset val="204"/>
      </rPr>
      <t>01.11.2011</t>
    </r>
  </si>
  <si>
    <r>
      <t xml:space="preserve">Березовская ГРЭС-1 (филиал ПАО "Юнипро") Бл №2 800 МВт отказ от ДПМ </t>
    </r>
    <r>
      <rPr>
        <b/>
        <sz val="12"/>
        <color indexed="10"/>
        <rFont val="Times New Roman Cyr"/>
        <charset val="204"/>
      </rPr>
      <t>01.12.2010</t>
    </r>
  </si>
  <si>
    <r>
      <t xml:space="preserve">Березовская ГРЭС-1 (филиал ПАО "Юнипро") Бл №3 800 МВт НВ, ДПМ </t>
    </r>
    <r>
      <rPr>
        <b/>
        <sz val="12"/>
        <color indexed="10"/>
        <rFont val="Times New Roman Cyr"/>
        <charset val="204"/>
      </rPr>
      <t>22.09.2015</t>
    </r>
  </si>
  <si>
    <t>Красноярская ГЭС (Филиал АО "ЕвроСибЭнерго")</t>
  </si>
  <si>
    <t>Кемеровская ГРЭС (филиал АО "Кемеровская генерация")</t>
  </si>
  <si>
    <t>Кемеровская ТЭЦ (филиал АО "Кемеровская генерация")</t>
  </si>
  <si>
    <t>Ново-Кемеровская ТЭЦ (АО "Ново-Кемеровская ТЭЦ")</t>
  </si>
  <si>
    <r>
      <t xml:space="preserve">Ново-Кемеровская ТЭЦ (АО "Ново-Кемеровская ТЭЦ") БЛ №15 100МВт НВ, ДПМ </t>
    </r>
    <r>
      <rPr>
        <b/>
        <sz val="12"/>
        <color indexed="10"/>
        <rFont val="Times New Roman"/>
        <family val="1"/>
        <charset val="204"/>
      </rPr>
      <t>01.03.2009</t>
    </r>
  </si>
  <si>
    <t>Кузнецкая ТЭЦ (АО "Кузнецкая ТЭЦ")</t>
  </si>
  <si>
    <t>Кузнецкая ТЭЦ (АО "Кузнецкая ТЭЦ") без ДПМ/НВ/ВР</t>
  </si>
  <si>
    <r>
      <t xml:space="preserve">Кузнецкая ТЭЦ (АО "Кузнецкая ТЭЦ") Бл №3 НВ </t>
    </r>
    <r>
      <rPr>
        <b/>
        <sz val="12"/>
        <color indexed="10"/>
        <rFont val="Times New Roman"/>
        <family val="1"/>
        <charset val="204"/>
      </rPr>
      <t>01.01.2009</t>
    </r>
  </si>
  <si>
    <t>Западно-Сибирская ТЭЦ (АО "Западно-Сибирский металлургический комбинат")</t>
  </si>
  <si>
    <t>Новосибирская ТЭЦ-2 (филиал АО "СИБЭКО")</t>
  </si>
  <si>
    <t>Новосибирская ТЭЦ-3 (филиал АО "СИБЭКО")</t>
  </si>
  <si>
    <t>Новосибирская ТЭЦ-4 (филиал АО "СИБЭКО")</t>
  </si>
  <si>
    <t>Новосибирская ТЭЦ-5 (филиал АО "СИБЭКО")</t>
  </si>
  <si>
    <t>Барабинская ТЭЦ (филиал АО "СИБЭКО")</t>
  </si>
  <si>
    <t>Томская ГРЭС-2 (филиал АО "Томская генерация")</t>
  </si>
  <si>
    <t>Томская ГРЭС-2 (АО "Томская генерация") без ДПМ/НВ/ВР</t>
  </si>
  <si>
    <r>
      <t xml:space="preserve">Томская ГРЭС-2 (филиал АО "Томская генерация") Бл №2 50 МВт НВ, ДПМ </t>
    </r>
    <r>
      <rPr>
        <b/>
        <sz val="12"/>
        <color indexed="10"/>
        <rFont val="Times New Roman"/>
        <family val="1"/>
        <charset val="204"/>
      </rPr>
      <t>01.12.2009</t>
    </r>
  </si>
  <si>
    <t>Томская ТЭЦ-3 (филиал АО "Томская генерация")</t>
  </si>
  <si>
    <t>ТЭЦ СХК (АО "Сибирский химический комбинат" )</t>
  </si>
  <si>
    <t>ТЭЦ СХК (АО "Сибирский химический комбинат")</t>
  </si>
  <si>
    <r>
      <t xml:space="preserve">ТЭЦ СХК (АО "Сибирский химический комбинат") Бл №10 100 МВт НВ </t>
    </r>
    <r>
      <rPr>
        <b/>
        <sz val="12"/>
        <color indexed="10"/>
        <rFont val="Times New Roman Cyr"/>
        <charset val="204"/>
      </rPr>
      <t>01.10.2008</t>
    </r>
  </si>
  <si>
    <t>Шингинская ГТЭС (ООО "Газпромнефтегаз-Восток")</t>
  </si>
  <si>
    <t>Абаканская ТЭЦ (Абаканский филиал АО "Енисейская ТГК (ТГК-13)")</t>
  </si>
  <si>
    <t>Томская ТЭЦ-1 (ПРК-ГТУ 16 МВт) (АО "Томская генерация")</t>
  </si>
  <si>
    <t>ТЭЦ в г. Советская Гавань НВ</t>
  </si>
  <si>
    <t>pr.kod</t>
  </si>
  <si>
    <t>terr.kod</t>
  </si>
  <si>
    <t>kpo</t>
  </si>
  <si>
    <t>vir</t>
  </si>
  <si>
    <t>potr</t>
  </si>
  <si>
    <r>
      <rPr>
        <sz val="11"/>
        <color rgb="FFFF0000"/>
        <rFont val="Arial"/>
        <family val="2"/>
        <charset val="204"/>
      </rPr>
      <t>Транзит</t>
    </r>
    <r>
      <rPr>
        <sz val="11"/>
        <rFont val="Arial"/>
        <family val="2"/>
        <charset val="204"/>
      </rPr>
      <t xml:space="preserve"> Саратов-Зап.Казахстан-Самара</t>
    </r>
  </si>
  <si>
    <t>млн. кВтч</t>
  </si>
  <si>
    <t>Урал - Казахстан</t>
  </si>
  <si>
    <r>
      <rPr>
        <sz val="11"/>
        <color indexed="10"/>
        <rFont val="Arial"/>
        <family val="2"/>
        <charset val="204"/>
      </rPr>
      <t>Транзит</t>
    </r>
    <r>
      <rPr>
        <sz val="11"/>
        <rFont val="Arial"/>
        <family val="2"/>
        <charset val="204"/>
      </rPr>
      <t xml:space="preserve"> Курган - Сев. Казахстан - Омск</t>
    </r>
  </si>
  <si>
    <r>
      <rPr>
        <sz val="11"/>
        <color indexed="10"/>
        <rFont val="Arial"/>
        <family val="2"/>
        <charset val="204"/>
      </rPr>
      <t>Транзит</t>
    </r>
    <r>
      <rPr>
        <sz val="11"/>
        <rFont val="Arial"/>
        <family val="2"/>
        <charset val="204"/>
      </rPr>
      <t xml:space="preserve"> Алтай - Сев. Казахстан - Омск</t>
    </r>
  </si>
  <si>
    <r>
      <rPr>
        <sz val="11"/>
        <color indexed="10"/>
        <rFont val="Arial"/>
        <family val="2"/>
        <charset val="204"/>
      </rPr>
      <t>Транзит</t>
    </r>
    <r>
      <rPr>
        <sz val="11"/>
        <rFont val="Arial"/>
        <family val="2"/>
        <charset val="204"/>
      </rPr>
      <t xml:space="preserve"> по сетям Сев. Казахстан - Омск Всего:</t>
    </r>
  </si>
  <si>
    <r>
      <rPr>
        <sz val="11"/>
        <color indexed="10"/>
        <rFont val="Arial"/>
        <family val="2"/>
        <charset val="204"/>
      </rPr>
      <t>Транзит</t>
    </r>
    <r>
      <rPr>
        <sz val="11"/>
        <rFont val="Arial"/>
        <family val="2"/>
        <charset val="204"/>
      </rPr>
      <t xml:space="preserve"> по сетям Казахстана Всего:</t>
    </r>
  </si>
  <si>
    <t>Ивановская ГРЭС (ОАО "Стенд")</t>
  </si>
  <si>
    <t>Мини ТЭЦ (ООО "ТК ЛипецкАгро")</t>
  </si>
  <si>
    <t>ДГА-5000 (ООО "Базис С")</t>
  </si>
  <si>
    <t>ТЭЦ Спецзавод №3 (ООО "Ефн-экотехпром МСЗ 3")</t>
  </si>
  <si>
    <r>
      <t xml:space="preserve">Шатурская ГРЭС-5 (филиал ПАО "Юнипро") Бл №7 ПГУ 400 НВ, ДПМ </t>
    </r>
    <r>
      <rPr>
        <b/>
        <sz val="12"/>
        <color indexed="10"/>
        <rFont val="Times New Roman Cyr"/>
        <charset val="204"/>
      </rPr>
      <t>01.12.2010</t>
    </r>
  </si>
  <si>
    <r>
      <t xml:space="preserve">Каширская ГРЭС (АО "Интер РАО - Электрогенерация") - блок 3 К-330 НВ, ДПМ </t>
    </r>
    <r>
      <rPr>
        <b/>
        <sz val="12"/>
        <color indexed="10"/>
        <rFont val="Times New Roman Cyr"/>
        <charset val="204"/>
      </rPr>
      <t>01.01.2010</t>
    </r>
  </si>
  <si>
    <r>
      <t xml:space="preserve">Богдановическая ТЭЦ (ОАО "Богдановичская генерирующая компания") НВ </t>
    </r>
    <r>
      <rPr>
        <b/>
        <sz val="12"/>
        <color rgb="FFFF0000"/>
        <rFont val="Times New Roman Cyr"/>
        <charset val="204"/>
      </rPr>
      <t>01.06.2016</t>
    </r>
  </si>
  <si>
    <t>ГТЭС Новоуренгойская (ООО "Новоуренгойский газохимический комплекс")</t>
  </si>
  <si>
    <t>Шелеховский участок Ново-Иркутской ТЭЦ (ТЭЦ-5 ПАО "Иркутскэнерго")</t>
  </si>
  <si>
    <t>Ростовская АЭС бл. № 4</t>
  </si>
  <si>
    <t>Ленинградская АЭС - 2 бл. №1</t>
  </si>
  <si>
    <t>Количество дней</t>
  </si>
  <si>
    <t xml:space="preserve">январь </t>
  </si>
  <si>
    <t>Выработка Кольской АЭС</t>
  </si>
  <si>
    <t>Перегруз Кольской АЭС, млн.кВт.ч</t>
  </si>
  <si>
    <t>Потребление (прогноз), млн.кВт.ч</t>
  </si>
  <si>
    <t>Выработка ГЭС (прогноз), млн.кВт.ч</t>
  </si>
  <si>
    <t>Экспорт (прогноз), млн.кВт.ч</t>
  </si>
  <si>
    <t>Выработка ТЭЦ (прогноз), млн.кВт.ч</t>
  </si>
  <si>
    <t xml:space="preserve">МДП Кола - Карелия, МВт </t>
  </si>
  <si>
    <t>МДП Кола - Карелия, млн.кВт.ч (расчет)</t>
  </si>
  <si>
    <t>Максимальное сальдо Колы с учетом экспорта, млн.кВт.ч (расчет)</t>
  </si>
  <si>
    <t>Максимальная выработка КАЭС, млн.кВт.ч</t>
  </si>
  <si>
    <t>Волховская ГЭС-6 (филиал "Невский" ПАО "ТГК-1")</t>
  </si>
  <si>
    <t>Нижне-Свирская ГЭС-9 (филиал "Невский" ПАО "ТГК-1")</t>
  </si>
  <si>
    <t>Верхне-Свирская ГЭС-12 (филиал "Невский" ПАО "ТГК-1")</t>
  </si>
  <si>
    <t>Чеченская республика</t>
  </si>
  <si>
    <t>Малая ГЭС на р.Аргун (ГУП "Чеченская генерирующая компания")</t>
  </si>
  <si>
    <t>Лыковская ГЭС (ООО "Лыковская ГЭС")</t>
  </si>
  <si>
    <t>Саровская ТЭЦ (АО "Саровская генерирующая компания") без ДПМ/НВ/ВР</t>
  </si>
  <si>
    <t>Саровская ТЭЦ (АО "Саровская генерирующая компания") ТГ 8</t>
  </si>
  <si>
    <t>ГПЭС ООО "Азия Цемент"</t>
  </si>
  <si>
    <t>АСТ-Орловгайская СЭС (ООО «АВЕЛАР СОЛАР ТЕХНОЛОДЖИ»)</t>
  </si>
  <si>
    <t>АСТ-Пугачевская СЭС (ООО «АВЕЛАР СОЛАР ТЕХНОЛОДЖИ»)</t>
  </si>
  <si>
    <t>АСТ-Новоузенская СЭС (ООО «АВЕЛАР СОЛАР ТЕХНОЛОДЖИ»)</t>
  </si>
  <si>
    <t>Заинская ГРЭС (АО "Татэнерго")</t>
  </si>
  <si>
    <t>Казанская ТЭЦ-2 (АО "Татэнерго") без ДПМ/НВ/ВР</t>
  </si>
  <si>
    <r>
      <t xml:space="preserve">Казанская ТЭЦ-2 (АО "Татэнерго"), ПГУ-1, ПГУ-2 НВ </t>
    </r>
    <r>
      <rPr>
        <b/>
        <sz val="12"/>
        <color indexed="10"/>
        <rFont val="Times New Roman Cyr"/>
        <charset val="204"/>
      </rPr>
      <t>30.11.2014</t>
    </r>
  </si>
  <si>
    <t>Набережночелнинская ТЭЦ (АО "Татэнерго")</t>
  </si>
  <si>
    <t>777342</t>
  </si>
  <si>
    <t>Мини-ТЭЦ Кастамону</t>
  </si>
  <si>
    <t>Затонская ТЭЦ (ООО "Башкирская генерирующая компания")</t>
  </si>
  <si>
    <t>Ново-Салаватская ТЭЦ (ООО "Ново-Салаватская ТЭЦ")</t>
  </si>
  <si>
    <t>Челябинская ТЭЦ-1 (ОАО "Фортум" филиал Энергосистема "Урал") без ДПМ/НВ/ВР</t>
  </si>
  <si>
    <r>
      <t xml:space="preserve">Челябинская ТЭЦ-1 (ОАО "Фортум" филиал Энергосистема "Урал") ТГ 10 ГТУ - 1, ТГ 11 ГТУ - 2  </t>
    </r>
    <r>
      <rPr>
        <b/>
        <sz val="12"/>
        <color indexed="10"/>
        <rFont val="Times New Roman Cyr"/>
        <charset val="204"/>
      </rPr>
      <t>01.08.2013</t>
    </r>
  </si>
  <si>
    <t>Челябинская ТЭЦ-2 (ОАО "Фортум" филиал Энергосистема "Урал")</t>
  </si>
  <si>
    <t>Челябинская ТЭЦ-3 (ОАО "Фортум" филиал Энергосистема "Урал") без ДПМ/НВ/ВР</t>
  </si>
  <si>
    <r>
      <t xml:space="preserve">Челябинская ТЭЦ-3 (ОАО "Фортум" филиал Энергосистема "Урал") ПГУ 216,3 НВ, ДПМ </t>
    </r>
    <r>
      <rPr>
        <b/>
        <sz val="12"/>
        <color indexed="10"/>
        <rFont val="Times New Roman Cyr"/>
        <charset val="204"/>
      </rPr>
      <t>01.06.2011</t>
    </r>
  </si>
  <si>
    <t>Челябинская ТЭЦ-1 (ОАО "Фортум" филиал Энергосистема "Урал")</t>
  </si>
  <si>
    <t>Челябинская ТЭЦ-3 (ОАО "Фортум" филиал Энергосистема "Урал")</t>
  </si>
  <si>
    <t>Аргаяшская ТЭЦ (ОАО "Фортум" филиал Энергосистема "Урал")</t>
  </si>
  <si>
    <t>Аргаяшская ТЭЦ (ОАО "Фортум" филиал Энергосистема "Урал") без ДПМ/НВ/ВР</t>
  </si>
  <si>
    <r>
      <t xml:space="preserve">Аргаяшская ТЭЦ (ОАО "Фортум" филиал Энергосистема "Урал") ТГ-4 НВ, ДПМ </t>
    </r>
    <r>
      <rPr>
        <b/>
        <sz val="12"/>
        <color indexed="10"/>
        <rFont val="Times New Roman Cyr"/>
        <charset val="204"/>
      </rPr>
      <t>01.04.2016</t>
    </r>
  </si>
  <si>
    <t>Аргаяшская ТЭЦ (ОАО "Фортум" филиал Энергосистема "Урал") ТГ-6,7 ВР</t>
  </si>
  <si>
    <t>ТЭЦ АО "Автомобильный завод "УРАЛ"</t>
  </si>
  <si>
    <t>Тобольская ТЭЦ (ООО "Сибур Тобольск")</t>
  </si>
  <si>
    <t>Тобольская ТЭЦ (ООО "Сибур Тобольск") без ДПМ/НВ/ВР</t>
  </si>
  <si>
    <r>
      <t xml:space="preserve">Тобольская ТЭЦ (ООО "Сибур Тобольск") - бл.№ 3, бл.№ 5 НВ, ДПМ </t>
    </r>
    <r>
      <rPr>
        <b/>
        <sz val="12"/>
        <color indexed="10"/>
        <rFont val="Times New Roman Cyr"/>
        <charset val="204"/>
      </rPr>
      <t>01.05.2011</t>
    </r>
  </si>
  <si>
    <t>ГПЭС Вынгапуровского ГПЗ (АО "СибурТюменьГаз")</t>
  </si>
  <si>
    <t>ГПЭС Нижне-Шапшинского м/р (АО "БерезкаГаз Югра")</t>
  </si>
  <si>
    <t>ГПЭС Верхне-Шапшинского м/р (ООО "РусГазСервис")</t>
  </si>
  <si>
    <t>ГТЭС "Хантэк Южная" (ООО "РусГазСервис")</t>
  </si>
  <si>
    <t>ГПЭС Соровского м/р (ООО "Соровскнефть")</t>
  </si>
  <si>
    <t>Архангельская ТЭЦ (Архангельский филиал ПАО "ТГК-2")</t>
  </si>
  <si>
    <t>Северодвинская ТЭЦ-1 (Архангельский филиал ПАО "ТГК-2")</t>
  </si>
  <si>
    <t>Северодвинская ТЭЦ-2 (Архангельский филиал ПАО "ТГК-2")</t>
  </si>
  <si>
    <t>ТЭС (АО "Архангельский ЦБК")</t>
  </si>
  <si>
    <t>Маяковская ТЭС (Филиал "Калининградская ТЭЦ-2" АО "Интер РАО - Электрогенерация")</t>
  </si>
  <si>
    <t>Прегольская ТЭС (Филиал "Калининградская ТЭЦ-2" АО "Интер РАО - Электрогенерация")</t>
  </si>
  <si>
    <t>Талаховская ТЭС (Филиал "Калининградская ТЭЦ-2" АО "Интер РАО - Электрогенерация")</t>
  </si>
  <si>
    <t>ТЭС "Сыктывкарская" ООО "Республиканская генерирующая компания"</t>
  </si>
  <si>
    <t>Новгородская ТЭЦ-20 (Новгородский филиал ПАО"ТГК-2")</t>
  </si>
  <si>
    <r>
      <t xml:space="preserve">Новгородская ТЭЦ-20 (Новгородский филиал ПАО"ТГК-2") ПГУ 221 НВ, ДПМ </t>
    </r>
    <r>
      <rPr>
        <b/>
        <sz val="12"/>
        <color indexed="10"/>
        <rFont val="Times New Roman Cyr"/>
        <charset val="204"/>
      </rPr>
      <t>01.09.2012</t>
    </r>
  </si>
  <si>
    <t>ГТУ-ТЭЦ (ГТЭ 1) ДПМ НВ</t>
  </si>
  <si>
    <t>ГТУ-ТЭЦ (ГТЭ 2) ДПМ НВ</t>
  </si>
  <si>
    <t>Ленинградская АЭС-2, Блок 1 ДПМ НВ (филиал АО "Концерн Росэнергоатом")</t>
  </si>
  <si>
    <t>Северная ТЭЦ (ТЭЦ-21)  (филиал "Невский" ПАО "ТГК-1") Блок 1,3, ВР</t>
  </si>
  <si>
    <t>Северная ТЭЦ (ТЭЦ-21)  (филиал "Невский" ПАО "ТГК-1")Блок 2,4 ВР</t>
  </si>
  <si>
    <t>Северная ТЭЦ (ТЭЦ-21)  (филиал "Невский" ПАО "ТГК-1") Блок 5 ВР</t>
  </si>
  <si>
    <t>Волгоградская ТЭЦ-2 (ООО "ЛУКОЙЛ-Волгограднефтепереработка")</t>
  </si>
  <si>
    <t>Волжская ТЭЦ (ООО "Тепловая генерация г.Волжского")</t>
  </si>
  <si>
    <t>Волжская ТЭЦ-2 (ООО "Тепловая генерация г.Волжского")</t>
  </si>
  <si>
    <t>Камышинская ТЭЦ (ООО "Камышинская ТЭЦ")</t>
  </si>
  <si>
    <t>Волгоградская ТЭЦ-3 (АО "Каустик")</t>
  </si>
  <si>
    <t>ГПЭС "Оргсинтез" (ПАО "Волжский оргсинтез")</t>
  </si>
  <si>
    <t>ООО "ЭНЕРГОГАРАНТ"</t>
  </si>
  <si>
    <r>
      <t>Ростовская АЭС (филиал АО "Концерн Росэнергоатом") Бл №4 НВ, ДПМ 31</t>
    </r>
    <r>
      <rPr>
        <b/>
        <sz val="12"/>
        <color indexed="10"/>
        <rFont val="Times New Roman Cyr"/>
        <charset val="204"/>
      </rPr>
      <t>.12.2017</t>
    </r>
  </si>
  <si>
    <t xml:space="preserve">СЭС ООО "АЛЬФА СОЛАР" СЭС Перово (ООО "ПАУЕР СЕРВИСЕЗ") </t>
  </si>
  <si>
    <t>СЭС ООО "БЕТА СОЛАР" СЭС Перово (ООО "ПАУЕР СЕРВИСЕЗ")</t>
  </si>
  <si>
    <t>СЭС ООО "ЗЕТА СОЛАР" СЭС Перово (ООО "ПАУЕР СЕРВИСЕЗ")</t>
  </si>
  <si>
    <t>СЭС ООО "ДЕЛЬТАА СОЛАР" СЭС Перово (ООО "ПАУЕР СЕРВИСЕЗ")</t>
  </si>
  <si>
    <t>СЭС ООО "ГАММА СОЛАР" СЭС Перово (ООО "ПАУЕР СЕРВИСЕЗ")</t>
  </si>
  <si>
    <t xml:space="preserve">СЭС ООО "ОУЛ СОЛАР" СЭС Митяево (ООО "ПАУЕР СЕРВИСЕЗ") </t>
  </si>
  <si>
    <t>СЭС ООО "ОМАО СОЛАР" СЭС Охотниково (ООО "ПАУЕР СЕРВИСЕЗ")</t>
  </si>
  <si>
    <t>СЭС ООО "ОСПРИЙ СОЛАР" СЭС Охотниково (ООО "ПАУЕР СЕРВИСЕЗ")</t>
  </si>
  <si>
    <t>СЭС ООО "ОРИОЛ СОЛАР" СЭС Охотниково (ООО "ПАУЕР СЕРВИСЕЗ")</t>
  </si>
  <si>
    <t>СЭС ООО "ОУЗИЛ СОЛАР" СЭС Охотниково (ООО "ПАУЕР СЕРВИСЕЗ")</t>
  </si>
  <si>
    <t>СЭС ООО "КРАЙМИА СОЛАР 1" СЭС Родниковое (ООО "ПАУЕР СЕРВИСЕЗ")</t>
  </si>
  <si>
    <t>СЭС ООО "КРАЙМИА СОЛАР 2" СЭС Родниковое (ООО "ПАУЕР СЕРВИСЕЗ")</t>
  </si>
  <si>
    <t>СЭС ООО "КРАЙМИА СОЛАР 3" СЭС Родниковое (ООО "ПАУЕР СЕРВИСЕЗ")</t>
  </si>
  <si>
    <t>СЭС ООО "КРАЙМИА СОЛАР 4" СЭС Родниковое (ООО "ПАУЕР СЕРВИСЕЗ")</t>
  </si>
  <si>
    <t>СЭС ООО "КРАЙМИА СОЛАР 5" СЭС Родниковое (ООО "ПАУЕР СЕРВИСЕЗ")</t>
  </si>
  <si>
    <t>СЭС Николаевская (ООО "ПАУЕР СЕРВИС ЕЗ")</t>
  </si>
  <si>
    <t>СЭС ООО "Капелла Солар" СЭС Николаевская (ООО "ПАУЕР СЕРВИСЕЗ")</t>
  </si>
  <si>
    <t>СЭС ООО "Юпитер Солар" СЭС Николаевская (ООО "ПАУЕР СЕРВИСЕЗ")</t>
  </si>
  <si>
    <t>СЭС ООО "Орион Солар" СЭС Николаевская (ООО "ПАУЕР СЕРВИСЕЗ")</t>
  </si>
  <si>
    <t>Тарханкутская ВЭС (ГУП РК "Крымские генерирующие системы")</t>
  </si>
  <si>
    <t>Судакская ВЭС (ГУП РК "Крымские генерирующие системы")</t>
  </si>
  <si>
    <t>Сакская ВЭС (ГУП РК "Крымские генерирующие системы")</t>
  </si>
  <si>
    <t>Пресноводненская ВЭС (ГУП РК "Крымские генерирующие системы")</t>
  </si>
  <si>
    <t>Донузлавская ВЭС (ГУП РК "Крымские генерирующие системы")</t>
  </si>
  <si>
    <t>Восточно-Крымская ВЭС (ГУП РК "Крымские генерирующие системы")</t>
  </si>
  <si>
    <t>ТЭЦ ЧАО "Крымский "Титан" (АФ ООО "Титановые инвестиции")</t>
  </si>
  <si>
    <t>Белокурихинская ГПТЭС (ЗАО "Инновация")</t>
  </si>
  <si>
    <t>Майминская СЭС-1, 2 очередь (ООО "Авелар Солар Технолоджи")</t>
  </si>
  <si>
    <t>Бичурская СЭС (ООО "Авелар Солар Технолоджи")</t>
  </si>
  <si>
    <t>Томь-Усинская ГРЭС (филиал ПАО "Кузбассэнерго") без ДПМ/НВ/ВР</t>
  </si>
  <si>
    <r>
      <t xml:space="preserve">Томь-Усинская ГРЭС  (филиал ПАО "Кузбассэнерго") Бл №4 124 МВт НВ, ДПМ </t>
    </r>
    <r>
      <rPr>
        <b/>
        <sz val="12"/>
        <color indexed="10"/>
        <rFont val="Times New Roman"/>
        <family val="1"/>
        <charset val="204"/>
      </rPr>
      <t>01.10.2014</t>
    </r>
  </si>
  <si>
    <r>
      <t xml:space="preserve">Томь-Усинская ГРЭС  (филиал ПАО "Кузбассэнерго") Бл №5 121,4 МВт НВ, ДПМ </t>
    </r>
    <r>
      <rPr>
        <b/>
        <sz val="12"/>
        <color indexed="10"/>
        <rFont val="Times New Roman"/>
        <family val="1"/>
        <charset val="204"/>
      </rPr>
      <t>01.05.2014</t>
    </r>
  </si>
  <si>
    <t>Томь-Усинская ГРЭС  (филиал ПАО "Кузбассэнерго")</t>
  </si>
  <si>
    <t>Беловская ГРЭС (филиал ПАО "Кузбассэнерго")</t>
  </si>
  <si>
    <t>Беловская ГРЭС (филиал ПАО "Кузбассэнерго") без ДПМ/НВ/ВР</t>
  </si>
  <si>
    <r>
      <t xml:space="preserve">Беловская ГРЭС (филиал ПАО "Кузбассэнерго") Бл №4 220 МВт НВ, ДПМ </t>
    </r>
    <r>
      <rPr>
        <b/>
        <sz val="12"/>
        <color indexed="10"/>
        <rFont val="Times New Roman"/>
        <family val="1"/>
        <charset val="204"/>
      </rPr>
      <t>23.10.2015</t>
    </r>
  </si>
  <si>
    <r>
      <t xml:space="preserve">Беловская ГРЭС (филиал ПАО "Кузбассэнерго") Бл №6 220 МВт НВ, ДПМ </t>
    </r>
    <r>
      <rPr>
        <b/>
        <sz val="12"/>
        <color indexed="10"/>
        <rFont val="Times New Roman"/>
        <family val="1"/>
        <charset val="204"/>
      </rPr>
      <t>09.10.2015</t>
    </r>
  </si>
  <si>
    <t>ГТЭС "Новокузнецкая" (филиал ПАО "Кузбассэнерго")</t>
  </si>
  <si>
    <r>
      <t xml:space="preserve">ГТЭС "Новокузнецкая" (филиал ПАО "Кузбассэнерго") Бл №14 148,6 МВт НВ, ДПМ </t>
    </r>
    <r>
      <rPr>
        <b/>
        <sz val="12"/>
        <color indexed="10"/>
        <rFont val="Times New Roman"/>
        <family val="1"/>
        <charset val="204"/>
      </rPr>
      <t>19.09.2014</t>
    </r>
  </si>
  <si>
    <r>
      <t xml:space="preserve">ГТЭС "Новокузнецкая" (филиал ПАО "Кузбассэнерго") Бл №15 148,8 МВт НВ, ДПМ </t>
    </r>
    <r>
      <rPr>
        <b/>
        <sz val="12"/>
        <color indexed="10"/>
        <rFont val="Times New Roman"/>
        <family val="1"/>
        <charset val="204"/>
      </rPr>
      <t>15.09.2014</t>
    </r>
  </si>
  <si>
    <t>КЭС "Кокс" (ПАО "Кокс")</t>
  </si>
  <si>
    <t>Абаканская СЭС (ООО "Абаканская СЭС")</t>
  </si>
  <si>
    <t>Уруссинская ГРЭС (ЗАО "ТГК Уруссинская ГРЭС")</t>
  </si>
  <si>
    <t>Саранская ТЭЦ-2 (Филиал "Мордовский" ПАО "Т Плюс")</t>
  </si>
  <si>
    <t>Нижегородская ГРЭС (АО "Волга")</t>
  </si>
  <si>
    <t>Новогорьковская ТЭЦ (Филиал "Нижегородский" ПАО "Т Плюс") без ДПМ/НВ/ВР</t>
  </si>
  <si>
    <t>Новогорьковская ТЭЦ (Филиал "Нижегородский" ПАО "Т Плюс")</t>
  </si>
  <si>
    <t>Новогорьковская ТЭЦ (Филиал "Нижегородский" ПАО "Т Плюс") ПГУ(1) ДПМ НВ</t>
  </si>
  <si>
    <t>Новогорьковская ТЭЦ (Филиал "Нижегородский" ПАО "Т Плюс") ПГУ(2) ДПМ НВ</t>
  </si>
  <si>
    <t>Сормовская ТЭЦ (Филиал "Нижегородский" ПАО "Т Плюс")</t>
  </si>
  <si>
    <t>Сормовская ТЭЦ (Филиал "Нижегородский" ПАО "Т Плюс") без ДПМ/НВ/ВР</t>
  </si>
  <si>
    <t>Дзержинская ТЭЦ (Филиал "Нижегородский" ПАО "Т Плюс")</t>
  </si>
  <si>
    <r>
      <t xml:space="preserve">Сормовская ТЭЦ (Филиал "Нижегородский" ПАО "Т Плюс") ТГ №1, ДПМ </t>
    </r>
    <r>
      <rPr>
        <b/>
        <sz val="12"/>
        <color rgb="FFFF0000"/>
        <rFont val="Times New Roman Cyr"/>
        <charset val="204"/>
      </rPr>
      <t>01.09.2010</t>
    </r>
  </si>
  <si>
    <r>
      <t xml:space="preserve">Сормовская ТЭЦ (Филиал "Нижегородский" ПАО "Т Плюс") ТГ №2, ДПМ </t>
    </r>
    <r>
      <rPr>
        <b/>
        <sz val="12"/>
        <color rgb="FFFF0000"/>
        <rFont val="Times New Roman Cyr"/>
        <charset val="204"/>
      </rPr>
      <t>01.01.2010</t>
    </r>
  </si>
  <si>
    <t>Пензенская ТЭЦ-1 (Филиал "Мордовский" ПАО "Т Плюс" )</t>
  </si>
  <si>
    <t>Пензенская ТЭЦ-2 (Филиал "Мордовский" ПАО "Т Плюс" )</t>
  </si>
  <si>
    <t>Кузнецкая ТЭЦ-3 (АО "ГИДРОМАШ-ГРУПП")</t>
  </si>
  <si>
    <t>ТЭЦ Каменского сахарного завода (ОАО «Атмис-Сахар»)</t>
  </si>
  <si>
    <t>Тольяттинская ТЭЦ (Филиал "Самарский" ПАО "Т Плюс")</t>
  </si>
  <si>
    <t>ТЭЦ ВАЗ (Филиал "Самарский" ПАО "Т Плюс")</t>
  </si>
  <si>
    <t>Новокуйбышевская ТЭЦ-1 (Филиал "Самарский" ПАО "Т Плюс")</t>
  </si>
  <si>
    <t>Новокуйбышевская ТЭЦ-1 (Филиал "Самарский" ПАО "Т Плюс") без ДПМ/НВ/ВР</t>
  </si>
  <si>
    <t>Безымянская ТЭЦ (Филиал "Самарский" ПАО "Т Плюс")</t>
  </si>
  <si>
    <r>
      <t xml:space="preserve">Новокуйбышевская ТЭЦ-1 (Филиал "Самарский" ПАО "Т Плюс") ПГУ 1 (76,5 МВт) </t>
    </r>
    <r>
      <rPr>
        <b/>
        <sz val="12"/>
        <color rgb="FFFF0000"/>
        <rFont val="Times New Roman Cyr"/>
        <charset val="204"/>
      </rPr>
      <t>29.09.2013</t>
    </r>
  </si>
  <si>
    <r>
      <t xml:space="preserve">Новокуйбышевская ТЭЦ-1 (Филиал "Самарский" ПАО "Т Плюс") ПГУ 2 (76,5 МВт) </t>
    </r>
    <r>
      <rPr>
        <b/>
        <sz val="12"/>
        <color rgb="FFFF0000"/>
        <rFont val="Times New Roman Cyr"/>
        <charset val="204"/>
      </rPr>
      <t>29.09.2013</t>
    </r>
  </si>
  <si>
    <r>
      <t xml:space="preserve">Новокуйбышевская ТЭЦ-1 (Филиал "Самарский" ПАО "Т Плюс") ПГУ 3 (76,5 МВт) </t>
    </r>
    <r>
      <rPr>
        <b/>
        <sz val="12"/>
        <color rgb="FFFF0000"/>
        <rFont val="Times New Roman Cyr"/>
        <charset val="204"/>
      </rPr>
      <t>29.09.2013</t>
    </r>
  </si>
  <si>
    <t>Сызранская ТЭЦ (Филиал "Самарский" ПАО "Т Плюс")</t>
  </si>
  <si>
    <t>Сызранская ТЭЦ (Филиал "Самарский" ПАО "Т Плюс") без ДПМ/НВ</t>
  </si>
  <si>
    <r>
      <t xml:space="preserve">Сызранская ТЭЦ (Филиал "Самарский" ПАО "Т Плюс") ПГУ (227,4 МВт) НВ, ДПМ </t>
    </r>
    <r>
      <rPr>
        <b/>
        <sz val="12"/>
        <color rgb="FFFF0000"/>
        <rFont val="Times New Roman Cyr"/>
        <charset val="204"/>
      </rPr>
      <t>17.08.2012</t>
    </r>
  </si>
  <si>
    <t>Самарская ГРЭС (Филиал "Самарский" ПАО "Т Плюс")</t>
  </si>
  <si>
    <t>Самарская ГРЭС (Филиал "Самарский" ПАО "Т Плюс") без ДПМ/НВ</t>
  </si>
  <si>
    <t>Самарская ТЭЦ (Филиал "Самарский" ПАО "Т Плюс")</t>
  </si>
  <si>
    <r>
      <t xml:space="preserve">Самарская ГРЭС (Филиал "Самарский" ПАО "Т Плюс") ТГ №1 НВ </t>
    </r>
    <r>
      <rPr>
        <b/>
        <sz val="12"/>
        <color rgb="FFFF0000"/>
        <rFont val="Times New Roman Cyr"/>
        <charset val="204"/>
      </rPr>
      <t>01.03.2010</t>
    </r>
  </si>
  <si>
    <t>ТЭЦ Балаковского филиала АО "Апатит"</t>
  </si>
  <si>
    <t>Ульяновская ТЭЦ-1 (Филиал "Ульяновский" ПАО "Т Плюс")</t>
  </si>
  <si>
    <t>Ульяновская ТЭЦ-2 (Филиал "Ульяновский" ПАО "Т Плюс")</t>
  </si>
  <si>
    <t>ИЯУ АО "ГНЦ НИИАР"</t>
  </si>
  <si>
    <t>ТЭЦ ООО "НИИАР-ГЕНЕРАЦИЯ"</t>
  </si>
  <si>
    <t>Нижнекамская ГЭС (АО "Татэнерго")</t>
  </si>
  <si>
    <t>ГПЭС ЗАО "Энергоцентр Майский"</t>
  </si>
  <si>
    <t>ТЭЦ ООО "Буинский сахар"</t>
  </si>
  <si>
    <t>ТЭЦ АО «Нижнекамсктехуглерод»</t>
  </si>
  <si>
    <t>ТЭЦ ШААЗ (ОАО "Шадринский автоагрегатный завод")</t>
  </si>
  <si>
    <t>Державинская СЭС  (Оренбургский филиал ПАО "Т Плюс")</t>
  </si>
  <si>
    <t>777196</t>
  </si>
  <si>
    <t>777195</t>
  </si>
  <si>
    <t>777193</t>
  </si>
  <si>
    <t>777194</t>
  </si>
  <si>
    <t>ТЭЦ АО "Златмаш"</t>
  </si>
  <si>
    <t>ГТЭС БКПРУ-4 (ПАО "Уралкалий")</t>
  </si>
  <si>
    <t>ГТУ- ТЭЦ КТЦ СКРУ-1 (ПАО "Уралкалий")</t>
  </si>
  <si>
    <t>ТЭЦ Хаят Кимья</t>
  </si>
  <si>
    <r>
      <t xml:space="preserve">Сакские теплосети ПГУ-120 (ПАО "КРЫМ ТЭЦ") НВ </t>
    </r>
    <r>
      <rPr>
        <b/>
        <sz val="12"/>
        <color rgb="FFFF0000"/>
        <rFont val="Times New Roman"/>
        <family val="1"/>
        <charset val="204"/>
      </rPr>
      <t>1.06.2018</t>
    </r>
  </si>
  <si>
    <t>Экспорт из ЕЭС России всего:</t>
  </si>
  <si>
    <t>Импорт в ЕЭС России всего:</t>
  </si>
  <si>
    <r>
      <rPr>
        <sz val="11"/>
        <color indexed="10"/>
        <rFont val="Arial"/>
        <family val="2"/>
        <charset val="204"/>
      </rPr>
      <t>Транзит</t>
    </r>
    <r>
      <rPr>
        <sz val="11"/>
        <rFont val="Arial"/>
        <family val="2"/>
        <charset val="204"/>
      </rPr>
      <t xml:space="preserve"> Мынкуль - Валиханово</t>
    </r>
  </si>
  <si>
    <t>ГПЭС ОАО "Инженерный центр"</t>
  </si>
  <si>
    <t>Волгоградская СЭС (дисп. наим. Красноармейская СЭС ООО "Авелар Солар Технолоджи")</t>
  </si>
  <si>
    <t>Переток в Иркутскую энергосистему</t>
  </si>
  <si>
    <t>СЭС Заводская (ООО "Сан Проджектс")</t>
  </si>
  <si>
    <t>Межшлюзовая ГЭС (Волгоградский РГСиС - филиал Волго-Донского ГБУВПиС)</t>
  </si>
  <si>
    <t>2019</t>
  </si>
  <si>
    <t>Нововоронежская АЭС - 2 Блок №1 (АО "Концерн Росэнергоатом")</t>
  </si>
  <si>
    <t>Нововоронежская АЭС - 2 Блок №2 (АО "Концерн Росэнергоатом")</t>
  </si>
  <si>
    <t>Нововоронежская АЭС - 2 бл. № 2</t>
  </si>
  <si>
    <t>Новоцнинская  ГЭС (ФГУП "Канал имени Москвы")</t>
  </si>
  <si>
    <t>Верхнебалкарская МГЭС НВ</t>
  </si>
  <si>
    <t>Малая ГЭС на водозаборе р.Б.Зеленчук (Карачаево-Черкесский филиал ПАО "РусГидро") НВ</t>
  </si>
  <si>
    <t>МГЭС Усть-Джегутинская  (Карачаево-Черкесский филиал ПАО "РусГидро")</t>
  </si>
  <si>
    <t>Зарамагская ГЭС-1(АО"Зарамагскаие ГЭС") НВ</t>
  </si>
  <si>
    <t>МГЭС Барсучковская (филиал ПАО "РусГидро") НВ</t>
  </si>
  <si>
    <t>Белгородская ТЭЦ (ГТУ-1, ГТУ-2) (Белгородский филиал ПАО "Квадра")</t>
  </si>
  <si>
    <t>Губкинская ТЭЦ (Белгородский филиал ПАО "Квадра")</t>
  </si>
  <si>
    <t>ГТУ -ТЭЦ "Луч" (Белгородский филиал ПАО "Квадра")</t>
  </si>
  <si>
    <t>ГТ-ТЭЦ "Мичуринская" (АО "ГТ Энерго"")</t>
  </si>
  <si>
    <t xml:space="preserve">ТЭЦ ООО "Дмитротарановский сахарный завод"                                                                     </t>
  </si>
  <si>
    <t xml:space="preserve">ТЭЦ ОАО "Валуйкисахар"                                                                                                   </t>
  </si>
  <si>
    <t xml:space="preserve">ТЭЦ АО "Сахарный комбинат "Большевик"                                                                                                                                    </t>
  </si>
  <si>
    <t xml:space="preserve">ТЭЦ ООО "Краснояружский сахарник"                                                                  </t>
  </si>
  <si>
    <t>ТЭЦ Ника ООО "Группа Компаний "Русагро"</t>
  </si>
  <si>
    <t>Кольчугинская ТЭЦ (АО "ЭКЗ" ("Электрокабель "Кольчугинский завод "))</t>
  </si>
  <si>
    <t>ГПЭС "КЭМЗ" ОАО "Ковровский электромеханический завод"</t>
  </si>
  <si>
    <t>Вологодская ТЭЦ  (Вологодский филиал ПАО "ТГК-2")</t>
  </si>
  <si>
    <r>
      <t xml:space="preserve">Вологодская ТЭЦ (Вологодский филиал ПАО "ТГК-2") ПГУ-102,1 НВ ДПМ </t>
    </r>
    <r>
      <rPr>
        <b/>
        <sz val="12"/>
        <color indexed="10"/>
        <rFont val="Times New Roman"/>
        <family val="1"/>
        <charset val="204"/>
      </rPr>
      <t>24.03.2014</t>
    </r>
  </si>
  <si>
    <t>Красавинская ГТ ТЭЦ (ГЭП "Вологдаоблкоммунэнерго")</t>
  </si>
  <si>
    <t>ГТЭС ФосАгро-Череповец (АО "Апатит")</t>
  </si>
  <si>
    <t xml:space="preserve">ТЭЦ ФосАгро-Череповец (АО "Апатит")                                                           </t>
  </si>
  <si>
    <t xml:space="preserve">МТЭЦ Белый Ручей (ОАО «ПМТЭЦ «Белый Ручей»)                                                                                                                 </t>
  </si>
  <si>
    <t xml:space="preserve">ЭСН КС-15 Нюксенского ЛПУ МГ (ООО "Газпром трансгаз Ухта")                                                                               </t>
  </si>
  <si>
    <t>ЭСН КС-16 Юбилейного ЛПУМГ (ООО "Газпром трансгаз Ухта")</t>
  </si>
  <si>
    <t>ТЭЦ ПВС Северсталь (ПАО "Северсталь")</t>
  </si>
  <si>
    <t>ТЭЦ ЭВС-2 Северсталь (ПАО "Северсталь")</t>
  </si>
  <si>
    <t>ТЭЦ ГУБТ Северсталь (ПАО "Северсталь")</t>
  </si>
  <si>
    <t>УЭС ТСЦ Северсталь (ПАО "Северсталь")</t>
  </si>
  <si>
    <t>ТЭС РЭК (Родниковская ТЭЦ) (ЗАО "РЭК")</t>
  </si>
  <si>
    <t>Обнинская ГТУ-ТЭЦ №1 (ПАО "Калужская сбытовая компания")</t>
  </si>
  <si>
    <t>ГПЭС БТ п. Воротынск (ООО "КаскадЭнергосбыт")</t>
  </si>
  <si>
    <t>ТЭЦ ФЭИ (АО «ГНЦ РФ – Физико-энергетический институт имени А.И.Лейпунского»)</t>
  </si>
  <si>
    <t>Курская ТЭЦ-4 (Курский филиал ПАО "Квадра")</t>
  </si>
  <si>
    <t>Курская ТЭЦ СЗР (Котельная Северо-западного района г. Курск ПГУ) (Курский филиал ПАО "Квадра")</t>
  </si>
  <si>
    <t>ТЭЦ Кривецкого сахарного завода (ООО «ГК «Русагро» (ОАО «Кривец-сахар»))</t>
  </si>
  <si>
    <t>ТЭЦ Золотухинского сахарного завода (ООО «ГК «Продимекс» (ООО «КурскСахарПром» филиал Золотухинский)</t>
  </si>
  <si>
    <t xml:space="preserve">ТЭЦ НЛМК (ПАО "НЛМК")                                                                                                                        </t>
  </si>
  <si>
    <t xml:space="preserve">УТЭЦ НЛМК (ПАО "НЛМК")                                                                                                                          </t>
  </si>
  <si>
    <t>ГТРС НЛМК (ПАО "НЛМК")</t>
  </si>
  <si>
    <t>ТЭЦ ООО ЛТК "Свободный сокол"</t>
  </si>
  <si>
    <t>Сасовская ГТ-ТЭЦ (АО "ГТ Энерго")</t>
  </si>
  <si>
    <t>Касимовская ГТ-ТЭЦ (АО "ГТ Энерго")</t>
  </si>
  <si>
    <t>Тамбовская ГТ-ТЭЦ (АО "ГТ Энерго")</t>
  </si>
  <si>
    <t>ТЭЦ Ефремовского филиала ОАО "Щекиноазот"</t>
  </si>
  <si>
    <t>ТЭЦ-ПВС Тулачермет (ПАО "Тулачермет")</t>
  </si>
  <si>
    <t>ТЭЦ-ПВС КМЗ (ПАО "Косогорский металлургический завод")</t>
  </si>
  <si>
    <r>
      <t xml:space="preserve">Ярославская ТЭС (ПГУ 450 ООО "Хуадянь-Тенинская ТЭЦ") НВ, ДПМ </t>
    </r>
    <r>
      <rPr>
        <b/>
        <sz val="12"/>
        <color indexed="10"/>
        <rFont val="Times New Roman"/>
        <family val="1"/>
        <charset val="204"/>
      </rPr>
      <t>01.01.2017</t>
    </r>
  </si>
  <si>
    <t xml:space="preserve">ТЭЦ ОАО "Ярославский технический углерод"                                                                                   </t>
  </si>
  <si>
    <t xml:space="preserve">ТЭЦ НПО "Сатурн"                                                                                                                            </t>
  </si>
  <si>
    <t>Щелковская ГТ-ТЭЦ (АО "ГТ Энерго")</t>
  </si>
  <si>
    <t>ТЭЦ ООО "Энергоцентр"  г. Клин</t>
  </si>
  <si>
    <t>ТЭЦ АО "НАТЭК Инвест-Энерго" (г. Красногорск)</t>
  </si>
  <si>
    <t>ТЭЦ АО "НАТЭК Инвест-Энерго" (г.Лобня)</t>
  </si>
  <si>
    <t>ТЭЦ АО «Воскресенские  минеральные удобрения»</t>
  </si>
  <si>
    <t>ТЭЦ МОФ "Мечел-Энерго" (ОАО "Москокс")</t>
  </si>
  <si>
    <t>ТЭЦ Энергоцентра Томилино (ЗАО «НАТЭК Инвест-Энерго»)</t>
  </si>
  <si>
    <t>Новокуйбышевская ТЭЦ-2 (АО "Новокуйбышевская нефтехимическая компания")</t>
  </si>
  <si>
    <t>ГТЭС АО "Газэнергострой"</t>
  </si>
  <si>
    <t>ТЭЦ-1,2 АО "Куйбышевский НПЗ"</t>
  </si>
  <si>
    <t>Казанская ТЭЦ-1 (АО "Татэнерго")</t>
  </si>
  <si>
    <t>Казанская ТЭЦ-2 (АО "Татэнерго")</t>
  </si>
  <si>
    <t>Казанская ТЭЦ-3 (филиал ОАО "ТГК-16")</t>
  </si>
  <si>
    <t>Казанская ТЭЦ-1 (АО "Татэнерго") без ДПМ/НВ/ВР</t>
  </si>
  <si>
    <t>Казанская ТЭЦ-1 (АО "Татэнерго") БЛ -1 ПГУ ДПМ</t>
  </si>
  <si>
    <t>Казанская ТЭЦ-1 (АО "Татэнерго") БЛ -2 ПГУ ДПМ</t>
  </si>
  <si>
    <t>Казанская ТЭЦ-3 (филиал ОАО "ТГК-16") без ДПМ/НВ/ВР</t>
  </si>
  <si>
    <t>Казанская ТЭЦ-3 (филиал ОАО "ТГК-16") (ТГ 7) НВ</t>
  </si>
  <si>
    <t>Нижнекамская ТЭЦ-1 (филиал ОАО "ТГК-16")</t>
  </si>
  <si>
    <t>Нижнекамская ТЭЦ-2 (ООО "Нижнекамская ТЭЦ")</t>
  </si>
  <si>
    <t>Нижнекамская ТЭЦ-2 (ООО "Нижнекамская ТЭЦ") без ДПМ/НВ/ВР</t>
  </si>
  <si>
    <r>
      <t xml:space="preserve">Нижнекамская ТЭЦ-2 (ООО "Нижнекамская ТЭЦ") ТГ- 5, 6 (97+110 МВт) НВ </t>
    </r>
    <r>
      <rPr>
        <b/>
        <sz val="12"/>
        <color rgb="FFFF0000"/>
        <rFont val="Times New Roman Cyr"/>
        <charset val="204"/>
      </rPr>
      <t>19.12.2015</t>
    </r>
  </si>
  <si>
    <r>
      <t xml:space="preserve">Нижнекамская ТЭЦ-2 (ООО "Нижнекамская ТЭЦ") ТГ- 4, 7 (97+110 МВт) НВ </t>
    </r>
    <r>
      <rPr>
        <b/>
        <sz val="12"/>
        <color indexed="10"/>
        <rFont val="Times New Roman Cyr"/>
        <charset val="204"/>
      </rPr>
      <t>01.04.2016</t>
    </r>
  </si>
  <si>
    <t>Бугульчанская СЭС (ООО "Бугульчанская СЭС")</t>
  </si>
  <si>
    <t>Курганская ТЭЦ (ПАО "Курганская генерирующая компания")</t>
  </si>
  <si>
    <r>
      <t xml:space="preserve">Западная ТЭЦ (ПАО "Курганская генерирующая компания") НВ </t>
    </r>
    <r>
      <rPr>
        <b/>
        <sz val="12"/>
        <color indexed="10"/>
        <rFont val="Times New Roman Cyr"/>
        <charset val="204"/>
      </rPr>
      <t>01.03.2016</t>
    </r>
  </si>
  <si>
    <r>
      <t xml:space="preserve">Сакмарская СЭС (АО " Солнечный ветер") НВ </t>
    </r>
    <r>
      <rPr>
        <b/>
        <sz val="12"/>
        <color indexed="10"/>
        <rFont val="Times New Roman Cyr"/>
        <charset val="204"/>
      </rPr>
      <t>01.01.2016</t>
    </r>
  </si>
  <si>
    <t>Оренбургская  СЭС-5 (Оренбургский филиал ПАО "Т Плюс")</t>
  </si>
  <si>
    <t>Григорьевская СЭС (ООО "Авелар Солар Технолоджи")</t>
  </si>
  <si>
    <t>Чкаловская СЭС (ООО "Авелар Солар Технолоджи")</t>
  </si>
  <si>
    <t>ТЭЦ ПАО "Гайский горно-обогатительный комбинат"  (ЗАО "ЭПК")</t>
  </si>
  <si>
    <t>ТЭЦ АО "Уральская сталь"</t>
  </si>
  <si>
    <t>ТЭЦ ООО «Лысьва-Теплоэнерго»</t>
  </si>
  <si>
    <t>ТЭЦ ОАО «Вишерабумпром»</t>
  </si>
  <si>
    <t>ГТЭС Сибур-Химпром (АО "Сибурэнергоменеджмент")</t>
  </si>
  <si>
    <r>
      <t xml:space="preserve">ТЭС ЛУКОЙЛ-ПНОС (ООО "ЛУКОЙЛ-Пермнефтеоргсинтез") НВ </t>
    </r>
    <r>
      <rPr>
        <b/>
        <sz val="12"/>
        <color indexed="10"/>
        <rFont val="Times New Roman"/>
        <family val="1"/>
        <charset val="204"/>
      </rPr>
      <t>01.12.2015</t>
    </r>
  </si>
  <si>
    <t>Красногорская ТЭЦ (АО «РУСАЛ Урал» филиал «РУСАЛ Каменск-Уральский»)</t>
  </si>
  <si>
    <t>ТЭЦ "Академическая" объект 8 ПГУ (Свердловский филиал ПАО "Т Плюс")</t>
  </si>
  <si>
    <t>Режевская ГТ-ТЭЦ (АО "ГТ Энерго")</t>
  </si>
  <si>
    <t>Екатеринбургская ГТ-ТЭЦ (АО "ГТ Энерго")</t>
  </si>
  <si>
    <r>
      <t xml:space="preserve">Ревдинская ГТ ТЭЦ (АО "ГТ Энерго") блок №1 НВ </t>
    </r>
    <r>
      <rPr>
        <b/>
        <sz val="12"/>
        <color indexed="10"/>
        <rFont val="Times New Roman Cyr"/>
        <charset val="204"/>
      </rPr>
      <t>01.04.2016</t>
    </r>
  </si>
  <si>
    <t>ООО "Вирео Энерджи Урал", г. Екатеринбург</t>
  </si>
  <si>
    <t>ТЭЦ НТМК (АО "ЕВРАЗ Нижнетагильский металлургический комбинат", г.Нижний Тагил)</t>
  </si>
  <si>
    <t>ТЭЦ ПАО "Надеждинский металлургический завод ", г.Серов</t>
  </si>
  <si>
    <t>ТЭЦ АО "Научно-производственная корпорация "Уралвагонзавод" имени Ф.Э.Дзержинского", г.Нижний Тагил</t>
  </si>
  <si>
    <t>ТЭЦ АО "Синарский трубный завод", г.Каменск-Уральский</t>
  </si>
  <si>
    <t>ТЭЦ 19 (Свердловский филиал ПАО "Т Плюс")</t>
  </si>
  <si>
    <t>ТЭЦ ТМЗ Уральского турбомоторного завода (Свердловский филиал ПАО "Т Плюс")</t>
  </si>
  <si>
    <t>ТЭЦ МК Уралметпром (ЗАО "Межотраслевой концерн "Уралметпром")</t>
  </si>
  <si>
    <t>ГТЭС-4 АРП Сысерть ( ООО "Газпром трансгаз Екатеринбург")</t>
  </si>
  <si>
    <t>ГТЭС АРП Арамиль ( ООО "Газпром трансгаз Екатеринбург")</t>
  </si>
  <si>
    <t>Мини-ТЭЦ СУМЗ (ОАО "Среднеуральский медеплавильный завод")</t>
  </si>
  <si>
    <t>Невьянская ТЭС (АО «Невьянский цементник»)</t>
  </si>
  <si>
    <t xml:space="preserve">Сарапульская  ТЭЦ (ООО "Губахинская энергетическая компания") </t>
  </si>
  <si>
    <t>ТЭС ООО "Автокотельная"</t>
  </si>
  <si>
    <t>Глазовская ТЭЦ (АО "ОТЭК")</t>
  </si>
  <si>
    <t>Магнитогорская ГТ-ТЭЦ (АО "ГТ Энерго")</t>
  </si>
  <si>
    <t>Карабашская МКЭУ (ООО "Перспектива") МКЭУ Карабаш</t>
  </si>
  <si>
    <t>Каслинская МКЭУ (ООО "Перспектива")</t>
  </si>
  <si>
    <t>ТЭЦ ЧМК (ПАО "Челябинский металлургический комбинат")</t>
  </si>
  <si>
    <t>Тургоякская ТЭЦ (АО "Миасский машиностроительный завод")</t>
  </si>
  <si>
    <t>ТЭЦ ПАО Комбинат "Магнезит"</t>
  </si>
  <si>
    <t>ЦЭС ООО "ЗМЗ-Энерго" (АО "Златоустовский металлургический завод)</t>
  </si>
  <si>
    <t>ЦЭС ЗАО "СМЗ" (ЗАО "Саткинский чугуноплавильный завод")</t>
  </si>
  <si>
    <t>ГПУ Вишневогорский ГОК (ООО ТД "Вишневогорский ГОК")</t>
  </si>
  <si>
    <t>ГПУ АО "ЮГК" (АО "Южуралзолото Группа Компаний")</t>
  </si>
  <si>
    <t>ТЭЦ ПАО "Ашинский металлургический завод"</t>
  </si>
  <si>
    <t>ТЭЦ Уральская кузница (ООО "Мечел-Энерго")</t>
  </si>
  <si>
    <t>ГПЭС Энергоцентр г.Снежинск</t>
  </si>
  <si>
    <t>Сургутская ГРЭС-1 (Филиал ПАО "ОГК-2")</t>
  </si>
  <si>
    <t>Тюменская ТЭЦ-1 (ПАО "Фортум" филиал Энергосистема "Западная Сибирь")</t>
  </si>
  <si>
    <t>Тюменская ТЭЦ-1 (ПАО "Фортум" филиал Энергосистема "Западная Сибирь") без ДПМ/НВ/ВР</t>
  </si>
  <si>
    <r>
      <t xml:space="preserve">Тюменская ТЭЦ-1 (ПАО "Фортум" филиал Энергосистема "Западная Сибирь") бл.№2 ПГУ НВ, ДПМ </t>
    </r>
    <r>
      <rPr>
        <b/>
        <sz val="12"/>
        <color indexed="10"/>
        <rFont val="Times New Roman Cyr"/>
        <charset val="204"/>
      </rPr>
      <t>01.02.2011</t>
    </r>
  </si>
  <si>
    <t>Тюменская ТЭЦ-2 (ПАО "Фортум" филиал Энергосистема "Западная Сибирь")</t>
  </si>
  <si>
    <t>Няганская ГРЭС (ПАО "Фортум" филиал Энергосистема "Западная Сибирь")</t>
  </si>
  <si>
    <r>
      <t xml:space="preserve">Няганская ГРЭС (ПАО "Фортум" филиал Энергосистема "Западная Сибирь") бл.№1 ПГУ 420 НВ, ДПМ </t>
    </r>
    <r>
      <rPr>
        <b/>
        <sz val="12"/>
        <color indexed="10"/>
        <rFont val="Times New Roman Cyr"/>
        <charset val="204"/>
      </rPr>
      <t>25.03.2013</t>
    </r>
  </si>
  <si>
    <r>
      <t>Няганская ГРЭС (ПАО "Фортум" филиал Энергосистема "Западная Сибирь") бл.№2 ПГУ 424 НВ, ДПМ</t>
    </r>
    <r>
      <rPr>
        <b/>
        <sz val="12"/>
        <color indexed="10"/>
        <rFont val="Times New Roman Cyr"/>
        <charset val="204"/>
      </rPr>
      <t xml:space="preserve"> 11.11.2013</t>
    </r>
  </si>
  <si>
    <r>
      <t>Няганская ГРЭС (ПАО "Фортум" филиал Энергосистема "Западная Сибирь") бл.№3 ПГУ 424 НВ, ДПМ</t>
    </r>
    <r>
      <rPr>
        <b/>
        <sz val="12"/>
        <color indexed="10"/>
        <rFont val="Times New Roman Cyr"/>
        <charset val="204"/>
      </rPr>
      <t xml:space="preserve"> 14.09.2014</t>
    </r>
  </si>
  <si>
    <t>ГТЭС Обдорск</t>
  </si>
  <si>
    <t>ТЭС Салехард</t>
  </si>
  <si>
    <t>ГТЭС Ямбургская, ГТЭС Харвутинская (OOO "Газпром Добыча Ямбург")</t>
  </si>
  <si>
    <t>ГТЭС Западно-Малобалыкского м.р. (ООО "КанБайкал")</t>
  </si>
  <si>
    <r>
      <t xml:space="preserve">ГТЭС "Вань-Еган" (АО "Нижневартовское НГДП") НВ </t>
    </r>
    <r>
      <rPr>
        <b/>
        <sz val="12"/>
        <color indexed="10"/>
        <rFont val="Times New Roman"/>
        <family val="1"/>
        <charset val="204"/>
      </rPr>
      <t>01.07.2016</t>
    </r>
  </si>
  <si>
    <t>ГТЭС-83МВт Усть-Тегусское м/р (ООО "РН-Уватнефтегаз")</t>
  </si>
  <si>
    <t>ГТЭС 42 МВт Тямкинское м/р (ООО "РН-Уватнефтегаз")</t>
  </si>
  <si>
    <t>ГПЭС 15МВт Усть-Тегусское м/р (ООО "РН-Уватнефтегаз")</t>
  </si>
  <si>
    <t>ТЭЦ ПЛ "Энергетика" (Филиал АО "Группа Илим" в г. Коряжме)</t>
  </si>
  <si>
    <t>Маяковская ТЭС (Филиал "Калининградская ТЭЦ-2" АО "Интер РАО - Электрогенерация") Блок 1 НВ</t>
  </si>
  <si>
    <t>Маяковская ТЭС (Филиал "Калининградская ТЭЦ-2" АО "Интер РАО - Электрогенерация") Блок 2 НВ</t>
  </si>
  <si>
    <t>Прегольская ТЭС (Филиал "Калининградская ТЭЦ-2" АО "Интер РАО - Электрогенерация") Блок 1 НВ</t>
  </si>
  <si>
    <t>Прегольская ТЭС (Филиал "Калининградская ТЭЦ-2" АО "Интер РАО - Электрогенерация") Блок 2 НВ</t>
  </si>
  <si>
    <t>Прегольская ТЭС (Филиал "Калининградская ТЭЦ-2" АО "Интер РАО - Электрогенерация") Блок 3 НВ</t>
  </si>
  <si>
    <t>Прегольская ТЭС (Филиал "Калининградская ТЭЦ-2" АО "Интер РАО - Электрогенерация") Блок 4 НВ</t>
  </si>
  <si>
    <t xml:space="preserve">Талаховская ТЭС (Филиал "Калининградская ТЭЦ-2" АО "Интер РАО - Электрогенерация") Блок 1 НВ </t>
  </si>
  <si>
    <t xml:space="preserve">Талаховская ТЭС (Филиал "Калининградская ТЭЦ-2" АО "Интер РАО - Электрогенерация") Блок 2 НВ </t>
  </si>
  <si>
    <t>ТЭЦ (АО Сегежский ЦКБ)</t>
  </si>
  <si>
    <t>ТЭС (АО Кондопожский ЦБК)</t>
  </si>
  <si>
    <t>ТЭЦ АО "Ковдорский горно-обогатительный комбинат" АО "МКХ "ЕвроХим"</t>
  </si>
  <si>
    <r>
      <t xml:space="preserve">Лужская ГТ-ТЭЦ (АО "ГТ Энерго") </t>
    </r>
    <r>
      <rPr>
        <b/>
        <sz val="12"/>
        <color indexed="10"/>
        <rFont val="Times New Roman Cyr"/>
        <charset val="204"/>
      </rPr>
      <t>01.11.2009</t>
    </r>
  </si>
  <si>
    <t>ТЭЦ (АО "Боровичский комбинат огнеупоров")</t>
  </si>
  <si>
    <t>ГТ ТЭС АО "123 Авиационный ремонтный завод"</t>
  </si>
  <si>
    <t>ТЭЦ Акрон  (ПАО Акрон)</t>
  </si>
  <si>
    <t>ТЭЦ (ЗАО "Завод электротехнического оборудования")</t>
  </si>
  <si>
    <r>
      <t xml:space="preserve">Новоколпинская ТЭЦ (АО "ГСР ТЭЦ") Бл №1 ПГУ-110 НВ </t>
    </r>
    <r>
      <rPr>
        <b/>
        <sz val="12"/>
        <color indexed="10"/>
        <rFont val="Times New Roman"/>
        <family val="1"/>
        <charset val="204"/>
      </rPr>
      <t>20.11.2013</t>
    </r>
  </si>
  <si>
    <t>ТЭС (ООО "Газпром трансгаз Санкт-Петербург")</t>
  </si>
  <si>
    <t>ТЭЦ (ООО "Генерирующая компания "Обуховоэнерго")</t>
  </si>
  <si>
    <t>ТЭЦ (ООО "Воздушные Ворота Северной Столицы")</t>
  </si>
  <si>
    <t>ГТ ТЭЦ "Завода Балтика-СПБ" (ООО "Пивоваренная компания Балтика")</t>
  </si>
  <si>
    <t>ТЭС (ООО "ПетербургТеплоэнерго")</t>
  </si>
  <si>
    <t>БиоТЭС Вирео Энерджи (ООО "Вирео Энерджи")</t>
  </si>
  <si>
    <r>
      <t xml:space="preserve">ТЭЦ Фосфорит (ООО "Промышленная группа Фосфорит") НВ </t>
    </r>
    <r>
      <rPr>
        <b/>
        <sz val="12"/>
        <color indexed="10"/>
        <rFont val="Times New Roman"/>
        <family val="1"/>
        <charset val="204"/>
      </rPr>
      <t>01.01.2016</t>
    </r>
  </si>
  <si>
    <t>ТЭЦ (АО "КНАУФ ПЕТРОБОРД")</t>
  </si>
  <si>
    <t>ТЭЦ СЛАНЦЫ (ООО "Завод "Сланцы")</t>
  </si>
  <si>
    <t>ТЭЦ (АО "РУСАЛ Бокситогорск")</t>
  </si>
  <si>
    <t>ТЭЦ (ООО "БазэлЦемент-Пикалево")</t>
  </si>
  <si>
    <t>ТЭЦ (ОАО "Сясьский ЦБК")</t>
  </si>
  <si>
    <t>Волховская ТЭЦ (АО "ЛОТЭК")</t>
  </si>
  <si>
    <t>Тихвинская ТЭЦ (АО "Тихвинский вагоностроительный завод")</t>
  </si>
  <si>
    <t>Дубровская ТЭЦ (ООО "Дубровская ТЭЦ")</t>
  </si>
  <si>
    <t>Всеволожская ГТ-ТЭЦ (АО "ГТ Энерго") НВ</t>
  </si>
  <si>
    <t>ТЭЦ Северная (АО "ТЭЦ-Северная")</t>
  </si>
  <si>
    <t>СЭС Промстройматериалы (ООО "Солар Системс")</t>
  </si>
  <si>
    <t>СЭС Нива (ООО «Грин Энерджи Рус»)</t>
  </si>
  <si>
    <t>Фунтовская СЭС-2 (1 очередь) (ООО "Грин Энерджи Рус")</t>
  </si>
  <si>
    <t>Фунтовская СЭС-2 (2 очередь) (ООО "Грин Энерджи Рус")</t>
  </si>
  <si>
    <t>Фунтовская СЭС-2 (3 очередь) (ООО "Грин Энерджи Рус")</t>
  </si>
  <si>
    <t>Фунтовская СЭС-2 (4 очередь) (ООО "Грин Энерджи Рус")</t>
  </si>
  <si>
    <t>Ахтубинская СЭС (1 очередь) (ООО "Грин Энерджи Рус")</t>
  </si>
  <si>
    <t>Ахтубинская СЭС (2 очередь) (ООО "Грин Энерджи Рус")</t>
  </si>
  <si>
    <t>Ахтубинская СЭС (3 очередь) (ООО "Грин Энерджи Рус")</t>
  </si>
  <si>
    <t>Ахтубинская СЭС (4 очередь) (ООО "Грин Энерджи Рус")</t>
  </si>
  <si>
    <t>ГПЭС "Ботаника" (ООО "Овощевод")</t>
  </si>
  <si>
    <r>
      <t xml:space="preserve">Элистинская ГТ-ТЭЦ (АО "ГТ Энерго") НВ </t>
    </r>
    <r>
      <rPr>
        <b/>
        <sz val="12"/>
        <color indexed="10"/>
        <rFont val="Times New Roman Cyr"/>
        <charset val="204"/>
      </rPr>
      <t>01.06.2010</t>
    </r>
  </si>
  <si>
    <t>Крымская ГТ-ТЭЦ (АО "ГТ Энерго")</t>
  </si>
  <si>
    <t>Пилотная ВЭС (АО "ВЕТРООГК")</t>
  </si>
  <si>
    <t>Новочеркасская ГТ-ТЭЦ (АО "ГТ Энерго")</t>
  </si>
  <si>
    <t>Барнаульская ГТ-ТЭЦ (АО "ГТ Энерго")</t>
  </si>
  <si>
    <t>Красноярская ТЭЦ-2 (АО "Енисейская ТГК (ТГК-13)")</t>
  </si>
  <si>
    <t>Красноярская ТЭЦ-3 (АО "Енисейская ТГК (ТГК-13)")</t>
  </si>
  <si>
    <t>Минусинская ТЭЦ (АО "Енисейская ТГК (ТГК-13)")</t>
  </si>
  <si>
    <t>Ванкорская ГТЭС (ООО "Ванкорнефть")</t>
  </si>
  <si>
    <t>ТЭЦ АО "Ачинский НПЗ-ВНК"</t>
  </si>
  <si>
    <t>ТЭЦ-1 АО "Полюс Красноярск" (18МВт)</t>
  </si>
  <si>
    <t>ТЭЦ-2 АО "Полюс Красноярск" (24 МВт)</t>
  </si>
  <si>
    <t>ДЭС АО "Полюс Красноярск"</t>
  </si>
  <si>
    <t>ГТЭС 2х6 Игольско-Талового нмр (АО «Томскнефть» ВНК)</t>
  </si>
  <si>
    <t>ГТЭС Игольско-Талового нмр (АО «Томскнефть» ВНК)</t>
  </si>
  <si>
    <t>Двуреченская ГТЭС (АО «Томскнефть» ВНК)</t>
  </si>
  <si>
    <t>Котельная ОАО "Томскнефтехим"  (ПАО «СИБУР Холдинг»)</t>
  </si>
  <si>
    <t>Абаканская ТЭЦ (АО "Енисейская ТГК (ТГК-13)") без ДПМ/НВ/ВР</t>
  </si>
  <si>
    <r>
      <t xml:space="preserve">Абаканская ТЭЦ (АО "Енисейская ТГК (ТГК-13)") Бл №4 136 МВт НВ, ДПМ </t>
    </r>
    <r>
      <rPr>
        <b/>
        <sz val="12"/>
        <color indexed="10"/>
        <rFont val="Times New Roman Cyr"/>
        <charset val="204"/>
      </rPr>
      <t>14.06.2014</t>
    </r>
  </si>
  <si>
    <t>ФСК</t>
  </si>
  <si>
    <t>Балаклавская ТЭС (ООО "ВО "Технопромэкспорт")</t>
  </si>
  <si>
    <t>ТЭЦ АО "Новокуйбышевский НПЗ"</t>
  </si>
  <si>
    <t>ПЭГА на ГРС «Южная» (ГУП Мосгаз»)</t>
  </si>
  <si>
    <t>ТЭЦ Спецзавод №2 (ГУП "Экотехпром")</t>
  </si>
  <si>
    <t>ТЭЦ Спецзавод №4 (ООО "Хартия")</t>
  </si>
  <si>
    <t>Мини-ТЭС Курьяново (ООО "ЕФН Эко Сервис")</t>
  </si>
  <si>
    <t xml:space="preserve">ООО "Нетканые Материалы"                                       </t>
  </si>
  <si>
    <t>Мини-ТЭС Люберцы (ООО "ЕФН Эко Сервис")</t>
  </si>
  <si>
    <t>Йошкар-Олинская ТЭЦ-2 (Филиал "Марий Эл и Чувашии" ПАО "Т Плюс")</t>
  </si>
  <si>
    <t>ТЭЦ АО "Марийский ЦБК"</t>
  </si>
  <si>
    <t>ТЭЦ ООО "Ромодановосахар"</t>
  </si>
  <si>
    <t>ГТЭС "Явасская" (ООО "Газпром трансгаз Нижний Новгород")</t>
  </si>
  <si>
    <t>ТЭЦ ООО "Бековский сахарный завод"</t>
  </si>
  <si>
    <t>ТЭЦ АО "Земетчинский сахарный завод"</t>
  </si>
  <si>
    <t>Саратовская ГРЭС (Филиал Саратовский  ПАО "Т Плюс")</t>
  </si>
  <si>
    <t>Саратовская ТЭЦ-2 (Филиал Саратовский  ПАО "Т Плюс")</t>
  </si>
  <si>
    <t>Энгельская ТЭЦ-3 (Филиал Саратовский  ПАО "Т Плюс")</t>
  </si>
  <si>
    <t>Саратовская ТЭЦ-5 (Филиал Саратовский  ПАО "Т Плюс")</t>
  </si>
  <si>
    <t>Домбаровская СЭС  (ООО "Авелар Солар Технолоджи")</t>
  </si>
  <si>
    <t>ГТЭС "Ильичевская"</t>
  </si>
  <si>
    <t>ГПЭС Омбинского м/р (ООО "Альянс-Энерджи") НВ 01.07.2018</t>
  </si>
  <si>
    <t>Челябинская ТЭЦ-4  (ПАО "Фортум" филиал Энергосистема "Урал")</t>
  </si>
  <si>
    <r>
      <t xml:space="preserve">Челябинская ТЭЦ-4 (ОАО "Фортум" филиал Энергосистема "Урал") ПГУ-1 247,5 МВт НВ, ДПМ </t>
    </r>
    <r>
      <rPr>
        <b/>
        <sz val="12"/>
        <color indexed="10"/>
        <rFont val="Times New Roman Cyr"/>
        <charset val="204"/>
      </rPr>
      <t>01.12.2015</t>
    </r>
  </si>
  <si>
    <r>
      <t>Челябинская ТЭЦ-4 (ОАО "Фортум" филиал Энергосистема "Урал") ПГУ-2 247,5 МВт</t>
    </r>
    <r>
      <rPr>
        <b/>
        <sz val="12"/>
        <color indexed="10"/>
        <rFont val="Times New Roman Cyr"/>
        <charset val="204"/>
      </rPr>
      <t xml:space="preserve"> </t>
    </r>
    <r>
      <rPr>
        <sz val="12"/>
        <rFont val="Times New Roman Cyr"/>
        <charset val="204"/>
      </rPr>
      <t>НВ, ДПМ</t>
    </r>
    <r>
      <rPr>
        <b/>
        <sz val="12"/>
        <color indexed="10"/>
        <rFont val="Times New Roman Cyr"/>
        <charset val="204"/>
      </rPr>
      <t xml:space="preserve"> 01.03.2016</t>
    </r>
  </si>
  <si>
    <r>
      <t>Челябинская ТЭЦ-4 (ОАО "Фортум" филиал Энергосистема "Урал") ПГУ-3 247,5 МВт</t>
    </r>
    <r>
      <rPr>
        <b/>
        <sz val="12"/>
        <color indexed="10"/>
        <rFont val="Times New Roman Cyr"/>
        <charset val="204"/>
      </rPr>
      <t xml:space="preserve"> </t>
    </r>
    <r>
      <rPr>
        <sz val="12"/>
        <rFont val="Times New Roman Cyr"/>
        <charset val="204"/>
      </rPr>
      <t>НВ, ДПМ</t>
    </r>
    <r>
      <rPr>
        <b/>
        <sz val="12"/>
        <color indexed="10"/>
        <rFont val="Times New Roman Cyr"/>
        <charset val="204"/>
      </rPr>
      <t xml:space="preserve"> 01.04.2016</t>
    </r>
  </si>
  <si>
    <t>Магнитогорская ТЭЦ (ПАО "Магнитогорский металлургический комбинат")</t>
  </si>
  <si>
    <t>Магнитогорская ЦЭС (ПАО "Магнитогорский металлургический комбинат")</t>
  </si>
  <si>
    <t>ПВС 1, 2 (ПАО "Магнитогорский металлургический комбинат")</t>
  </si>
  <si>
    <t>ПСЦ (ПАО "Магнитогорский металлургический комбинат")</t>
  </si>
  <si>
    <t>ГПС ЗАО "КМЭЗ"</t>
  </si>
  <si>
    <t>ГПС ЗАО "Карабашмедь"</t>
  </si>
  <si>
    <t>Ушаковская ВЭС (ОАО "Калининградская генерирующая компания") НВ</t>
  </si>
  <si>
    <t>ТЭЦ-10 Советского ЦБЗ</t>
  </si>
  <si>
    <t>АО "Норд Гидро-Белый порог"</t>
  </si>
  <si>
    <t>МГЭС "Белопорожская ГЭС-1" (АО "Норд Гидро-Белый порог")</t>
  </si>
  <si>
    <t>МГЭС "Белопорожская ГЭС-2" (АО "Норд Гидро-Белый порог")</t>
  </si>
  <si>
    <t>СЭС Лиманская</t>
  </si>
  <si>
    <t>СЭС Володаровка</t>
  </si>
  <si>
    <t>СЭС Енотаевка</t>
  </si>
  <si>
    <t>СЭС Михайловская</t>
  </si>
  <si>
    <t>СЭС Элиста Северная</t>
  </si>
  <si>
    <t>СЭС Октябрьская</t>
  </si>
  <si>
    <t>СЭС Песчаная</t>
  </si>
  <si>
    <t>ВЭС Аксарайская</t>
  </si>
  <si>
    <t>Майминская СЭС-3 очередь (ООО "Авелар Солар Технолоджи")</t>
  </si>
  <si>
    <t>Ининская СЭС (ООО "Авелар Солар Технолоджи")</t>
  </si>
  <si>
    <t>Омская ТЭЦ-3 (филиал АО "ТГК-11") Бл №9 60 МВт, Бл №11 60 МВт, Бл №12 60 МВт отказ от ДПМ</t>
  </si>
  <si>
    <t>ГПЭС Энергокомплекса Аггреко Евразия (ООО "Аггреко Евразия") НВ 01.10.2018</t>
  </si>
  <si>
    <t>Балаковская ТЭЦ-4 (Филиал Саратовский  ПАО "Т Плюс")</t>
  </si>
  <si>
    <t>Мини ТЭС  ГПУ-1 "Энергетическое партнерство"</t>
  </si>
  <si>
    <t>Мини ТЭС  ГПУ-2  "Энергетическое партнерство"</t>
  </si>
  <si>
    <t>Мини ТЭС  ГПУ-3  "Энергетическое партнерство"</t>
  </si>
  <si>
    <t>ВЫРАБОТКА ЭЛЕКТРОЭНЕРГИИ ГЭС ЕЭС РОССИИ В 2020 ГОДУ (млн.кВтч)</t>
  </si>
  <si>
    <t>ФАКТ 2018</t>
  </si>
  <si>
    <t>Финляндия (приграничная поставка из энергосистемы Мурманской области)</t>
  </si>
  <si>
    <t>Норвегия (приграничная поставка из энергосистемы Мурманской области)</t>
  </si>
  <si>
    <t>Монголия (из энергосистемы Республики Бурятия)</t>
  </si>
  <si>
    <t>Монголия (из энергосистемы Красноярского края и Республики Тыва (в границах Республики Тыва)</t>
  </si>
  <si>
    <t>Эстония (в энергосистему Псковской области)</t>
  </si>
  <si>
    <t>Эстония (из энергосистемы Псковской области)</t>
  </si>
  <si>
    <t>Китай (из энергосистемы Амурской области)</t>
  </si>
  <si>
    <t>Латвия (из энергосистемы Псковской области)</t>
  </si>
  <si>
    <t>Литва (из энергосистемы Калининградской области)</t>
  </si>
  <si>
    <t>Литва (в энергосистему Калининградской области)</t>
  </si>
  <si>
    <t>Беларусь (из энергосистемы Псковской области)</t>
  </si>
  <si>
    <t>Беларусь (в энергосистему Псковской области)</t>
  </si>
  <si>
    <t>Беларусь (из энергосистемы Брянской области)</t>
  </si>
  <si>
    <t>Беларусь (в энергосистему Брянской области)</t>
  </si>
  <si>
    <t>Беларусь (из энергосистемы Смоленской области)</t>
  </si>
  <si>
    <t>Украина (Харьков) (из энергосистемы Белгородской области)</t>
  </si>
  <si>
    <t>Украина (Харьков) (в энергосистему Белгородской области)</t>
  </si>
  <si>
    <r>
      <t>Украина (</t>
    </r>
    <r>
      <rPr>
        <b/>
        <sz val="12"/>
        <color indexed="10"/>
        <rFont val="Times New Roman"/>
        <family val="1"/>
        <charset val="204"/>
      </rPr>
      <t>Донбасс)</t>
    </r>
    <r>
      <rPr>
        <sz val="12"/>
        <rFont val="Times New Roman"/>
        <family val="1"/>
        <charset val="204"/>
      </rPr>
      <t xml:space="preserve"> (из энергосистемы Воронежской области)</t>
    </r>
  </si>
  <si>
    <r>
      <t>Украина (</t>
    </r>
    <r>
      <rPr>
        <b/>
        <sz val="12"/>
        <color indexed="10"/>
        <rFont val="Times New Roman"/>
        <family val="1"/>
        <charset val="204"/>
      </rPr>
      <t>Донбасс)</t>
    </r>
    <r>
      <rPr>
        <sz val="12"/>
        <rFont val="Times New Roman"/>
        <family val="1"/>
        <charset val="204"/>
      </rPr>
      <t xml:space="preserve"> (в энергосистему Воронежской области)</t>
    </r>
  </si>
  <si>
    <t>Украина (Харьков) (из энергосистемы Курской области)</t>
  </si>
  <si>
    <t>Украина (Харьков) (в энергосистему Курской области)</t>
  </si>
  <si>
    <r>
      <t>Украина (</t>
    </r>
    <r>
      <rPr>
        <b/>
        <sz val="12"/>
        <color indexed="10"/>
        <rFont val="Times New Roman"/>
        <family val="1"/>
        <charset val="204"/>
      </rPr>
      <t>Донбасс)</t>
    </r>
    <r>
      <rPr>
        <sz val="12"/>
        <rFont val="Times New Roman"/>
        <family val="1"/>
        <charset val="204"/>
      </rPr>
      <t xml:space="preserve"> (из энергосистемы Волгоградской области)</t>
    </r>
  </si>
  <si>
    <r>
      <t>Украина (</t>
    </r>
    <r>
      <rPr>
        <b/>
        <sz val="12"/>
        <color indexed="10"/>
        <rFont val="Times New Roman"/>
        <family val="1"/>
        <charset val="204"/>
      </rPr>
      <t>Донбасс)</t>
    </r>
    <r>
      <rPr>
        <sz val="12"/>
        <rFont val="Times New Roman"/>
        <family val="1"/>
        <charset val="204"/>
      </rPr>
      <t xml:space="preserve"> (из энергосистемы Ростовской области)</t>
    </r>
  </si>
  <si>
    <r>
      <t>Украина (</t>
    </r>
    <r>
      <rPr>
        <b/>
        <sz val="12"/>
        <color indexed="10"/>
        <rFont val="Times New Roman"/>
        <family val="1"/>
        <charset val="204"/>
      </rPr>
      <t>Донбасс)</t>
    </r>
    <r>
      <rPr>
        <sz val="12"/>
        <rFont val="Times New Roman"/>
        <family val="1"/>
        <charset val="204"/>
      </rPr>
      <t xml:space="preserve"> (в энергосистему Ростовской области)</t>
    </r>
  </si>
  <si>
    <t>Южная Осетия (из энергосистемы Республики Северная Осетия-Алания)</t>
  </si>
  <si>
    <t>Азербайджан (из энергосистемы Республики Дагестан)</t>
  </si>
  <si>
    <t>Азербайджан (в энергосистему Республики Дагестан)</t>
  </si>
  <si>
    <t>Западный Казахстан (из энергосистемы Самарской области)</t>
  </si>
  <si>
    <t>Западный Казахстан (в энергосистему Самарской области)</t>
  </si>
  <si>
    <t>Западный Казахстан (из энергосистемы Саратовской области)</t>
  </si>
  <si>
    <t>Западный Казахстан (из энергосистемы Оренбургской области)</t>
  </si>
  <si>
    <t>Западный Казахстан (в энергосистему Оренбургской области)</t>
  </si>
  <si>
    <t>Западный Казахстан (из энергосистемы Астраханской области)</t>
  </si>
  <si>
    <t>Западный Казахстан (из энергосистемы Волгоградской области)</t>
  </si>
  <si>
    <t>Северный Казахстан (из энергосистемы Курганской области)</t>
  </si>
  <si>
    <t>Северный Казахстан (в энергосистему Курганской области)</t>
  </si>
  <si>
    <t>Северный Казахстан (из энергосистемы Челябинской области)</t>
  </si>
  <si>
    <t>Северный Казахстан (в энергосистему Челябинской области)</t>
  </si>
  <si>
    <t>Монголия (в энергосистему Республики Бурятия)</t>
  </si>
  <si>
    <t>Северный Казахстан (из энергосистемы Алтайского края и Республики Алтай)</t>
  </si>
  <si>
    <t>Северный Казахстан (в энергосистему Алтайского края и Республики Алтай)</t>
  </si>
  <si>
    <t>Северный Казахстан (из энергосистемы Новосибирской области)</t>
  </si>
  <si>
    <t>Северный Казахстан (в энергосистему Новосибирской области)</t>
  </si>
  <si>
    <t>Северный Казахстан (из энергосистемы Омской области)</t>
  </si>
  <si>
    <t>Северный Казахстан (в энергосистему Омской области)</t>
  </si>
  <si>
    <t>Энергосистема Белгородской области</t>
  </si>
  <si>
    <t>Энергосистема Брянской области</t>
  </si>
  <si>
    <t>Энергосистема Владимирской области</t>
  </si>
  <si>
    <t>Энергосистема Вологодской области</t>
  </si>
  <si>
    <t>Энергосистема Воронежской области</t>
  </si>
  <si>
    <t>Энергосистема Ивановской области</t>
  </si>
  <si>
    <t>Энергосистема Калужской области</t>
  </si>
  <si>
    <t>Энергосистема Костромской области</t>
  </si>
  <si>
    <t>Энергосистема Курской области</t>
  </si>
  <si>
    <t>Энергосистема Липецкой области</t>
  </si>
  <si>
    <t>Энергосистема г.Москвы и Московской области</t>
  </si>
  <si>
    <t>Энергосистема Орловской области</t>
  </si>
  <si>
    <t>Энергосистема Рязанской области</t>
  </si>
  <si>
    <t>Энергосистема Смоленской области</t>
  </si>
  <si>
    <t>Энергосистема Тамбовской области</t>
  </si>
  <si>
    <t>Энергосистема Тверской области</t>
  </si>
  <si>
    <t>Энергосистема Тульской области</t>
  </si>
  <si>
    <t>Энергосистема Ярославской области</t>
  </si>
  <si>
    <t>Энергосистема Республики Марий Эл</t>
  </si>
  <si>
    <t>Энергосистема Республики Мордовия</t>
  </si>
  <si>
    <t>Энергосистема Нижегородской области</t>
  </si>
  <si>
    <t>Энергосистема Пензенской области</t>
  </si>
  <si>
    <t>Энергосистема Самарской области</t>
  </si>
  <si>
    <t>Энергосистема Саратовской области</t>
  </si>
  <si>
    <t>Энергосистема Республики Татарстан</t>
  </si>
  <si>
    <t>Энергосистема Ульяновской области</t>
  </si>
  <si>
    <t>Энергосистема Чувашской Республики</t>
  </si>
  <si>
    <t>Энергосистема Республики Башкортостан</t>
  </si>
  <si>
    <t>Энергосистема Кировской области</t>
  </si>
  <si>
    <t>Энергосистема Курганской области</t>
  </si>
  <si>
    <t>Энергосистема Оренбургской области</t>
  </si>
  <si>
    <t>Энергосистема Пермского края</t>
  </si>
  <si>
    <t>Энергосистема Свердловской области</t>
  </si>
  <si>
    <t>Энергосистема Тюменской области, Ханты-Мансийского и Ямало-Ненецкого АО</t>
  </si>
  <si>
    <t>Энергосистема Удмуртской Республики</t>
  </si>
  <si>
    <t>Ээнергосистема Челябинской области</t>
  </si>
  <si>
    <t>Энергосистема Архангельской области и Ненецкого АО</t>
  </si>
  <si>
    <t>Энергосистема Калининградской области</t>
  </si>
  <si>
    <t>Энергосистема Республики Карелия</t>
  </si>
  <si>
    <t>Энергосистема Республики Коми</t>
  </si>
  <si>
    <t>Энергосистема Мурманской области</t>
  </si>
  <si>
    <t>Энергосистема Новгородской области</t>
  </si>
  <si>
    <t>Энергосистема Псковской области</t>
  </si>
  <si>
    <t>Финляндия (из энергосистемы г.Санкт-Петербург и Ленинградской области)</t>
  </si>
  <si>
    <t>Финляндия (приграничная поставка из энергосистемы г.Санкт-Петербург и Ленинградской области)</t>
  </si>
  <si>
    <t>Эстония (из энергосистемы г.Санкт-Петербург и Ленинградской области)</t>
  </si>
  <si>
    <t>Грузия (из энергосистемы Республики Адыгея и Краснодарского края)</t>
  </si>
  <si>
    <t>Абхазия (из энергосистемы Республики Адыгея и Краснодарского края)</t>
  </si>
  <si>
    <t>Северный Казахстан (Мынкуль, Валиханово) (из энергосистемы Омской области)</t>
  </si>
  <si>
    <t>Финляндия (в энергосистему г.Санкт-Петербург и Ленинградской области)</t>
  </si>
  <si>
    <t>Эстония (в энергосистему г.Санкт-Петербург и Ленинградской области)</t>
  </si>
  <si>
    <t>Грузия (в энергосистему Республики Адыгея и Краснодарского края)</t>
  </si>
  <si>
    <t>Абхазия (в энергосистему Республики Адыгея и Краснодарского края)</t>
  </si>
  <si>
    <t>Энергосистема г.Санкт-Петербург и Ленинградской области</t>
  </si>
  <si>
    <t>Энергосистема Астраханской области</t>
  </si>
  <si>
    <t>Энергосистема Волгоградской области</t>
  </si>
  <si>
    <t>Энергосистема Республики Дагестан</t>
  </si>
  <si>
    <t>Энергосистема Республики Ингушетия</t>
  </si>
  <si>
    <t>Энергосистема Кабардино-Балкарской Республики</t>
  </si>
  <si>
    <t>Энергосистема Республики Калмыкия</t>
  </si>
  <si>
    <t>Энергосистема Карачаево-Черкесской Республики</t>
  </si>
  <si>
    <t>Энергосистема Республики Адыгея и Краснодарского края</t>
  </si>
  <si>
    <t>Энергосистема Ростовской области</t>
  </si>
  <si>
    <t>Энергосистема Республики Северная Осетия-Алания</t>
  </si>
  <si>
    <t>Энергосистема Ставропольского края</t>
  </si>
  <si>
    <t>Энергосистема Чеченской Республики</t>
  </si>
  <si>
    <t>Республика Крым</t>
  </si>
  <si>
    <t>г.Севастополь</t>
  </si>
  <si>
    <t>Энергосистема Алтайского края и Республики Алтай</t>
  </si>
  <si>
    <t>Энергосистема Республики Бурятия</t>
  </si>
  <si>
    <t>Энергосистема Забайкальского края</t>
  </si>
  <si>
    <t>Энергосистема Иркутской области</t>
  </si>
  <si>
    <t>Энергосистема Кемеровской области</t>
  </si>
  <si>
    <t>Энергосистема Красноярского края и Республики Тыва (в границах Красноярского края)</t>
  </si>
  <si>
    <t>Энергосистема Новосибирской области</t>
  </si>
  <si>
    <t>Энергосистема Омской области</t>
  </si>
  <si>
    <t>Энергосистема Томской области</t>
  </si>
  <si>
    <t>Энергосистема Красноярского края и Республики Тыва (в границах Республики Тыва)</t>
  </si>
  <si>
    <t>Энергосистема Республики Хакасия</t>
  </si>
  <si>
    <t>Энергосистема Амурской области</t>
  </si>
  <si>
    <t>Энергосистема Приморского края</t>
  </si>
  <si>
    <t>Энергосистема Хабаровского края и Еврейской АО (в границах Хабаровского края)*</t>
  </si>
  <si>
    <t>* - Без учета производства и потребления электроэнергии Николаевского энергорайона Хабаровского края</t>
  </si>
  <si>
    <t>Энергосистема Хабаровского края и Еврейской АО (в границах Еврейской АО)</t>
  </si>
  <si>
    <t>Южно - Якутский энергорайон энергосистемы Республики Саха (Якутия)</t>
  </si>
  <si>
    <t>Центральный энергорайон энергосистемы Республики Саха (Якутия)</t>
  </si>
  <si>
    <t>Западный энергорайон энергосистемы Республики Саха (Якутия)</t>
  </si>
  <si>
    <t>Ленинградская АЭС - 2 бл. №2</t>
  </si>
  <si>
    <t>Ленинградская АЭС-2, Блок 2 ДПМ НВ (филиал АО "Концерн Росэнергоатом")</t>
  </si>
  <si>
    <t>Плавучая атомная теплоэлектростанция</t>
  </si>
  <si>
    <t>Южно-Якутский энергорайон Республики Саха (Якутия)</t>
  </si>
  <si>
    <t>Республика Саха (Якутия) - Иркутская область</t>
  </si>
  <si>
    <t>Партизанская ГРЭС (филиал ОАО "ДГК" ) (без ДПМ/НВ/ВР)</t>
  </si>
  <si>
    <t>Партизанская ГРЭС (филиал ОАО "ДГК" ) ТА-2 НВ</t>
  </si>
  <si>
    <r>
      <t xml:space="preserve">Свободненская ТЭС (ПАО "ОГК-2") </t>
    </r>
    <r>
      <rPr>
        <b/>
        <sz val="12"/>
        <color rgb="FFFF0000"/>
        <rFont val="Times New Roman Cyr"/>
        <family val="1"/>
        <charset val="204"/>
      </rPr>
      <t>НВ 01.11.2020</t>
    </r>
  </si>
  <si>
    <t>Прогнозный баланс производства и потребления электроэнергии ОАО "СО ЕЭС" по кварталам 2020 года по субъектам Российской Федерации</t>
  </si>
  <si>
    <t>ДЭС Западного энергорайона Республики Саха (Якутия)</t>
  </si>
  <si>
    <t>Кумертауская ТЭЦ (АО "Свердловская энергогазовая компания", г.Екатеринбург)</t>
  </si>
  <si>
    <t>Калмыкская СЭС (ООО "Солар Системс")</t>
  </si>
  <si>
    <t>СЭС Сигма Дракона (ООО "Санлайн Энерджи")</t>
  </si>
  <si>
    <t>БКЭС "Искра"</t>
  </si>
  <si>
    <t>БКЭС "Ильино"</t>
  </si>
  <si>
    <t>ГПЭС Энергоцентр "Далматовский"</t>
  </si>
  <si>
    <t>ТЭЦ АО "Омутнинский металлургический завод"</t>
  </si>
  <si>
    <t>Оренбургская СЭС (Оренбургская  СЭС-1 (Филиал "Оренбургский" ПАО "Т Плюс"))</t>
  </si>
  <si>
    <t>Сорочинская СЭС (Оренбургская  СЭС-3 (Филиал "Оренбургский" ПАО "Т Плюс"))</t>
  </si>
  <si>
    <t>Оренбургская СЭС-4 (Новосергиевская СЭС) (Филиал "Оренбургский" ПАО "Т Плюс"))НВ</t>
  </si>
  <si>
    <t>Самарская СЭС-4 (Светлинская СЭС )(Филиал "Оренбургский" ПАО "Т Плюс"))НВ</t>
  </si>
  <si>
    <t>Елшанская  1-ая очередь СЭС (ООО "Авелар Солар Технолоджи")НВ</t>
  </si>
  <si>
    <t>Елшанская  2-ая очередьСЭС (ООО "Авелар Солар Технолоджи") НВ</t>
  </si>
  <si>
    <t>Плешановская СЭС (ПАО "Фортум")</t>
  </si>
  <si>
    <t>Грачёвская СЭС (ПАО "Фортум")</t>
  </si>
  <si>
    <t>Кизеловская ГРЭС-3 (Пермский филиал ПАО "Т Плюс")</t>
  </si>
  <si>
    <t>ТЭЦ ООО "ТЭК "Чкаловский" (ТЭЦ РТИ)</t>
  </si>
  <si>
    <t>ТЭЦ Филиала АО "Объединенная теплоэнергетическая компания", г. Новоуральск (ТЭЦ УЭХК)</t>
  </si>
  <si>
    <t>Мини-ТЭЦ ПСЦМ АО  "Уралэлектромедь"</t>
  </si>
  <si>
    <t>ГТЭС (ПИИ ОАО"Газтурбосервис") (в т.ч. ГТЭС Моторостроители)</t>
  </si>
  <si>
    <t>ГТЭС (ОАО "Славнефть -Мегионнефтегаз"), в т.ч. ГТЭС Тайлаковского м/р</t>
  </si>
  <si>
    <t>ГТЭС (ПАО "Сургутнефтегаз")</t>
  </si>
  <si>
    <t>Усть-Коксинская 1, 2, 3, 4 очередь (ООО "Авелар Солар Технолоджи")</t>
  </si>
  <si>
    <t>Чемальская СЭС (ООО "Авелар Солар Технолоджи")</t>
  </si>
  <si>
    <t>Хоринская СЭС (ООО "Грин Энерджи Рус")</t>
  </si>
  <si>
    <t>СЭС "Тарбагатай" (ООО "Тераватт")</t>
  </si>
  <si>
    <t>СЭС "Кабанская" (ООО "Тераватт")</t>
  </si>
  <si>
    <t>СЭС "БВС" (ООО "Тераватт")</t>
  </si>
  <si>
    <t>СЭС Балей (ООО "Солнечная Генерация")</t>
  </si>
  <si>
    <t>СЭС Орловский ГОК (ООО "Солнечная Генерация")</t>
  </si>
  <si>
    <t>Читинская СЭС (ООО "Авелар Солар Технолоджи")</t>
  </si>
  <si>
    <r>
      <t xml:space="preserve">Омская ТЭЦ-3 (филиал АО "ТГК-11") Бл №11 60 МВт отказ от ДПМ </t>
    </r>
    <r>
      <rPr>
        <b/>
        <sz val="12"/>
        <color rgb="FFFF0000"/>
        <rFont val="Times New Roman Cyr"/>
        <charset val="204"/>
      </rPr>
      <t>01.01.2011</t>
    </r>
  </si>
  <si>
    <r>
      <t xml:space="preserve">Омская ТЭЦ-3 (филиал АО "ТГК-11")Бл №12 60 МВт отказ от ДПМ </t>
    </r>
    <r>
      <rPr>
        <b/>
        <sz val="12"/>
        <color rgb="FFFF0000"/>
        <rFont val="Times New Roman Cyr"/>
        <charset val="204"/>
      </rPr>
      <t>01.10.2013</t>
    </r>
  </si>
  <si>
    <t>Нововаршавская СЭС 1, 2 очередь (ООО "Грин Энерджи Рус")</t>
  </si>
  <si>
    <t>ТЭЦ-12 (филиал ПАО "Мосэнерго") без ДПМ/НВ/ВР</t>
  </si>
  <si>
    <t xml:space="preserve">ТЭЦ-16 (филиал ПАО "Мосэнерго") без ДПМ/НВ/ВР </t>
  </si>
  <si>
    <r>
      <t xml:space="preserve">ТЭЦ-16 (филиал ПАО "Мосэнерго") ПГУ421 НВ, ДПМ </t>
    </r>
    <r>
      <rPr>
        <b/>
        <sz val="12"/>
        <color indexed="10"/>
        <rFont val="Times New Roman"/>
        <family val="1"/>
        <charset val="204"/>
      </rPr>
      <t>05.11.14</t>
    </r>
  </si>
  <si>
    <t>ТЭЦ-20 (филиал ПАО "Мосэнерго") без ДПМ/НВ/ВР</t>
  </si>
  <si>
    <t>Самарская СЭС №2, 1 очередь (ООО "Солар Системс")</t>
  </si>
  <si>
    <t>Самарская СЭС №2, 2 очередь (ООО "Солар Системс")</t>
  </si>
  <si>
    <t>Самарская СЭС №2, 3 очередь (ООО "Солар Системс")</t>
  </si>
  <si>
    <t>Дергачевская СЭС (ООО "ГРИН ЭНЕРДЖИ РУС")</t>
  </si>
  <si>
    <t>ГТУ-ТЭС г.Елабуга</t>
  </si>
  <si>
    <t>ГТЭС Аммоний</t>
  </si>
  <si>
    <t>Ульяновская ВЭС (ПАО "Фортум")</t>
  </si>
  <si>
    <t>777785</t>
  </si>
  <si>
    <t>Ульяновская ВЭС -2 (Ветропарк- 1 НВ) (ООО "Ветропарки ФРВ")</t>
  </si>
  <si>
    <t>Ульяновская ВЭС -2 (Ветропарк- 6 НВ) (ООО "Ветропарки ФРВ")</t>
  </si>
  <si>
    <t>Приморская ТЭС (Филиал "Калининградская ТЭЦ-2" АО "Интер РАО - Электрогенерация")</t>
  </si>
  <si>
    <t>Приморская ТЭС (Филиал "Калининградская ТЭЦ-2" АО "Интер РАО - Электрогенерация") Блок 1 НВ</t>
  </si>
  <si>
    <t>Приморская ТЭС (Филиал "Калининградская ТЭЦ-2" АО "Интер РАО - Электрогенерация") Блок 2 НВ</t>
  </si>
  <si>
    <t>Приморская ТЭС (Филиал "Калининградская ТЭЦ-2" АО "Интер РАО - Электрогенерация") Блок 3 НВ</t>
  </si>
  <si>
    <t>МГЭС "Ляскеля" (АО "Норд Гидро")</t>
  </si>
  <si>
    <t>МГЭС "Рюмякоски" (АО "Норд Гидро")</t>
  </si>
  <si>
    <t>ТЭЦ (АО "Монди СЛПК")</t>
  </si>
  <si>
    <t>ТЭС (ООО "Плитный мир")</t>
  </si>
  <si>
    <t>ГП ТЭС (ООО "Енисей")</t>
  </si>
  <si>
    <t>ГП ТЭС № 1, №2  (АО "Воркутауголь")</t>
  </si>
  <si>
    <t>ЭС 1 Сивая Маска РЖД, ЭС 2 Елецкая РЖД (ОАО "Российские железные дороги")</t>
  </si>
  <si>
    <t>Мини ТЭЦ (ООО "СевЛесПил")</t>
  </si>
  <si>
    <t>ЭСН (ЗАО "Печоранефтегаз")</t>
  </si>
  <si>
    <t>Усинская ТЭЦ (ООО "ЛУКОЙЛ-Коми")</t>
  </si>
  <si>
    <t>Ярегская ТЭЦ (ООО "ЛУКОЙЛ-Коми")</t>
  </si>
  <si>
    <t>ЭСН (ООО "Газпром трансгаз Ухта")</t>
  </si>
  <si>
    <t>ТЭЦ БС "Сосновоборская" (ФГУП "НИТИ имени А.П. Александрова")</t>
  </si>
  <si>
    <t>Фунтовская СЭС-2 (ООО "Грин Энерджи Рус")</t>
  </si>
  <si>
    <t>Ахтубинская СЭС (ООО "Грин Энерджи Рус")</t>
  </si>
  <si>
    <t>Лиманская СЭС (1 очередь)</t>
  </si>
  <si>
    <t>Лиманская СЭС (2 очередь)</t>
  </si>
  <si>
    <t>Волгоградская СЭС№1 (ООО "Солар Системс")</t>
  </si>
  <si>
    <t>СЭС Медведица (ООО "Санлайт Энерджи")</t>
  </si>
  <si>
    <t>СЭС Луч (ООО "Санлайт Энерджи")</t>
  </si>
  <si>
    <t>СЭС Астерион (ООО "Санлайт Энерджи")</t>
  </si>
  <si>
    <t>ГПЭС ТПП "Волгограднефтегаз" (АО "РИТЭК" ТПП "Волгограднефтегаз")</t>
  </si>
  <si>
    <t xml:space="preserve">ГПЭС "Овощевод" (ООО "Овощевод") </t>
  </si>
  <si>
    <t>ТЭС Каргилл (ООО "Каргилл Новоаннинский")</t>
  </si>
  <si>
    <t>ТЭЦ Техуглерод (ООО"Омский завод технического углерода")</t>
  </si>
  <si>
    <t xml:space="preserve"> ГПЭС Химволокно (АО "ТЭКСКОР")</t>
  </si>
  <si>
    <t>ТЭС Алюминиевого завода (АО "РУСАЛ Урал" филиал "РУСАЛ Волгоград")</t>
  </si>
  <si>
    <t>ВЭС Фунтово (ООО "ВЭС "Бриз")</t>
  </si>
  <si>
    <t>Малодербетовская СЭС (1 очерадь) (ООО "Авелар Солар Технолоджи")</t>
  </si>
  <si>
    <t>Малодербетовская СЭС (2 очерадь) (ООО "Авелар Солар Технолоджи")</t>
  </si>
  <si>
    <t>Яшкульская СЭС (1 очередь) (ООО "Авелар Солар Технолоджи")</t>
  </si>
  <si>
    <t>Яшкульская СЭС (2 очередь) (ООО "Авелар Солар Технолоджи")</t>
  </si>
  <si>
    <t>Яшкульская СЭС (3 очередь) (ООО "Авелар Солар Технолоджи")</t>
  </si>
  <si>
    <t>Учкуланская МГЭС (ЗАО "Фотон")</t>
  </si>
  <si>
    <t>Шовгеновская ВЭС (АО "ВЕТРООГК")</t>
  </si>
  <si>
    <t>Шовгеновская ВЭС (АО "ВЕТРООГК") 1 очередь</t>
  </si>
  <si>
    <t>Шовгеновская ВЭС (АО "ВЕТРООГК") 2 очередь</t>
  </si>
  <si>
    <t>Шовгеновская ВЭС (АО "ВЕТРООГК") 3 очередь</t>
  </si>
  <si>
    <t>Шовгеновская ВЭС (АО "ВЕТРООГК") 4 очередь</t>
  </si>
  <si>
    <t>Пилотная ВЭС (АО "ВЕТРООГК") - 2020-1</t>
  </si>
  <si>
    <t>Пилотная ВЭС (АО "ВЕТРООГК") - 2020-2</t>
  </si>
  <si>
    <t>Пилотная ВЭС (АО "ВЕТРООГК") - 2020-3</t>
  </si>
  <si>
    <t>Пилотная ВЭС (АО "ВЕТРООГК") - 2020-4</t>
  </si>
  <si>
    <t>Пилотная ВЭС (АО "ВЕТРООГК") - 2020-5</t>
  </si>
  <si>
    <t>Пилотная ВЭС (АО "ВЕТРООГК") - 2020-6</t>
  </si>
  <si>
    <t>Пилотная ВЭС (АО "ВЕТРООГК") - 2020-7</t>
  </si>
  <si>
    <t>Пилотная ВЭС (АО "ВЕТРООГК") - 2020-8</t>
  </si>
  <si>
    <t>Пилотная ВЭС (АО "ВЕТРООГК") - 2020-9</t>
  </si>
  <si>
    <t>Пилотная ВЭС (АО "ВЕТРООГК") - 2020-10</t>
  </si>
  <si>
    <t>Пилотная ВЭС (АО "ВЕТРООГК") - 2020-11</t>
  </si>
  <si>
    <t>Пилотная ВЭС (АО "ВЕТРООГК") - 2020-12</t>
  </si>
  <si>
    <t>Пилотная ВЭС (АО "ВЕТРООГК") - 2020-13</t>
  </si>
  <si>
    <t>ГПУ ОАО "ВБЦЗ"</t>
  </si>
  <si>
    <t>мини ТЭЦ ОАО АПФ "Фанагория"</t>
  </si>
  <si>
    <t>ТЭЦ Выселковского сахарного завода</t>
  </si>
  <si>
    <t>ТЭЦ Усть-Лабинского сахарного завода</t>
  </si>
  <si>
    <t>ТЭЦ Курганинского сахарного завода</t>
  </si>
  <si>
    <t>ЗАО "ССК "Ленинградский"</t>
  </si>
  <si>
    <t>ТЭЦ Тбилисского сахарного завода</t>
  </si>
  <si>
    <t>ТЭЦ Успенского сахарного завода</t>
  </si>
  <si>
    <t>ТЭЦ Новопокровского сахарного завода</t>
  </si>
  <si>
    <t>ТЭЦ Гулькевичского сахарного завода</t>
  </si>
  <si>
    <t>ТЭЦ Динского сахарного завода</t>
  </si>
  <si>
    <t>ТЭЦ Тимошевского сахарного завода</t>
  </si>
  <si>
    <t>ТЭЦ Каневского сахарного завода</t>
  </si>
  <si>
    <t>ТЭЦ Филиала "Кореновский"</t>
  </si>
  <si>
    <t>ТЭЦ Новокубанского сахарного завода</t>
  </si>
  <si>
    <t>ТЭЦ ОАО "НСРЗ"</t>
  </si>
  <si>
    <t>ТЭЦ Павловского сахарного завода</t>
  </si>
  <si>
    <t>ТЭЦ Лабинского сахарного завода</t>
  </si>
  <si>
    <t>ТЭЦ ООО "ЕвроХим-БМУ"</t>
  </si>
  <si>
    <t>Приазовская ТЭЦ</t>
  </si>
  <si>
    <t>Армавирская ТЭЦ</t>
  </si>
  <si>
    <t>ООО "Свод Интернешнл"</t>
  </si>
  <si>
    <t>ТЭЦ Краснодарского масложиркомбината</t>
  </si>
  <si>
    <t>Новочеркасская ГРЭС  (филиал ПАО "ОГК-2")(ТГ 1) ВР</t>
  </si>
  <si>
    <t>Новочеркасская ГРЭС (филиал ПАО "ОГК-2") (ТГ 2) ВР</t>
  </si>
  <si>
    <t>Новочеркасская ГРЭС (филиал ПАО "ОГК-2") (ТГ 3) ВР</t>
  </si>
  <si>
    <t>Новочеркасская ГРЭС (филиал ПАО "ОГК-2") (ТГ 4) ВР</t>
  </si>
  <si>
    <t>Новочеркасская ГРЭС  (филиал ПАО "ОГК-2")(ТГ 5) ВР</t>
  </si>
  <si>
    <t>Гуковская ВЭС (ВЭС Гуково-1 (ООО "Ветропарки ФРВ")</t>
  </si>
  <si>
    <t>Сулинская ВЭС (Каменско-Красносулинская ВЭС. Южная площадка (ООО "ВТОРОЙ ВЕТРОПАРК ФРВ")</t>
  </si>
  <si>
    <t>Каменская ВЭС (Каменско-Красносулинская ВЭС. Северная площадка (ООО "ВТОРОЙ ВЕТРОПАРК ФРВ")</t>
  </si>
  <si>
    <t>Азовская ВЭС (ООО "Энел Рус Винд Азов")</t>
  </si>
  <si>
    <t xml:space="preserve"> Кочубеевская ВЭС (АО "ВетроОГК") НВ</t>
  </si>
  <si>
    <t>Кочубеевская ВЭС-67</t>
  </si>
  <si>
    <t>Кочубеевская ВЭС-2020-1</t>
  </si>
  <si>
    <t>Кочубеевская ВЭС-2020-2</t>
  </si>
  <si>
    <t>Кочубеевская ВЭС-2020-3</t>
  </si>
  <si>
    <t>Кочубеевская ВЭС-2020-4</t>
  </si>
  <si>
    <t>Кочубеевская ВЭС-2020-5</t>
  </si>
  <si>
    <t>Кочубеевская ВЭС-2020-6</t>
  </si>
  <si>
    <t>Кочубеевская ВЭС-2020-7</t>
  </si>
  <si>
    <t>Кочубеевская ВЭС-2020-8</t>
  </si>
  <si>
    <t>Кочубеевская ВЭС-2020-9</t>
  </si>
  <si>
    <t>Кочубеевская ВЭС-2020-10</t>
  </si>
  <si>
    <t>Горько-Балковская МГЭС (ООО "ЭнергоМИН") НВ</t>
  </si>
  <si>
    <t>МГЭС на Просянском сбросе (ООО "ЭнергоМИН") НВ</t>
  </si>
  <si>
    <t xml:space="preserve"> Старомарьевская СЭС (ООО "Солар Системс") НВ</t>
  </si>
  <si>
    <t>Грачевка</t>
  </si>
  <si>
    <t>Калиновка</t>
  </si>
  <si>
    <t>Третья очередь</t>
  </si>
  <si>
    <t>Красная</t>
  </si>
  <si>
    <t>Пятая очередь</t>
  </si>
  <si>
    <t>Шестая очередь</t>
  </si>
  <si>
    <t>Ташла</t>
  </si>
  <si>
    <t>Грозненская ТЭС (филиал ПАО "ОГК-2")</t>
  </si>
  <si>
    <t>Грозненская ТЭС ГТУ-1 (ПАО "ОГК-2")</t>
  </si>
  <si>
    <t>Грозненская ТЭС ГТУ-2 (ПАО "ОГК-2")</t>
  </si>
  <si>
    <t>Таврическая ТЭС (ООО "ВО "Технопромэкспорт")</t>
  </si>
  <si>
    <t xml:space="preserve"> СЭС Владиславовка (ООО "Пауэр Сервисез")</t>
  </si>
  <si>
    <t>СЭС ООО "Бора Солар"  СЭС Владиславовка (ООО "Пауэр Сервисез")</t>
  </si>
  <si>
    <t>СЭС ООО "Леннет Солар"  СЭС Владиславовка (ООО "Пауэр Сервисез")</t>
  </si>
  <si>
    <t>СЭС ООО "Калипсо Солар"  СЭС Владиславовка (ООО "Пауэр Сервисез")</t>
  </si>
  <si>
    <t>СЭС ООО "Канари Солар"  СЭС Владиславовка (ООО "Пауэр Сервисез")</t>
  </si>
  <si>
    <t>СЭС ООО "Кларион Солар"  СЭС Владиславовка (ООО "Пауэр Сервисез")</t>
  </si>
  <si>
    <t>Котовская ТЭЦ-2</t>
  </si>
  <si>
    <t>Переток в Центральный энергорайон Республики Саха (Якутия)</t>
  </si>
  <si>
    <t>Переток из Западного энергорайона Республики Саха (Якутия)</t>
  </si>
  <si>
    <t>Прогнозные объемы электропотребления (прогноз АО "СО ЕЭС" на 2021 год)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</si>
</sst>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dd/mm/yy;@"/>
    <numFmt numFmtId="167" formatCode="0.00000"/>
    <numFmt numFmtId="168" formatCode="#,##0.000"/>
    <numFmt numFmtId="169" formatCode="#,##0.0"/>
  </numFmts>
  <fonts count="155">
    <font>
      <sz val="10"/>
      <name val="Times New Roman Cyr"/>
      <family val="1"/>
      <charset val="204"/>
    </font>
    <font>
      <sz val="10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name val="HelvDL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sz val="10"/>
      <name val="Arial Cyr"/>
      <charset val="204"/>
    </font>
    <font>
      <sz val="10"/>
      <name val="Arial Cyr"/>
      <family val="2"/>
      <charset val="204"/>
    </font>
    <font>
      <b/>
      <sz val="11"/>
      <name val="Arial Cyr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4"/>
      <name val="Times New Roman CYR"/>
      <family val="1"/>
      <charset val="204"/>
    </font>
    <font>
      <sz val="14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sz val="9"/>
      <name val="Tahoma"/>
      <family val="2"/>
      <charset val="204"/>
    </font>
    <font>
      <sz val="9"/>
      <name val="Times New Roman Cyr"/>
      <family val="1"/>
      <charset val="204"/>
    </font>
    <font>
      <b/>
      <sz val="9"/>
      <name val="Times New Roman Cyr"/>
      <family val="1"/>
      <charset val="204"/>
    </font>
    <font>
      <b/>
      <sz val="10"/>
      <name val="Times New Roman Cyr"/>
      <charset val="204"/>
    </font>
    <font>
      <b/>
      <sz val="9"/>
      <name val="Times New Roman Cyr"/>
      <charset val="204"/>
    </font>
    <font>
      <sz val="8"/>
      <name val="Times New Roman Cyr"/>
      <family val="1"/>
      <charset val="204"/>
    </font>
    <font>
      <b/>
      <sz val="11"/>
      <name val="Times New Roman"/>
      <family val="1"/>
      <charset val="204"/>
    </font>
    <font>
      <sz val="10"/>
      <name val="Helv"/>
    </font>
    <font>
      <b/>
      <u/>
      <sz val="20"/>
      <name val="Times New Roman"/>
      <family val="1"/>
    </font>
    <font>
      <u/>
      <sz val="10"/>
      <name val="Arial Cyr"/>
      <family val="2"/>
      <charset val="204"/>
    </font>
    <font>
      <b/>
      <sz val="18"/>
      <name val="Times New Roman"/>
      <family val="1"/>
      <charset val="204"/>
    </font>
    <font>
      <b/>
      <sz val="10"/>
      <name val="Arial Cyr"/>
      <family val="2"/>
      <charset val="204"/>
    </font>
    <font>
      <b/>
      <sz val="16"/>
      <name val="Times New Roman"/>
      <family val="1"/>
    </font>
    <font>
      <b/>
      <sz val="12"/>
      <name val="Arial Cyr"/>
      <family val="2"/>
      <charset val="204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0"/>
      <color indexed="10"/>
      <name val="Arial Cyr"/>
      <family val="2"/>
      <charset val="204"/>
    </font>
    <font>
      <b/>
      <sz val="10"/>
      <name val="Arial Cyr"/>
      <charset val="204"/>
    </font>
    <font>
      <b/>
      <sz val="10"/>
      <name val="Times New Roman"/>
      <family val="1"/>
    </font>
    <font>
      <b/>
      <u/>
      <sz val="11"/>
      <name val="Times New Roman"/>
      <family val="1"/>
    </font>
    <font>
      <sz val="10"/>
      <color indexed="10"/>
      <name val="Arial Cyr"/>
      <charset val="204"/>
    </font>
    <font>
      <sz val="9"/>
      <name val="Arial CYR"/>
      <family val="2"/>
      <charset val="204"/>
    </font>
    <font>
      <sz val="9"/>
      <color indexed="8"/>
      <name val="Arial Cyr"/>
      <family val="2"/>
      <charset val="204"/>
    </font>
    <font>
      <sz val="9"/>
      <color indexed="12"/>
      <name val="Arial Cyr"/>
      <family val="2"/>
      <charset val="204"/>
    </font>
    <font>
      <b/>
      <sz val="8"/>
      <name val="Arial Cyr"/>
      <charset val="204"/>
    </font>
    <font>
      <b/>
      <sz val="11"/>
      <name val="Arial Cyr"/>
      <charset val="204"/>
    </font>
    <font>
      <sz val="10"/>
      <color indexed="10"/>
      <name val="Arial Cyr"/>
      <family val="2"/>
      <charset val="204"/>
    </font>
    <font>
      <b/>
      <sz val="10"/>
      <color indexed="10"/>
      <name val="Arial Cyr"/>
      <charset val="204"/>
    </font>
    <font>
      <sz val="11"/>
      <name val="Times New Roman"/>
      <family val="1"/>
    </font>
    <font>
      <b/>
      <u/>
      <sz val="11"/>
      <name val="Arial Cyr"/>
      <charset val="204"/>
    </font>
    <font>
      <b/>
      <i/>
      <sz val="10"/>
      <name val="Arial Cyr"/>
      <charset val="204"/>
    </font>
    <font>
      <b/>
      <i/>
      <sz val="14"/>
      <name val="Arial Cyr"/>
      <charset val="204"/>
    </font>
    <font>
      <u/>
      <sz val="10"/>
      <name val="Arial Cyr"/>
      <charset val="204"/>
    </font>
    <font>
      <sz val="10"/>
      <name val="Times New Roman"/>
      <family val="1"/>
    </font>
    <font>
      <sz val="10"/>
      <color indexed="10"/>
      <name val="Arial Cyr"/>
    </font>
    <font>
      <sz val="9"/>
      <color indexed="10"/>
      <name val="Arial Cyr"/>
      <family val="2"/>
      <charset val="204"/>
    </font>
    <font>
      <b/>
      <sz val="20"/>
      <name val="Times New Roman"/>
      <family val="1"/>
    </font>
    <font>
      <b/>
      <sz val="14"/>
      <name val="Arial Cyr"/>
      <charset val="204"/>
    </font>
    <font>
      <b/>
      <sz val="10"/>
      <color indexed="8"/>
      <name val="Arial Cyr"/>
      <family val="2"/>
      <charset val="204"/>
    </font>
    <font>
      <b/>
      <sz val="12"/>
      <name val="Arial Narrow"/>
      <family val="2"/>
      <charset val="204"/>
    </font>
    <font>
      <sz val="12"/>
      <name val="Arial Narrow"/>
      <family val="2"/>
      <charset val="204"/>
    </font>
    <font>
      <b/>
      <sz val="12"/>
      <color indexed="10"/>
      <name val="Arial Narrow"/>
      <family val="2"/>
      <charset val="204"/>
    </font>
    <font>
      <i/>
      <sz val="12"/>
      <name val="Arial Narrow"/>
      <family val="2"/>
      <charset val="204"/>
    </font>
    <font>
      <b/>
      <sz val="10"/>
      <name val="Helv"/>
    </font>
    <font>
      <sz val="9"/>
      <name val="Arial Narrow"/>
      <family val="2"/>
      <charset val="204"/>
    </font>
    <font>
      <b/>
      <sz val="12"/>
      <name val="Times New Roman Cyr"/>
      <family val="1"/>
      <charset val="204"/>
    </font>
    <font>
      <sz val="12"/>
      <name val="Times New Roman"/>
      <family val="1"/>
      <charset val="204"/>
    </font>
    <font>
      <b/>
      <sz val="12"/>
      <name val="Times New Roman Cyr"/>
      <charset val="204"/>
    </font>
    <font>
      <sz val="12"/>
      <name val="Times New Roman Cyr"/>
      <charset val="204"/>
    </font>
    <font>
      <b/>
      <sz val="16"/>
      <name val="Times New Roman Cyr"/>
      <charset val="204"/>
    </font>
    <font>
      <b/>
      <i/>
      <sz val="10"/>
      <name val="Times New Roman Cyr"/>
      <family val="1"/>
      <charset val="204"/>
    </font>
    <font>
      <b/>
      <i/>
      <sz val="10"/>
      <name val="Helv"/>
    </font>
    <font>
      <u/>
      <sz val="10"/>
      <name val="Times New Roman"/>
      <family val="1"/>
      <charset val="204"/>
    </font>
    <font>
      <b/>
      <sz val="8"/>
      <name val="Arial"/>
      <family val="2"/>
      <charset val="204"/>
    </font>
    <font>
      <sz val="9"/>
      <name val="Arial Cyr"/>
      <charset val="204"/>
    </font>
    <font>
      <b/>
      <sz val="10"/>
      <name val="Arial"/>
      <family val="2"/>
      <charset val="204"/>
    </font>
    <font>
      <b/>
      <sz val="9"/>
      <name val="Arial Cyr"/>
      <charset val="204"/>
    </font>
    <font>
      <sz val="10"/>
      <name val="Helv"/>
      <charset val="204"/>
    </font>
    <font>
      <b/>
      <sz val="12"/>
      <color indexed="10"/>
      <name val="Times New Roman"/>
      <family val="1"/>
      <charset val="204"/>
    </font>
    <font>
      <b/>
      <sz val="12"/>
      <color indexed="10"/>
      <name val="Times New Roman Cyr"/>
      <charset val="204"/>
    </font>
    <font>
      <sz val="12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1"/>
      <name val="Arial"/>
      <family val="2"/>
      <charset val="204"/>
    </font>
    <font>
      <sz val="11"/>
      <color indexed="10"/>
      <name val="Arial"/>
      <family val="2"/>
      <charset val="204"/>
    </font>
    <font>
      <b/>
      <sz val="14"/>
      <name val="Times New Roman"/>
      <family val="1"/>
      <charset val="204"/>
    </font>
    <font>
      <sz val="9"/>
      <color indexed="64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color indexed="10"/>
      <name val="Arial Cyr"/>
      <charset val="204"/>
    </font>
    <font>
      <b/>
      <sz val="9"/>
      <color indexed="12"/>
      <name val="Arial Cyr"/>
      <charset val="204"/>
    </font>
    <font>
      <b/>
      <sz val="9"/>
      <color indexed="8"/>
      <name val="Arial Cyr"/>
      <charset val="204"/>
    </font>
    <font>
      <sz val="8"/>
      <name val="Arial"/>
      <family val="2"/>
      <charset val="204"/>
    </font>
    <font>
      <b/>
      <sz val="10"/>
      <color indexed="14"/>
      <name val="Arial Cyr"/>
      <charset val="204"/>
    </font>
    <font>
      <sz val="10"/>
      <color indexed="14"/>
      <name val="Arial Cyr"/>
      <charset val="204"/>
    </font>
    <font>
      <b/>
      <sz val="11"/>
      <color indexed="10"/>
      <name val="Arial Cyr"/>
      <family val="2"/>
      <charset val="204"/>
    </font>
    <font>
      <sz val="11"/>
      <name val="Arial Cyr"/>
      <family val="2"/>
      <charset val="204"/>
    </font>
    <font>
      <b/>
      <sz val="11"/>
      <name val="Arial Cyr"/>
      <family val="2"/>
      <charset val="204"/>
    </font>
    <font>
      <b/>
      <sz val="10"/>
      <name val="Times New Roman"/>
      <family val="1"/>
      <charset val="204"/>
    </font>
    <font>
      <b/>
      <sz val="11"/>
      <color indexed="10"/>
      <name val="Times New Roman"/>
      <family val="1"/>
      <charset val="204"/>
    </font>
    <font>
      <b/>
      <sz val="12"/>
      <color indexed="10"/>
      <name val="Times New Roman Cyr"/>
      <family val="1"/>
      <charset val="204"/>
    </font>
    <font>
      <sz val="12"/>
      <color indexed="10"/>
      <name val="Times New Roman Cyr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color rgb="FF0070C0"/>
      <name val="Arial Narrow"/>
      <family val="2"/>
      <charset val="204"/>
    </font>
    <font>
      <b/>
      <sz val="12"/>
      <color rgb="FFFF0000"/>
      <name val="Arial Narrow"/>
      <family val="2"/>
      <charset val="204"/>
    </font>
    <font>
      <sz val="10"/>
      <color rgb="FFFF0000"/>
      <name val="Arial"/>
      <family val="2"/>
      <charset val="204"/>
    </font>
    <font>
      <sz val="9"/>
      <color rgb="FFFF0000"/>
      <name val="Arial Cyr"/>
      <family val="2"/>
      <charset val="204"/>
    </font>
    <font>
      <sz val="12"/>
      <color rgb="FFFF0000"/>
      <name val="Times New Roman Cyr"/>
      <family val="1"/>
      <charset val="204"/>
    </font>
    <font>
      <sz val="12"/>
      <color rgb="FFFF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0"/>
      <color rgb="FFFF0000"/>
      <name val="Times New Roman Cyr"/>
      <charset val="204"/>
    </font>
    <font>
      <b/>
      <sz val="8"/>
      <color rgb="FFFF0000"/>
      <name val="Arial"/>
      <family val="2"/>
      <charset val="204"/>
    </font>
    <font>
      <sz val="12"/>
      <color rgb="FFFF0000"/>
      <name val="Arial Narrow"/>
      <family val="2"/>
      <charset val="204"/>
    </font>
    <font>
      <sz val="12"/>
      <color rgb="FF0070C0"/>
      <name val="Arial Narrow"/>
      <family val="2"/>
      <charset val="204"/>
    </font>
    <font>
      <sz val="10"/>
      <color rgb="FFFF0000"/>
      <name val="Times New Roman Cyr"/>
      <family val="1"/>
      <charset val="204"/>
    </font>
    <font>
      <b/>
      <sz val="10"/>
      <color rgb="FF0070C0"/>
      <name val="Arial Cyr"/>
      <family val="2"/>
      <charset val="204"/>
    </font>
    <font>
      <b/>
      <sz val="10"/>
      <color rgb="FF0070C0"/>
      <name val="Arial Cyr"/>
      <charset val="204"/>
    </font>
    <font>
      <b/>
      <sz val="9"/>
      <color rgb="FF0070C0"/>
      <name val="Arial Cyr"/>
      <charset val="204"/>
    </font>
    <font>
      <b/>
      <sz val="9"/>
      <color rgb="FFFF0000"/>
      <name val="Arial Cyr"/>
      <charset val="204"/>
    </font>
    <font>
      <b/>
      <sz val="12"/>
      <color rgb="FF00B050"/>
      <name val="Arial Narrow"/>
      <family val="2"/>
      <charset val="204"/>
    </font>
    <font>
      <b/>
      <sz val="10"/>
      <color rgb="FFFF0000"/>
      <name val="Arial Cyr"/>
      <family val="2"/>
      <charset val="204"/>
    </font>
    <font>
      <sz val="12"/>
      <color rgb="FF00B050"/>
      <name val="Arial Narrow"/>
      <family val="2"/>
      <charset val="204"/>
    </font>
    <font>
      <b/>
      <sz val="10"/>
      <color rgb="FFFF0000"/>
      <name val="Arial Cyr"/>
      <charset val="204"/>
    </font>
    <font>
      <sz val="12"/>
      <color theme="1"/>
      <name val="Arial Narrow"/>
      <family val="2"/>
      <charset val="204"/>
    </font>
    <font>
      <sz val="10"/>
      <name val="Cambria"/>
      <family val="1"/>
      <charset val="204"/>
      <scheme val="major"/>
    </font>
    <font>
      <sz val="10"/>
      <color theme="0"/>
      <name val="Arial Cyr"/>
      <charset val="204"/>
    </font>
    <font>
      <b/>
      <sz val="11"/>
      <color rgb="FFFF0000"/>
      <name val="Times New Roman"/>
      <family val="1"/>
      <charset val="204"/>
    </font>
    <font>
      <sz val="10"/>
      <color rgb="FF0070C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color rgb="FF009900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b/>
      <sz val="10"/>
      <color rgb="FF0099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2"/>
      <color rgb="FFFF0000"/>
      <name val="Times New Roman Cyr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rgb="FFFF0000"/>
      <name val="Times New Roman Cyr"/>
      <charset val="204"/>
    </font>
    <font>
      <sz val="11"/>
      <color rgb="FFFF0000"/>
      <name val="Arial"/>
      <family val="2"/>
      <charset val="204"/>
    </font>
    <font>
      <sz val="12"/>
      <color rgb="FF0070C0"/>
      <name val="Times New Roman"/>
      <family val="1"/>
      <charset val="204"/>
    </font>
    <font>
      <b/>
      <sz val="12"/>
      <color rgb="FFFF0000"/>
      <name val="Times New Roman Cyr"/>
      <charset val="204"/>
    </font>
    <font>
      <sz val="10"/>
      <color rgb="FF0070C0"/>
      <name val="Times New Roman Cyr"/>
      <family val="1"/>
      <charset val="204"/>
    </font>
    <font>
      <sz val="12"/>
      <color theme="0" tint="-0.34998626667073579"/>
      <name val="Arial Narrow"/>
      <family val="2"/>
      <charset val="204"/>
    </font>
    <font>
      <sz val="9"/>
      <color rgb="FFFF0000"/>
      <name val="Times New Roman"/>
      <family val="1"/>
      <charset val="204"/>
    </font>
    <font>
      <sz val="12"/>
      <color rgb="FF008000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sz val="12"/>
      <color theme="0" tint="-0.34998626667073579"/>
      <name val="Times New Roman"/>
      <family val="1"/>
      <charset val="204"/>
    </font>
    <font>
      <b/>
      <sz val="10"/>
      <color theme="9" tint="-0.499984740745262"/>
      <name val="Arial Cyr"/>
      <family val="2"/>
      <charset val="204"/>
    </font>
    <font>
      <b/>
      <sz val="10"/>
      <color theme="9" tint="-0.499984740745262"/>
      <name val="Arial Cyr"/>
      <charset val="204"/>
    </font>
    <font>
      <sz val="10"/>
      <color rgb="FFFF0000"/>
      <name val="Times New Roman"/>
      <family val="1"/>
      <charset val="204"/>
    </font>
    <font>
      <sz val="9"/>
      <color rgb="FFFF0000"/>
      <name val="Arial Cyr"/>
      <charset val="204"/>
    </font>
    <font>
      <b/>
      <sz val="12"/>
      <color rgb="FFFF0000"/>
      <name val="Times New Roman Cyr"/>
      <family val="1"/>
      <charset val="204"/>
    </font>
    <font>
      <sz val="12"/>
      <color theme="1"/>
      <name val="Times New Roman Cyr"/>
      <family val="1"/>
      <charset val="204"/>
    </font>
    <font>
      <b/>
      <sz val="9"/>
      <color indexed="64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2"/>
      <color rgb="FF339933"/>
      <name val="Arial Narrow"/>
      <family val="2"/>
      <charset val="204"/>
    </font>
    <font>
      <b/>
      <sz val="12"/>
      <color rgb="FF339933"/>
      <name val="Arial Narrow"/>
      <family val="2"/>
      <charset val="204"/>
    </font>
    <font>
      <b/>
      <sz val="9"/>
      <color rgb="FFFF0000"/>
      <name val="Arial"/>
      <family val="2"/>
      <charset val="204"/>
    </font>
    <font>
      <sz val="8"/>
      <color rgb="FFFF000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F2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medium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9">
    <xf numFmtId="0" fontId="0" fillId="0" borderId="0"/>
    <xf numFmtId="0" fontId="8" fillId="0" borderId="0" applyNumberFormat="0" applyFill="0" applyBorder="0" applyAlignment="0" applyProtection="0"/>
    <xf numFmtId="4" fontId="15" fillId="2" borderId="1" applyBorder="0">
      <alignment horizontal="right"/>
    </xf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4" fillId="0" borderId="0">
      <alignment vertical="top"/>
    </xf>
    <xf numFmtId="0" fontId="4" fillId="0" borderId="0">
      <alignment vertical="top"/>
    </xf>
    <xf numFmtId="0" fontId="97" fillId="0" borderId="0"/>
    <xf numFmtId="0" fontId="97" fillId="0" borderId="0"/>
    <xf numFmtId="0" fontId="97" fillId="0" borderId="0"/>
    <xf numFmtId="0" fontId="97" fillId="0" borderId="0"/>
    <xf numFmtId="0" fontId="9" fillId="0" borderId="0"/>
    <xf numFmtId="0" fontId="4" fillId="0" borderId="0"/>
    <xf numFmtId="0" fontId="97" fillId="0" borderId="0"/>
    <xf numFmtId="0" fontId="1" fillId="0" borderId="0"/>
    <xf numFmtId="0" fontId="9" fillId="0" borderId="0"/>
    <xf numFmtId="0" fontId="4" fillId="0" borderId="0"/>
    <xf numFmtId="0" fontId="9" fillId="0" borderId="0">
      <alignment vertical="top"/>
    </xf>
    <xf numFmtId="0" fontId="4" fillId="0" borderId="0">
      <alignment vertical="top"/>
    </xf>
    <xf numFmtId="0" fontId="97" fillId="0" borderId="0"/>
    <xf numFmtId="0" fontId="97" fillId="0" borderId="0"/>
    <xf numFmtId="0" fontId="97" fillId="0" borderId="0"/>
    <xf numFmtId="0" fontId="97" fillId="0" borderId="0"/>
    <xf numFmtId="0" fontId="6" fillId="0" borderId="0"/>
    <xf numFmtId="0" fontId="3" fillId="0" borderId="0"/>
    <xf numFmtId="0" fontId="7" fillId="0" borderId="0"/>
    <xf numFmtId="2" fontId="98" fillId="0" borderId="2">
      <alignment horizontal="center"/>
    </xf>
    <xf numFmtId="2" fontId="99" fillId="0" borderId="3">
      <alignment horizontal="center"/>
    </xf>
    <xf numFmtId="4" fontId="15" fillId="3" borderId="0" applyBorder="0">
      <alignment horizontal="right"/>
    </xf>
    <xf numFmtId="0" fontId="1" fillId="0" borderId="0"/>
    <xf numFmtId="0" fontId="6" fillId="0" borderId="0"/>
  </cellStyleXfs>
  <cellXfs count="1265">
    <xf numFmtId="2" fontId="0" fillId="0" borderId="0" xfId="0" applyNumberFormat="1"/>
    <xf numFmtId="2" fontId="2" fillId="0" borderId="0" xfId="0" applyNumberFormat="1" applyFont="1" applyAlignment="1">
      <alignment horizontal="center"/>
    </xf>
    <xf numFmtId="2" fontId="13" fillId="0" borderId="0" xfId="0" applyNumberFormat="1" applyFont="1"/>
    <xf numFmtId="2" fontId="14" fillId="0" borderId="0" xfId="0" applyNumberFormat="1" applyFont="1"/>
    <xf numFmtId="2" fontId="16" fillId="0" borderId="0" xfId="0" applyNumberFormat="1" applyFont="1"/>
    <xf numFmtId="2" fontId="1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/>
    <xf numFmtId="165" fontId="5" fillId="4" borderId="4" xfId="32" applyNumberFormat="1" applyFont="1" applyFill="1" applyBorder="1" applyAlignment="1"/>
    <xf numFmtId="164" fontId="5" fillId="0" borderId="4" xfId="0" applyNumberFormat="1" applyFont="1" applyBorder="1" applyAlignment="1">
      <alignment horizontal="center"/>
    </xf>
    <xf numFmtId="2" fontId="5" fillId="0" borderId="0" xfId="0" applyNumberFormat="1" applyFont="1" applyBorder="1"/>
    <xf numFmtId="164" fontId="5" fillId="3" borderId="4" xfId="0" applyNumberFormat="1" applyFont="1" applyFill="1" applyBorder="1" applyAlignment="1">
      <alignment horizontal="center"/>
    </xf>
    <xf numFmtId="2" fontId="23" fillId="0" borderId="0" xfId="0" applyNumberFormat="1" applyFont="1" applyAlignment="1">
      <alignment horizontal="centerContinuous"/>
    </xf>
    <xf numFmtId="2" fontId="24" fillId="0" borderId="0" xfId="0" applyNumberFormat="1" applyFont="1" applyAlignment="1">
      <alignment horizontal="centerContinuous"/>
    </xf>
    <xf numFmtId="2" fontId="22" fillId="0" borderId="0" xfId="0" applyNumberFormat="1" applyFont="1"/>
    <xf numFmtId="166" fontId="22" fillId="0" borderId="0" xfId="0" applyNumberFormat="1" applyFont="1"/>
    <xf numFmtId="2" fontId="22" fillId="0" borderId="0" xfId="0" applyNumberFormat="1" applyFont="1" applyAlignment="1">
      <alignment horizontal="centerContinuous"/>
    </xf>
    <xf numFmtId="0" fontId="25" fillId="0" borderId="0" xfId="0" applyFont="1"/>
    <xf numFmtId="2" fontId="10" fillId="0" borderId="0" xfId="0" applyNumberFormat="1" applyFont="1" applyAlignment="1">
      <alignment horizontal="centerContinuous"/>
    </xf>
    <xf numFmtId="0" fontId="25" fillId="0" borderId="0" xfId="0" applyFont="1" applyAlignment="1">
      <alignment horizontal="center"/>
    </xf>
    <xf numFmtId="14" fontId="26" fillId="0" borderId="0" xfId="0" applyNumberFormat="1" applyFont="1"/>
    <xf numFmtId="2" fontId="28" fillId="0" borderId="0" xfId="0" applyNumberFormat="1" applyFont="1"/>
    <xf numFmtId="2" fontId="29" fillId="0" borderId="0" xfId="0" applyNumberFormat="1" applyFont="1"/>
    <xf numFmtId="2" fontId="30" fillId="0" borderId="0" xfId="0" applyNumberFormat="1" applyFont="1"/>
    <xf numFmtId="2" fontId="27" fillId="0" borderId="0" xfId="0" applyNumberFormat="1" applyFont="1"/>
    <xf numFmtId="2" fontId="22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14" fontId="26" fillId="0" borderId="0" xfId="0" applyNumberFormat="1" applyFont="1" applyFill="1" applyAlignment="1">
      <alignment horizontal="center"/>
    </xf>
    <xf numFmtId="2" fontId="31" fillId="5" borderId="0" xfId="0" applyNumberFormat="1" applyFont="1" applyFill="1" applyProtection="1">
      <protection locked="0"/>
    </xf>
    <xf numFmtId="2" fontId="29" fillId="0" borderId="0" xfId="0" applyNumberFormat="1" applyFont="1" applyAlignment="1">
      <alignment horizontal="centerContinuous"/>
    </xf>
    <xf numFmtId="2" fontId="32" fillId="0" borderId="0" xfId="0" applyNumberFormat="1" applyFont="1"/>
    <xf numFmtId="2" fontId="32" fillId="2" borderId="0" xfId="0" applyNumberFormat="1" applyFont="1" applyFill="1"/>
    <xf numFmtId="2" fontId="33" fillId="0" borderId="0" xfId="0" applyNumberFormat="1" applyFont="1" applyAlignment="1">
      <alignment horizontal="center"/>
    </xf>
    <xf numFmtId="2" fontId="34" fillId="0" borderId="0" xfId="0" applyNumberFormat="1" applyFont="1" applyAlignment="1"/>
    <xf numFmtId="2" fontId="29" fillId="0" borderId="0" xfId="0" applyNumberFormat="1" applyFont="1" applyAlignment="1"/>
    <xf numFmtId="2" fontId="33" fillId="0" borderId="0" xfId="0" applyNumberFormat="1" applyFont="1" applyFill="1" applyAlignment="1">
      <alignment horizontal="center"/>
    </xf>
    <xf numFmtId="2" fontId="35" fillId="5" borderId="0" xfId="0" applyNumberFormat="1" applyFont="1" applyFill="1" applyProtection="1">
      <protection locked="0"/>
    </xf>
    <xf numFmtId="2" fontId="36" fillId="0" borderId="0" xfId="0" applyNumberFormat="1" applyFont="1"/>
    <xf numFmtId="2" fontId="37" fillId="5" borderId="0" xfId="0" applyNumberFormat="1" applyFont="1" applyFill="1" applyAlignment="1" applyProtection="1">
      <alignment horizontal="center"/>
      <protection locked="0"/>
    </xf>
    <xf numFmtId="2" fontId="32" fillId="0" borderId="0" xfId="0" applyNumberFormat="1" applyFont="1" applyFill="1"/>
    <xf numFmtId="2" fontId="26" fillId="2" borderId="0" xfId="0" applyNumberFormat="1" applyFont="1" applyFill="1" applyAlignment="1" applyProtection="1">
      <alignment horizontal="center"/>
    </xf>
    <xf numFmtId="2" fontId="38" fillId="2" borderId="0" xfId="0" applyNumberFormat="1" applyFont="1" applyFill="1" applyAlignment="1" applyProtection="1">
      <alignment horizontal="center"/>
    </xf>
    <xf numFmtId="2" fontId="36" fillId="0" borderId="0" xfId="0" applyNumberFormat="1" applyFont="1" applyAlignment="1">
      <alignment horizontal="right"/>
    </xf>
    <xf numFmtId="2" fontId="26" fillId="2" borderId="0" xfId="0" applyNumberFormat="1" applyFont="1" applyFill="1" applyAlignment="1" applyProtection="1">
      <alignment horizontal="right"/>
    </xf>
    <xf numFmtId="2" fontId="39" fillId="0" borderId="0" xfId="0" applyNumberFormat="1" applyFont="1"/>
    <xf numFmtId="2" fontId="22" fillId="0" borderId="0" xfId="0" applyNumberFormat="1" applyFont="1" applyAlignment="1">
      <alignment horizontal="center"/>
    </xf>
    <xf numFmtId="2" fontId="37" fillId="2" borderId="0" xfId="0" applyNumberFormat="1" applyFont="1" applyFill="1" applyAlignment="1" applyProtection="1">
      <alignment horizontal="center"/>
    </xf>
    <xf numFmtId="2" fontId="38" fillId="2" borderId="0" xfId="0" applyNumberFormat="1" applyFont="1" applyFill="1" applyAlignment="1">
      <alignment horizontal="center"/>
    </xf>
    <xf numFmtId="2" fontId="22" fillId="0" borderId="0" xfId="0" applyNumberFormat="1" applyFont="1" applyBorder="1"/>
    <xf numFmtId="0" fontId="22" fillId="0" borderId="0" xfId="0" applyFont="1"/>
    <xf numFmtId="2" fontId="22" fillId="0" borderId="5" xfId="0" applyNumberFormat="1" applyFont="1" applyBorder="1"/>
    <xf numFmtId="2" fontId="22" fillId="0" borderId="6" xfId="0" applyNumberFormat="1" applyFont="1" applyBorder="1"/>
    <xf numFmtId="2" fontId="31" fillId="5" borderId="0" xfId="0" applyNumberFormat="1" applyFont="1" applyFill="1" applyAlignment="1" applyProtection="1">
      <alignment horizontal="left"/>
      <protection locked="0"/>
    </xf>
    <xf numFmtId="2" fontId="41" fillId="0" borderId="0" xfId="0" applyNumberFormat="1" applyFont="1" applyAlignment="1">
      <alignment horizontal="left"/>
    </xf>
    <xf numFmtId="2" fontId="43" fillId="0" borderId="0" xfId="0" applyNumberFormat="1" applyFont="1"/>
    <xf numFmtId="2" fontId="43" fillId="0" borderId="0" xfId="0" applyNumberFormat="1" applyFont="1" applyAlignment="1">
      <alignment horizontal="centerContinuous"/>
    </xf>
    <xf numFmtId="2" fontId="41" fillId="5" borderId="0" xfId="0" applyNumberFormat="1" applyFont="1" applyFill="1" applyAlignment="1" applyProtection="1">
      <alignment horizontal="center"/>
      <protection locked="0"/>
    </xf>
    <xf numFmtId="2" fontId="36" fillId="0" borderId="0" xfId="0" applyNumberFormat="1" applyFont="1" applyAlignment="1">
      <alignment horizontal="center"/>
    </xf>
    <xf numFmtId="2" fontId="38" fillId="2" borderId="0" xfId="0" applyNumberFormat="1" applyFont="1" applyFill="1" applyAlignment="1" applyProtection="1">
      <alignment horizontal="center"/>
      <protection locked="0"/>
    </xf>
    <xf numFmtId="2" fontId="31" fillId="2" borderId="0" xfId="0" applyNumberFormat="1" applyFont="1" applyFill="1" applyAlignment="1" applyProtection="1">
      <alignment horizontal="center"/>
    </xf>
    <xf numFmtId="2" fontId="44" fillId="0" borderId="0" xfId="0" applyNumberFormat="1" applyFont="1" applyFill="1" applyAlignment="1">
      <alignment horizontal="left" indent="2"/>
    </xf>
    <xf numFmtId="1" fontId="45" fillId="0" borderId="0" xfId="0" applyNumberFormat="1" applyFont="1" applyFill="1"/>
    <xf numFmtId="2" fontId="45" fillId="0" borderId="0" xfId="0" applyNumberFormat="1" applyFont="1" applyFill="1"/>
    <xf numFmtId="1" fontId="46" fillId="0" borderId="0" xfId="0" applyNumberFormat="1" applyFont="1" applyFill="1" applyAlignment="1">
      <alignment horizontal="right"/>
    </xf>
    <xf numFmtId="2" fontId="47" fillId="0" borderId="0" xfId="0" applyNumberFormat="1" applyFont="1"/>
    <xf numFmtId="2" fontId="7" fillId="0" borderId="0" xfId="0" applyNumberFormat="1" applyFont="1" applyAlignment="1">
      <alignment horizontal="right"/>
    </xf>
    <xf numFmtId="2" fontId="48" fillId="0" borderId="0" xfId="0" applyNumberFormat="1" applyFont="1"/>
    <xf numFmtId="2" fontId="49" fillId="2" borderId="0" xfId="0" applyNumberFormat="1" applyFont="1" applyFill="1" applyAlignment="1">
      <alignment horizontal="center"/>
    </xf>
    <xf numFmtId="2" fontId="49" fillId="2" borderId="0" xfId="0" applyNumberFormat="1" applyFont="1" applyFill="1" applyAlignment="1">
      <alignment horizontal="right"/>
    </xf>
    <xf numFmtId="2" fontId="33" fillId="0" borderId="0" xfId="0" applyNumberFormat="1" applyFont="1"/>
    <xf numFmtId="2" fontId="31" fillId="5" borderId="0" xfId="0" applyNumberFormat="1" applyFont="1" applyFill="1" applyAlignment="1" applyProtection="1">
      <alignment horizontal="center"/>
      <protection locked="0"/>
    </xf>
    <xf numFmtId="165" fontId="49" fillId="0" borderId="0" xfId="0" applyNumberFormat="1" applyFont="1" applyFill="1" applyAlignment="1"/>
    <xf numFmtId="2" fontId="44" fillId="0" borderId="0" xfId="0" applyNumberFormat="1" applyFont="1" applyAlignment="1">
      <alignment horizontal="left" indent="2"/>
    </xf>
    <xf numFmtId="2" fontId="32" fillId="2" borderId="0" xfId="0" applyNumberFormat="1" applyFont="1" applyFill="1" applyProtection="1"/>
    <xf numFmtId="2" fontId="45" fillId="0" borderId="0" xfId="0" applyNumberFormat="1" applyFont="1"/>
    <xf numFmtId="2" fontId="49" fillId="2" borderId="0" xfId="0" applyNumberFormat="1" applyFont="1" applyFill="1" applyAlignment="1">
      <alignment horizontal="left"/>
    </xf>
    <xf numFmtId="2" fontId="6" fillId="0" borderId="0" xfId="0" applyNumberFormat="1" applyFont="1"/>
    <xf numFmtId="2" fontId="22" fillId="0" borderId="0" xfId="0" applyNumberFormat="1" applyFont="1" applyAlignment="1">
      <alignment horizontal="right"/>
    </xf>
    <xf numFmtId="2" fontId="7" fillId="0" borderId="0" xfId="0" applyNumberFormat="1" applyFont="1"/>
    <xf numFmtId="2" fontId="50" fillId="2" borderId="0" xfId="0" applyNumberFormat="1" applyFont="1" applyFill="1" applyAlignment="1">
      <alignment horizontal="center"/>
    </xf>
    <xf numFmtId="2" fontId="51" fillId="0" borderId="0" xfId="0" applyNumberFormat="1" applyFont="1"/>
    <xf numFmtId="2" fontId="26" fillId="2" borderId="0" xfId="0" applyNumberFormat="1" applyFont="1" applyFill="1" applyProtection="1"/>
    <xf numFmtId="2" fontId="32" fillId="0" borderId="0" xfId="0" applyNumberFormat="1" applyFont="1" applyAlignment="1">
      <alignment horizontal="centerContinuous"/>
    </xf>
    <xf numFmtId="165" fontId="32" fillId="2" borderId="0" xfId="0" applyNumberFormat="1" applyFont="1" applyFill="1"/>
    <xf numFmtId="2" fontId="22" fillId="0" borderId="0" xfId="0" quotePrefix="1" applyNumberFormat="1" applyFont="1"/>
    <xf numFmtId="2" fontId="22" fillId="0" borderId="0" xfId="0" applyNumberFormat="1" applyFont="1" applyAlignment="1">
      <alignment horizontal="left"/>
    </xf>
    <xf numFmtId="2" fontId="41" fillId="5" borderId="0" xfId="0" applyNumberFormat="1" applyFont="1" applyFill="1" applyProtection="1">
      <protection locked="0"/>
    </xf>
    <xf numFmtId="2" fontId="22" fillId="0" borderId="0" xfId="0" applyNumberFormat="1" applyFont="1" applyAlignment="1" applyProtection="1">
      <alignment horizontal="right"/>
      <protection locked="0"/>
    </xf>
    <xf numFmtId="2" fontId="46" fillId="0" borderId="0" xfId="0" applyNumberFormat="1" applyFont="1" applyAlignment="1" applyProtection="1">
      <alignment horizontal="right"/>
      <protection locked="0"/>
    </xf>
    <xf numFmtId="2" fontId="52" fillId="0" borderId="0" xfId="0" applyNumberFormat="1" applyFont="1" applyAlignment="1">
      <alignment horizontal="center"/>
    </xf>
    <xf numFmtId="2" fontId="6" fillId="0" borderId="0" xfId="0" applyNumberFormat="1" applyFont="1" applyProtection="1">
      <protection locked="0"/>
    </xf>
    <xf numFmtId="2" fontId="53" fillId="6" borderId="0" xfId="0" applyNumberFormat="1" applyFont="1" applyFill="1" applyProtection="1">
      <protection locked="0"/>
    </xf>
    <xf numFmtId="2" fontId="53" fillId="6" borderId="0" xfId="0" applyNumberFormat="1" applyFont="1" applyFill="1" applyAlignment="1" applyProtection="1">
      <alignment horizontal="center"/>
      <protection locked="0"/>
    </xf>
    <xf numFmtId="2" fontId="0" fillId="0" borderId="0" xfId="0" applyNumberFormat="1" applyBorder="1"/>
    <xf numFmtId="164" fontId="17" fillId="0" borderId="7" xfId="0" applyNumberFormat="1" applyFont="1" applyBorder="1" applyAlignment="1">
      <alignment horizontal="center"/>
    </xf>
    <xf numFmtId="164" fontId="17" fillId="0" borderId="8" xfId="0" applyNumberFormat="1" applyFont="1" applyBorder="1" applyAlignment="1">
      <alignment horizontal="left"/>
    </xf>
    <xf numFmtId="164" fontId="17" fillId="0" borderId="8" xfId="0" applyNumberFormat="1" applyFont="1" applyBorder="1" applyAlignment="1">
      <alignment horizontal="center"/>
    </xf>
    <xf numFmtId="164" fontId="17" fillId="0" borderId="9" xfId="0" applyNumberFormat="1" applyFont="1" applyBorder="1" applyAlignment="1">
      <alignment horizontal="center"/>
    </xf>
    <xf numFmtId="2" fontId="36" fillId="0" borderId="10" xfId="0" applyNumberFormat="1" applyFont="1" applyBorder="1" applyAlignment="1">
      <alignment horizontal="center"/>
    </xf>
    <xf numFmtId="2" fontId="36" fillId="0" borderId="11" xfId="0" applyNumberFormat="1" applyFont="1" applyBorder="1" applyAlignment="1">
      <alignment horizontal="center"/>
    </xf>
    <xf numFmtId="2" fontId="36" fillId="0" borderId="12" xfId="0" applyNumberFormat="1" applyFont="1" applyBorder="1" applyAlignment="1">
      <alignment horizontal="right"/>
    </xf>
    <xf numFmtId="2" fontId="36" fillId="0" borderId="0" xfId="0" applyNumberFormat="1" applyFont="1" applyBorder="1" applyAlignment="1">
      <alignment horizontal="center"/>
    </xf>
    <xf numFmtId="2" fontId="36" fillId="0" borderId="13" xfId="0" applyNumberFormat="1" applyFont="1" applyBorder="1" applyAlignment="1">
      <alignment horizontal="center"/>
    </xf>
    <xf numFmtId="2" fontId="40" fillId="0" borderId="0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10" fillId="0" borderId="0" xfId="0" applyFont="1" applyFill="1" applyBorder="1" applyAlignment="1">
      <alignment horizontal="left"/>
    </xf>
    <xf numFmtId="164" fontId="4" fillId="0" borderId="0" xfId="0" applyNumberFormat="1" applyFont="1" applyFill="1" applyBorder="1" applyAlignment="1" applyProtection="1">
      <alignment horizontal="right" vertical="center"/>
      <protection locked="0"/>
    </xf>
    <xf numFmtId="2" fontId="1" fillId="0" borderId="0" xfId="0" applyNumberFormat="1" applyFont="1" applyFill="1"/>
    <xf numFmtId="2" fontId="1" fillId="0" borderId="0" xfId="0" applyNumberFormat="1" applyFont="1"/>
    <xf numFmtId="165" fontId="5" fillId="4" borderId="4" xfId="32" applyNumberFormat="1" applyFont="1" applyFill="1" applyBorder="1" applyAlignment="1">
      <alignment horizontal="left"/>
    </xf>
    <xf numFmtId="2" fontId="58" fillId="0" borderId="0" xfId="0" applyNumberFormat="1" applyFont="1" applyFill="1"/>
    <xf numFmtId="2" fontId="58" fillId="0" borderId="0" xfId="0" applyNumberFormat="1" applyFont="1"/>
    <xf numFmtId="0" fontId="5" fillId="4" borderId="4" xfId="32" applyFont="1" applyFill="1" applyBorder="1" applyAlignment="1"/>
    <xf numFmtId="164" fontId="5" fillId="4" borderId="4" xfId="32" applyNumberFormat="1" applyFont="1" applyFill="1" applyBorder="1" applyAlignment="1"/>
    <xf numFmtId="2" fontId="58" fillId="0" borderId="0" xfId="0" applyNumberFormat="1" applyFont="1" applyBorder="1"/>
    <xf numFmtId="2" fontId="0" fillId="0" borderId="0" xfId="0" applyNumberFormat="1" applyFont="1" applyFill="1"/>
    <xf numFmtId="2" fontId="22" fillId="0" borderId="0" xfId="0" applyNumberFormat="1" applyFont="1" applyFill="1" applyBorder="1"/>
    <xf numFmtId="164" fontId="22" fillId="0" borderId="0" xfId="0" applyNumberFormat="1" applyFont="1" applyBorder="1"/>
    <xf numFmtId="164" fontId="22" fillId="0" borderId="0" xfId="0" applyNumberFormat="1" applyFont="1" applyFill="1" applyBorder="1"/>
    <xf numFmtId="2" fontId="55" fillId="0" borderId="0" xfId="0" applyNumberFormat="1" applyFont="1" applyFill="1" applyBorder="1" applyAlignment="1">
      <alignment horizontal="center"/>
    </xf>
    <xf numFmtId="164" fontId="100" fillId="0" borderId="0" xfId="0" applyNumberFormat="1" applyFont="1" applyFill="1" applyBorder="1" applyAlignment="1" applyProtection="1">
      <alignment horizontal="right" vertical="center"/>
      <protection locked="0"/>
    </xf>
    <xf numFmtId="2" fontId="2" fillId="0" borderId="0" xfId="0" applyNumberFormat="1" applyFont="1"/>
    <xf numFmtId="164" fontId="5" fillId="3" borderId="14" xfId="0" applyNumberFormat="1" applyFont="1" applyFill="1" applyBorder="1" applyAlignment="1">
      <alignment horizontal="center"/>
    </xf>
    <xf numFmtId="0" fontId="2" fillId="0" borderId="4" xfId="0" applyFont="1" applyBorder="1"/>
    <xf numFmtId="2" fontId="61" fillId="0" borderId="4" xfId="0" applyNumberFormat="1" applyFont="1" applyFill="1" applyBorder="1" applyAlignment="1">
      <alignment horizontal="left" vertical="center"/>
    </xf>
    <xf numFmtId="164" fontId="5" fillId="7" borderId="4" xfId="0" applyNumberFormat="1" applyFont="1" applyFill="1" applyBorder="1" applyAlignment="1">
      <alignment horizontal="center"/>
    </xf>
    <xf numFmtId="0" fontId="61" fillId="0" borderId="4" xfId="0" applyFont="1" applyFill="1" applyBorder="1" applyAlignment="1">
      <alignment horizontal="left" vertical="center"/>
    </xf>
    <xf numFmtId="2" fontId="5" fillId="7" borderId="4" xfId="0" applyNumberFormat="1" applyFont="1" applyFill="1" applyBorder="1" applyAlignment="1">
      <alignment horizontal="center"/>
    </xf>
    <xf numFmtId="0" fontId="2" fillId="0" borderId="4" xfId="0" applyFont="1" applyFill="1" applyBorder="1"/>
    <xf numFmtId="165" fontId="61" fillId="0" borderId="4" xfId="0" applyNumberFormat="1" applyFont="1" applyFill="1" applyBorder="1" applyAlignment="1">
      <alignment horizontal="left" vertical="center"/>
    </xf>
    <xf numFmtId="164" fontId="61" fillId="0" borderId="4" xfId="0" applyNumberFormat="1" applyFont="1" applyFill="1" applyBorder="1" applyAlignment="1">
      <alignment horizontal="left" vertical="center"/>
    </xf>
    <xf numFmtId="164" fontId="61" fillId="0" borderId="4" xfId="0" applyNumberFormat="1" applyFont="1" applyFill="1" applyBorder="1" applyAlignment="1">
      <alignment horizontal="left"/>
    </xf>
    <xf numFmtId="164" fontId="5" fillId="0" borderId="4" xfId="0" applyNumberFormat="1" applyFont="1" applyFill="1" applyBorder="1" applyAlignment="1">
      <alignment horizontal="center" vertical="center"/>
    </xf>
    <xf numFmtId="0" fontId="62" fillId="0" borderId="4" xfId="0" applyFont="1" applyFill="1" applyBorder="1" applyAlignment="1">
      <alignment horizontal="center"/>
    </xf>
    <xf numFmtId="164" fontId="5" fillId="7" borderId="14" xfId="0" applyNumberFormat="1" applyFont="1" applyFill="1" applyBorder="1" applyAlignment="1">
      <alignment horizontal="center"/>
    </xf>
    <xf numFmtId="0" fontId="62" fillId="0" borderId="4" xfId="0" applyFont="1" applyBorder="1" applyAlignment="1">
      <alignment horizontal="center"/>
    </xf>
    <xf numFmtId="2" fontId="61" fillId="8" borderId="4" xfId="0" applyNumberFormat="1" applyFont="1" applyFill="1" applyBorder="1" applyAlignment="1">
      <alignment horizontal="left" vertical="center"/>
    </xf>
    <xf numFmtId="0" fontId="2" fillId="8" borderId="4" xfId="0" applyFont="1" applyFill="1" applyBorder="1"/>
    <xf numFmtId="2" fontId="5" fillId="0" borderId="4" xfId="0" applyNumberFormat="1" applyFont="1" applyFill="1" applyBorder="1" applyAlignment="1">
      <alignment horizontal="center" vertical="center"/>
    </xf>
    <xf numFmtId="2" fontId="5" fillId="8" borderId="4" xfId="0" applyNumberFormat="1" applyFont="1" applyFill="1" applyBorder="1" applyAlignment="1">
      <alignment horizontal="center" vertical="center"/>
    </xf>
    <xf numFmtId="0" fontId="62" fillId="8" borderId="4" xfId="0" applyFont="1" applyFill="1" applyBorder="1" applyAlignment="1">
      <alignment horizontal="center"/>
    </xf>
    <xf numFmtId="0" fontId="60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164" fontId="61" fillId="8" borderId="4" xfId="0" applyNumberFormat="1" applyFont="1" applyFill="1" applyBorder="1" applyAlignment="1">
      <alignment horizontal="left" vertical="center"/>
    </xf>
    <xf numFmtId="0" fontId="63" fillId="0" borderId="4" xfId="0" applyFont="1" applyBorder="1" applyAlignment="1">
      <alignment horizontal="left"/>
    </xf>
    <xf numFmtId="2" fontId="61" fillId="8" borderId="4" xfId="0" applyNumberFormat="1" applyFont="1" applyFill="1" applyBorder="1" applyAlignment="1">
      <alignment horizontal="left" vertical="center" wrapText="1"/>
    </xf>
    <xf numFmtId="0" fontId="61" fillId="8" borderId="4" xfId="0" applyFont="1" applyFill="1" applyBorder="1" applyAlignment="1">
      <alignment horizontal="left" vertical="center"/>
    </xf>
    <xf numFmtId="2" fontId="58" fillId="0" borderId="0" xfId="0" applyNumberFormat="1" applyFont="1" applyFill="1" applyBorder="1"/>
    <xf numFmtId="2" fontId="5" fillId="0" borderId="4" xfId="0" applyNumberFormat="1" applyFont="1" applyFill="1" applyBorder="1" applyAlignment="1">
      <alignment horizontal="center"/>
    </xf>
    <xf numFmtId="0" fontId="63" fillId="0" borderId="4" xfId="0" applyFont="1" applyFill="1" applyBorder="1" applyAlignment="1">
      <alignment horizontal="left"/>
    </xf>
    <xf numFmtId="165" fontId="61" fillId="0" borderId="4" xfId="32" applyNumberFormat="1" applyFont="1" applyFill="1" applyBorder="1" applyAlignment="1"/>
    <xf numFmtId="2" fontId="61" fillId="0" borderId="0" xfId="0" applyNumberFormat="1" applyFont="1" applyFill="1" applyBorder="1" applyAlignment="1">
      <alignment horizontal="left" vertical="center"/>
    </xf>
    <xf numFmtId="2" fontId="2" fillId="0" borderId="0" xfId="0" applyNumberFormat="1" applyFont="1" applyBorder="1"/>
    <xf numFmtId="2" fontId="13" fillId="0" borderId="0" xfId="0" applyNumberFormat="1" applyFont="1" applyBorder="1"/>
    <xf numFmtId="2" fontId="0" fillId="0" borderId="0" xfId="0" applyNumberFormat="1" applyFont="1"/>
    <xf numFmtId="2" fontId="65" fillId="0" borderId="0" xfId="0" applyNumberFormat="1" applyFont="1"/>
    <xf numFmtId="2" fontId="58" fillId="0" borderId="0" xfId="0" applyNumberFormat="1" applyFont="1" applyFill="1" applyAlignment="1">
      <alignment horizontal="center"/>
    </xf>
    <xf numFmtId="2" fontId="66" fillId="0" borderId="0" xfId="0" applyNumberFormat="1" applyFont="1" applyFill="1"/>
    <xf numFmtId="2" fontId="101" fillId="5" borderId="0" xfId="0" applyNumberFormat="1" applyFont="1" applyFill="1" applyAlignment="1" applyProtection="1">
      <alignment horizontal="center"/>
      <protection locked="0"/>
    </xf>
    <xf numFmtId="2" fontId="29" fillId="0" borderId="0" xfId="0" applyNumberFormat="1" applyFont="1" applyAlignment="1">
      <alignment horizontal="left"/>
    </xf>
    <xf numFmtId="2" fontId="30" fillId="0" borderId="0" xfId="0" applyNumberFormat="1" applyFont="1" applyAlignment="1">
      <alignment horizontal="left"/>
    </xf>
    <xf numFmtId="2" fontId="10" fillId="0" borderId="0" xfId="0" applyNumberFormat="1" applyFont="1"/>
    <xf numFmtId="2" fontId="4" fillId="0" borderId="0" xfId="0" applyNumberFormat="1" applyFont="1"/>
    <xf numFmtId="2" fontId="48" fillId="0" borderId="0" xfId="0" applyNumberFormat="1" applyFont="1" applyAlignment="1">
      <alignment horizontal="center"/>
    </xf>
    <xf numFmtId="2" fontId="48" fillId="0" borderId="0" xfId="0" applyNumberFormat="1" applyFont="1" applyAlignment="1">
      <alignment horizontal="right"/>
    </xf>
    <xf numFmtId="2" fontId="61" fillId="9" borderId="4" xfId="0" applyNumberFormat="1" applyFont="1" applyFill="1" applyBorder="1" applyAlignment="1">
      <alignment horizontal="left" vertical="center"/>
    </xf>
    <xf numFmtId="2" fontId="5" fillId="9" borderId="4" xfId="0" applyNumberFormat="1" applyFont="1" applyFill="1" applyBorder="1" applyAlignment="1">
      <alignment horizontal="center" vertical="center"/>
    </xf>
    <xf numFmtId="164" fontId="14" fillId="0" borderId="8" xfId="0" applyNumberFormat="1" applyFont="1" applyBorder="1" applyAlignment="1">
      <alignment horizontal="center" vertical="center"/>
    </xf>
    <xf numFmtId="164" fontId="14" fillId="0" borderId="9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left"/>
    </xf>
    <xf numFmtId="2" fontId="12" fillId="10" borderId="9" xfId="0" applyNumberFormat="1" applyFont="1" applyFill="1" applyBorder="1" applyAlignment="1">
      <alignment horizontal="center" vertical="center"/>
    </xf>
    <xf numFmtId="164" fontId="17" fillId="10" borderId="9" xfId="0" applyNumberFormat="1" applyFont="1" applyFill="1" applyBorder="1" applyAlignment="1">
      <alignment horizontal="left"/>
    </xf>
    <xf numFmtId="0" fontId="102" fillId="0" borderId="4" xfId="0" applyFont="1" applyFill="1" applyBorder="1"/>
    <xf numFmtId="2" fontId="103" fillId="0" borderId="4" xfId="0" applyNumberFormat="1" applyFont="1" applyFill="1" applyBorder="1" applyAlignment="1">
      <alignment horizontal="left" vertical="center"/>
    </xf>
    <xf numFmtId="2" fontId="72" fillId="0" borderId="0" xfId="0" applyNumberFormat="1" applyFont="1" applyFill="1" applyBorder="1"/>
    <xf numFmtId="2" fontId="72" fillId="0" borderId="0" xfId="0" applyNumberFormat="1" applyFont="1" applyBorder="1"/>
    <xf numFmtId="0" fontId="14" fillId="0" borderId="0" xfId="0" applyNumberFormat="1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/>
    <xf numFmtId="1" fontId="14" fillId="0" borderId="0" xfId="26" applyNumberFormat="1" applyFont="1" applyFill="1" applyBorder="1" applyAlignment="1">
      <alignment horizontal="center"/>
    </xf>
    <xf numFmtId="1" fontId="18" fillId="0" borderId="0" xfId="26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2" fontId="13" fillId="0" borderId="0" xfId="26" applyNumberFormat="1" applyFont="1" applyFill="1" applyAlignment="1">
      <alignment horizontal="center" vertical="center" wrapText="1"/>
    </xf>
    <xf numFmtId="2" fontId="4" fillId="0" borderId="0" xfId="26" applyNumberFormat="1" applyFill="1" applyAlignment="1">
      <alignment horizontal="center" vertical="center" wrapText="1"/>
    </xf>
    <xf numFmtId="2" fontId="10" fillId="0" borderId="0" xfId="26" applyNumberFormat="1" applyFont="1" applyFill="1" applyAlignment="1">
      <alignment horizontal="center" vertical="center" wrapText="1"/>
    </xf>
    <xf numFmtId="49" fontId="10" fillId="0" borderId="0" xfId="0" applyNumberFormat="1" applyFont="1" applyFill="1" applyAlignment="1">
      <alignment horizontal="center" vertical="center" wrapText="1"/>
    </xf>
    <xf numFmtId="2" fontId="61" fillId="0" borderId="4" xfId="0" applyNumberFormat="1" applyFont="1" applyFill="1" applyBorder="1" applyAlignment="1">
      <alignment vertical="center"/>
    </xf>
    <xf numFmtId="0" fontId="104" fillId="11" borderId="4" xfId="0" applyFont="1" applyFill="1" applyBorder="1" applyAlignment="1">
      <alignment wrapText="1"/>
    </xf>
    <xf numFmtId="2" fontId="105" fillId="3" borderId="4" xfId="0" applyNumberFormat="1" applyFont="1" applyFill="1" applyBorder="1" applyAlignment="1">
      <alignment horizontal="center"/>
    </xf>
    <xf numFmtId="2" fontId="0" fillId="0" borderId="15" xfId="0" applyNumberFormat="1" applyFill="1" applyBorder="1"/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Fill="1" applyBorder="1"/>
    <xf numFmtId="2" fontId="70" fillId="0" borderId="18" xfId="0" applyNumberFormat="1" applyFont="1" applyFill="1" applyBorder="1" applyAlignment="1">
      <alignment horizontal="center" vertical="center" wrapText="1"/>
    </xf>
    <xf numFmtId="2" fontId="70" fillId="0" borderId="18" xfId="0" applyNumberFormat="1" applyFont="1" applyFill="1" applyBorder="1" applyAlignment="1">
      <alignment horizontal="left" vertical="center" wrapText="1"/>
    </xf>
    <xf numFmtId="2" fontId="70" fillId="0" borderId="18" xfId="0" applyNumberFormat="1" applyFont="1" applyFill="1" applyBorder="1" applyAlignment="1">
      <alignment horizontal="center"/>
    </xf>
    <xf numFmtId="2" fontId="68" fillId="0" borderId="18" xfId="32" applyNumberFormat="1" applyFont="1" applyFill="1" applyBorder="1" applyAlignment="1">
      <alignment horizontal="left" vertical="center"/>
    </xf>
    <xf numFmtId="2" fontId="68" fillId="0" borderId="18" xfId="31" applyNumberFormat="1" applyFont="1" applyFill="1" applyBorder="1" applyAlignment="1">
      <alignment horizontal="left" vertical="center" wrapText="1"/>
    </xf>
    <xf numFmtId="2" fontId="68" fillId="0" borderId="18" xfId="32" applyNumberFormat="1" applyFont="1" applyFill="1" applyBorder="1" applyAlignment="1">
      <alignment horizontal="left"/>
    </xf>
    <xf numFmtId="2" fontId="107" fillId="0" borderId="18" xfId="32" applyNumberFormat="1" applyFont="1" applyFill="1" applyBorder="1" applyAlignment="1">
      <alignment horizontal="left"/>
    </xf>
    <xf numFmtId="2" fontId="0" fillId="0" borderId="18" xfId="0" applyNumberFormat="1" applyBorder="1"/>
    <xf numFmtId="2" fontId="39" fillId="0" borderId="18" xfId="0" applyNumberFormat="1" applyFont="1" applyBorder="1"/>
    <xf numFmtId="2" fontId="0" fillId="0" borderId="19" xfId="0" applyNumberFormat="1" applyBorder="1"/>
    <xf numFmtId="2" fontId="53" fillId="6" borderId="0" xfId="0" applyNumberFormat="1" applyFont="1" applyFill="1" applyAlignment="1" applyProtection="1">
      <alignment horizontal="left"/>
      <protection locked="0"/>
    </xf>
    <xf numFmtId="2" fontId="29" fillId="0" borderId="0" xfId="0" applyNumberFormat="1" applyFont="1" applyAlignment="1">
      <alignment horizontal="center"/>
    </xf>
    <xf numFmtId="2" fontId="35" fillId="5" borderId="0" xfId="0" applyNumberFormat="1" applyFont="1" applyFill="1" applyAlignment="1" applyProtection="1">
      <alignment horizontal="center"/>
      <protection locked="0"/>
    </xf>
    <xf numFmtId="2" fontId="31" fillId="10" borderId="0" xfId="0" applyNumberFormat="1" applyFont="1" applyFill="1" applyAlignment="1" applyProtection="1">
      <alignment horizontal="center"/>
      <protection locked="0"/>
    </xf>
    <xf numFmtId="2" fontId="35" fillId="10" borderId="0" xfId="0" applyNumberFormat="1" applyFont="1" applyFill="1" applyProtection="1">
      <protection locked="0"/>
    </xf>
    <xf numFmtId="2" fontId="32" fillId="0" borderId="0" xfId="0" applyNumberFormat="1" applyFont="1" applyAlignment="1">
      <alignment horizontal="left"/>
    </xf>
    <xf numFmtId="2" fontId="31" fillId="5" borderId="0" xfId="0" applyNumberFormat="1" applyFont="1" applyFill="1" applyAlignment="1" applyProtection="1">
      <alignment horizontal="right"/>
      <protection locked="0"/>
    </xf>
    <xf numFmtId="2" fontId="31" fillId="0" borderId="0" xfId="0" applyNumberFormat="1" applyFont="1" applyFill="1" applyProtection="1">
      <protection locked="0"/>
    </xf>
    <xf numFmtId="2" fontId="31" fillId="10" borderId="0" xfId="0" applyNumberFormat="1" applyFont="1" applyFill="1" applyAlignment="1" applyProtection="1">
      <alignment horizontal="center" vertical="center"/>
      <protection locked="0"/>
    </xf>
    <xf numFmtId="2" fontId="4" fillId="0" borderId="10" xfId="0" applyNumberFormat="1" applyFont="1" applyBorder="1"/>
    <xf numFmtId="2" fontId="4" fillId="0" borderId="0" xfId="0" applyNumberFormat="1" applyFont="1" applyBorder="1"/>
    <xf numFmtId="2" fontId="4" fillId="0" borderId="5" xfId="0" applyNumberFormat="1" applyFont="1" applyBorder="1"/>
    <xf numFmtId="2" fontId="77" fillId="0" borderId="20" xfId="0" applyNumberFormat="1" applyFont="1" applyBorder="1"/>
    <xf numFmtId="2" fontId="75" fillId="0" borderId="21" xfId="0" applyNumberFormat="1" applyFont="1" applyBorder="1"/>
    <xf numFmtId="2" fontId="4" fillId="0" borderId="22" xfId="0" applyNumberFormat="1" applyFont="1" applyBorder="1"/>
    <xf numFmtId="2" fontId="22" fillId="0" borderId="22" xfId="0" applyNumberFormat="1" applyFont="1" applyBorder="1"/>
    <xf numFmtId="2" fontId="77" fillId="0" borderId="10" xfId="0" applyNumberFormat="1" applyFont="1" applyBorder="1"/>
    <xf numFmtId="2" fontId="32" fillId="2" borderId="0" xfId="0" applyNumberFormat="1" applyFont="1" applyFill="1" applyAlignment="1">
      <alignment horizontal="left"/>
    </xf>
    <xf numFmtId="2" fontId="32" fillId="2" borderId="0" xfId="0" applyNumberFormat="1" applyFont="1" applyFill="1" applyAlignment="1">
      <alignment horizontal="right"/>
    </xf>
    <xf numFmtId="4" fontId="54" fillId="3" borderId="2" xfId="0" applyNumberFormat="1" applyFont="1" applyFill="1" applyBorder="1" applyAlignment="1">
      <alignment horizontal="center"/>
    </xf>
    <xf numFmtId="4" fontId="54" fillId="3" borderId="24" xfId="0" applyNumberFormat="1" applyFont="1" applyFill="1" applyBorder="1" applyAlignment="1">
      <alignment horizontal="center"/>
    </xf>
    <xf numFmtId="4" fontId="99" fillId="3" borderId="25" xfId="0" applyNumberFormat="1" applyFont="1" applyFill="1" applyBorder="1" applyAlignment="1">
      <alignment horizontal="center"/>
    </xf>
    <xf numFmtId="4" fontId="54" fillId="10" borderId="4" xfId="0" applyNumberFormat="1" applyFont="1" applyFill="1" applyBorder="1" applyAlignment="1">
      <alignment horizontal="center"/>
    </xf>
    <xf numFmtId="4" fontId="99" fillId="3" borderId="11" xfId="0" applyNumberFormat="1" applyFont="1" applyFill="1" applyBorder="1" applyAlignment="1">
      <alignment horizontal="center"/>
    </xf>
    <xf numFmtId="4" fontId="16" fillId="0" borderId="0" xfId="0" applyNumberFormat="1" applyFont="1"/>
    <xf numFmtId="4" fontId="54" fillId="7" borderId="25" xfId="0" applyNumberFormat="1" applyFont="1" applyFill="1" applyBorder="1" applyAlignment="1">
      <alignment horizontal="center"/>
    </xf>
    <xf numFmtId="4" fontId="54" fillId="3" borderId="11" xfId="0" applyNumberFormat="1" applyFont="1" applyFill="1" applyBorder="1" applyAlignment="1">
      <alignment horizontal="center"/>
    </xf>
    <xf numFmtId="4" fontId="54" fillId="3" borderId="4" xfId="0" applyNumberFormat="1" applyFont="1" applyFill="1" applyBorder="1" applyAlignment="1">
      <alignment horizontal="center"/>
    </xf>
    <xf numFmtId="4" fontId="54" fillId="7" borderId="26" xfId="0" applyNumberFormat="1" applyFont="1" applyFill="1" applyBorder="1" applyAlignment="1">
      <alignment horizontal="center"/>
    </xf>
    <xf numFmtId="4" fontId="54" fillId="3" borderId="27" xfId="0" applyNumberFormat="1" applyFont="1" applyFill="1" applyBorder="1" applyAlignment="1">
      <alignment horizontal="center"/>
    </xf>
    <xf numFmtId="4" fontId="54" fillId="3" borderId="28" xfId="0" applyNumberFormat="1" applyFont="1" applyFill="1" applyBorder="1" applyAlignment="1">
      <alignment horizontal="center"/>
    </xf>
    <xf numFmtId="4" fontId="54" fillId="10" borderId="14" xfId="0" applyNumberFormat="1" applyFont="1" applyFill="1" applyBorder="1" applyAlignment="1">
      <alignment horizontal="center"/>
    </xf>
    <xf numFmtId="4" fontId="54" fillId="7" borderId="13" xfId="0" applyNumberFormat="1" applyFont="1" applyFill="1" applyBorder="1" applyAlignment="1">
      <alignment horizontal="center"/>
    </xf>
    <xf numFmtId="4" fontId="54" fillId="7" borderId="14" xfId="0" applyNumberFormat="1" applyFont="1" applyFill="1" applyBorder="1" applyAlignment="1">
      <alignment horizontal="center"/>
    </xf>
    <xf numFmtId="4" fontId="54" fillId="0" borderId="2" xfId="0" applyNumberFormat="1" applyFont="1" applyBorder="1" applyAlignment="1">
      <alignment horizontal="center"/>
    </xf>
    <xf numFmtId="4" fontId="54" fillId="0" borderId="24" xfId="0" applyNumberFormat="1" applyFont="1" applyBorder="1" applyAlignment="1">
      <alignment horizontal="left"/>
    </xf>
    <xf numFmtId="4" fontId="54" fillId="0" borderId="25" xfId="0" applyNumberFormat="1" applyFont="1" applyBorder="1" applyAlignment="1">
      <alignment horizontal="left"/>
    </xf>
    <xf numFmtId="4" fontId="54" fillId="10" borderId="4" xfId="0" applyNumberFormat="1" applyFont="1" applyFill="1" applyBorder="1" applyAlignment="1">
      <alignment horizontal="left"/>
    </xf>
    <xf numFmtId="4" fontId="54" fillId="0" borderId="11" xfId="0" applyNumberFormat="1" applyFont="1" applyBorder="1" applyAlignment="1">
      <alignment horizontal="center"/>
    </xf>
    <xf numFmtId="4" fontId="54" fillId="0" borderId="4" xfId="0" applyNumberFormat="1" applyFont="1" applyBorder="1" applyAlignment="1">
      <alignment horizontal="center"/>
    </xf>
    <xf numFmtId="4" fontId="55" fillId="0" borderId="2" xfId="0" applyNumberFormat="1" applyFont="1" applyFill="1" applyBorder="1" applyAlignment="1">
      <alignment horizontal="center"/>
    </xf>
    <xf numFmtId="4" fontId="55" fillId="0" borderId="24" xfId="0" applyNumberFormat="1" applyFont="1" applyFill="1" applyBorder="1" applyAlignment="1">
      <alignment horizontal="left"/>
    </xf>
    <xf numFmtId="4" fontId="55" fillId="0" borderId="29" xfId="0" applyNumberFormat="1" applyFont="1" applyFill="1" applyBorder="1" applyAlignment="1">
      <alignment horizontal="center"/>
    </xf>
    <xf numFmtId="4" fontId="55" fillId="0" borderId="25" xfId="0" applyNumberFormat="1" applyFont="1" applyFill="1" applyBorder="1" applyAlignment="1">
      <alignment horizontal="left"/>
    </xf>
    <xf numFmtId="4" fontId="55" fillId="10" borderId="4" xfId="0" applyNumberFormat="1" applyFont="1" applyFill="1" applyBorder="1" applyAlignment="1">
      <alignment horizontal="left"/>
    </xf>
    <xf numFmtId="4" fontId="55" fillId="0" borderId="11" xfId="0" applyNumberFormat="1" applyFont="1" applyFill="1" applyBorder="1" applyAlignment="1">
      <alignment horizontal="center"/>
    </xf>
    <xf numFmtId="4" fontId="55" fillId="12" borderId="2" xfId="0" applyNumberFormat="1" applyFont="1" applyFill="1" applyBorder="1" applyAlignment="1">
      <alignment horizontal="center"/>
    </xf>
    <xf numFmtId="4" fontId="55" fillId="12" borderId="24" xfId="0" applyNumberFormat="1" applyFont="1" applyFill="1" applyBorder="1" applyAlignment="1">
      <alignment horizontal="left"/>
    </xf>
    <xf numFmtId="4" fontId="55" fillId="12" borderId="25" xfId="0" applyNumberFormat="1" applyFont="1" applyFill="1" applyBorder="1" applyAlignment="1">
      <alignment horizontal="left"/>
    </xf>
    <xf numFmtId="4" fontId="55" fillId="0" borderId="0" xfId="0" applyNumberFormat="1" applyFont="1" applyFill="1" applyBorder="1" applyAlignment="1">
      <alignment horizontal="center"/>
    </xf>
    <xf numFmtId="4" fontId="56" fillId="0" borderId="2" xfId="0" applyNumberFormat="1" applyFont="1" applyFill="1" applyBorder="1" applyAlignment="1">
      <alignment horizontal="center"/>
    </xf>
    <xf numFmtId="4" fontId="54" fillId="0" borderId="0" xfId="0" applyNumberFormat="1" applyFont="1" applyBorder="1" applyAlignment="1">
      <alignment horizontal="center"/>
    </xf>
    <xf numFmtId="4" fontId="54" fillId="0" borderId="29" xfId="0" applyNumberFormat="1" applyFont="1" applyBorder="1" applyAlignment="1">
      <alignment horizontal="center"/>
    </xf>
    <xf numFmtId="4" fontId="54" fillId="0" borderId="11" xfId="0" applyNumberFormat="1" applyFont="1" applyBorder="1" applyAlignment="1">
      <alignment horizontal="left"/>
    </xf>
    <xf numFmtId="4" fontId="55" fillId="0" borderId="2" xfId="0" applyNumberFormat="1" applyFont="1" applyBorder="1" applyAlignment="1">
      <alignment horizontal="center"/>
    </xf>
    <xf numFmtId="4" fontId="55" fillId="0" borderId="24" xfId="0" applyNumberFormat="1" applyFont="1" applyBorder="1" applyAlignment="1">
      <alignment horizontal="left"/>
    </xf>
    <xf numFmtId="4" fontId="55" fillId="0" borderId="11" xfId="0" applyNumberFormat="1" applyFont="1" applyBorder="1" applyAlignment="1">
      <alignment horizontal="center"/>
    </xf>
    <xf numFmtId="4" fontId="0" fillId="0" borderId="0" xfId="0" applyNumberFormat="1"/>
    <xf numFmtId="4" fontId="54" fillId="0" borderId="2" xfId="0" applyNumberFormat="1" applyFont="1" applyFill="1" applyBorder="1" applyAlignment="1">
      <alignment horizontal="center"/>
    </xf>
    <xf numFmtId="4" fontId="54" fillId="3" borderId="30" xfId="0" applyNumberFormat="1" applyFont="1" applyFill="1" applyBorder="1" applyAlignment="1">
      <alignment horizontal="center"/>
    </xf>
    <xf numFmtId="4" fontId="54" fillId="3" borderId="31" xfId="0" applyNumberFormat="1" applyFont="1" applyFill="1" applyBorder="1" applyAlignment="1">
      <alignment horizontal="center"/>
    </xf>
    <xf numFmtId="4" fontId="54" fillId="3" borderId="32" xfId="0" applyNumberFormat="1" applyFont="1" applyFill="1" applyBorder="1" applyAlignment="1">
      <alignment horizontal="center"/>
    </xf>
    <xf numFmtId="4" fontId="54" fillId="3" borderId="33" xfId="0" applyNumberFormat="1" applyFont="1" applyFill="1" applyBorder="1" applyAlignment="1">
      <alignment horizontal="center"/>
    </xf>
    <xf numFmtId="4" fontId="99" fillId="3" borderId="34" xfId="0" applyNumberFormat="1" applyFont="1" applyFill="1" applyBorder="1" applyAlignment="1">
      <alignment horizontal="center"/>
    </xf>
    <xf numFmtId="4" fontId="54" fillId="10" borderId="23" xfId="0" applyNumberFormat="1" applyFont="1" applyFill="1" applyBorder="1" applyAlignment="1">
      <alignment horizontal="center"/>
    </xf>
    <xf numFmtId="4" fontId="99" fillId="3" borderId="35" xfId="0" applyNumberFormat="1" applyFont="1" applyFill="1" applyBorder="1" applyAlignment="1">
      <alignment horizontal="center"/>
    </xf>
    <xf numFmtId="4" fontId="54" fillId="3" borderId="3" xfId="0" applyNumberFormat="1" applyFont="1" applyFill="1" applyBorder="1" applyAlignment="1">
      <alignment horizontal="center"/>
    </xf>
    <xf numFmtId="4" fontId="54" fillId="3" borderId="29" xfId="0" applyNumberFormat="1" applyFont="1" applyFill="1" applyBorder="1" applyAlignment="1">
      <alignment horizontal="center"/>
    </xf>
    <xf numFmtId="4" fontId="54" fillId="3" borderId="36" xfId="0" applyNumberFormat="1" applyFont="1" applyFill="1" applyBorder="1" applyAlignment="1">
      <alignment horizontal="center"/>
    </xf>
    <xf numFmtId="4" fontId="54" fillId="3" borderId="37" xfId="0" applyNumberFormat="1" applyFont="1" applyFill="1" applyBorder="1" applyAlignment="1">
      <alignment horizontal="center"/>
    </xf>
    <xf numFmtId="4" fontId="54" fillId="4" borderId="3" xfId="0" applyNumberFormat="1" applyFont="1" applyFill="1" applyBorder="1" applyAlignment="1">
      <alignment horizontal="center"/>
    </xf>
    <xf numFmtId="4" fontId="54" fillId="4" borderId="29" xfId="0" applyNumberFormat="1" applyFont="1" applyFill="1" applyBorder="1" applyAlignment="1">
      <alignment horizontal="center"/>
    </xf>
    <xf numFmtId="4" fontId="99" fillId="4" borderId="24" xfId="0" applyNumberFormat="1" applyFont="1" applyFill="1" applyBorder="1" applyAlignment="1">
      <alignment horizontal="center"/>
    </xf>
    <xf numFmtId="4" fontId="54" fillId="4" borderId="2" xfId="0" applyNumberFormat="1" applyFont="1" applyFill="1" applyBorder="1" applyAlignment="1">
      <alignment horizontal="center"/>
    </xf>
    <xf numFmtId="4" fontId="99" fillId="4" borderId="25" xfId="0" applyNumberFormat="1" applyFont="1" applyFill="1" applyBorder="1" applyAlignment="1">
      <alignment horizontal="center"/>
    </xf>
    <xf numFmtId="4" fontId="99" fillId="10" borderId="4" xfId="0" applyNumberFormat="1" applyFont="1" applyFill="1" applyBorder="1" applyAlignment="1">
      <alignment horizontal="center"/>
    </xf>
    <xf numFmtId="4" fontId="54" fillId="4" borderId="11" xfId="0" applyNumberFormat="1" applyFont="1" applyFill="1" applyBorder="1" applyAlignment="1">
      <alignment horizontal="center"/>
    </xf>
    <xf numFmtId="4" fontId="55" fillId="0" borderId="3" xfId="0" applyNumberFormat="1" applyFont="1" applyFill="1" applyBorder="1" applyAlignment="1">
      <alignment horizontal="center"/>
    </xf>
    <xf numFmtId="4" fontId="55" fillId="0" borderId="24" xfId="0" applyNumberFormat="1" applyFont="1" applyFill="1" applyBorder="1" applyAlignment="1">
      <alignment horizontal="center"/>
    </xf>
    <xf numFmtId="4" fontId="55" fillId="0" borderId="29" xfId="0" applyNumberFormat="1" applyFont="1" applyBorder="1" applyAlignment="1">
      <alignment horizontal="center"/>
    </xf>
    <xf numFmtId="4" fontId="55" fillId="0" borderId="25" xfId="0" applyNumberFormat="1" applyFont="1" applyBorder="1" applyAlignment="1">
      <alignment horizontal="center"/>
    </xf>
    <xf numFmtId="4" fontId="55" fillId="10" borderId="4" xfId="0" applyNumberFormat="1" applyFont="1" applyFill="1" applyBorder="1" applyAlignment="1">
      <alignment horizontal="center"/>
    </xf>
    <xf numFmtId="4" fontId="0" fillId="0" borderId="11" xfId="0" applyNumberFormat="1" applyBorder="1"/>
    <xf numFmtId="4" fontId="54" fillId="8" borderId="3" xfId="0" applyNumberFormat="1" applyFont="1" applyFill="1" applyBorder="1" applyAlignment="1">
      <alignment horizontal="center"/>
    </xf>
    <xf numFmtId="4" fontId="55" fillId="8" borderId="29" xfId="0" applyNumberFormat="1" applyFont="1" applyFill="1" applyBorder="1" applyAlignment="1">
      <alignment horizontal="center"/>
    </xf>
    <xf numFmtId="4" fontId="55" fillId="8" borderId="24" xfId="0" applyNumberFormat="1" applyFont="1" applyFill="1" applyBorder="1" applyAlignment="1">
      <alignment horizontal="center"/>
    </xf>
    <xf numFmtId="4" fontId="55" fillId="8" borderId="25" xfId="0" applyNumberFormat="1" applyFont="1" applyFill="1" applyBorder="1" applyAlignment="1">
      <alignment horizontal="center"/>
    </xf>
    <xf numFmtId="4" fontId="0" fillId="8" borderId="11" xfId="0" applyNumberFormat="1" applyFill="1" applyBorder="1"/>
    <xf numFmtId="4" fontId="54" fillId="8" borderId="11" xfId="0" applyNumberFormat="1" applyFont="1" applyFill="1" applyBorder="1" applyAlignment="1">
      <alignment horizontal="center"/>
    </xf>
    <xf numFmtId="4" fontId="55" fillId="8" borderId="3" xfId="0" applyNumberFormat="1" applyFont="1" applyFill="1" applyBorder="1" applyAlignment="1">
      <alignment horizontal="center"/>
    </xf>
    <xf numFmtId="4" fontId="55" fillId="8" borderId="2" xfId="0" applyNumberFormat="1" applyFont="1" applyFill="1" applyBorder="1" applyAlignment="1">
      <alignment horizontal="center"/>
    </xf>
    <xf numFmtId="4" fontId="55" fillId="8" borderId="11" xfId="0" applyNumberFormat="1" applyFont="1" applyFill="1" applyBorder="1" applyAlignment="1">
      <alignment horizontal="center"/>
    </xf>
    <xf numFmtId="4" fontId="55" fillId="8" borderId="11" xfId="0" applyNumberFormat="1" applyFont="1" applyFill="1" applyBorder="1"/>
    <xf numFmtId="4" fontId="65" fillId="0" borderId="0" xfId="0" applyNumberFormat="1" applyFont="1"/>
    <xf numFmtId="4" fontId="54" fillId="4" borderId="4" xfId="0" applyNumberFormat="1" applyFont="1" applyFill="1" applyBorder="1" applyAlignment="1">
      <alignment horizontal="center"/>
    </xf>
    <xf numFmtId="4" fontId="55" fillId="0" borderId="24" xfId="0" applyNumberFormat="1" applyFont="1" applyBorder="1" applyAlignment="1">
      <alignment horizontal="center"/>
    </xf>
    <xf numFmtId="4" fontId="55" fillId="0" borderId="4" xfId="0" applyNumberFormat="1" applyFont="1" applyBorder="1" applyAlignment="1">
      <alignment horizontal="center"/>
    </xf>
    <xf numFmtId="4" fontId="54" fillId="0" borderId="10" xfId="0" applyNumberFormat="1" applyFont="1" applyBorder="1" applyAlignment="1">
      <alignment horizontal="center"/>
    </xf>
    <xf numFmtId="4" fontId="54" fillId="0" borderId="24" xfId="0" applyNumberFormat="1" applyFont="1" applyBorder="1" applyAlignment="1">
      <alignment horizontal="center"/>
    </xf>
    <xf numFmtId="4" fontId="55" fillId="0" borderId="3" xfId="0" applyNumberFormat="1" applyFont="1" applyBorder="1" applyAlignment="1">
      <alignment horizontal="center"/>
    </xf>
    <xf numFmtId="4" fontId="55" fillId="0" borderId="0" xfId="0" applyNumberFormat="1" applyFont="1" applyBorder="1" applyAlignment="1">
      <alignment horizontal="center"/>
    </xf>
    <xf numFmtId="4" fontId="108" fillId="0" borderId="2" xfId="0" applyNumberFormat="1" applyFont="1" applyFill="1" applyBorder="1" applyAlignment="1">
      <alignment horizontal="center"/>
    </xf>
    <xf numFmtId="4" fontId="0" fillId="0" borderId="0" xfId="0" applyNumberFormat="1" applyBorder="1"/>
    <xf numFmtId="4" fontId="54" fillId="8" borderId="29" xfId="0" applyNumberFormat="1" applyFont="1" applyFill="1" applyBorder="1" applyAlignment="1">
      <alignment horizontal="center"/>
    </xf>
    <xf numFmtId="4" fontId="54" fillId="8" borderId="24" xfId="0" applyNumberFormat="1" applyFont="1" applyFill="1" applyBorder="1" applyAlignment="1">
      <alignment horizontal="center"/>
    </xf>
    <xf numFmtId="4" fontId="54" fillId="8" borderId="25" xfId="0" applyNumberFormat="1" applyFont="1" applyFill="1" applyBorder="1" applyAlignment="1">
      <alignment horizontal="center"/>
    </xf>
    <xf numFmtId="4" fontId="14" fillId="8" borderId="0" xfId="0" applyNumberFormat="1" applyFont="1" applyFill="1" applyBorder="1"/>
    <xf numFmtId="4" fontId="54" fillId="8" borderId="4" xfId="0" applyNumberFormat="1" applyFont="1" applyFill="1" applyBorder="1" applyAlignment="1">
      <alignment horizontal="center"/>
    </xf>
    <xf numFmtId="4" fontId="0" fillId="8" borderId="0" xfId="0" applyNumberFormat="1" applyFill="1" applyBorder="1"/>
    <xf numFmtId="4" fontId="55" fillId="8" borderId="4" xfId="0" applyNumberFormat="1" applyFont="1" applyFill="1" applyBorder="1" applyAlignment="1">
      <alignment horizontal="center"/>
    </xf>
    <xf numFmtId="4" fontId="54" fillId="0" borderId="3" xfId="0" applyNumberFormat="1" applyFont="1" applyBorder="1" applyAlignment="1">
      <alignment horizontal="center"/>
    </xf>
    <xf numFmtId="4" fontId="54" fillId="0" borderId="25" xfId="0" applyNumberFormat="1" applyFont="1" applyBorder="1" applyAlignment="1">
      <alignment horizontal="center"/>
    </xf>
    <xf numFmtId="4" fontId="14" fillId="0" borderId="0" xfId="0" applyNumberFormat="1" applyFont="1" applyBorder="1"/>
    <xf numFmtId="4" fontId="54" fillId="0" borderId="3" xfId="0" applyNumberFormat="1" applyFont="1" applyFill="1" applyBorder="1" applyAlignment="1">
      <alignment horizontal="center"/>
    </xf>
    <xf numFmtId="4" fontId="14" fillId="0" borderId="0" xfId="0" applyNumberFormat="1" applyFont="1"/>
    <xf numFmtId="4" fontId="54" fillId="8" borderId="2" xfId="0" applyNumberFormat="1" applyFont="1" applyFill="1" applyBorder="1" applyAlignment="1">
      <alignment horizontal="center"/>
    </xf>
    <xf numFmtId="4" fontId="99" fillId="0" borderId="2" xfId="0" applyNumberFormat="1" applyFont="1" applyFill="1" applyBorder="1" applyAlignment="1">
      <alignment horizontal="center"/>
    </xf>
    <xf numFmtId="4" fontId="55" fillId="0" borderId="11" xfId="0" applyNumberFormat="1" applyFont="1" applyBorder="1"/>
    <xf numFmtId="4" fontId="0" fillId="0" borderId="0" xfId="0" applyNumberFormat="1" applyFill="1"/>
    <xf numFmtId="4" fontId="54" fillId="0" borderId="29" xfId="0" applyNumberFormat="1" applyFont="1" applyFill="1" applyBorder="1" applyAlignment="1">
      <alignment horizontal="center"/>
    </xf>
    <xf numFmtId="4" fontId="54" fillId="0" borderId="24" xfId="0" applyNumberFormat="1" applyFont="1" applyFill="1" applyBorder="1" applyAlignment="1">
      <alignment horizontal="center"/>
    </xf>
    <xf numFmtId="4" fontId="54" fillId="0" borderId="25" xfId="0" applyNumberFormat="1" applyFont="1" applyFill="1" applyBorder="1" applyAlignment="1">
      <alignment horizontal="center"/>
    </xf>
    <xf numFmtId="4" fontId="54" fillId="0" borderId="11" xfId="0" applyNumberFormat="1" applyFont="1" applyFill="1" applyBorder="1"/>
    <xf numFmtId="4" fontId="54" fillId="0" borderId="4" xfId="0" applyNumberFormat="1" applyFont="1" applyFill="1" applyBorder="1" applyAlignment="1">
      <alignment horizontal="center"/>
    </xf>
    <xf numFmtId="4" fontId="54" fillId="0" borderId="11" xfId="0" applyNumberFormat="1" applyFont="1" applyFill="1" applyBorder="1" applyAlignment="1">
      <alignment horizontal="center"/>
    </xf>
    <xf numFmtId="4" fontId="54" fillId="8" borderId="11" xfId="0" applyNumberFormat="1" applyFont="1" applyFill="1" applyBorder="1"/>
    <xf numFmtId="4" fontId="0" fillId="0" borderId="4" xfId="0" applyNumberFormat="1" applyBorder="1"/>
    <xf numFmtId="4" fontId="55" fillId="9" borderId="29" xfId="0" applyNumberFormat="1" applyFont="1" applyFill="1" applyBorder="1" applyAlignment="1">
      <alignment horizontal="center"/>
    </xf>
    <xf numFmtId="4" fontId="55" fillId="9" borderId="24" xfId="0" applyNumberFormat="1" applyFont="1" applyFill="1" applyBorder="1" applyAlignment="1">
      <alignment horizontal="center"/>
    </xf>
    <xf numFmtId="4" fontId="55" fillId="9" borderId="2" xfId="0" applyNumberFormat="1" applyFont="1" applyFill="1" applyBorder="1" applyAlignment="1">
      <alignment horizontal="center"/>
    </xf>
    <xf numFmtId="4" fontId="55" fillId="9" borderId="25" xfId="0" applyNumberFormat="1" applyFont="1" applyFill="1" applyBorder="1" applyAlignment="1">
      <alignment horizontal="center"/>
    </xf>
    <xf numFmtId="4" fontId="55" fillId="9" borderId="11" xfId="0" applyNumberFormat="1" applyFont="1" applyFill="1" applyBorder="1"/>
    <xf numFmtId="4" fontId="55" fillId="0" borderId="25" xfId="0" applyNumberFormat="1" applyFont="1" applyFill="1" applyBorder="1" applyAlignment="1">
      <alignment horizontal="center"/>
    </xf>
    <xf numFmtId="4" fontId="55" fillId="0" borderId="11" xfId="0" applyNumberFormat="1" applyFont="1" applyFill="1" applyBorder="1"/>
    <xf numFmtId="4" fontId="55" fillId="0" borderId="4" xfId="0" applyNumberFormat="1" applyFont="1" applyFill="1" applyBorder="1" applyAlignment="1">
      <alignment horizontal="center"/>
    </xf>
    <xf numFmtId="4" fontId="54" fillId="7" borderId="4" xfId="0" applyNumberFormat="1" applyFont="1" applyFill="1" applyBorder="1" applyAlignment="1">
      <alignment horizontal="center"/>
    </xf>
    <xf numFmtId="4" fontId="54" fillId="0" borderId="11" xfId="0" applyNumberFormat="1" applyFont="1" applyBorder="1"/>
    <xf numFmtId="4" fontId="54" fillId="4" borderId="24" xfId="0" applyNumberFormat="1" applyFont="1" applyFill="1" applyBorder="1" applyAlignment="1">
      <alignment horizontal="center"/>
    </xf>
    <xf numFmtId="4" fontId="54" fillId="4" borderId="25" xfId="0" applyNumberFormat="1" applyFont="1" applyFill="1" applyBorder="1" applyAlignment="1">
      <alignment horizontal="center"/>
    </xf>
    <xf numFmtId="4" fontId="55" fillId="11" borderId="29" xfId="0" applyNumberFormat="1" applyFont="1" applyFill="1" applyBorder="1" applyAlignment="1">
      <alignment horizontal="center"/>
    </xf>
    <xf numFmtId="4" fontId="55" fillId="11" borderId="24" xfId="0" applyNumberFormat="1" applyFont="1" applyFill="1" applyBorder="1" applyAlignment="1">
      <alignment horizontal="center"/>
    </xf>
    <xf numFmtId="4" fontId="98" fillId="0" borderId="2" xfId="0" applyNumberFormat="1" applyFont="1" applyFill="1" applyBorder="1" applyAlignment="1">
      <alignment horizontal="center"/>
    </xf>
    <xf numFmtId="4" fontId="1" fillId="0" borderId="0" xfId="0" applyNumberFormat="1" applyFont="1"/>
    <xf numFmtId="4" fontId="1" fillId="0" borderId="0" xfId="0" applyNumberFormat="1" applyFont="1" applyFill="1"/>
    <xf numFmtId="4" fontId="57" fillId="8" borderId="29" xfId="0" applyNumberFormat="1" applyFont="1" applyFill="1" applyBorder="1" applyAlignment="1">
      <alignment horizontal="center"/>
    </xf>
    <xf numFmtId="4" fontId="57" fillId="8" borderId="24" xfId="0" applyNumberFormat="1" applyFont="1" applyFill="1" applyBorder="1" applyAlignment="1">
      <alignment horizontal="center"/>
    </xf>
    <xf numFmtId="4" fontId="57" fillId="8" borderId="25" xfId="0" applyNumberFormat="1" applyFont="1" applyFill="1" applyBorder="1" applyAlignment="1">
      <alignment horizontal="center"/>
    </xf>
    <xf numFmtId="4" fontId="57" fillId="10" borderId="4" xfId="0" applyNumberFormat="1" applyFont="1" applyFill="1" applyBorder="1" applyAlignment="1">
      <alignment horizontal="center"/>
    </xf>
    <xf numFmtId="4" fontId="57" fillId="0" borderId="29" xfId="0" applyNumberFormat="1" applyFont="1" applyFill="1" applyBorder="1" applyAlignment="1">
      <alignment horizontal="center"/>
    </xf>
    <xf numFmtId="4" fontId="57" fillId="0" borderId="24" xfId="0" applyNumberFormat="1" applyFont="1" applyFill="1" applyBorder="1" applyAlignment="1">
      <alignment horizontal="center"/>
    </xf>
    <xf numFmtId="4" fontId="57" fillId="0" borderId="25" xfId="0" applyNumberFormat="1" applyFont="1" applyFill="1" applyBorder="1" applyAlignment="1">
      <alignment horizontal="center"/>
    </xf>
    <xf numFmtId="4" fontId="58" fillId="0" borderId="0" xfId="0" applyNumberFormat="1" applyFont="1" applyBorder="1"/>
    <xf numFmtId="4" fontId="58" fillId="0" borderId="0" xfId="0" applyNumberFormat="1" applyFont="1"/>
    <xf numFmtId="4" fontId="22" fillId="0" borderId="0" xfId="0" applyNumberFormat="1" applyFont="1" applyFill="1"/>
    <xf numFmtId="4" fontId="54" fillId="9" borderId="3" xfId="0" applyNumberFormat="1" applyFont="1" applyFill="1" applyBorder="1" applyAlignment="1">
      <alignment horizontal="center"/>
    </xf>
    <xf numFmtId="4" fontId="54" fillId="9" borderId="29" xfId="0" applyNumberFormat="1" applyFont="1" applyFill="1" applyBorder="1" applyAlignment="1">
      <alignment horizontal="center"/>
    </xf>
    <xf numFmtId="4" fontId="54" fillId="9" borderId="24" xfId="0" applyNumberFormat="1" applyFont="1" applyFill="1" applyBorder="1" applyAlignment="1">
      <alignment horizontal="center"/>
    </xf>
    <xf numFmtId="4" fontId="54" fillId="9" borderId="25" xfId="0" applyNumberFormat="1" applyFont="1" applyFill="1" applyBorder="1" applyAlignment="1">
      <alignment horizontal="center"/>
    </xf>
    <xf numFmtId="4" fontId="54" fillId="7" borderId="3" xfId="0" applyNumberFormat="1" applyFont="1" applyFill="1" applyBorder="1" applyAlignment="1">
      <alignment horizontal="center"/>
    </xf>
    <xf numFmtId="4" fontId="54" fillId="7" borderId="29" xfId="0" applyNumberFormat="1" applyFont="1" applyFill="1" applyBorder="1" applyAlignment="1">
      <alignment horizontal="center"/>
    </xf>
    <xf numFmtId="4" fontId="54" fillId="7" borderId="24" xfId="0" applyNumberFormat="1" applyFont="1" applyFill="1" applyBorder="1" applyAlignment="1">
      <alignment horizontal="center"/>
    </xf>
    <xf numFmtId="4" fontId="54" fillId="7" borderId="2" xfId="0" applyNumberFormat="1" applyFont="1" applyFill="1" applyBorder="1" applyAlignment="1">
      <alignment horizontal="center"/>
    </xf>
    <xf numFmtId="4" fontId="54" fillId="7" borderId="11" xfId="0" applyNumberFormat="1" applyFont="1" applyFill="1" applyBorder="1" applyAlignment="1">
      <alignment horizontal="center"/>
    </xf>
    <xf numFmtId="4" fontId="22" fillId="0" borderId="0" xfId="0" applyNumberFormat="1" applyFont="1"/>
    <xf numFmtId="4" fontId="58" fillId="0" borderId="0" xfId="0" applyNumberFormat="1" applyFont="1" applyFill="1"/>
    <xf numFmtId="4" fontId="108" fillId="9" borderId="29" xfId="0" applyNumberFormat="1" applyFont="1" applyFill="1" applyBorder="1" applyAlignment="1">
      <alignment horizontal="center"/>
    </xf>
    <xf numFmtId="4" fontId="108" fillId="9" borderId="24" xfId="0" applyNumberFormat="1" applyFont="1" applyFill="1" applyBorder="1" applyAlignment="1">
      <alignment horizontal="center"/>
    </xf>
    <xf numFmtId="4" fontId="55" fillId="9" borderId="11" xfId="0" applyNumberFormat="1" applyFont="1" applyFill="1" applyBorder="1" applyAlignment="1">
      <alignment horizontal="center"/>
    </xf>
    <xf numFmtId="4" fontId="99" fillId="4" borderId="24" xfId="0" quotePrefix="1" applyNumberFormat="1" applyFont="1" applyFill="1" applyBorder="1" applyAlignment="1">
      <alignment horizontal="center"/>
    </xf>
    <xf numFmtId="4" fontId="22" fillId="0" borderId="4" xfId="0" applyNumberFormat="1" applyFont="1" applyFill="1" applyBorder="1"/>
    <xf numFmtId="4" fontId="22" fillId="0" borderId="0" xfId="0" applyNumberFormat="1" applyFont="1" applyBorder="1"/>
    <xf numFmtId="4" fontId="22" fillId="0" borderId="0" xfId="0" applyNumberFormat="1" applyFont="1" applyFill="1" applyBorder="1"/>
    <xf numFmtId="4" fontId="99" fillId="3" borderId="23" xfId="0" applyNumberFormat="1" applyFont="1" applyFill="1" applyBorder="1" applyAlignment="1">
      <alignment horizontal="center"/>
    </xf>
    <xf numFmtId="4" fontId="54" fillId="13" borderId="3" xfId="0" applyNumberFormat="1" applyFont="1" applyFill="1" applyBorder="1" applyAlignment="1">
      <alignment horizontal="center"/>
    </xf>
    <xf numFmtId="4" fontId="54" fillId="13" borderId="29" xfId="0" applyNumberFormat="1" applyFont="1" applyFill="1" applyBorder="1" applyAlignment="1">
      <alignment horizontal="center"/>
    </xf>
    <xf numFmtId="4" fontId="99" fillId="13" borderId="24" xfId="0" applyNumberFormat="1" applyFont="1" applyFill="1" applyBorder="1" applyAlignment="1">
      <alignment horizontal="center"/>
    </xf>
    <xf numFmtId="4" fontId="99" fillId="13" borderId="25" xfId="0" applyNumberFormat="1" applyFont="1" applyFill="1" applyBorder="1" applyAlignment="1">
      <alignment horizontal="center"/>
    </xf>
    <xf numFmtId="4" fontId="99" fillId="3" borderId="29" xfId="0" applyNumberFormat="1" applyFont="1" applyFill="1" applyBorder="1" applyAlignment="1">
      <alignment horizontal="center"/>
    </xf>
    <xf numFmtId="4" fontId="55" fillId="8" borderId="2" xfId="0" applyNumberFormat="1" applyFont="1" applyFill="1" applyBorder="1" applyAlignment="1">
      <alignment horizontal="center" vertical="center"/>
    </xf>
    <xf numFmtId="4" fontId="55" fillId="8" borderId="29" xfId="0" applyNumberFormat="1" applyFont="1" applyFill="1" applyBorder="1" applyAlignment="1">
      <alignment horizontal="center" vertical="center"/>
    </xf>
    <xf numFmtId="4" fontId="55" fillId="8" borderId="24" xfId="0" applyNumberFormat="1" applyFont="1" applyFill="1" applyBorder="1" applyAlignment="1">
      <alignment horizontal="center" vertical="center"/>
    </xf>
    <xf numFmtId="4" fontId="55" fillId="8" borderId="25" xfId="0" applyNumberFormat="1" applyFont="1" applyFill="1" applyBorder="1" applyAlignment="1">
      <alignment horizontal="center" vertical="center"/>
    </xf>
    <xf numFmtId="4" fontId="55" fillId="10" borderId="4" xfId="0" applyNumberFormat="1" applyFont="1" applyFill="1" applyBorder="1" applyAlignment="1">
      <alignment horizontal="center" vertical="center"/>
    </xf>
    <xf numFmtId="4" fontId="55" fillId="8" borderId="11" xfId="0" applyNumberFormat="1" applyFont="1" applyFill="1" applyBorder="1" applyAlignment="1">
      <alignment horizontal="center" vertical="center"/>
    </xf>
    <xf numFmtId="4" fontId="0" fillId="10" borderId="4" xfId="0" applyNumberFormat="1" applyFill="1" applyBorder="1"/>
    <xf numFmtId="4" fontId="0" fillId="14" borderId="0" xfId="0" applyNumberFormat="1" applyFill="1"/>
    <xf numFmtId="4" fontId="54" fillId="4" borderId="3" xfId="0" applyNumberFormat="1" applyFont="1" applyFill="1" applyBorder="1" applyAlignment="1">
      <alignment horizontal="center" vertical="center"/>
    </xf>
    <xf numFmtId="4" fontId="54" fillId="4" borderId="29" xfId="0" applyNumberFormat="1" applyFont="1" applyFill="1" applyBorder="1" applyAlignment="1">
      <alignment horizontal="center" vertical="center"/>
    </xf>
    <xf numFmtId="4" fontId="99" fillId="4" borderId="24" xfId="0" applyNumberFormat="1" applyFont="1" applyFill="1" applyBorder="1" applyAlignment="1">
      <alignment horizontal="center" vertical="center"/>
    </xf>
    <xf numFmtId="4" fontId="54" fillId="4" borderId="2" xfId="0" applyNumberFormat="1" applyFont="1" applyFill="1" applyBorder="1" applyAlignment="1">
      <alignment horizontal="center" vertical="center"/>
    </xf>
    <xf numFmtId="4" fontId="99" fillId="4" borderId="25" xfId="0" applyNumberFormat="1" applyFont="1" applyFill="1" applyBorder="1" applyAlignment="1">
      <alignment horizontal="center" vertical="center"/>
    </xf>
    <xf numFmtId="4" fontId="99" fillId="10" borderId="4" xfId="0" applyNumberFormat="1" applyFont="1" applyFill="1" applyBorder="1" applyAlignment="1">
      <alignment horizontal="center" vertical="center"/>
    </xf>
    <xf numFmtId="4" fontId="54" fillId="4" borderId="11" xfId="0" applyNumberFormat="1" applyFont="1" applyFill="1" applyBorder="1" applyAlignment="1">
      <alignment horizontal="center" vertical="center"/>
    </xf>
    <xf numFmtId="4" fontId="108" fillId="0" borderId="29" xfId="0" applyNumberFormat="1" applyFont="1" applyFill="1" applyBorder="1" applyAlignment="1">
      <alignment horizontal="center"/>
    </xf>
    <xf numFmtId="4" fontId="54" fillId="7" borderId="36" xfId="0" applyNumberFormat="1" applyFont="1" applyFill="1" applyBorder="1" applyAlignment="1">
      <alignment horizontal="center"/>
    </xf>
    <xf numFmtId="4" fontId="54" fillId="7" borderId="37" xfId="0" applyNumberFormat="1" applyFont="1" applyFill="1" applyBorder="1" applyAlignment="1">
      <alignment horizontal="center"/>
    </xf>
    <xf numFmtId="4" fontId="54" fillId="7" borderId="27" xfId="0" applyNumberFormat="1" applyFont="1" applyFill="1" applyBorder="1" applyAlignment="1">
      <alignment horizontal="center"/>
    </xf>
    <xf numFmtId="4" fontId="58" fillId="0" borderId="0" xfId="0" applyNumberFormat="1" applyFont="1" applyFill="1" applyAlignment="1">
      <alignment horizontal="center"/>
    </xf>
    <xf numFmtId="4" fontId="58" fillId="0" borderId="0" xfId="0" applyNumberFormat="1" applyFont="1" applyFill="1" applyBorder="1"/>
    <xf numFmtId="4" fontId="66" fillId="0" borderId="0" xfId="0" applyNumberFormat="1" applyFont="1" applyFill="1"/>
    <xf numFmtId="4" fontId="55" fillId="8" borderId="0" xfId="0" applyNumberFormat="1" applyFont="1" applyFill="1" applyBorder="1" applyAlignment="1">
      <alignment horizontal="center"/>
    </xf>
    <xf numFmtId="4" fontId="99" fillId="10" borderId="23" xfId="0" applyNumberFormat="1" applyFont="1" applyFill="1" applyBorder="1" applyAlignment="1">
      <alignment horizontal="center"/>
    </xf>
    <xf numFmtId="4" fontId="99" fillId="3" borderId="4" xfId="0" applyNumberFormat="1" applyFont="1" applyFill="1" applyBorder="1" applyAlignment="1">
      <alignment horizontal="center"/>
    </xf>
    <xf numFmtId="4" fontId="54" fillId="7" borderId="0" xfId="0" applyNumberFormat="1" applyFont="1" applyFill="1" applyBorder="1" applyAlignment="1">
      <alignment horizontal="center"/>
    </xf>
    <xf numFmtId="4" fontId="54" fillId="0" borderId="0" xfId="0" applyNumberFormat="1" applyFont="1" applyFill="1" applyBorder="1" applyAlignment="1">
      <alignment horizontal="center"/>
    </xf>
    <xf numFmtId="4" fontId="22" fillId="8" borderId="0" xfId="0" applyNumberFormat="1" applyFont="1" applyFill="1" applyBorder="1"/>
    <xf numFmtId="4" fontId="109" fillId="0" borderId="29" xfId="0" applyNumberFormat="1" applyFont="1" applyFill="1" applyBorder="1" applyAlignment="1">
      <alignment horizontal="center"/>
    </xf>
    <xf numFmtId="4" fontId="109" fillId="0" borderId="24" xfId="0" applyNumberFormat="1" applyFont="1" applyFill="1" applyBorder="1" applyAlignment="1">
      <alignment horizontal="center"/>
    </xf>
    <xf numFmtId="4" fontId="108" fillId="0" borderId="24" xfId="0" applyNumberFormat="1" applyFont="1" applyFill="1" applyBorder="1" applyAlignment="1">
      <alignment horizontal="center"/>
    </xf>
    <xf numFmtId="4" fontId="55" fillId="8" borderId="14" xfId="0" applyNumberFormat="1" applyFont="1" applyFill="1" applyBorder="1" applyAlignment="1">
      <alignment horizontal="center"/>
    </xf>
    <xf numFmtId="4" fontId="99" fillId="3" borderId="32" xfId="0" applyNumberFormat="1" applyFont="1" applyFill="1" applyBorder="1" applyAlignment="1">
      <alignment horizontal="center"/>
    </xf>
    <xf numFmtId="4" fontId="0" fillId="0" borderId="0" xfId="0" applyNumberFormat="1" applyFont="1" applyFill="1"/>
    <xf numFmtId="4" fontId="55" fillId="0" borderId="29" xfId="0" applyNumberFormat="1" applyFont="1" applyFill="1" applyBorder="1"/>
    <xf numFmtId="4" fontId="55" fillId="0" borderId="25" xfId="0" applyNumberFormat="1" applyFont="1" applyFill="1" applyBorder="1"/>
    <xf numFmtId="4" fontId="55" fillId="10" borderId="4" xfId="0" applyNumberFormat="1" applyFont="1" applyFill="1" applyBorder="1"/>
    <xf numFmtId="4" fontId="55" fillId="0" borderId="29" xfId="0" applyNumberFormat="1" applyFont="1" applyBorder="1"/>
    <xf numFmtId="4" fontId="55" fillId="0" borderId="25" xfId="0" applyNumberFormat="1" applyFont="1" applyBorder="1"/>
    <xf numFmtId="4" fontId="55" fillId="0" borderId="24" xfId="0" applyNumberFormat="1" applyFont="1" applyFill="1" applyBorder="1"/>
    <xf numFmtId="4" fontId="55" fillId="0" borderId="24" xfId="0" applyNumberFormat="1" applyFont="1" applyBorder="1"/>
    <xf numFmtId="4" fontId="59" fillId="0" borderId="29" xfId="0" applyNumberFormat="1" applyFont="1" applyFill="1" applyBorder="1" applyAlignment="1">
      <alignment horizontal="center"/>
    </xf>
    <xf numFmtId="4" fontId="99" fillId="4" borderId="11" xfId="0" applyNumberFormat="1" applyFont="1" applyFill="1" applyBorder="1" applyAlignment="1">
      <alignment horizontal="center" vertical="center"/>
    </xf>
    <xf numFmtId="4" fontId="59" fillId="0" borderId="29" xfId="0" applyNumberFormat="1" applyFont="1" applyFill="1" applyBorder="1"/>
    <xf numFmtId="4" fontId="0" fillId="0" borderId="0" xfId="0" applyNumberFormat="1" applyFont="1"/>
    <xf numFmtId="4" fontId="59" fillId="0" borderId="29" xfId="3" applyNumberFormat="1" applyFont="1" applyFill="1" applyBorder="1"/>
    <xf numFmtId="4" fontId="55" fillId="0" borderId="24" xfId="3" applyNumberFormat="1" applyFont="1" applyFill="1" applyBorder="1"/>
    <xf numFmtId="4" fontId="55" fillId="0" borderId="29" xfId="3" applyNumberFormat="1" applyFont="1" applyFill="1" applyBorder="1" applyAlignment="1">
      <alignment horizontal="center"/>
    </xf>
    <xf numFmtId="4" fontId="55" fillId="0" borderId="25" xfId="3" applyNumberFormat="1" applyFont="1" applyFill="1" applyBorder="1" applyAlignment="1">
      <alignment horizontal="center"/>
    </xf>
    <xf numFmtId="4" fontId="55" fillId="10" borderId="4" xfId="3" applyNumberFormat="1" applyFont="1" applyFill="1" applyBorder="1" applyAlignment="1">
      <alignment horizontal="center"/>
    </xf>
    <xf numFmtId="4" fontId="55" fillId="0" borderId="11" xfId="3" applyNumberFormat="1" applyFont="1" applyFill="1" applyBorder="1" applyAlignment="1">
      <alignment horizontal="center"/>
    </xf>
    <xf numFmtId="4" fontId="108" fillId="10" borderId="4" xfId="0" applyNumberFormat="1" applyFont="1" applyFill="1" applyBorder="1" applyAlignment="1">
      <alignment horizontal="center"/>
    </xf>
    <xf numFmtId="4" fontId="108" fillId="0" borderId="11" xfId="0" applyNumberFormat="1" applyFont="1" applyBorder="1" applyAlignment="1">
      <alignment horizontal="center"/>
    </xf>
    <xf numFmtId="4" fontId="108" fillId="0" borderId="4" xfId="0" applyNumberFormat="1" applyFont="1" applyBorder="1" applyAlignment="1">
      <alignment horizontal="center"/>
    </xf>
    <xf numFmtId="4" fontId="99" fillId="8" borderId="4" xfId="0" applyNumberFormat="1" applyFont="1" applyFill="1" applyBorder="1" applyAlignment="1">
      <alignment horizontal="center"/>
    </xf>
    <xf numFmtId="4" fontId="108" fillId="8" borderId="4" xfId="0" applyNumberFormat="1" applyFont="1" applyFill="1" applyBorder="1" applyAlignment="1">
      <alignment horizontal="center"/>
    </xf>
    <xf numFmtId="4" fontId="108" fillId="0" borderId="4" xfId="0" applyNumberFormat="1" applyFont="1" applyFill="1" applyBorder="1" applyAlignment="1">
      <alignment horizontal="center"/>
    </xf>
    <xf numFmtId="4" fontId="99" fillId="9" borderId="4" xfId="0" applyNumberFormat="1" applyFont="1" applyFill="1" applyBorder="1" applyAlignment="1">
      <alignment horizontal="center"/>
    </xf>
    <xf numFmtId="4" fontId="99" fillId="0" borderId="11" xfId="0" applyNumberFormat="1" applyFont="1" applyFill="1" applyBorder="1" applyAlignment="1">
      <alignment horizontal="center"/>
    </xf>
    <xf numFmtId="4" fontId="108" fillId="0" borderId="11" xfId="0" applyNumberFormat="1" applyFont="1" applyFill="1" applyBorder="1" applyAlignment="1">
      <alignment horizontal="center"/>
    </xf>
    <xf numFmtId="4" fontId="54" fillId="4" borderId="24" xfId="0" applyNumberFormat="1" applyFont="1" applyFill="1" applyBorder="1" applyAlignment="1">
      <alignment horizontal="center" vertical="center"/>
    </xf>
    <xf numFmtId="4" fontId="54" fillId="4" borderId="23" xfId="0" applyNumberFormat="1" applyFont="1" applyFill="1" applyBorder="1" applyAlignment="1">
      <alignment horizontal="center"/>
    </xf>
    <xf numFmtId="4" fontId="54" fillId="4" borderId="4" xfId="0" applyNumberFormat="1" applyFont="1" applyFill="1" applyBorder="1" applyAlignment="1">
      <alignment horizontal="center" vertical="center"/>
    </xf>
    <xf numFmtId="4" fontId="108" fillId="12" borderId="2" xfId="0" applyNumberFormat="1" applyFont="1" applyFill="1" applyBorder="1" applyAlignment="1">
      <alignment horizontal="center"/>
    </xf>
    <xf numFmtId="4" fontId="55" fillId="0" borderId="11" xfId="0" applyNumberFormat="1" applyFont="1" applyFill="1" applyBorder="1" applyAlignment="1">
      <alignment horizontal="left"/>
    </xf>
    <xf numFmtId="4" fontId="55" fillId="0" borderId="0" xfId="0" applyNumberFormat="1" applyFont="1" applyFill="1" applyBorder="1" applyAlignment="1">
      <alignment horizontal="left"/>
    </xf>
    <xf numFmtId="4" fontId="55" fillId="0" borderId="11" xfId="0" applyNumberFormat="1" applyFont="1" applyBorder="1" applyAlignment="1">
      <alignment horizontal="left"/>
    </xf>
    <xf numFmtId="4" fontId="55" fillId="0" borderId="0" xfId="0" applyNumberFormat="1" applyFont="1" applyBorder="1" applyAlignment="1">
      <alignment horizontal="left"/>
    </xf>
    <xf numFmtId="4" fontId="108" fillId="15" borderId="23" xfId="0" applyNumberFormat="1" applyFont="1" applyFill="1" applyBorder="1" applyAlignment="1">
      <alignment horizontal="center"/>
    </xf>
    <xf numFmtId="4" fontId="108" fillId="15" borderId="4" xfId="0" applyNumberFormat="1" applyFont="1" applyFill="1" applyBorder="1" applyAlignment="1">
      <alignment horizontal="center"/>
    </xf>
    <xf numFmtId="4" fontId="108" fillId="15" borderId="14" xfId="0" applyNumberFormat="1" applyFont="1" applyFill="1" applyBorder="1" applyAlignment="1">
      <alignment horizontal="center"/>
    </xf>
    <xf numFmtId="4" fontId="99" fillId="15" borderId="9" xfId="0" applyNumberFormat="1" applyFont="1" applyFill="1" applyBorder="1" applyAlignment="1">
      <alignment horizontal="center" vertical="center"/>
    </xf>
    <xf numFmtId="4" fontId="108" fillId="16" borderId="23" xfId="0" applyNumberFormat="1" applyFont="1" applyFill="1" applyBorder="1" applyAlignment="1">
      <alignment horizontal="center"/>
    </xf>
    <xf numFmtId="4" fontId="108" fillId="16" borderId="4" xfId="0" applyNumberFormat="1" applyFont="1" applyFill="1" applyBorder="1" applyAlignment="1">
      <alignment horizontal="center"/>
    </xf>
    <xf numFmtId="4" fontId="108" fillId="16" borderId="14" xfId="0" applyNumberFormat="1" applyFont="1" applyFill="1" applyBorder="1" applyAlignment="1">
      <alignment horizontal="center" vertical="center"/>
    </xf>
    <xf numFmtId="4" fontId="108" fillId="16" borderId="14" xfId="0" applyNumberFormat="1" applyFont="1" applyFill="1" applyBorder="1" applyAlignment="1">
      <alignment horizontal="center"/>
    </xf>
    <xf numFmtId="164" fontId="61" fillId="0" borderId="4" xfId="0" applyNumberFormat="1" applyFont="1" applyBorder="1" applyAlignment="1">
      <alignment horizontal="center" vertical="center"/>
    </xf>
    <xf numFmtId="164" fontId="60" fillId="0" borderId="4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61" fillId="12" borderId="4" xfId="0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61" fillId="0" borderId="4" xfId="0" applyNumberFormat="1" applyFont="1" applyBorder="1" applyAlignment="1">
      <alignment horizontal="center" vertical="center"/>
    </xf>
    <xf numFmtId="2" fontId="61" fillId="0" borderId="4" xfId="0" applyNumberFormat="1" applyFont="1" applyFill="1" applyBorder="1" applyAlignment="1">
      <alignment horizontal="center" vertical="center"/>
    </xf>
    <xf numFmtId="164" fontId="61" fillId="0" borderId="4" xfId="0" applyNumberFormat="1" applyFont="1" applyFill="1" applyBorder="1" applyAlignment="1">
      <alignment horizontal="center" vertical="center"/>
    </xf>
    <xf numFmtId="164" fontId="79" fillId="3" borderId="4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14" xfId="0" applyNumberFormat="1" applyFont="1" applyFill="1" applyBorder="1" applyAlignment="1">
      <alignment horizontal="center" vertical="center"/>
    </xf>
    <xf numFmtId="164" fontId="79" fillId="3" borderId="23" xfId="0" applyNumberFormat="1" applyFont="1" applyFill="1" applyBorder="1" applyAlignment="1">
      <alignment horizontal="center"/>
    </xf>
    <xf numFmtId="165" fontId="79" fillId="4" borderId="4" xfId="32" applyNumberFormat="1" applyFont="1" applyFill="1" applyBorder="1" applyAlignment="1">
      <alignment horizontal="left"/>
    </xf>
    <xf numFmtId="165" fontId="79" fillId="4" borderId="4" xfId="32" applyNumberFormat="1" applyFont="1" applyFill="1" applyBorder="1" applyAlignment="1">
      <alignment horizontal="left" vertical="center"/>
    </xf>
    <xf numFmtId="2" fontId="79" fillId="3" borderId="23" xfId="0" applyNumberFormat="1" applyFont="1" applyFill="1" applyBorder="1" applyAlignment="1">
      <alignment horizontal="center"/>
    </xf>
    <xf numFmtId="165" fontId="79" fillId="4" borderId="4" xfId="32" applyNumberFormat="1" applyFont="1" applyFill="1" applyBorder="1" applyAlignment="1"/>
    <xf numFmtId="0" fontId="79" fillId="4" borderId="4" xfId="32" applyFont="1" applyFill="1" applyBorder="1" applyAlignment="1"/>
    <xf numFmtId="164" fontId="79" fillId="4" borderId="4" xfId="32" applyNumberFormat="1" applyFont="1" applyFill="1" applyBorder="1" applyAlignment="1"/>
    <xf numFmtId="164" fontId="79" fillId="13" borderId="4" xfId="32" applyNumberFormat="1" applyFont="1" applyFill="1" applyBorder="1" applyAlignment="1"/>
    <xf numFmtId="164" fontId="5" fillId="4" borderId="4" xfId="32" applyNumberFormat="1" applyFont="1" applyFill="1" applyBorder="1" applyAlignment="1">
      <alignment horizontal="left" vertical="center"/>
    </xf>
    <xf numFmtId="2" fontId="79" fillId="7" borderId="4" xfId="0" applyNumberFormat="1" applyFont="1" applyFill="1" applyBorder="1" applyAlignment="1">
      <alignment horizontal="center"/>
    </xf>
    <xf numFmtId="4" fontId="99" fillId="0" borderId="25" xfId="0" applyNumberFormat="1" applyFont="1" applyFill="1" applyBorder="1" applyAlignment="1">
      <alignment horizontal="center"/>
    </xf>
    <xf numFmtId="164" fontId="11" fillId="0" borderId="2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164" fontId="79" fillId="3" borderId="21" xfId="0" applyNumberFormat="1" applyFont="1" applyFill="1" applyBorder="1" applyAlignment="1">
      <alignment horizontal="center"/>
    </xf>
    <xf numFmtId="164" fontId="5" fillId="3" borderId="1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165" fontId="79" fillId="4" borderId="10" xfId="32" applyNumberFormat="1" applyFont="1" applyFill="1" applyBorder="1" applyAlignment="1">
      <alignment horizontal="left"/>
    </xf>
    <xf numFmtId="0" fontId="2" fillId="0" borderId="10" xfId="0" applyFont="1" applyBorder="1"/>
    <xf numFmtId="0" fontId="2" fillId="0" borderId="10" xfId="0" applyFont="1" applyFill="1" applyBorder="1"/>
    <xf numFmtId="2" fontId="5" fillId="8" borderId="10" xfId="0" applyNumberFormat="1" applyFont="1" applyFill="1" applyBorder="1" applyAlignment="1">
      <alignment horizontal="center" vertical="center"/>
    </xf>
    <xf numFmtId="0" fontId="62" fillId="8" borderId="10" xfId="0" applyFont="1" applyFill="1" applyBorder="1" applyAlignment="1">
      <alignment horizontal="center"/>
    </xf>
    <xf numFmtId="2" fontId="61" fillId="0" borderId="10" xfId="0" applyNumberFormat="1" applyFont="1" applyFill="1" applyBorder="1" applyAlignment="1">
      <alignment horizontal="left" vertical="center"/>
    </xf>
    <xf numFmtId="165" fontId="79" fillId="4" borderId="10" xfId="32" applyNumberFormat="1" applyFont="1" applyFill="1" applyBorder="1" applyAlignment="1">
      <alignment horizontal="left" vertical="center"/>
    </xf>
    <xf numFmtId="164" fontId="5" fillId="3" borderId="10" xfId="0" applyNumberFormat="1" applyFont="1" applyFill="1" applyBorder="1" applyAlignment="1">
      <alignment horizontal="left"/>
    </xf>
    <xf numFmtId="165" fontId="5" fillId="4" borderId="10" xfId="32" applyNumberFormat="1" applyFont="1" applyFill="1" applyBorder="1" applyAlignment="1">
      <alignment horizontal="left"/>
    </xf>
    <xf numFmtId="2" fontId="79" fillId="3" borderId="21" xfId="0" applyNumberFormat="1" applyFont="1" applyFill="1" applyBorder="1" applyAlignment="1">
      <alignment horizontal="center"/>
    </xf>
    <xf numFmtId="165" fontId="79" fillId="4" borderId="10" xfId="32" applyNumberFormat="1" applyFont="1" applyFill="1" applyBorder="1" applyAlignment="1"/>
    <xf numFmtId="0" fontId="63" fillId="0" borderId="10" xfId="0" applyFont="1" applyFill="1" applyBorder="1" applyAlignment="1">
      <alignment horizontal="left"/>
    </xf>
    <xf numFmtId="164" fontId="5" fillId="7" borderId="10" xfId="0" applyNumberFormat="1" applyFont="1" applyFill="1" applyBorder="1" applyAlignment="1">
      <alignment horizontal="center"/>
    </xf>
    <xf numFmtId="0" fontId="63" fillId="0" borderId="10" xfId="0" applyFont="1" applyBorder="1" applyAlignment="1">
      <alignment horizontal="left"/>
    </xf>
    <xf numFmtId="0" fontId="61" fillId="8" borderId="10" xfId="0" applyFont="1" applyFill="1" applyBorder="1" applyAlignment="1">
      <alignment horizontal="left" vertical="center"/>
    </xf>
    <xf numFmtId="2" fontId="5" fillId="7" borderId="10" xfId="0" applyNumberFormat="1" applyFont="1" applyFill="1" applyBorder="1" applyAlignment="1">
      <alignment horizontal="center"/>
    </xf>
    <xf numFmtId="0" fontId="79" fillId="4" borderId="10" xfId="32" applyFont="1" applyFill="1" applyBorder="1" applyAlignment="1"/>
    <xf numFmtId="0" fontId="61" fillId="0" borderId="10" xfId="0" applyFont="1" applyFill="1" applyBorder="1" applyAlignment="1">
      <alignment horizontal="left" vertical="center"/>
    </xf>
    <xf numFmtId="0" fontId="62" fillId="0" borderId="10" xfId="0" applyFont="1" applyBorder="1" applyAlignment="1">
      <alignment horizontal="center"/>
    </xf>
    <xf numFmtId="164" fontId="5" fillId="3" borderId="10" xfId="0" applyNumberFormat="1" applyFont="1" applyFill="1" applyBorder="1" applyAlignment="1">
      <alignment horizontal="center" vertical="center"/>
    </xf>
    <xf numFmtId="164" fontId="79" fillId="4" borderId="10" xfId="32" applyNumberFormat="1" applyFont="1" applyFill="1" applyBorder="1" applyAlignment="1"/>
    <xf numFmtId="164" fontId="79" fillId="13" borderId="10" xfId="32" applyNumberFormat="1" applyFont="1" applyFill="1" applyBorder="1" applyAlignment="1"/>
    <xf numFmtId="164" fontId="5" fillId="0" borderId="10" xfId="0" applyNumberFormat="1" applyFont="1" applyFill="1" applyBorder="1" applyAlignment="1">
      <alignment horizontal="center" vertical="center"/>
    </xf>
    <xf numFmtId="164" fontId="5" fillId="4" borderId="10" xfId="32" applyNumberFormat="1" applyFont="1" applyFill="1" applyBorder="1" applyAlignment="1"/>
    <xf numFmtId="164" fontId="5" fillId="4" borderId="10" xfId="32" applyNumberFormat="1" applyFont="1" applyFill="1" applyBorder="1" applyAlignment="1">
      <alignment horizontal="left" vertical="center"/>
    </xf>
    <xf numFmtId="164" fontId="5" fillId="7" borderId="12" xfId="0" applyNumberFormat="1" applyFont="1" applyFill="1" applyBorder="1" applyAlignment="1">
      <alignment horizontal="center"/>
    </xf>
    <xf numFmtId="0" fontId="5" fillId="4" borderId="10" xfId="32" applyFont="1" applyFill="1" applyBorder="1" applyAlignment="1"/>
    <xf numFmtId="0" fontId="104" fillId="11" borderId="10" xfId="0" applyFont="1" applyFill="1" applyBorder="1" applyAlignment="1">
      <alignment wrapText="1"/>
    </xf>
    <xf numFmtId="2" fontId="105" fillId="3" borderId="10" xfId="0" applyNumberFormat="1" applyFont="1" applyFill="1" applyBorder="1" applyAlignment="1">
      <alignment horizontal="center"/>
    </xf>
    <xf numFmtId="165" fontId="5" fillId="4" borderId="10" xfId="32" applyNumberFormat="1" applyFont="1" applyFill="1" applyBorder="1" applyAlignment="1"/>
    <xf numFmtId="4" fontId="81" fillId="8" borderId="29" xfId="0" applyNumberFormat="1" applyFont="1" applyFill="1" applyBorder="1" applyAlignment="1">
      <alignment horizontal="center"/>
    </xf>
    <xf numFmtId="0" fontId="80" fillId="0" borderId="4" xfId="13" applyFont="1" applyBorder="1" applyAlignment="1">
      <alignment horizontal="center"/>
    </xf>
    <xf numFmtId="4" fontId="81" fillId="0" borderId="29" xfId="0" applyNumberFormat="1" applyFont="1" applyFill="1" applyBorder="1" applyAlignment="1">
      <alignment horizontal="center"/>
    </xf>
    <xf numFmtId="4" fontId="81" fillId="8" borderId="4" xfId="0" applyNumberFormat="1" applyFont="1" applyFill="1" applyBorder="1" applyAlignment="1">
      <alignment horizontal="center"/>
    </xf>
    <xf numFmtId="4" fontId="81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4" fontId="98" fillId="0" borderId="29" xfId="0" applyNumberFormat="1" applyFont="1" applyFill="1" applyBorder="1" applyAlignment="1">
      <alignment horizontal="center"/>
    </xf>
    <xf numFmtId="4" fontId="98" fillId="0" borderId="24" xfId="0" applyNumberFormat="1" applyFont="1" applyFill="1" applyBorder="1" applyAlignment="1">
      <alignment horizontal="center"/>
    </xf>
    <xf numFmtId="4" fontId="98" fillId="0" borderId="29" xfId="0" applyNumberFormat="1" applyFont="1" applyBorder="1" applyAlignment="1">
      <alignment horizontal="center"/>
    </xf>
    <xf numFmtId="4" fontId="98" fillId="0" borderId="24" xfId="0" applyNumberFormat="1" applyFont="1" applyBorder="1" applyAlignment="1">
      <alignment horizontal="center"/>
    </xf>
    <xf numFmtId="4" fontId="81" fillId="8" borderId="4" xfId="0" applyNumberFormat="1" applyFont="1" applyFill="1" applyBorder="1" applyAlignment="1">
      <alignment horizontal="center" vertical="center"/>
    </xf>
    <xf numFmtId="0" fontId="81" fillId="0" borderId="10" xfId="0" applyFont="1" applyFill="1" applyBorder="1" applyAlignment="1">
      <alignment horizontal="center" vertical="center"/>
    </xf>
    <xf numFmtId="2" fontId="5" fillId="8" borderId="4" xfId="0" applyNumberFormat="1" applyFont="1" applyFill="1" applyBorder="1" applyAlignment="1">
      <alignment horizontal="left" vertical="center"/>
    </xf>
    <xf numFmtId="4" fontId="22" fillId="0" borderId="11" xfId="0" applyNumberFormat="1" applyFont="1" applyFill="1" applyBorder="1"/>
    <xf numFmtId="0" fontId="81" fillId="8" borderId="10" xfId="0" applyFont="1" applyFill="1" applyBorder="1" applyAlignment="1">
      <alignment horizontal="center" vertical="center"/>
    </xf>
    <xf numFmtId="4" fontId="99" fillId="0" borderId="24" xfId="0" applyNumberFormat="1" applyFont="1" applyFill="1" applyBorder="1" applyAlignment="1">
      <alignment horizontal="center"/>
    </xf>
    <xf numFmtId="4" fontId="56" fillId="0" borderId="11" xfId="0" applyNumberFormat="1" applyFont="1" applyFill="1" applyBorder="1" applyAlignment="1">
      <alignment horizontal="center"/>
    </xf>
    <xf numFmtId="0" fontId="61" fillId="0" borderId="4" xfId="32" applyFont="1" applyFill="1" applyBorder="1" applyAlignment="1"/>
    <xf numFmtId="0" fontId="81" fillId="0" borderId="4" xfId="0" applyFont="1" applyFill="1" applyBorder="1" applyAlignment="1">
      <alignment horizontal="center" vertical="center"/>
    </xf>
    <xf numFmtId="2" fontId="105" fillId="0" borderId="4" xfId="0" applyNumberFormat="1" applyFont="1" applyBorder="1" applyAlignment="1">
      <alignment horizontal="center" vertical="center"/>
    </xf>
    <xf numFmtId="4" fontId="98" fillId="0" borderId="29" xfId="0" applyNumberFormat="1" applyFont="1" applyFill="1" applyBorder="1"/>
    <xf numFmtId="4" fontId="98" fillId="0" borderId="24" xfId="0" applyNumberFormat="1" applyFont="1" applyFill="1" applyBorder="1"/>
    <xf numFmtId="4" fontId="69" fillId="0" borderId="1" xfId="0" applyNumberFormat="1" applyFont="1" applyBorder="1" applyAlignment="1">
      <alignment horizontal="center"/>
    </xf>
    <xf numFmtId="4" fontId="69" fillId="0" borderId="39" xfId="0" applyNumberFormat="1" applyFont="1" applyBorder="1" applyAlignment="1">
      <alignment horizontal="center"/>
    </xf>
    <xf numFmtId="4" fontId="71" fillId="0" borderId="1" xfId="0" applyNumberFormat="1" applyFont="1" applyBorder="1"/>
    <xf numFmtId="4" fontId="71" fillId="0" borderId="39" xfId="0" applyNumberFormat="1" applyFont="1" applyBorder="1"/>
    <xf numFmtId="4" fontId="69" fillId="0" borderId="1" xfId="0" applyNumberFormat="1" applyFont="1" applyBorder="1"/>
    <xf numFmtId="4" fontId="69" fillId="0" borderId="39" xfId="0" applyNumberFormat="1" applyFont="1" applyBorder="1"/>
    <xf numFmtId="4" fontId="69" fillId="0" borderId="40" xfId="0" applyNumberFormat="1" applyFont="1" applyBorder="1"/>
    <xf numFmtId="4" fontId="69" fillId="0" borderId="41" xfId="0" applyNumberFormat="1" applyFont="1" applyBorder="1"/>
    <xf numFmtId="2" fontId="55" fillId="0" borderId="29" xfId="0" applyNumberFormat="1" applyFont="1" applyFill="1" applyBorder="1" applyAlignment="1">
      <alignment horizontal="center"/>
    </xf>
    <xf numFmtId="2" fontId="55" fillId="0" borderId="24" xfId="0" applyNumberFormat="1" applyFont="1" applyFill="1" applyBorder="1" applyAlignment="1">
      <alignment horizontal="center"/>
    </xf>
    <xf numFmtId="2" fontId="55" fillId="0" borderId="2" xfId="0" applyNumberFormat="1" applyFont="1" applyFill="1" applyBorder="1" applyAlignment="1">
      <alignment horizontal="center"/>
    </xf>
    <xf numFmtId="2" fontId="55" fillId="0" borderId="3" xfId="0" applyNumberFormat="1" applyFont="1" applyFill="1" applyBorder="1" applyAlignment="1">
      <alignment horizontal="center"/>
    </xf>
    <xf numFmtId="4" fontId="99" fillId="18" borderId="9" xfId="0" applyNumberFormat="1" applyFont="1" applyFill="1" applyBorder="1" applyAlignment="1">
      <alignment horizontal="center"/>
    </xf>
    <xf numFmtId="4" fontId="99" fillId="18" borderId="14" xfId="0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center"/>
    </xf>
    <xf numFmtId="2" fontId="6" fillId="0" borderId="0" xfId="0" applyNumberFormat="1" applyFont="1" applyFill="1"/>
    <xf numFmtId="2" fontId="111" fillId="5" borderId="0" xfId="0" applyNumberFormat="1" applyFont="1" applyFill="1" applyProtection="1">
      <protection locked="0"/>
    </xf>
    <xf numFmtId="2" fontId="111" fillId="3" borderId="0" xfId="0" applyNumberFormat="1" applyFont="1" applyFill="1" applyProtection="1">
      <protection locked="0"/>
    </xf>
    <xf numFmtId="2" fontId="112" fillId="3" borderId="0" xfId="0" applyNumberFormat="1" applyFont="1" applyFill="1" applyProtection="1">
      <protection locked="0"/>
    </xf>
    <xf numFmtId="0" fontId="22" fillId="0" borderId="0" xfId="0" applyFont="1" applyBorder="1"/>
    <xf numFmtId="0" fontId="22" fillId="0" borderId="5" xfId="0" applyFont="1" applyBorder="1"/>
    <xf numFmtId="0" fontId="22" fillId="0" borderId="6" xfId="0" applyFont="1" applyBorder="1"/>
    <xf numFmtId="2" fontId="4" fillId="0" borderId="12" xfId="0" applyNumberFormat="1" applyFont="1" applyBorder="1"/>
    <xf numFmtId="2" fontId="112" fillId="5" borderId="0" xfId="0" applyNumberFormat="1" applyFont="1" applyFill="1" applyProtection="1">
      <protection locked="0"/>
    </xf>
    <xf numFmtId="2" fontId="112" fillId="5" borderId="0" xfId="0" applyNumberFormat="1" applyFont="1" applyFill="1" applyAlignment="1" applyProtection="1">
      <alignment horizontal="center"/>
      <protection locked="0"/>
    </xf>
    <xf numFmtId="2" fontId="112" fillId="2" borderId="0" xfId="0" applyNumberFormat="1" applyFont="1" applyFill="1" applyAlignment="1">
      <alignment horizontal="center"/>
    </xf>
    <xf numFmtId="2" fontId="111" fillId="5" borderId="0" xfId="0" applyNumberFormat="1" applyFont="1" applyFill="1" applyAlignment="1" applyProtection="1">
      <alignment horizontal="left"/>
      <protection locked="0"/>
    </xf>
    <xf numFmtId="2" fontId="113" fillId="5" borderId="0" xfId="0" applyNumberFormat="1" applyFont="1" applyFill="1" applyAlignment="1" applyProtection="1">
      <alignment horizontal="center"/>
      <protection locked="0"/>
    </xf>
    <xf numFmtId="2" fontId="83" fillId="2" borderId="0" xfId="0" applyNumberFormat="1" applyFont="1" applyFill="1" applyAlignment="1">
      <alignment horizontal="center"/>
    </xf>
    <xf numFmtId="2" fontId="83" fillId="2" borderId="0" xfId="0" applyNumberFormat="1" applyFont="1" applyFill="1" applyAlignment="1" applyProtection="1">
      <alignment horizontal="center"/>
      <protection locked="0"/>
    </xf>
    <xf numFmtId="2" fontId="83" fillId="2" borderId="0" xfId="0" applyNumberFormat="1" applyFont="1" applyFill="1" applyAlignment="1" applyProtection="1">
      <alignment horizontal="center"/>
    </xf>
    <xf numFmtId="2" fontId="84" fillId="2" borderId="0" xfId="0" applyNumberFormat="1" applyFont="1" applyFill="1" applyAlignment="1" applyProtection="1">
      <alignment horizontal="center"/>
    </xf>
    <xf numFmtId="2" fontId="82" fillId="2" borderId="0" xfId="0" applyNumberFormat="1" applyFont="1" applyFill="1" applyAlignment="1">
      <alignment horizontal="center"/>
    </xf>
    <xf numFmtId="2" fontId="114" fillId="2" borderId="0" xfId="0" applyNumberFormat="1" applyFont="1" applyFill="1" applyAlignment="1">
      <alignment horizontal="center"/>
    </xf>
    <xf numFmtId="2" fontId="114" fillId="2" borderId="0" xfId="0" applyNumberFormat="1" applyFont="1" applyFill="1" applyAlignment="1" applyProtection="1">
      <alignment horizontal="center"/>
    </xf>
    <xf numFmtId="2" fontId="114" fillId="2" borderId="0" xfId="0" applyNumberFormat="1" applyFont="1" applyFill="1" applyAlignment="1" applyProtection="1">
      <alignment horizontal="center"/>
      <protection locked="0"/>
    </xf>
    <xf numFmtId="2" fontId="42" fillId="0" borderId="23" xfId="0" applyNumberFormat="1" applyFont="1" applyBorder="1" applyAlignment="1" applyProtection="1">
      <alignment horizontal="center"/>
    </xf>
    <xf numFmtId="2" fontId="42" fillId="0" borderId="4" xfId="0" applyNumberFormat="1" applyFont="1" applyBorder="1" applyAlignment="1" applyProtection="1">
      <alignment horizontal="center"/>
    </xf>
    <xf numFmtId="2" fontId="42" fillId="0" borderId="14" xfId="0" applyNumberFormat="1" applyFont="1" applyBorder="1" applyAlignment="1" applyProtection="1">
      <alignment horizontal="center"/>
    </xf>
    <xf numFmtId="2" fontId="42" fillId="0" borderId="9" xfId="0" applyNumberFormat="1" applyFont="1" applyBorder="1" applyAlignment="1" applyProtection="1">
      <alignment horizontal="center"/>
    </xf>
    <xf numFmtId="164" fontId="61" fillId="19" borderId="4" xfId="0" applyNumberFormat="1" applyFont="1" applyFill="1" applyBorder="1" applyAlignment="1">
      <alignment horizontal="center" vertical="center"/>
    </xf>
    <xf numFmtId="164" fontId="61" fillId="20" borderId="4" xfId="0" applyNumberFormat="1" applyFont="1" applyFill="1" applyBorder="1" applyAlignment="1">
      <alignment horizontal="center" vertical="center"/>
    </xf>
    <xf numFmtId="4" fontId="99" fillId="0" borderId="29" xfId="0" applyNumberFormat="1" applyFont="1" applyFill="1" applyBorder="1" applyAlignment="1">
      <alignment horizontal="center"/>
    </xf>
    <xf numFmtId="2" fontId="31" fillId="10" borderId="0" xfId="0" applyNumberFormat="1" applyFont="1" applyFill="1" applyAlignment="1" applyProtection="1">
      <alignment horizontal="right" vertical="center"/>
      <protection locked="0"/>
    </xf>
    <xf numFmtId="2" fontId="34" fillId="0" borderId="0" xfId="0" applyNumberFormat="1" applyFont="1" applyAlignment="1">
      <alignment horizontal="center"/>
    </xf>
    <xf numFmtId="2" fontId="71" fillId="0" borderId="0" xfId="0" applyNumberFormat="1" applyFont="1" applyAlignment="1">
      <alignment horizontal="center"/>
    </xf>
    <xf numFmtId="2" fontId="71" fillId="0" borderId="0" xfId="0" applyNumberFormat="1" applyFont="1" applyAlignment="1">
      <alignment horizontal="left"/>
    </xf>
    <xf numFmtId="2" fontId="85" fillId="0" borderId="0" xfId="0" applyNumberFormat="1" applyFont="1"/>
    <xf numFmtId="164" fontId="105" fillId="7" borderId="4" xfId="0" applyNumberFormat="1" applyFont="1" applyFill="1" applyBorder="1" applyAlignment="1">
      <alignment horizontal="center"/>
    </xf>
    <xf numFmtId="4" fontId="115" fillId="0" borderId="3" xfId="0" applyNumberFormat="1" applyFont="1" applyFill="1" applyBorder="1" applyAlignment="1">
      <alignment horizontal="center"/>
    </xf>
    <xf numFmtId="4" fontId="115" fillId="0" borderId="2" xfId="0" applyNumberFormat="1" applyFont="1" applyFill="1" applyBorder="1" applyAlignment="1">
      <alignment horizontal="center"/>
    </xf>
    <xf numFmtId="2" fontId="31" fillId="10" borderId="0" xfId="0" applyNumberFormat="1" applyFont="1" applyFill="1" applyAlignment="1" applyProtection="1">
      <alignment horizontal="right"/>
      <protection locked="0"/>
    </xf>
    <xf numFmtId="2" fontId="31" fillId="10" borderId="0" xfId="0" applyNumberFormat="1" applyFont="1" applyFill="1" applyAlignment="1" applyProtection="1">
      <alignment horizontal="left"/>
      <protection locked="0"/>
    </xf>
    <xf numFmtId="2" fontId="41" fillId="5" borderId="0" xfId="0" applyNumberFormat="1" applyFont="1" applyFill="1" applyAlignment="1" applyProtection="1">
      <alignment horizontal="left"/>
      <protection locked="0"/>
    </xf>
    <xf numFmtId="2" fontId="38" fillId="2" borderId="0" xfId="0" applyNumberFormat="1" applyFont="1" applyFill="1" applyAlignment="1" applyProtection="1">
      <alignment horizontal="left"/>
    </xf>
    <xf numFmtId="2" fontId="116" fillId="2" borderId="0" xfId="0" applyNumberFormat="1" applyFont="1" applyFill="1" applyAlignment="1" applyProtection="1">
      <alignment horizontal="left"/>
    </xf>
    <xf numFmtId="2" fontId="42" fillId="5" borderId="0" xfId="0" applyNumberFormat="1" applyFont="1" applyFill="1" applyAlignment="1" applyProtection="1">
      <alignment horizontal="center"/>
      <protection locked="0"/>
    </xf>
    <xf numFmtId="2" fontId="116" fillId="2" borderId="0" xfId="0" applyNumberFormat="1" applyFont="1" applyFill="1" applyAlignment="1" applyProtection="1">
      <alignment horizontal="center"/>
    </xf>
    <xf numFmtId="4" fontId="115" fillId="0" borderId="2" xfId="0" applyNumberFormat="1" applyFont="1" applyBorder="1" applyAlignment="1">
      <alignment horizontal="center"/>
    </xf>
    <xf numFmtId="4" fontId="117" fillId="0" borderId="2" xfId="0" applyNumberFormat="1" applyFont="1" applyFill="1" applyBorder="1" applyAlignment="1">
      <alignment horizontal="center"/>
    </xf>
    <xf numFmtId="4" fontId="117" fillId="0" borderId="3" xfId="0" applyNumberFormat="1" applyFont="1" applyFill="1" applyBorder="1" applyAlignment="1">
      <alignment horizontal="center"/>
    </xf>
    <xf numFmtId="2" fontId="41" fillId="5" borderId="0" xfId="0" applyNumberFormat="1" applyFont="1" applyFill="1" applyAlignment="1" applyProtection="1">
      <alignment horizontal="center"/>
    </xf>
    <xf numFmtId="2" fontId="86" fillId="3" borderId="0" xfId="0" applyNumberFormat="1" applyFont="1" applyFill="1" applyAlignment="1" applyProtection="1">
      <alignment horizontal="center"/>
      <protection locked="0"/>
    </xf>
    <xf numFmtId="2" fontId="86" fillId="3" borderId="0" xfId="0" applyNumberFormat="1" applyFont="1" applyFill="1" applyAlignment="1" applyProtection="1">
      <alignment horizontal="left"/>
      <protection locked="0"/>
    </xf>
    <xf numFmtId="2" fontId="87" fillId="3" borderId="0" xfId="0" applyNumberFormat="1" applyFont="1" applyFill="1" applyAlignment="1" applyProtection="1">
      <alignment horizontal="left"/>
      <protection locked="0"/>
    </xf>
    <xf numFmtId="2" fontId="118" fillId="2" borderId="0" xfId="0" applyNumberFormat="1" applyFont="1" applyFill="1" applyAlignment="1" applyProtection="1">
      <alignment horizontal="center"/>
    </xf>
    <xf numFmtId="2" fontId="32" fillId="6" borderId="0" xfId="0" applyNumberFormat="1" applyFont="1" applyFill="1" applyAlignment="1" applyProtection="1">
      <alignment horizontal="center"/>
      <protection locked="0"/>
    </xf>
    <xf numFmtId="2" fontId="53" fillId="6" borderId="0" xfId="0" applyNumberFormat="1" applyFont="1" applyFill="1" applyAlignment="1" applyProtection="1">
      <alignment horizontal="right"/>
      <protection locked="0"/>
    </xf>
    <xf numFmtId="1" fontId="68" fillId="0" borderId="11" xfId="32" applyNumberFormat="1" applyFont="1" applyFill="1" applyBorder="1" applyAlignment="1">
      <alignment horizontal="center" vertical="center"/>
    </xf>
    <xf numFmtId="0" fontId="89" fillId="0" borderId="0" xfId="0" applyFont="1"/>
    <xf numFmtId="0" fontId="0" fillId="0" borderId="0" xfId="0" applyFont="1"/>
    <xf numFmtId="49" fontId="0" fillId="0" borderId="0" xfId="0" applyNumberFormat="1" applyFont="1" applyAlignment="1">
      <alignment horizontal="right"/>
    </xf>
    <xf numFmtId="49" fontId="28" fillId="12" borderId="4" xfId="0" applyNumberFormat="1" applyFont="1" applyFill="1" applyBorder="1" applyAlignment="1">
      <alignment horizontal="center" vertical="center"/>
    </xf>
    <xf numFmtId="0" fontId="90" fillId="12" borderId="21" xfId="0" applyNumberFormat="1" applyFont="1" applyFill="1" applyBorder="1" applyAlignment="1">
      <alignment horizontal="center"/>
    </xf>
    <xf numFmtId="49" fontId="90" fillId="12" borderId="22" xfId="0" applyNumberFormat="1" applyFont="1" applyFill="1" applyBorder="1" applyAlignment="1">
      <alignment horizontal="center"/>
    </xf>
    <xf numFmtId="49" fontId="88" fillId="12" borderId="35" xfId="0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49" fontId="5" fillId="12" borderId="4" xfId="0" applyNumberFormat="1" applyFont="1" applyFill="1" applyBorder="1" applyAlignment="1">
      <alignment horizontal="center" vertical="center"/>
    </xf>
    <xf numFmtId="0" fontId="21" fillId="0" borderId="42" xfId="0" applyFont="1" applyBorder="1"/>
    <xf numFmtId="0" fontId="5" fillId="0" borderId="9" xfId="0" applyNumberFormat="1" applyFont="1" applyBorder="1" applyAlignment="1">
      <alignment horizontal="center"/>
    </xf>
    <xf numFmtId="49" fontId="5" fillId="0" borderId="9" xfId="0" applyNumberFormat="1" applyFont="1" applyBorder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" fontId="91" fillId="2" borderId="21" xfId="0" applyNumberFormat="1" applyFont="1" applyFill="1" applyBorder="1" applyAlignment="1">
      <alignment vertical="center"/>
    </xf>
    <xf numFmtId="4" fontId="91" fillId="2" borderId="6" xfId="0" applyNumberFormat="1" applyFont="1" applyFill="1" applyBorder="1" applyAlignment="1">
      <alignment vertical="center"/>
    </xf>
    <xf numFmtId="4" fontId="91" fillId="2" borderId="35" xfId="0" applyNumberFormat="1" applyFont="1" applyFill="1" applyBorder="1" applyAlignment="1">
      <alignment vertical="center"/>
    </xf>
    <xf numFmtId="4" fontId="21" fillId="12" borderId="21" xfId="0" applyNumberFormat="1" applyFont="1" applyFill="1" applyBorder="1" applyAlignment="1">
      <alignment horizontal="center"/>
    </xf>
    <xf numFmtId="4" fontId="21" fillId="12" borderId="22" xfId="0" applyNumberFormat="1" applyFont="1" applyFill="1" applyBorder="1" applyAlignment="1">
      <alignment horizontal="center"/>
    </xf>
    <xf numFmtId="4" fontId="92" fillId="12" borderId="35" xfId="0" applyNumberFormat="1" applyFont="1" applyFill="1" applyBorder="1" applyAlignment="1">
      <alignment horizontal="center"/>
    </xf>
    <xf numFmtId="4" fontId="91" fillId="2" borderId="43" xfId="0" applyNumberFormat="1" applyFont="1" applyFill="1" applyBorder="1" applyAlignment="1">
      <alignment vertical="center"/>
    </xf>
    <xf numFmtId="4" fontId="21" fillId="12" borderId="10" xfId="0" applyNumberFormat="1" applyFont="1" applyFill="1" applyBorder="1" applyAlignment="1">
      <alignment horizontal="center"/>
    </xf>
    <xf numFmtId="4" fontId="21" fillId="12" borderId="0" xfId="0" applyNumberFormat="1" applyFont="1" applyFill="1" applyBorder="1" applyAlignment="1">
      <alignment horizontal="center"/>
    </xf>
    <xf numFmtId="4" fontId="92" fillId="12" borderId="11" xfId="0" applyNumberFormat="1" applyFont="1" applyFill="1" applyBorder="1" applyAlignment="1">
      <alignment horizontal="center"/>
    </xf>
    <xf numFmtId="4" fontId="119" fillId="0" borderId="2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Font="1" applyFill="1" applyBorder="1"/>
    <xf numFmtId="0" fontId="12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right"/>
    </xf>
    <xf numFmtId="0" fontId="121" fillId="0" borderId="0" xfId="0" applyFont="1"/>
    <xf numFmtId="0" fontId="122" fillId="12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4" fontId="115" fillId="17" borderId="2" xfId="0" applyNumberFormat="1" applyFont="1" applyFill="1" applyBorder="1" applyAlignment="1">
      <alignment horizontal="center"/>
    </xf>
    <xf numFmtId="4" fontId="115" fillId="17" borderId="3" xfId="0" applyNumberFormat="1" applyFont="1" applyFill="1" applyBorder="1" applyAlignment="1">
      <alignment horizontal="center"/>
    </xf>
    <xf numFmtId="4" fontId="10" fillId="12" borderId="2" xfId="0" applyNumberFormat="1" applyFont="1" applyFill="1" applyBorder="1" applyAlignment="1">
      <alignment vertical="center" wrapText="1"/>
    </xf>
    <xf numFmtId="4" fontId="10" fillId="12" borderId="29" xfId="0" applyNumberFormat="1" applyFont="1" applyFill="1" applyBorder="1" applyAlignment="1">
      <alignment vertical="center" wrapText="1"/>
    </xf>
    <xf numFmtId="4" fontId="10" fillId="12" borderId="11" xfId="0" applyNumberFormat="1" applyFont="1" applyFill="1" applyBorder="1" applyAlignment="1">
      <alignment horizontal="right" vertical="center"/>
    </xf>
    <xf numFmtId="4" fontId="10" fillId="12" borderId="3" xfId="0" applyNumberFormat="1" applyFont="1" applyFill="1" applyBorder="1" applyAlignment="1">
      <alignment vertical="center" wrapText="1"/>
    </xf>
    <xf numFmtId="4" fontId="10" fillId="12" borderId="29" xfId="0" applyNumberFormat="1" applyFont="1" applyFill="1" applyBorder="1" applyAlignment="1">
      <alignment horizontal="right" vertical="center"/>
    </xf>
    <xf numFmtId="4" fontId="121" fillId="12" borderId="11" xfId="0" applyNumberFormat="1" applyFont="1" applyFill="1" applyBorder="1"/>
    <xf numFmtId="4" fontId="124" fillId="15" borderId="11" xfId="0" applyNumberFormat="1" applyFont="1" applyFill="1" applyBorder="1" applyAlignment="1">
      <alignment horizontal="right" vertical="center"/>
    </xf>
    <xf numFmtId="4" fontId="124" fillId="15" borderId="11" xfId="0" applyNumberFormat="1" applyFont="1" applyFill="1" applyBorder="1"/>
    <xf numFmtId="4" fontId="123" fillId="12" borderId="2" xfId="0" applyNumberFormat="1" applyFont="1" applyFill="1" applyBorder="1" applyAlignment="1">
      <alignment vertical="center" wrapText="1"/>
    </xf>
    <xf numFmtId="4" fontId="123" fillId="12" borderId="29" xfId="0" applyNumberFormat="1" applyFont="1" applyFill="1" applyBorder="1" applyAlignment="1">
      <alignment vertical="center" wrapText="1"/>
    </xf>
    <xf numFmtId="4" fontId="123" fillId="15" borderId="3" xfId="0" applyNumberFormat="1" applyFont="1" applyFill="1" applyBorder="1"/>
    <xf numFmtId="4" fontId="123" fillId="15" borderId="29" xfId="0" applyNumberFormat="1" applyFont="1" applyFill="1" applyBorder="1"/>
    <xf numFmtId="4" fontId="91" fillId="15" borderId="2" xfId="0" applyNumberFormat="1" applyFont="1" applyFill="1" applyBorder="1" applyAlignment="1">
      <alignment vertical="center" wrapText="1"/>
    </xf>
    <xf numFmtId="4" fontId="91" fillId="15" borderId="29" xfId="0" applyNumberFormat="1" applyFont="1" applyFill="1" applyBorder="1" applyAlignment="1">
      <alignment vertical="center" wrapText="1"/>
    </xf>
    <xf numFmtId="4" fontId="91" fillId="15" borderId="11" xfId="0" applyNumberFormat="1" applyFont="1" applyFill="1" applyBorder="1" applyAlignment="1">
      <alignment horizontal="right" vertical="center"/>
    </xf>
    <xf numFmtId="4" fontId="91" fillId="15" borderId="3" xfId="0" applyNumberFormat="1" applyFont="1" applyFill="1" applyBorder="1"/>
    <xf numFmtId="4" fontId="91" fillId="15" borderId="29" xfId="0" applyNumberFormat="1" applyFont="1" applyFill="1" applyBorder="1"/>
    <xf numFmtId="4" fontId="91" fillId="15" borderId="11" xfId="0" applyNumberFormat="1" applyFont="1" applyFill="1" applyBorder="1"/>
    <xf numFmtId="4" fontId="10" fillId="15" borderId="3" xfId="0" applyNumberFormat="1" applyFont="1" applyFill="1" applyBorder="1"/>
    <xf numFmtId="4" fontId="10" fillId="15" borderId="29" xfId="0" applyNumberFormat="1" applyFont="1" applyFill="1" applyBorder="1"/>
    <xf numFmtId="4" fontId="123" fillId="12" borderId="3" xfId="0" applyNumberFormat="1" applyFont="1" applyFill="1" applyBorder="1" applyAlignment="1">
      <alignment vertical="center" wrapText="1"/>
    </xf>
    <xf numFmtId="4" fontId="91" fillId="15" borderId="46" xfId="0" applyNumberFormat="1" applyFont="1" applyFill="1" applyBorder="1" applyAlignment="1">
      <alignment horizontal="right" vertical="center"/>
    </xf>
    <xf numFmtId="4" fontId="91" fillId="15" borderId="46" xfId="0" applyNumberFormat="1" applyFont="1" applyFill="1" applyBorder="1"/>
    <xf numFmtId="4" fontId="124" fillId="15" borderId="46" xfId="0" applyNumberFormat="1" applyFont="1" applyFill="1" applyBorder="1" applyAlignment="1">
      <alignment horizontal="right" vertical="center"/>
    </xf>
    <xf numFmtId="4" fontId="123" fillId="15" borderId="47" xfId="0" applyNumberFormat="1" applyFont="1" applyFill="1" applyBorder="1"/>
    <xf numFmtId="4" fontId="123" fillId="15" borderId="48" xfId="0" applyNumberFormat="1" applyFont="1" applyFill="1" applyBorder="1"/>
    <xf numFmtId="4" fontId="124" fillId="15" borderId="46" xfId="0" applyNumberFormat="1" applyFont="1" applyFill="1" applyBorder="1"/>
    <xf numFmtId="4" fontId="123" fillId="12" borderId="49" xfId="0" applyNumberFormat="1" applyFont="1" applyFill="1" applyBorder="1" applyAlignment="1">
      <alignment vertical="center" wrapText="1"/>
    </xf>
    <xf numFmtId="4" fontId="123" fillId="12" borderId="48" xfId="0" applyNumberFormat="1" applyFont="1" applyFill="1" applyBorder="1" applyAlignment="1">
      <alignment vertical="center" wrapText="1"/>
    </xf>
    <xf numFmtId="4" fontId="91" fillId="15" borderId="50" xfId="0" applyNumberFormat="1" applyFont="1" applyFill="1" applyBorder="1" applyAlignment="1">
      <alignment vertical="center" wrapText="1"/>
    </xf>
    <xf numFmtId="4" fontId="91" fillId="15" borderId="51" xfId="0" applyNumberFormat="1" applyFont="1" applyFill="1" applyBorder="1" applyAlignment="1">
      <alignment vertical="center" wrapText="1"/>
    </xf>
    <xf numFmtId="4" fontId="91" fillId="15" borderId="52" xfId="0" applyNumberFormat="1" applyFont="1" applyFill="1" applyBorder="1" applyAlignment="1">
      <alignment horizontal="right" vertical="center"/>
    </xf>
    <xf numFmtId="4" fontId="91" fillId="15" borderId="3" xfId="0" applyNumberFormat="1" applyFont="1" applyFill="1" applyBorder="1" applyAlignment="1">
      <alignment vertical="center" wrapText="1"/>
    </xf>
    <xf numFmtId="4" fontId="10" fillId="15" borderId="47" xfId="0" applyNumberFormat="1" applyFont="1" applyFill="1" applyBorder="1"/>
    <xf numFmtId="4" fontId="10" fillId="15" borderId="48" xfId="0" applyNumberFormat="1" applyFont="1" applyFill="1" applyBorder="1"/>
    <xf numFmtId="4" fontId="91" fillId="15" borderId="13" xfId="0" applyNumberFormat="1" applyFont="1" applyFill="1" applyBorder="1" applyAlignment="1">
      <alignment horizontal="right" vertical="center"/>
    </xf>
    <xf numFmtId="4" fontId="10" fillId="15" borderId="36" xfId="0" applyNumberFormat="1" applyFont="1" applyFill="1" applyBorder="1"/>
    <xf numFmtId="4" fontId="10" fillId="15" borderId="37" xfId="0" applyNumberFormat="1" applyFont="1" applyFill="1" applyBorder="1"/>
    <xf numFmtId="4" fontId="91" fillId="15" borderId="13" xfId="0" applyNumberFormat="1" applyFont="1" applyFill="1" applyBorder="1"/>
    <xf numFmtId="4" fontId="123" fillId="12" borderId="47" xfId="0" applyNumberFormat="1" applyFont="1" applyFill="1" applyBorder="1" applyAlignment="1">
      <alignment vertical="center" wrapText="1"/>
    </xf>
    <xf numFmtId="4" fontId="123" fillId="12" borderId="36" xfId="0" applyNumberFormat="1" applyFont="1" applyFill="1" applyBorder="1" applyAlignment="1">
      <alignment vertical="center" wrapText="1"/>
    </xf>
    <xf numFmtId="4" fontId="123" fillId="12" borderId="26" xfId="0" applyNumberFormat="1" applyFont="1" applyFill="1" applyBorder="1" applyAlignment="1">
      <alignment vertical="center" wrapText="1"/>
    </xf>
    <xf numFmtId="4" fontId="123" fillId="12" borderId="37" xfId="0" applyNumberFormat="1" applyFont="1" applyFill="1" applyBorder="1" applyAlignment="1">
      <alignment vertical="center" wrapText="1"/>
    </xf>
    <xf numFmtId="4" fontId="91" fillId="15" borderId="10" xfId="0" applyNumberFormat="1" applyFont="1" applyFill="1" applyBorder="1"/>
    <xf numFmtId="4" fontId="91" fillId="15" borderId="2" xfId="0" applyNumberFormat="1" applyFont="1" applyFill="1" applyBorder="1"/>
    <xf numFmtId="4" fontId="125" fillId="17" borderId="3" xfId="0" applyNumberFormat="1" applyFont="1" applyFill="1" applyBorder="1" applyAlignment="1">
      <alignment horizontal="center"/>
    </xf>
    <xf numFmtId="4" fontId="115" fillId="17" borderId="2" xfId="0" applyNumberFormat="1" applyFont="1" applyFill="1" applyBorder="1" applyAlignment="1">
      <alignment horizontal="center" vertical="center"/>
    </xf>
    <xf numFmtId="167" fontId="0" fillId="0" borderId="0" xfId="0" applyNumberFormat="1"/>
    <xf numFmtId="165" fontId="0" fillId="0" borderId="0" xfId="0" applyNumberFormat="1"/>
    <xf numFmtId="4" fontId="81" fillId="8" borderId="10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" fontId="54" fillId="0" borderId="24" xfId="0" applyNumberFormat="1" applyFont="1" applyFill="1" applyBorder="1" applyAlignment="1">
      <alignment horizontal="left"/>
    </xf>
    <xf numFmtId="2" fontId="54" fillId="0" borderId="24" xfId="0" applyNumberFormat="1" applyFont="1" applyFill="1" applyBorder="1" applyAlignment="1">
      <alignment horizontal="center"/>
    </xf>
    <xf numFmtId="4" fontId="54" fillId="13" borderId="4" xfId="0" applyNumberFormat="1" applyFont="1" applyFill="1" applyBorder="1" applyAlignment="1">
      <alignment horizontal="center"/>
    </xf>
    <xf numFmtId="167" fontId="106" fillId="0" borderId="0" xfId="0" applyNumberFormat="1" applyFont="1"/>
    <xf numFmtId="4" fontId="16" fillId="0" borderId="0" xfId="0" applyNumberFormat="1" applyFont="1" applyBorder="1"/>
    <xf numFmtId="4" fontId="16" fillId="0" borderId="11" xfId="0" applyNumberFormat="1" applyFont="1" applyBorder="1"/>
    <xf numFmtId="4" fontId="99" fillId="3" borderId="24" xfId="0" applyNumberFormat="1" applyFont="1" applyFill="1" applyBorder="1" applyAlignment="1">
      <alignment horizontal="center"/>
    </xf>
    <xf numFmtId="4" fontId="55" fillId="0" borderId="24" xfId="3" applyNumberFormat="1" applyFont="1" applyFill="1" applyBorder="1" applyAlignment="1">
      <alignment horizontal="center"/>
    </xf>
    <xf numFmtId="0" fontId="80" fillId="0" borderId="4" xfId="13" applyFont="1" applyFill="1" applyBorder="1" applyAlignment="1">
      <alignment horizontal="center"/>
    </xf>
    <xf numFmtId="4" fontId="81" fillId="0" borderId="0" xfId="0" applyNumberFormat="1" applyFont="1" applyFill="1" applyBorder="1" applyAlignment="1">
      <alignment horizontal="center"/>
    </xf>
    <xf numFmtId="2" fontId="81" fillId="8" borderId="10" xfId="0" applyNumberFormat="1" applyFont="1" applyFill="1" applyBorder="1" applyAlignment="1">
      <alignment horizontal="left" vertical="center"/>
    </xf>
    <xf numFmtId="0" fontId="80" fillId="0" borderId="10" xfId="13" applyFont="1" applyFill="1" applyBorder="1" applyAlignment="1">
      <alignment horizontal="center"/>
    </xf>
    <xf numFmtId="164" fontId="61" fillId="8" borderId="4" xfId="0" quotePrefix="1" applyNumberFormat="1" applyFont="1" applyFill="1" applyBorder="1" applyAlignment="1">
      <alignment horizontal="left" vertical="center"/>
    </xf>
    <xf numFmtId="4" fontId="108" fillId="8" borderId="29" xfId="0" applyNumberFormat="1" applyFont="1" applyFill="1" applyBorder="1" applyAlignment="1">
      <alignment horizontal="center"/>
    </xf>
    <xf numFmtId="4" fontId="108" fillId="8" borderId="24" xfId="0" applyNumberFormat="1" applyFont="1" applyFill="1" applyBorder="1" applyAlignment="1">
      <alignment horizontal="center"/>
    </xf>
    <xf numFmtId="4" fontId="109" fillId="0" borderId="11" xfId="0" applyNumberFormat="1" applyFont="1" applyFill="1" applyBorder="1" applyAlignment="1">
      <alignment horizontal="center"/>
    </xf>
    <xf numFmtId="4" fontId="109" fillId="0" borderId="4" xfId="0" applyNumberFormat="1" applyFont="1" applyBorder="1" applyAlignment="1">
      <alignment horizontal="center"/>
    </xf>
    <xf numFmtId="4" fontId="55" fillId="0" borderId="3" xfId="22" applyNumberFormat="1" applyFont="1" applyFill="1" applyBorder="1" applyAlignment="1">
      <alignment horizontal="center"/>
    </xf>
    <xf numFmtId="4" fontId="55" fillId="0" borderId="29" xfId="22" applyNumberFormat="1" applyFont="1" applyFill="1" applyBorder="1" applyAlignment="1">
      <alignment horizontal="center"/>
    </xf>
    <xf numFmtId="4" fontId="55" fillId="0" borderId="24" xfId="22" applyNumberFormat="1" applyFont="1" applyFill="1" applyBorder="1" applyAlignment="1">
      <alignment horizontal="center"/>
    </xf>
    <xf numFmtId="4" fontId="55" fillId="0" borderId="2" xfId="22" applyNumberFormat="1" applyFont="1" applyFill="1" applyBorder="1" applyAlignment="1">
      <alignment horizontal="center"/>
    </xf>
    <xf numFmtId="4" fontId="55" fillId="8" borderId="3" xfId="22" applyNumberFormat="1" applyFont="1" applyFill="1" applyBorder="1" applyAlignment="1">
      <alignment horizontal="center"/>
    </xf>
    <xf numFmtId="4" fontId="55" fillId="8" borderId="29" xfId="22" applyNumberFormat="1" applyFont="1" applyFill="1" applyBorder="1" applyAlignment="1">
      <alignment horizontal="center"/>
    </xf>
    <xf numFmtId="4" fontId="55" fillId="8" borderId="24" xfId="22" applyNumberFormat="1" applyFont="1" applyFill="1" applyBorder="1" applyAlignment="1">
      <alignment horizontal="center"/>
    </xf>
    <xf numFmtId="4" fontId="55" fillId="8" borderId="2" xfId="22" applyNumberFormat="1" applyFont="1" applyFill="1" applyBorder="1" applyAlignment="1">
      <alignment horizontal="center"/>
    </xf>
    <xf numFmtId="4" fontId="57" fillId="8" borderId="29" xfId="22" applyNumberFormat="1" applyFont="1" applyFill="1" applyBorder="1" applyAlignment="1">
      <alignment horizontal="center"/>
    </xf>
    <xf numFmtId="4" fontId="57" fillId="8" borderId="24" xfId="22" applyNumberFormat="1" applyFont="1" applyFill="1" applyBorder="1" applyAlignment="1">
      <alignment horizontal="center"/>
    </xf>
    <xf numFmtId="168" fontId="55" fillId="0" borderId="29" xfId="22" applyNumberFormat="1" applyFont="1" applyFill="1" applyBorder="1" applyAlignment="1">
      <alignment horizontal="center"/>
    </xf>
    <xf numFmtId="0" fontId="0" fillId="17" borderId="0" xfId="0" applyFill="1"/>
    <xf numFmtId="4" fontId="119" fillId="0" borderId="3" xfId="0" applyNumberFormat="1" applyFont="1" applyFill="1" applyBorder="1" applyAlignment="1">
      <alignment horizontal="center"/>
    </xf>
    <xf numFmtId="4" fontId="119" fillId="0" borderId="29" xfId="0" applyNumberFormat="1" applyFont="1" applyFill="1" applyBorder="1" applyAlignment="1">
      <alignment horizontal="center"/>
    </xf>
    <xf numFmtId="4" fontId="119" fillId="0" borderId="24" xfId="0" applyNumberFormat="1" applyFont="1" applyFill="1" applyBorder="1" applyAlignment="1">
      <alignment horizontal="center"/>
    </xf>
    <xf numFmtId="4" fontId="126" fillId="0" borderId="3" xfId="0" applyNumberFormat="1" applyFont="1" applyFill="1" applyBorder="1" applyAlignment="1">
      <alignment horizontal="center"/>
    </xf>
    <xf numFmtId="2" fontId="119" fillId="0" borderId="29" xfId="0" applyNumberFormat="1" applyFont="1" applyFill="1" applyBorder="1" applyAlignment="1">
      <alignment horizontal="center"/>
    </xf>
    <xf numFmtId="2" fontId="119" fillId="0" borderId="24" xfId="0" applyNumberFormat="1" applyFont="1" applyFill="1" applyBorder="1" applyAlignment="1">
      <alignment horizontal="center"/>
    </xf>
    <xf numFmtId="2" fontId="119" fillId="0" borderId="62" xfId="0" applyNumberFormat="1" applyFont="1" applyFill="1" applyBorder="1" applyAlignment="1">
      <alignment horizontal="center"/>
    </xf>
    <xf numFmtId="2" fontId="119" fillId="0" borderId="63" xfId="0" applyNumberFormat="1" applyFont="1" applyFill="1" applyBorder="1" applyAlignment="1">
      <alignment horizontal="center"/>
    </xf>
    <xf numFmtId="0" fontId="61" fillId="0" borderId="4" xfId="0" applyFont="1" applyBorder="1"/>
    <xf numFmtId="4" fontId="108" fillId="0" borderId="25" xfId="0" applyNumberFormat="1" applyFont="1" applyFill="1" applyBorder="1" applyAlignment="1">
      <alignment horizontal="center"/>
    </xf>
    <xf numFmtId="2" fontId="119" fillId="0" borderId="64" xfId="0" applyNumberFormat="1" applyFont="1" applyFill="1" applyBorder="1" applyAlignment="1">
      <alignment horizontal="center"/>
    </xf>
    <xf numFmtId="2" fontId="119" fillId="0" borderId="65" xfId="0" applyNumberFormat="1" applyFont="1" applyFill="1" applyBorder="1" applyAlignment="1">
      <alignment horizontal="center"/>
    </xf>
    <xf numFmtId="2" fontId="119" fillId="0" borderId="2" xfId="0" applyNumberFormat="1" applyFont="1" applyFill="1" applyBorder="1" applyAlignment="1">
      <alignment horizontal="center"/>
    </xf>
    <xf numFmtId="2" fontId="55" fillId="8" borderId="3" xfId="0" applyNumberFormat="1" applyFont="1" applyFill="1" applyBorder="1" applyAlignment="1">
      <alignment horizontal="center"/>
    </xf>
    <xf numFmtId="2" fontId="55" fillId="8" borderId="29" xfId="0" applyNumberFormat="1" applyFont="1" applyFill="1" applyBorder="1" applyAlignment="1">
      <alignment horizontal="center"/>
    </xf>
    <xf numFmtId="2" fontId="55" fillId="8" borderId="24" xfId="0" applyNumberFormat="1" applyFont="1" applyFill="1" applyBorder="1" applyAlignment="1">
      <alignment horizontal="center"/>
    </xf>
    <xf numFmtId="2" fontId="55" fillId="8" borderId="2" xfId="0" applyNumberFormat="1" applyFont="1" applyFill="1" applyBorder="1" applyAlignment="1">
      <alignment horizontal="center"/>
    </xf>
    <xf numFmtId="2" fontId="98" fillId="0" borderId="2" xfId="0" applyNumberFormat="1" applyFont="1" applyFill="1" applyBorder="1" applyAlignment="1">
      <alignment horizontal="center"/>
    </xf>
    <xf numFmtId="2" fontId="55" fillId="8" borderId="29" xfId="0" applyNumberFormat="1" applyFont="1" applyFill="1" applyBorder="1" applyAlignment="1">
      <alignment horizontal="center" vertical="center"/>
    </xf>
    <xf numFmtId="2" fontId="55" fillId="8" borderId="24" xfId="0" applyNumberFormat="1" applyFont="1" applyFill="1" applyBorder="1" applyAlignment="1">
      <alignment horizontal="center" vertical="center"/>
    </xf>
    <xf numFmtId="2" fontId="55" fillId="8" borderId="2" xfId="0" applyNumberFormat="1" applyFont="1" applyFill="1" applyBorder="1" applyAlignment="1">
      <alignment horizontal="center" vertical="center"/>
    </xf>
    <xf numFmtId="2" fontId="55" fillId="0" borderId="25" xfId="0" applyNumberFormat="1" applyFont="1" applyFill="1" applyBorder="1" applyAlignment="1">
      <alignment horizontal="center"/>
    </xf>
    <xf numFmtId="2" fontId="55" fillId="8" borderId="25" xfId="0" applyNumberFormat="1" applyFont="1" applyFill="1" applyBorder="1" applyAlignment="1">
      <alignment horizontal="center"/>
    </xf>
    <xf numFmtId="4" fontId="127" fillId="15" borderId="2" xfId="0" applyNumberFormat="1" applyFont="1" applyFill="1" applyBorder="1" applyAlignment="1">
      <alignment vertical="center" wrapText="1"/>
    </xf>
    <xf numFmtId="4" fontId="127" fillId="15" borderId="29" xfId="0" applyNumberFormat="1" applyFont="1" applyFill="1" applyBorder="1" applyAlignment="1">
      <alignment vertical="center" wrapText="1"/>
    </xf>
    <xf numFmtId="4" fontId="127" fillId="15" borderId="11" xfId="0" applyNumberFormat="1" applyFont="1" applyFill="1" applyBorder="1" applyAlignment="1">
      <alignment horizontal="right" vertical="center"/>
    </xf>
    <xf numFmtId="4" fontId="127" fillId="15" borderId="3" xfId="0" applyNumberFormat="1" applyFont="1" applyFill="1" applyBorder="1" applyAlignment="1">
      <alignment vertical="center" wrapText="1"/>
    </xf>
    <xf numFmtId="4" fontId="127" fillId="15" borderId="11" xfId="0" applyNumberFormat="1" applyFont="1" applyFill="1" applyBorder="1"/>
    <xf numFmtId="4" fontId="127" fillId="15" borderId="33" xfId="0" applyNumberFormat="1" applyFont="1" applyFill="1" applyBorder="1" applyAlignment="1">
      <alignment vertical="center" wrapText="1"/>
    </xf>
    <xf numFmtId="4" fontId="127" fillId="15" borderId="31" xfId="0" applyNumberFormat="1" applyFont="1" applyFill="1" applyBorder="1" applyAlignment="1">
      <alignment vertical="center" wrapText="1"/>
    </xf>
    <xf numFmtId="4" fontId="127" fillId="15" borderId="35" xfId="0" applyNumberFormat="1" applyFont="1" applyFill="1" applyBorder="1" applyAlignment="1">
      <alignment horizontal="right" vertical="center"/>
    </xf>
    <xf numFmtId="4" fontId="127" fillId="15" borderId="30" xfId="0" applyNumberFormat="1" applyFont="1" applyFill="1" applyBorder="1" applyAlignment="1">
      <alignment vertical="center" wrapText="1"/>
    </xf>
    <xf numFmtId="4" fontId="127" fillId="15" borderId="35" xfId="0" applyNumberFormat="1" applyFont="1" applyFill="1" applyBorder="1"/>
    <xf numFmtId="4" fontId="124" fillId="15" borderId="13" xfId="0" applyNumberFormat="1" applyFont="1" applyFill="1" applyBorder="1" applyAlignment="1">
      <alignment horizontal="right" vertical="center"/>
    </xf>
    <xf numFmtId="4" fontId="123" fillId="15" borderId="36" xfId="0" applyNumberFormat="1" applyFont="1" applyFill="1" applyBorder="1"/>
    <xf numFmtId="4" fontId="123" fillId="15" borderId="37" xfId="0" applyNumberFormat="1" applyFont="1" applyFill="1" applyBorder="1"/>
    <xf numFmtId="4" fontId="124" fillId="15" borderId="13" xfId="0" applyNumberFormat="1" applyFont="1" applyFill="1" applyBorder="1"/>
    <xf numFmtId="4" fontId="127" fillId="15" borderId="3" xfId="0" applyNumberFormat="1" applyFont="1" applyFill="1" applyBorder="1"/>
    <xf numFmtId="4" fontId="127" fillId="15" borderId="29" xfId="0" applyNumberFormat="1" applyFont="1" applyFill="1" applyBorder="1"/>
    <xf numFmtId="0" fontId="91" fillId="0" borderId="14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4" fontId="128" fillId="15" borderId="7" xfId="0" applyNumberFormat="1" applyFont="1" applyFill="1" applyBorder="1" applyAlignment="1">
      <alignment vertical="center" wrapText="1"/>
    </xf>
    <xf numFmtId="4" fontId="128" fillId="15" borderId="54" xfId="0" applyNumberFormat="1" applyFont="1" applyFill="1" applyBorder="1" applyAlignment="1">
      <alignment vertical="center" wrapText="1"/>
    </xf>
    <xf numFmtId="4" fontId="128" fillId="15" borderId="8" xfId="0" applyNumberFormat="1" applyFont="1" applyFill="1" applyBorder="1" applyAlignment="1">
      <alignment horizontal="right" vertical="center"/>
    </xf>
    <xf numFmtId="4" fontId="128" fillId="15" borderId="38" xfId="0" applyNumberFormat="1" applyFont="1" applyFill="1" applyBorder="1" applyAlignment="1">
      <alignment vertical="center" wrapText="1"/>
    </xf>
    <xf numFmtId="4" fontId="128" fillId="15" borderId="8" xfId="0" applyNumberFormat="1" applyFont="1" applyFill="1" applyBorder="1"/>
    <xf numFmtId="0" fontId="122" fillId="20" borderId="9" xfId="0" applyFont="1" applyFill="1" applyBorder="1" applyAlignment="1">
      <alignment horizontal="center" vertical="center"/>
    </xf>
    <xf numFmtId="4" fontId="128" fillId="20" borderId="7" xfId="0" applyNumberFormat="1" applyFont="1" applyFill="1" applyBorder="1" applyAlignment="1">
      <alignment vertical="center" wrapText="1"/>
    </xf>
    <xf numFmtId="4" fontId="128" fillId="20" borderId="54" xfId="0" applyNumberFormat="1" applyFont="1" applyFill="1" applyBorder="1" applyAlignment="1">
      <alignment vertical="center" wrapText="1"/>
    </xf>
    <xf numFmtId="4" fontId="128" fillId="20" borderId="8" xfId="0" applyNumberFormat="1" applyFont="1" applyFill="1" applyBorder="1" applyAlignment="1">
      <alignment horizontal="right" vertical="center"/>
    </xf>
    <xf numFmtId="4" fontId="128" fillId="20" borderId="38" xfId="0" applyNumberFormat="1" applyFont="1" applyFill="1" applyBorder="1" applyAlignment="1">
      <alignment vertical="center" wrapText="1"/>
    </xf>
    <xf numFmtId="4" fontId="128" fillId="20" borderId="8" xfId="0" applyNumberFormat="1" applyFont="1" applyFill="1" applyBorder="1"/>
    <xf numFmtId="4" fontId="128" fillId="20" borderId="38" xfId="0" applyNumberFormat="1" applyFont="1" applyFill="1" applyBorder="1"/>
    <xf numFmtId="4" fontId="128" fillId="20" borderId="54" xfId="0" applyNumberFormat="1" applyFont="1" applyFill="1" applyBorder="1"/>
    <xf numFmtId="0" fontId="10" fillId="0" borderId="44" xfId="0" applyFont="1" applyFill="1" applyBorder="1" applyAlignment="1">
      <alignment horizontal="left" vertical="center"/>
    </xf>
    <xf numFmtId="4" fontId="91" fillId="15" borderId="0" xfId="0" applyNumberFormat="1" applyFont="1" applyFill="1" applyBorder="1" applyAlignment="1">
      <alignment horizontal="right" vertical="center"/>
    </xf>
    <xf numFmtId="4" fontId="123" fillId="12" borderId="57" xfId="0" applyNumberFormat="1" applyFont="1" applyFill="1" applyBorder="1" applyAlignment="1">
      <alignment vertical="center" wrapText="1"/>
    </xf>
    <xf numFmtId="4" fontId="123" fillId="12" borderId="50" xfId="0" applyNumberFormat="1" applyFont="1" applyFill="1" applyBorder="1" applyAlignment="1">
      <alignment vertical="center" wrapText="1"/>
    </xf>
    <xf numFmtId="4" fontId="123" fillId="12" borderId="51" xfId="0" applyNumberFormat="1" applyFont="1" applyFill="1" applyBorder="1" applyAlignment="1">
      <alignment vertical="center" wrapText="1"/>
    </xf>
    <xf numFmtId="4" fontId="91" fillId="15" borderId="58" xfId="0" applyNumberFormat="1" applyFont="1" applyFill="1" applyBorder="1" applyAlignment="1">
      <alignment horizontal="right" vertical="center"/>
    </xf>
    <xf numFmtId="4" fontId="127" fillId="15" borderId="23" xfId="0" applyNumberFormat="1" applyFont="1" applyFill="1" applyBorder="1" applyAlignment="1">
      <alignment horizontal="center" vertical="center" wrapText="1"/>
    </xf>
    <xf numFmtId="4" fontId="127" fillId="15" borderId="45" xfId="0" applyNumberFormat="1" applyFont="1" applyFill="1" applyBorder="1" applyAlignment="1">
      <alignment horizontal="center" vertical="center" wrapText="1"/>
    </xf>
    <xf numFmtId="4" fontId="91" fillId="20" borderId="8" xfId="0" applyNumberFormat="1" applyFont="1" applyFill="1" applyBorder="1" applyAlignment="1">
      <alignment horizontal="right" vertical="center"/>
    </xf>
    <xf numFmtId="4" fontId="122" fillId="15" borderId="9" xfId="0" applyNumberFormat="1" applyFont="1" applyFill="1" applyBorder="1" applyAlignment="1">
      <alignment horizontal="center" vertical="center" wrapText="1"/>
    </xf>
    <xf numFmtId="4" fontId="127" fillId="15" borderId="4" xfId="0" applyNumberFormat="1" applyFont="1" applyFill="1" applyBorder="1" applyAlignment="1">
      <alignment horizontal="center" vertical="center" wrapText="1"/>
    </xf>
    <xf numFmtId="2" fontId="54" fillId="0" borderId="2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2" fontId="1" fillId="0" borderId="24" xfId="0" applyNumberFormat="1" applyFont="1" applyFill="1" applyBorder="1"/>
    <xf numFmtId="2" fontId="0" fillId="0" borderId="29" xfId="0" applyNumberFormat="1" applyFill="1" applyBorder="1"/>
    <xf numFmtId="2" fontId="0" fillId="0" borderId="29" xfId="0" applyNumberFormat="1" applyFill="1" applyBorder="1" applyAlignment="1">
      <alignment horizontal="center"/>
    </xf>
    <xf numFmtId="2" fontId="1" fillId="0" borderId="24" xfId="0" applyNumberFormat="1" applyFont="1" applyFill="1" applyBorder="1" applyAlignment="1">
      <alignment horizontal="center"/>
    </xf>
    <xf numFmtId="4" fontId="54" fillId="7" borderId="23" xfId="0" applyNumberFormat="1" applyFont="1" applyFill="1" applyBorder="1" applyAlignment="1">
      <alignment horizontal="center"/>
    </xf>
    <xf numFmtId="4" fontId="54" fillId="4" borderId="0" xfId="0" applyNumberFormat="1" applyFont="1" applyFill="1" applyBorder="1" applyAlignment="1">
      <alignment horizontal="center"/>
    </xf>
    <xf numFmtId="0" fontId="129" fillId="0" borderId="4" xfId="0" applyFont="1" applyBorder="1"/>
    <xf numFmtId="4" fontId="123" fillId="12" borderId="18" xfId="0" applyNumberFormat="1" applyFont="1" applyFill="1" applyBorder="1" applyAlignment="1">
      <alignment vertical="center" wrapText="1"/>
    </xf>
    <xf numFmtId="4" fontId="123" fillId="12" borderId="55" xfId="0" applyNumberFormat="1" applyFont="1" applyFill="1" applyBorder="1" applyAlignment="1">
      <alignment vertical="center" wrapText="1"/>
    </xf>
    <xf numFmtId="4" fontId="123" fillId="12" borderId="1" xfId="0" applyNumberFormat="1" applyFont="1" applyFill="1" applyBorder="1" applyAlignment="1">
      <alignment vertical="center" wrapText="1"/>
    </xf>
    <xf numFmtId="4" fontId="127" fillId="15" borderId="10" xfId="0" applyNumberFormat="1" applyFont="1" applyFill="1" applyBorder="1" applyAlignment="1">
      <alignment vertical="center" wrapText="1"/>
    </xf>
    <xf numFmtId="4" fontId="127" fillId="15" borderId="51" xfId="0" applyNumberFormat="1" applyFont="1" applyFill="1" applyBorder="1" applyAlignment="1">
      <alignment vertical="center" wrapText="1"/>
    </xf>
    <xf numFmtId="0" fontId="130" fillId="11" borderId="4" xfId="0" applyFont="1" applyFill="1" applyBorder="1" applyAlignment="1">
      <alignment vertical="center" wrapText="1"/>
    </xf>
    <xf numFmtId="2" fontId="98" fillId="0" borderId="3" xfId="0" applyNumberFormat="1" applyFont="1" applyFill="1" applyBorder="1" applyAlignment="1">
      <alignment horizontal="center"/>
    </xf>
    <xf numFmtId="4" fontId="91" fillId="15" borderId="27" xfId="0" applyNumberFormat="1" applyFont="1" applyFill="1" applyBorder="1" applyAlignment="1">
      <alignment horizontal="right" vertical="center"/>
    </xf>
    <xf numFmtId="0" fontId="79" fillId="0" borderId="10" xfId="32" applyFont="1" applyFill="1" applyBorder="1" applyAlignment="1"/>
    <xf numFmtId="164" fontId="5" fillId="7" borderId="11" xfId="0" applyNumberFormat="1" applyFont="1" applyFill="1" applyBorder="1" applyAlignment="1">
      <alignment horizontal="center"/>
    </xf>
    <xf numFmtId="164" fontId="5" fillId="7" borderId="29" xfId="0" applyNumberFormat="1" applyFont="1" applyFill="1" applyBorder="1" applyAlignment="1">
      <alignment horizontal="center"/>
    </xf>
    <xf numFmtId="4" fontId="54" fillId="7" borderId="28" xfId="0" applyNumberFormat="1" applyFont="1" applyFill="1" applyBorder="1" applyAlignment="1">
      <alignment horizontal="center"/>
    </xf>
    <xf numFmtId="2" fontId="5" fillId="0" borderId="10" xfId="0" applyNumberFormat="1" applyFont="1" applyFill="1" applyBorder="1" applyAlignment="1">
      <alignment horizontal="center" vertical="center"/>
    </xf>
    <xf numFmtId="2" fontId="71" fillId="0" borderId="0" xfId="0" applyNumberFormat="1" applyFont="1" applyAlignment="1">
      <alignment horizontal="right"/>
    </xf>
    <xf numFmtId="2" fontId="96" fillId="0" borderId="0" xfId="0" applyNumberFormat="1" applyFont="1"/>
    <xf numFmtId="164" fontId="105" fillId="7" borderId="23" xfId="0" applyNumberFormat="1" applyFont="1" applyFill="1" applyBorder="1" applyAlignment="1">
      <alignment horizontal="center"/>
    </xf>
    <xf numFmtId="164" fontId="5" fillId="7" borderId="23" xfId="0" applyNumberFormat="1" applyFont="1" applyFill="1" applyBorder="1" applyAlignment="1">
      <alignment horizontal="center"/>
    </xf>
    <xf numFmtId="4" fontId="54" fillId="7" borderId="33" xfId="0" applyNumberFormat="1" applyFont="1" applyFill="1" applyBorder="1" applyAlignment="1">
      <alignment horizontal="center"/>
    </xf>
    <xf numFmtId="4" fontId="99" fillId="3" borderId="31" xfId="0" applyNumberFormat="1" applyFont="1" applyFill="1" applyBorder="1" applyAlignment="1">
      <alignment horizontal="center"/>
    </xf>
    <xf numFmtId="4" fontId="54" fillId="7" borderId="34" xfId="0" applyNumberFormat="1" applyFont="1" applyFill="1" applyBorder="1" applyAlignment="1">
      <alignment horizontal="center"/>
    </xf>
    <xf numFmtId="4" fontId="54" fillId="7" borderId="35" xfId="0" applyNumberFormat="1" applyFont="1" applyFill="1" applyBorder="1" applyAlignment="1">
      <alignment horizontal="center"/>
    </xf>
    <xf numFmtId="164" fontId="11" fillId="0" borderId="2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165" fontId="79" fillId="4" borderId="23" xfId="32" applyNumberFormat="1" applyFont="1" applyFill="1" applyBorder="1" applyAlignment="1">
      <alignment horizontal="left"/>
    </xf>
    <xf numFmtId="4" fontId="54" fillId="3" borderId="26" xfId="0" applyNumberFormat="1" applyFont="1" applyFill="1" applyBorder="1" applyAlignment="1">
      <alignment horizontal="center"/>
    </xf>
    <xf numFmtId="4" fontId="54" fillId="9" borderId="2" xfId="0" applyNumberFormat="1" applyFont="1" applyFill="1" applyBorder="1" applyAlignment="1">
      <alignment horizontal="center"/>
    </xf>
    <xf numFmtId="4" fontId="126" fillId="0" borderId="2" xfId="0" applyNumberFormat="1" applyFont="1" applyFill="1" applyBorder="1" applyAlignment="1">
      <alignment horizontal="center"/>
    </xf>
    <xf numFmtId="4" fontId="54" fillId="13" borderId="2" xfId="0" applyNumberFormat="1" applyFont="1" applyFill="1" applyBorder="1" applyAlignment="1">
      <alignment horizontal="center"/>
    </xf>
    <xf numFmtId="4" fontId="125" fillId="17" borderId="2" xfId="0" applyNumberFormat="1" applyFont="1" applyFill="1" applyBorder="1" applyAlignment="1">
      <alignment horizontal="center"/>
    </xf>
    <xf numFmtId="4" fontId="125" fillId="0" borderId="2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1" fillId="8" borderId="4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4" fontId="110" fillId="0" borderId="0" xfId="0" applyNumberFormat="1" applyFont="1"/>
    <xf numFmtId="2" fontId="119" fillId="0" borderId="2" xfId="34" applyFont="1" applyFill="1">
      <alignment horizontal="center"/>
    </xf>
    <xf numFmtId="4" fontId="119" fillId="0" borderId="3" xfId="22" applyNumberFormat="1" applyFont="1" applyFill="1" applyBorder="1" applyAlignment="1">
      <alignment horizontal="center"/>
    </xf>
    <xf numFmtId="2" fontId="119" fillId="0" borderId="3" xfId="0" applyNumberFormat="1" applyFont="1" applyFill="1" applyBorder="1" applyAlignment="1">
      <alignment horizontal="center"/>
    </xf>
    <xf numFmtId="2" fontId="119" fillId="0" borderId="2" xfId="34" applyFont="1">
      <alignment horizontal="center"/>
    </xf>
    <xf numFmtId="2" fontId="55" fillId="0" borderId="2" xfId="34" applyFont="1">
      <alignment horizontal="center"/>
    </xf>
    <xf numFmtId="0" fontId="16" fillId="0" borderId="4" xfId="0" applyFont="1" applyFill="1" applyBorder="1" applyAlignment="1">
      <alignment horizontal="center"/>
    </xf>
    <xf numFmtId="2" fontId="55" fillId="0" borderId="3" xfId="35" applyFont="1" applyFill="1">
      <alignment horizontal="center"/>
    </xf>
    <xf numFmtId="2" fontId="55" fillId="0" borderId="3" xfId="35" applyFont="1">
      <alignment horizontal="center"/>
    </xf>
    <xf numFmtId="1" fontId="19" fillId="0" borderId="0" xfId="26" applyNumberFormat="1" applyFont="1" applyFill="1" applyBorder="1" applyAlignment="1">
      <alignment horizontal="center"/>
    </xf>
    <xf numFmtId="0" fontId="80" fillId="0" borderId="10" xfId="13" applyFont="1" applyBorder="1" applyAlignment="1">
      <alignment horizontal="center"/>
    </xf>
    <xf numFmtId="4" fontId="81" fillId="8" borderId="0" xfId="0" applyNumberFormat="1" applyFont="1" applyFill="1" applyBorder="1" applyAlignment="1">
      <alignment horizontal="center"/>
    </xf>
    <xf numFmtId="165" fontId="61" fillId="0" borderId="14" xfId="32" applyNumberFormat="1" applyFont="1" applyFill="1" applyBorder="1" applyAlignment="1"/>
    <xf numFmtId="4" fontId="81" fillId="0" borderId="14" xfId="0" applyNumberFormat="1" applyFont="1" applyFill="1" applyBorder="1" applyAlignment="1">
      <alignment horizontal="center"/>
    </xf>
    <xf numFmtId="4" fontId="55" fillId="0" borderId="36" xfId="0" applyNumberFormat="1" applyFont="1" applyFill="1" applyBorder="1" applyAlignment="1">
      <alignment horizontal="center"/>
    </xf>
    <xf numFmtId="4" fontId="55" fillId="0" borderId="37" xfId="0" applyNumberFormat="1" applyFont="1" applyFill="1" applyBorder="1" applyAlignment="1">
      <alignment horizontal="center"/>
    </xf>
    <xf numFmtId="4" fontId="55" fillId="0" borderId="27" xfId="0" applyNumberFormat="1" applyFont="1" applyFill="1" applyBorder="1" applyAlignment="1">
      <alignment horizontal="center"/>
    </xf>
    <xf numFmtId="4" fontId="55" fillId="0" borderId="26" xfId="0" applyNumberFormat="1" applyFont="1" applyFill="1" applyBorder="1" applyAlignment="1">
      <alignment horizontal="center"/>
    </xf>
    <xf numFmtId="0" fontId="131" fillId="11" borderId="4" xfId="0" applyFont="1" applyFill="1" applyBorder="1" applyAlignment="1">
      <alignment horizontal="center" vertical="center" wrapText="1"/>
    </xf>
    <xf numFmtId="2" fontId="132" fillId="0" borderId="0" xfId="0" applyNumberFormat="1" applyFont="1" applyAlignment="1">
      <alignment horizontal="center"/>
    </xf>
    <xf numFmtId="1" fontId="13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4" fontId="55" fillId="12" borderId="11" xfId="0" applyNumberFormat="1" applyFont="1" applyFill="1" applyBorder="1" applyAlignment="1">
      <alignment horizontal="center"/>
    </xf>
    <xf numFmtId="4" fontId="2" fillId="0" borderId="0" xfId="0" applyNumberFormat="1" applyFont="1"/>
    <xf numFmtId="4" fontId="54" fillId="15" borderId="9" xfId="0" applyNumberFormat="1" applyFont="1" applyFill="1" applyBorder="1" applyAlignment="1">
      <alignment horizontal="center" vertical="center"/>
    </xf>
    <xf numFmtId="4" fontId="54" fillId="16" borderId="8" xfId="0" applyNumberFormat="1" applyFont="1" applyFill="1" applyBorder="1" applyAlignment="1">
      <alignment horizontal="center" vertical="center"/>
    </xf>
    <xf numFmtId="4" fontId="54" fillId="16" borderId="9" xfId="0" applyNumberFormat="1" applyFont="1" applyFill="1" applyBorder="1" applyAlignment="1">
      <alignment horizontal="center" vertical="center"/>
    </xf>
    <xf numFmtId="4" fontId="98" fillId="16" borderId="8" xfId="0" applyNumberFormat="1" applyFont="1" applyFill="1" applyBorder="1" applyAlignment="1">
      <alignment horizontal="center" vertical="center"/>
    </xf>
    <xf numFmtId="4" fontId="98" fillId="16" borderId="9" xfId="0" applyNumberFormat="1" applyFont="1" applyFill="1" applyBorder="1" applyAlignment="1">
      <alignment horizontal="center" vertical="center"/>
    </xf>
    <xf numFmtId="2" fontId="77" fillId="0" borderId="20" xfId="0" applyNumberFormat="1" applyFont="1" applyBorder="1" applyAlignment="1">
      <alignment vertical="center"/>
    </xf>
    <xf numFmtId="2" fontId="22" fillId="0" borderId="6" xfId="0" applyNumberFormat="1" applyFont="1" applyBorder="1" applyAlignment="1">
      <alignment vertical="center"/>
    </xf>
    <xf numFmtId="2" fontId="77" fillId="22" borderId="20" xfId="0" applyNumberFormat="1" applyFont="1" applyFill="1" applyBorder="1" applyAlignment="1">
      <alignment vertical="center"/>
    </xf>
    <xf numFmtId="2" fontId="22" fillId="22" borderId="6" xfId="0" applyNumberFormat="1" applyFont="1" applyFill="1" applyBorder="1" applyAlignment="1">
      <alignment vertical="center"/>
    </xf>
    <xf numFmtId="2" fontId="76" fillId="22" borderId="9" xfId="0" applyNumberFormat="1" applyFont="1" applyFill="1" applyBorder="1" applyAlignment="1" applyProtection="1">
      <alignment horizontal="center" vertical="center"/>
    </xf>
    <xf numFmtId="2" fontId="75" fillId="0" borderId="21" xfId="0" applyNumberFormat="1" applyFont="1" applyBorder="1" applyAlignment="1">
      <alignment vertical="center"/>
    </xf>
    <xf numFmtId="2" fontId="4" fillId="0" borderId="22" xfId="0" applyNumberFormat="1" applyFont="1" applyBorder="1" applyAlignment="1">
      <alignment vertical="center"/>
    </xf>
    <xf numFmtId="2" fontId="22" fillId="0" borderId="22" xfId="0" applyNumberFormat="1" applyFont="1" applyBorder="1" applyAlignment="1">
      <alignment vertical="center"/>
    </xf>
    <xf numFmtId="2" fontId="76" fillId="0" borderId="23" xfId="0" applyNumberFormat="1" applyFont="1" applyBorder="1" applyAlignment="1" applyProtection="1">
      <alignment horizontal="center" vertical="center"/>
    </xf>
    <xf numFmtId="2" fontId="77" fillId="0" borderId="1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22" fillId="0" borderId="0" xfId="0" applyNumberFormat="1" applyFont="1" applyBorder="1" applyAlignment="1">
      <alignment vertical="center"/>
    </xf>
    <xf numFmtId="2" fontId="76" fillId="0" borderId="4" xfId="0" applyNumberFormat="1" applyFont="1" applyBorder="1" applyAlignment="1" applyProtection="1">
      <alignment horizontal="center" vertical="center"/>
    </xf>
    <xf numFmtId="2" fontId="4" fillId="0" borderId="10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5" xfId="0" applyNumberFormat="1" applyFont="1" applyBorder="1" applyAlignment="1">
      <alignment vertical="center"/>
    </xf>
    <xf numFmtId="2" fontId="22" fillId="0" borderId="5" xfId="0" applyNumberFormat="1" applyFont="1" applyBorder="1" applyAlignment="1">
      <alignment vertical="center"/>
    </xf>
    <xf numFmtId="2" fontId="76" fillId="0" borderId="14" xfId="0" applyNumberFormat="1" applyFont="1" applyBorder="1" applyAlignment="1" applyProtection="1">
      <alignment horizontal="center" vertical="center"/>
    </xf>
    <xf numFmtId="2" fontId="4" fillId="0" borderId="6" xfId="0" applyNumberFormat="1" applyFont="1" applyBorder="1" applyAlignment="1">
      <alignment vertical="center"/>
    </xf>
    <xf numFmtId="2" fontId="77" fillId="0" borderId="12" xfId="0" applyNumberFormat="1" applyFont="1" applyBorder="1" applyAlignment="1">
      <alignment vertical="center"/>
    </xf>
    <xf numFmtId="2" fontId="77" fillId="22" borderId="12" xfId="0" applyNumberFormat="1" applyFont="1" applyFill="1" applyBorder="1" applyAlignment="1">
      <alignment vertical="center"/>
    </xf>
    <xf numFmtId="2" fontId="4" fillId="22" borderId="5" xfId="0" applyNumberFormat="1" applyFont="1" applyFill="1" applyBorder="1" applyAlignment="1">
      <alignment vertical="center"/>
    </xf>
    <xf numFmtId="2" fontId="22" fillId="22" borderId="5" xfId="0" applyNumberFormat="1" applyFont="1" applyFill="1" applyBorder="1" applyAlignment="1">
      <alignment vertical="center"/>
    </xf>
    <xf numFmtId="2" fontId="76" fillId="22" borderId="14" xfId="0" applyNumberFormat="1" applyFont="1" applyFill="1" applyBorder="1" applyAlignment="1" applyProtection="1">
      <alignment horizontal="center" vertical="center"/>
    </xf>
    <xf numFmtId="164" fontId="134" fillId="0" borderId="4" xfId="0" applyNumberFormat="1" applyFont="1" applyBorder="1" applyAlignment="1">
      <alignment horizontal="center" vertical="center"/>
    </xf>
    <xf numFmtId="164" fontId="134" fillId="0" borderId="4" xfId="0" applyNumberFormat="1" applyFont="1" applyFill="1" applyBorder="1" applyAlignment="1">
      <alignment horizontal="center" vertical="center"/>
    </xf>
    <xf numFmtId="2" fontId="77" fillId="10" borderId="12" xfId="0" applyNumberFormat="1" applyFont="1" applyFill="1" applyBorder="1" applyAlignment="1">
      <alignment vertical="center"/>
    </xf>
    <xf numFmtId="2" fontId="4" fillId="10" borderId="5" xfId="0" applyNumberFormat="1" applyFont="1" applyFill="1" applyBorder="1" applyAlignment="1">
      <alignment vertical="center"/>
    </xf>
    <xf numFmtId="2" fontId="22" fillId="10" borderId="5" xfId="0" applyNumberFormat="1" applyFont="1" applyFill="1" applyBorder="1" applyAlignment="1">
      <alignment vertical="center"/>
    </xf>
    <xf numFmtId="2" fontId="76" fillId="10" borderId="14" xfId="0" applyNumberFormat="1" applyFont="1" applyFill="1" applyBorder="1" applyAlignment="1" applyProtection="1">
      <alignment horizontal="center" vertical="center"/>
    </xf>
    <xf numFmtId="4" fontId="99" fillId="0" borderId="4" xfId="0" applyNumberFormat="1" applyFont="1" applyBorder="1" applyAlignment="1">
      <alignment horizontal="center"/>
    </xf>
    <xf numFmtId="0" fontId="81" fillId="0" borderId="4" xfId="13" applyFont="1" applyFill="1" applyBorder="1" applyAlignment="1">
      <alignment horizontal="center"/>
    </xf>
    <xf numFmtId="4" fontId="108" fillId="9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vertical="center"/>
    </xf>
    <xf numFmtId="0" fontId="0" fillId="0" borderId="15" xfId="0" applyBorder="1"/>
    <xf numFmtId="2" fontId="18" fillId="0" borderId="0" xfId="0" applyNumberFormat="1" applyFont="1"/>
    <xf numFmtId="0" fontId="110" fillId="0" borderId="0" xfId="0" applyFont="1"/>
    <xf numFmtId="0" fontId="0" fillId="0" borderId="18" xfId="0" applyBorder="1" applyAlignment="1">
      <alignment horizontal="center" vertical="center" wrapText="1"/>
    </xf>
    <xf numFmtId="4" fontId="0" fillId="19" borderId="1" xfId="0" applyNumberFormat="1" applyFill="1" applyBorder="1" applyAlignment="1">
      <alignment horizontal="center" vertical="center"/>
    </xf>
    <xf numFmtId="4" fontId="32" fillId="19" borderId="39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32" fillId="0" borderId="39" xfId="0" applyNumberFormat="1" applyFont="1" applyBorder="1" applyAlignment="1">
      <alignment horizontal="center" vertical="center"/>
    </xf>
    <xf numFmtId="4" fontId="110" fillId="0" borderId="1" xfId="0" applyNumberFormat="1" applyFont="1" applyBorder="1" applyAlignment="1">
      <alignment horizontal="center" vertical="center"/>
    </xf>
    <xf numFmtId="4" fontId="110" fillId="19" borderId="1" xfId="0" applyNumberFormat="1" applyFont="1" applyFill="1" applyBorder="1" applyAlignment="1">
      <alignment horizontal="center" vertical="center"/>
    </xf>
    <xf numFmtId="4" fontId="0" fillId="3" borderId="40" xfId="0" applyNumberFormat="1" applyFill="1" applyBorder="1" applyAlignment="1">
      <alignment horizontal="center" vertical="center"/>
    </xf>
    <xf numFmtId="4" fontId="18" fillId="3" borderId="41" xfId="0" applyNumberFormat="1" applyFont="1" applyFill="1" applyBorder="1" applyAlignment="1">
      <alignment horizontal="center" vertical="center"/>
    </xf>
    <xf numFmtId="0" fontId="91" fillId="0" borderId="18" xfId="0" applyFont="1" applyBorder="1" applyAlignment="1">
      <alignment horizontal="center" vertical="center" wrapText="1"/>
    </xf>
    <xf numFmtId="0" fontId="128" fillId="0" borderId="18" xfId="0" applyFont="1" applyBorder="1" applyAlignment="1">
      <alignment horizontal="center" vertical="center" wrapText="1"/>
    </xf>
    <xf numFmtId="0" fontId="91" fillId="0" borderId="18" xfId="0" applyFont="1" applyFill="1" applyBorder="1" applyAlignment="1">
      <alignment horizontal="center" vertical="center" wrapText="1"/>
    </xf>
    <xf numFmtId="0" fontId="91" fillId="3" borderId="19" xfId="0" applyFont="1" applyFill="1" applyBorder="1" applyAlignment="1">
      <alignment horizontal="center" vertical="center" wrapText="1"/>
    </xf>
    <xf numFmtId="2" fontId="91" fillId="21" borderId="38" xfId="0" applyNumberFormat="1" applyFont="1" applyFill="1" applyBorder="1" applyAlignment="1">
      <alignment horizontal="center"/>
    </xf>
    <xf numFmtId="2" fontId="0" fillId="21" borderId="66" xfId="0" applyNumberFormat="1" applyFill="1" applyBorder="1"/>
    <xf numFmtId="2" fontId="0" fillId="21" borderId="54" xfId="0" applyNumberFormat="1" applyFill="1" applyBorder="1" applyAlignment="1">
      <alignment horizontal="center"/>
    </xf>
    <xf numFmtId="2" fontId="110" fillId="21" borderId="54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23" fillId="15" borderId="4" xfId="0" applyFont="1" applyFill="1" applyBorder="1" applyAlignment="1">
      <alignment horizontal="left" vertical="center"/>
    </xf>
    <xf numFmtId="0" fontId="123" fillId="15" borderId="44" xfId="0" applyFont="1" applyFill="1" applyBorder="1" applyAlignment="1">
      <alignment horizontal="left" vertical="center"/>
    </xf>
    <xf numFmtId="0" fontId="91" fillId="15" borderId="4" xfId="0" applyFont="1" applyFill="1" applyBorder="1" applyAlignment="1">
      <alignment horizontal="left" vertical="center"/>
    </xf>
    <xf numFmtId="0" fontId="91" fillId="15" borderId="45" xfId="0" applyFont="1" applyFill="1" applyBorder="1" applyAlignment="1">
      <alignment horizontal="left" vertical="center"/>
    </xf>
    <xf numFmtId="0" fontId="123" fillId="15" borderId="14" xfId="0" applyFont="1" applyFill="1" applyBorder="1" applyAlignment="1">
      <alignment horizontal="left" vertical="center"/>
    </xf>
    <xf numFmtId="0" fontId="102" fillId="0" borderId="4" xfId="0" applyFont="1" applyBorder="1"/>
    <xf numFmtId="4" fontId="54" fillId="0" borderId="2" xfId="22" applyNumberFormat="1" applyFont="1" applyFill="1" applyBorder="1" applyAlignment="1">
      <alignment horizontal="center"/>
    </xf>
    <xf numFmtId="2" fontId="103" fillId="8" borderId="4" xfId="0" applyNumberFormat="1" applyFont="1" applyFill="1" applyBorder="1" applyAlignment="1">
      <alignment horizontal="left" vertical="center"/>
    </xf>
    <xf numFmtId="2" fontId="55" fillId="0" borderId="3" xfId="35" applyNumberFormat="1" applyFont="1" applyFill="1">
      <alignment horizontal="center"/>
    </xf>
    <xf numFmtId="0" fontId="129" fillId="0" borderId="4" xfId="0" applyFont="1" applyFill="1" applyBorder="1" applyAlignment="1">
      <alignment horizontal="left"/>
    </xf>
    <xf numFmtId="4" fontId="55" fillId="14" borderId="2" xfId="0" applyNumberFormat="1" applyFont="1" applyFill="1" applyBorder="1" applyAlignment="1">
      <alignment horizontal="center"/>
    </xf>
    <xf numFmtId="4" fontId="55" fillId="14" borderId="29" xfId="0" applyNumberFormat="1" applyFont="1" applyFill="1" applyBorder="1" applyAlignment="1">
      <alignment horizontal="center"/>
    </xf>
    <xf numFmtId="4" fontId="55" fillId="14" borderId="24" xfId="0" applyNumberFormat="1" applyFont="1" applyFill="1" applyBorder="1" applyAlignment="1">
      <alignment horizontal="center"/>
    </xf>
    <xf numFmtId="2" fontId="54" fillId="0" borderId="3" xfId="0" applyNumberFormat="1" applyFont="1" applyFill="1" applyBorder="1" applyAlignment="1">
      <alignment horizontal="center"/>
    </xf>
    <xf numFmtId="4" fontId="119" fillId="0" borderId="0" xfId="0" applyNumberFormat="1" applyFont="1" applyFill="1" applyBorder="1" applyAlignment="1">
      <alignment horizontal="center"/>
    </xf>
    <xf numFmtId="2" fontId="119" fillId="0" borderId="11" xfId="0" applyNumberFormat="1" applyFont="1" applyFill="1" applyBorder="1" applyAlignment="1">
      <alignment horizontal="center"/>
    </xf>
    <xf numFmtId="4" fontId="119" fillId="0" borderId="2" xfId="22" applyNumberFormat="1" applyFont="1" applyFill="1" applyBorder="1" applyAlignment="1">
      <alignment horizontal="center"/>
    </xf>
    <xf numFmtId="2" fontId="55" fillId="11" borderId="2" xfId="0" applyNumberFormat="1" applyFont="1" applyFill="1" applyBorder="1" applyAlignment="1">
      <alignment horizontal="center"/>
    </xf>
    <xf numFmtId="2" fontId="55" fillId="11" borderId="29" xfId="0" applyNumberFormat="1" applyFont="1" applyFill="1" applyBorder="1" applyAlignment="1">
      <alignment horizontal="center"/>
    </xf>
    <xf numFmtId="2" fontId="55" fillId="11" borderId="24" xfId="0" applyNumberFormat="1" applyFont="1" applyFill="1" applyBorder="1" applyAlignment="1">
      <alignment horizontal="center"/>
    </xf>
    <xf numFmtId="4" fontId="55" fillId="0" borderId="29" xfId="38" applyNumberFormat="1" applyFont="1" applyFill="1" applyBorder="1" applyAlignment="1">
      <alignment horizontal="center"/>
    </xf>
    <xf numFmtId="4" fontId="55" fillId="0" borderId="24" xfId="38" applyNumberFormat="1" applyFont="1" applyFill="1" applyBorder="1" applyAlignment="1">
      <alignment horizontal="center"/>
    </xf>
    <xf numFmtId="4" fontId="55" fillId="0" borderId="2" xfId="38" applyNumberFormat="1" applyFont="1" applyFill="1" applyBorder="1" applyAlignment="1">
      <alignment horizontal="center"/>
    </xf>
    <xf numFmtId="2" fontId="55" fillId="0" borderId="10" xfId="0" applyNumberFormat="1" applyFont="1" applyFill="1" applyBorder="1" applyAlignment="1">
      <alignment horizontal="center" vertical="center" wrapText="1"/>
    </xf>
    <xf numFmtId="2" fontId="55" fillId="0" borderId="29" xfId="0" applyNumberFormat="1" applyFont="1" applyFill="1" applyBorder="1" applyAlignment="1">
      <alignment horizontal="center" vertical="center" wrapText="1"/>
    </xf>
    <xf numFmtId="2" fontId="55" fillId="0" borderId="0" xfId="0" applyNumberFormat="1" applyFont="1" applyFill="1" applyBorder="1" applyAlignment="1">
      <alignment horizontal="center" vertical="center" wrapText="1"/>
    </xf>
    <xf numFmtId="2" fontId="55" fillId="0" borderId="11" xfId="0" applyNumberFormat="1" applyFont="1" applyFill="1" applyBorder="1" applyAlignment="1">
      <alignment horizontal="center" vertical="center" wrapText="1"/>
    </xf>
    <xf numFmtId="2" fontId="0" fillId="0" borderId="24" xfId="0" applyNumberFormat="1" applyBorder="1"/>
    <xf numFmtId="2" fontId="0" fillId="0" borderId="29" xfId="0" applyNumberFormat="1" applyBorder="1"/>
    <xf numFmtId="4" fontId="99" fillId="8" borderId="2" xfId="0" applyNumberFormat="1" applyFont="1" applyFill="1" applyBorder="1" applyAlignment="1">
      <alignment horizontal="center"/>
    </xf>
    <xf numFmtId="0" fontId="105" fillId="0" borderId="4" xfId="0" applyFont="1" applyFill="1" applyBorder="1" applyAlignment="1">
      <alignment horizontal="center" vertical="center"/>
    </xf>
    <xf numFmtId="0" fontId="103" fillId="0" borderId="4" xfId="0" applyFont="1" applyFill="1" applyBorder="1" applyAlignment="1">
      <alignment horizontal="left" vertical="center"/>
    </xf>
    <xf numFmtId="2" fontId="54" fillId="0" borderId="25" xfId="0" applyNumberFormat="1" applyFont="1" applyFill="1" applyBorder="1" applyAlignment="1">
      <alignment horizontal="center"/>
    </xf>
    <xf numFmtId="165" fontId="5" fillId="0" borderId="4" xfId="32" applyNumberFormat="1" applyFont="1" applyFill="1" applyBorder="1" applyAlignment="1">
      <alignment horizontal="center"/>
    </xf>
    <xf numFmtId="165" fontId="61" fillId="0" borderId="4" xfId="32" applyNumberFormat="1" applyFont="1" applyFill="1" applyBorder="1" applyAlignment="1">
      <alignment horizontal="left"/>
    </xf>
    <xf numFmtId="4" fontId="98" fillId="0" borderId="11" xfId="0" applyNumberFormat="1" applyFont="1" applyFill="1" applyBorder="1" applyAlignment="1">
      <alignment horizontal="center"/>
    </xf>
    <xf numFmtId="2" fontId="5" fillId="0" borderId="0" xfId="0" applyNumberFormat="1" applyFont="1" applyBorder="1" applyAlignment="1"/>
    <xf numFmtId="4" fontId="137" fillId="0" borderId="2" xfId="0" applyNumberFormat="1" applyFont="1" applyFill="1" applyBorder="1" applyAlignment="1">
      <alignment horizontal="center"/>
    </xf>
    <xf numFmtId="4" fontId="71" fillId="0" borderId="39" xfId="0" applyNumberFormat="1" applyFont="1" applyFill="1" applyBorder="1"/>
    <xf numFmtId="2" fontId="0" fillId="21" borderId="54" xfId="0" applyNumberFormat="1" applyFont="1" applyFill="1" applyBorder="1" applyAlignment="1">
      <alignment horizontal="center"/>
    </xf>
    <xf numFmtId="4" fontId="54" fillId="8" borderId="3" xfId="22" applyNumberFormat="1" applyFont="1" applyFill="1" applyBorder="1" applyAlignment="1">
      <alignment horizontal="center"/>
    </xf>
    <xf numFmtId="2" fontId="55" fillId="0" borderId="3" xfId="35" applyFont="1" applyFill="1" applyBorder="1">
      <alignment horizontal="center"/>
    </xf>
    <xf numFmtId="4" fontId="138" fillId="8" borderId="4" xfId="0" applyNumberFormat="1" applyFont="1" applyFill="1" applyBorder="1" applyAlignment="1">
      <alignment horizontal="center"/>
    </xf>
    <xf numFmtId="4" fontId="109" fillId="0" borderId="4" xfId="0" applyNumberFormat="1" applyFont="1" applyFill="1" applyBorder="1" applyAlignment="1">
      <alignment horizontal="center"/>
    </xf>
    <xf numFmtId="164" fontId="61" fillId="23" borderId="4" xfId="0" applyNumberFormat="1" applyFont="1" applyFill="1" applyBorder="1" applyAlignment="1">
      <alignment horizontal="center" vertical="center"/>
    </xf>
    <xf numFmtId="4" fontId="55" fillId="23" borderId="2" xfId="0" applyNumberFormat="1" applyFont="1" applyFill="1" applyBorder="1" applyAlignment="1">
      <alignment horizontal="center"/>
    </xf>
    <xf numFmtId="4" fontId="55" fillId="23" borderId="24" xfId="0" applyNumberFormat="1" applyFont="1" applyFill="1" applyBorder="1" applyAlignment="1">
      <alignment horizontal="left"/>
    </xf>
    <xf numFmtId="4" fontId="55" fillId="23" borderId="25" xfId="0" applyNumberFormat="1" applyFont="1" applyFill="1" applyBorder="1" applyAlignment="1">
      <alignment horizontal="left"/>
    </xf>
    <xf numFmtId="164" fontId="139" fillId="0" borderId="4" xfId="0" applyNumberFormat="1" applyFont="1" applyBorder="1" applyAlignment="1">
      <alignment horizontal="center" vertical="center"/>
    </xf>
    <xf numFmtId="2" fontId="139" fillId="0" borderId="4" xfId="0" applyNumberFormat="1" applyFont="1" applyFill="1" applyBorder="1" applyAlignment="1">
      <alignment horizontal="center" vertical="center"/>
    </xf>
    <xf numFmtId="164" fontId="139" fillId="0" borderId="4" xfId="0" applyNumberFormat="1" applyFont="1" applyFill="1" applyBorder="1" applyAlignment="1">
      <alignment horizontal="center" vertical="center"/>
    </xf>
    <xf numFmtId="4" fontId="98" fillId="8" borderId="11" xfId="0" applyNumberFormat="1" applyFont="1" applyFill="1" applyBorder="1" applyAlignment="1">
      <alignment horizontal="center"/>
    </xf>
    <xf numFmtId="4" fontId="98" fillId="8" borderId="4" xfId="0" applyNumberFormat="1" applyFont="1" applyFill="1" applyBorder="1" applyAlignment="1">
      <alignment horizontal="center"/>
    </xf>
    <xf numFmtId="2" fontId="61" fillId="0" borderId="14" xfId="0" applyNumberFormat="1" applyFont="1" applyFill="1" applyBorder="1" applyAlignment="1">
      <alignment horizontal="left" vertical="center"/>
    </xf>
    <xf numFmtId="4" fontId="55" fillId="0" borderId="37" xfId="0" applyNumberFormat="1" applyFont="1" applyFill="1" applyBorder="1"/>
    <xf numFmtId="4" fontId="55" fillId="0" borderId="27" xfId="0" applyNumberFormat="1" applyFont="1" applyFill="1" applyBorder="1"/>
    <xf numFmtId="4" fontId="55" fillId="0" borderId="28" xfId="0" applyNumberFormat="1" applyFont="1" applyFill="1" applyBorder="1" applyAlignment="1">
      <alignment horizontal="center"/>
    </xf>
    <xf numFmtId="4" fontId="55" fillId="10" borderId="14" xfId="0" applyNumberFormat="1" applyFont="1" applyFill="1" applyBorder="1" applyAlignment="1">
      <alignment horizontal="center"/>
    </xf>
    <xf numFmtId="4" fontId="55" fillId="0" borderId="13" xfId="0" applyNumberFormat="1" applyFont="1" applyFill="1" applyBorder="1" applyAlignment="1">
      <alignment horizontal="center"/>
    </xf>
    <xf numFmtId="4" fontId="108" fillId="0" borderId="14" xfId="0" applyNumberFormat="1" applyFont="1" applyFill="1" applyBorder="1" applyAlignment="1">
      <alignment horizontal="center"/>
    </xf>
    <xf numFmtId="4" fontId="108" fillId="8" borderId="25" xfId="0" applyNumberFormat="1" applyFont="1" applyFill="1" applyBorder="1" applyAlignment="1">
      <alignment horizontal="center"/>
    </xf>
    <xf numFmtId="4" fontId="110" fillId="10" borderId="4" xfId="0" applyNumberFormat="1" applyFont="1" applyFill="1" applyBorder="1"/>
    <xf numFmtId="4" fontId="110" fillId="14" borderId="0" xfId="0" applyNumberFormat="1" applyFont="1" applyFill="1" applyBorder="1"/>
    <xf numFmtId="4" fontId="110" fillId="14" borderId="4" xfId="0" applyNumberFormat="1" applyFont="1" applyFill="1" applyBorder="1"/>
    <xf numFmtId="0" fontId="2" fillId="0" borderId="14" xfId="0" applyFont="1" applyBorder="1"/>
    <xf numFmtId="2" fontId="5" fillId="0" borderId="12" xfId="0" applyNumberFormat="1" applyFont="1" applyFill="1" applyBorder="1" applyAlignment="1">
      <alignment horizontal="center" vertical="center"/>
    </xf>
    <xf numFmtId="49" fontId="140" fillId="0" borderId="9" xfId="0" applyNumberFormat="1" applyFont="1" applyBorder="1" applyAlignment="1">
      <alignment horizontal="center"/>
    </xf>
    <xf numFmtId="4" fontId="54" fillId="16" borderId="4" xfId="0" applyNumberFormat="1" applyFont="1" applyFill="1" applyBorder="1" applyAlignment="1">
      <alignment horizontal="center"/>
    </xf>
    <xf numFmtId="4" fontId="124" fillId="15" borderId="67" xfId="0" applyNumberFormat="1" applyFont="1" applyFill="1" applyBorder="1" applyAlignment="1">
      <alignment horizontal="right" vertical="center"/>
    </xf>
    <xf numFmtId="4" fontId="127" fillId="15" borderId="15" xfId="0" applyNumberFormat="1" applyFont="1" applyFill="1" applyBorder="1" applyAlignment="1">
      <alignment vertical="center" wrapText="1"/>
    </xf>
    <xf numFmtId="4" fontId="127" fillId="15" borderId="68" xfId="0" applyNumberFormat="1" applyFont="1" applyFill="1" applyBorder="1" applyAlignment="1">
      <alignment vertical="center" wrapText="1"/>
    </xf>
    <xf numFmtId="4" fontId="127" fillId="15" borderId="16" xfId="0" applyNumberFormat="1" applyFont="1" applyFill="1" applyBorder="1" applyAlignment="1">
      <alignment vertical="center" wrapText="1"/>
    </xf>
    <xf numFmtId="4" fontId="127" fillId="15" borderId="18" xfId="0" applyNumberFormat="1" applyFont="1" applyFill="1" applyBorder="1" applyAlignment="1">
      <alignment vertical="center" wrapText="1"/>
    </xf>
    <xf numFmtId="4" fontId="127" fillId="15" borderId="55" xfId="0" applyNumberFormat="1" applyFont="1" applyFill="1" applyBorder="1" applyAlignment="1">
      <alignment vertical="center" wrapText="1"/>
    </xf>
    <xf numFmtId="4" fontId="127" fillId="15" borderId="1" xfId="0" applyNumberFormat="1" applyFont="1" applyFill="1" applyBorder="1" applyAlignment="1">
      <alignment vertical="center" wrapText="1"/>
    </xf>
    <xf numFmtId="1" fontId="18" fillId="17" borderId="0" xfId="26" applyNumberFormat="1" applyFont="1" applyFill="1" applyBorder="1" applyAlignment="1">
      <alignment horizontal="center"/>
    </xf>
    <xf numFmtId="2" fontId="141" fillId="0" borderId="4" xfId="0" applyNumberFormat="1" applyFont="1" applyFill="1" applyBorder="1" applyAlignment="1">
      <alignment horizontal="left" vertical="center"/>
    </xf>
    <xf numFmtId="2" fontId="119" fillId="0" borderId="0" xfId="0" applyNumberFormat="1" applyFont="1" applyFill="1" applyBorder="1" applyAlignment="1">
      <alignment horizontal="center"/>
    </xf>
    <xf numFmtId="0" fontId="81" fillId="0" borderId="4" xfId="13" applyFont="1" applyBorder="1" applyAlignment="1">
      <alignment horizontal="center"/>
    </xf>
    <xf numFmtId="4" fontId="55" fillId="0" borderId="3" xfId="37" applyNumberFormat="1" applyFont="1" applyFill="1" applyBorder="1" applyAlignment="1">
      <alignment horizontal="center"/>
    </xf>
    <xf numFmtId="4" fontId="55" fillId="0" borderId="29" xfId="37" applyNumberFormat="1" applyFont="1" applyFill="1" applyBorder="1" applyAlignment="1">
      <alignment horizontal="center"/>
    </xf>
    <xf numFmtId="4" fontId="55" fillId="0" borderId="24" xfId="37" applyNumberFormat="1" applyFont="1" applyFill="1" applyBorder="1" applyAlignment="1">
      <alignment horizontal="center"/>
    </xf>
    <xf numFmtId="4" fontId="55" fillId="0" borderId="2" xfId="37" applyNumberFormat="1" applyFont="1" applyFill="1" applyBorder="1" applyAlignment="1">
      <alignment horizontal="center"/>
    </xf>
    <xf numFmtId="0" fontId="103" fillId="8" borderId="4" xfId="0" applyFont="1" applyFill="1" applyBorder="1" applyAlignment="1">
      <alignment horizontal="left" vertical="center"/>
    </xf>
    <xf numFmtId="2" fontId="54" fillId="0" borderId="29" xfId="0" applyNumberFormat="1" applyFont="1" applyFill="1" applyBorder="1" applyAlignment="1">
      <alignment horizontal="center"/>
    </xf>
    <xf numFmtId="0" fontId="62" fillId="0" borderId="10" xfId="0" applyFont="1" applyFill="1" applyBorder="1" applyAlignment="1">
      <alignment horizontal="center"/>
    </xf>
    <xf numFmtId="0" fontId="2" fillId="0" borderId="69" xfId="0" applyFont="1" applyFill="1" applyBorder="1"/>
    <xf numFmtId="0" fontId="80" fillId="0" borderId="69" xfId="13" applyFont="1" applyBorder="1" applyAlignment="1">
      <alignment horizontal="center"/>
    </xf>
    <xf numFmtId="4" fontId="55" fillId="0" borderId="70" xfId="0" applyNumberFormat="1" applyFont="1" applyFill="1" applyBorder="1" applyAlignment="1">
      <alignment horizontal="center"/>
    </xf>
    <xf numFmtId="4" fontId="55" fillId="0" borderId="71" xfId="0" applyNumberFormat="1" applyFont="1" applyFill="1" applyBorder="1" applyAlignment="1">
      <alignment horizontal="center"/>
    </xf>
    <xf numFmtId="4" fontId="55" fillId="0" borderId="72" xfId="0" applyNumberFormat="1" applyFont="1" applyFill="1" applyBorder="1" applyAlignment="1">
      <alignment horizontal="center"/>
    </xf>
    <xf numFmtId="4" fontId="55" fillId="0" borderId="74" xfId="0" applyNumberFormat="1" applyFont="1" applyFill="1" applyBorder="1" applyAlignment="1">
      <alignment horizontal="center"/>
    </xf>
    <xf numFmtId="4" fontId="55" fillId="0" borderId="75" xfId="0" applyNumberFormat="1" applyFont="1" applyFill="1" applyBorder="1" applyAlignment="1">
      <alignment horizontal="center"/>
    </xf>
    <xf numFmtId="4" fontId="55" fillId="0" borderId="76" xfId="0" applyNumberFormat="1" applyFont="1" applyFill="1" applyBorder="1" applyAlignment="1">
      <alignment horizontal="center"/>
    </xf>
    <xf numFmtId="4" fontId="54" fillId="0" borderId="73" xfId="0" applyNumberFormat="1" applyFont="1" applyFill="1" applyBorder="1" applyAlignment="1">
      <alignment horizontal="center"/>
    </xf>
    <xf numFmtId="4" fontId="55" fillId="0" borderId="77" xfId="0" applyNumberFormat="1" applyFont="1" applyFill="1" applyBorder="1" applyAlignment="1">
      <alignment horizontal="center"/>
    </xf>
    <xf numFmtId="4" fontId="55" fillId="0" borderId="78" xfId="0" applyNumberFormat="1" applyFont="1" applyFill="1" applyBorder="1" applyAlignment="1">
      <alignment horizontal="center"/>
    </xf>
    <xf numFmtId="4" fontId="55" fillId="0" borderId="79" xfId="0" applyNumberFormat="1" applyFont="1" applyFill="1" applyBorder="1" applyAlignment="1">
      <alignment horizontal="center"/>
    </xf>
    <xf numFmtId="2" fontId="0" fillId="0" borderId="29" xfId="0" applyNumberFormat="1" applyFont="1" applyFill="1" applyBorder="1" applyAlignment="1">
      <alignment vertical="center"/>
    </xf>
    <xf numFmtId="2" fontId="55" fillId="0" borderId="2" xfId="34" applyFont="1" applyFill="1">
      <alignment horizontal="center"/>
    </xf>
    <xf numFmtId="2" fontId="0" fillId="0" borderId="0" xfId="0" applyNumberFormat="1" applyFont="1" applyFill="1" applyBorder="1"/>
    <xf numFmtId="2" fontId="0" fillId="0" borderId="24" xfId="0" applyNumberFormat="1" applyFont="1" applyFill="1" applyBorder="1"/>
    <xf numFmtId="2" fontId="0" fillId="0" borderId="29" xfId="0" applyNumberFormat="1" applyFont="1" applyFill="1" applyBorder="1"/>
    <xf numFmtId="2" fontId="0" fillId="0" borderId="29" xfId="0" applyNumberFormat="1" applyFont="1" applyFill="1" applyBorder="1" applyAlignment="1">
      <alignment horizontal="center"/>
    </xf>
    <xf numFmtId="2" fontId="0" fillId="0" borderId="24" xfId="0" applyNumberFormat="1" applyFont="1" applyFill="1" applyBorder="1" applyAlignment="1">
      <alignment horizontal="center"/>
    </xf>
    <xf numFmtId="2" fontId="31" fillId="10" borderId="0" xfId="0" applyNumberFormat="1" applyFont="1" applyFill="1" applyBorder="1" applyAlignment="1" applyProtection="1">
      <alignment horizontal="left" vertical="center"/>
      <protection locked="0"/>
    </xf>
    <xf numFmtId="2" fontId="99" fillId="0" borderId="2" xfId="0" applyNumberFormat="1" applyFont="1" applyFill="1" applyBorder="1" applyAlignment="1">
      <alignment horizontal="center"/>
    </xf>
    <xf numFmtId="4" fontId="136" fillId="0" borderId="0" xfId="0" applyNumberFormat="1" applyFont="1"/>
    <xf numFmtId="4" fontId="18" fillId="0" borderId="0" xfId="0" applyNumberFormat="1" applyFont="1"/>
    <xf numFmtId="2" fontId="142" fillId="3" borderId="0" xfId="0" applyNumberFormat="1" applyFont="1" applyFill="1" applyBorder="1" applyProtection="1">
      <protection locked="0"/>
    </xf>
    <xf numFmtId="2" fontId="143" fillId="3" borderId="0" xfId="0" applyNumberFormat="1" applyFont="1" applyFill="1" applyProtection="1">
      <protection locked="0"/>
    </xf>
    <xf numFmtId="4" fontId="54" fillId="0" borderId="74" xfId="0" applyNumberFormat="1" applyFont="1" applyFill="1" applyBorder="1" applyAlignment="1">
      <alignment horizontal="center"/>
    </xf>
    <xf numFmtId="4" fontId="54" fillId="0" borderId="75" xfId="0" applyNumberFormat="1" applyFont="1" applyFill="1" applyBorder="1" applyAlignment="1">
      <alignment horizontal="center"/>
    </xf>
    <xf numFmtId="4" fontId="54" fillId="0" borderId="76" xfId="0" applyNumberFormat="1" applyFont="1" applyFill="1" applyBorder="1" applyAlignment="1">
      <alignment horizontal="center"/>
    </xf>
    <xf numFmtId="4" fontId="54" fillId="0" borderId="80" xfId="0" applyNumberFormat="1" applyFont="1" applyFill="1" applyBorder="1" applyAlignment="1">
      <alignment horizontal="center"/>
    </xf>
    <xf numFmtId="4" fontId="55" fillId="0" borderId="80" xfId="0" applyNumberFormat="1" applyFont="1" applyFill="1" applyBorder="1" applyAlignment="1">
      <alignment horizontal="center"/>
    </xf>
    <xf numFmtId="2" fontId="143" fillId="3" borderId="0" xfId="0" applyNumberFormat="1" applyFont="1" applyFill="1" applyAlignment="1" applyProtection="1">
      <alignment horizontal="center"/>
      <protection locked="0"/>
    </xf>
    <xf numFmtId="2" fontId="142" fillId="3" borderId="0" xfId="0" applyNumberFormat="1" applyFont="1" applyFill="1" applyAlignment="1" applyProtection="1">
      <alignment horizontal="center"/>
      <protection locked="0"/>
    </xf>
    <xf numFmtId="2" fontId="142" fillId="3" borderId="0" xfId="0" applyNumberFormat="1" applyFont="1" applyFill="1" applyProtection="1">
      <protection locked="0"/>
    </xf>
    <xf numFmtId="2" fontId="143" fillId="3" borderId="0" xfId="0" applyNumberFormat="1" applyFont="1" applyFill="1" applyBorder="1" applyProtection="1">
      <protection locked="0"/>
    </xf>
    <xf numFmtId="2" fontId="142" fillId="2" borderId="0" xfId="0" applyNumberFormat="1" applyFont="1" applyFill="1" applyAlignment="1" applyProtection="1">
      <alignment horizontal="right"/>
    </xf>
    <xf numFmtId="1" fontId="18" fillId="24" borderId="0" xfId="26" applyNumberFormat="1" applyFont="1" applyFill="1" applyBorder="1" applyAlignment="1">
      <alignment horizontal="center"/>
    </xf>
    <xf numFmtId="2" fontId="119" fillId="0" borderId="29" xfId="37" applyNumberFormat="1" applyFont="1" applyFill="1" applyBorder="1" applyAlignment="1">
      <alignment horizontal="center"/>
    </xf>
    <xf numFmtId="2" fontId="119" fillId="0" borderId="24" xfId="37" applyNumberFormat="1" applyFont="1" applyFill="1" applyBorder="1" applyAlignment="1">
      <alignment horizontal="center"/>
    </xf>
    <xf numFmtId="4" fontId="55" fillId="9" borderId="4" xfId="0" applyNumberFormat="1" applyFont="1" applyFill="1" applyBorder="1" applyAlignment="1">
      <alignment horizontal="center"/>
    </xf>
    <xf numFmtId="4" fontId="99" fillId="3" borderId="33" xfId="0" applyNumberFormat="1" applyFont="1" applyFill="1" applyBorder="1" applyAlignment="1">
      <alignment horizontal="center"/>
    </xf>
    <xf numFmtId="4" fontId="81" fillId="8" borderId="14" xfId="0" applyNumberFormat="1" applyFont="1" applyFill="1" applyBorder="1" applyAlignment="1">
      <alignment horizontal="center"/>
    </xf>
    <xf numFmtId="4" fontId="55" fillId="8" borderId="36" xfId="0" applyNumberFormat="1" applyFont="1" applyFill="1" applyBorder="1" applyAlignment="1">
      <alignment horizontal="center"/>
    </xf>
    <xf numFmtId="4" fontId="55" fillId="8" borderId="37" xfId="0" applyNumberFormat="1" applyFont="1" applyFill="1" applyBorder="1" applyAlignment="1">
      <alignment horizontal="center"/>
    </xf>
    <xf numFmtId="4" fontId="55" fillId="8" borderId="27" xfId="0" applyNumberFormat="1" applyFont="1" applyFill="1" applyBorder="1" applyAlignment="1">
      <alignment horizontal="center"/>
    </xf>
    <xf numFmtId="4" fontId="55" fillId="8" borderId="26" xfId="0" applyNumberFormat="1" applyFont="1" applyFill="1" applyBorder="1" applyAlignment="1">
      <alignment horizontal="center"/>
    </xf>
    <xf numFmtId="4" fontId="81" fillId="0" borderId="10" xfId="0" applyNumberFormat="1" applyFont="1" applyFill="1" applyBorder="1" applyAlignment="1">
      <alignment horizontal="center"/>
    </xf>
    <xf numFmtId="4" fontId="124" fillId="15" borderId="24" xfId="0" applyNumberFormat="1" applyFont="1" applyFill="1" applyBorder="1" applyAlignment="1">
      <alignment horizontal="right" vertical="center"/>
    </xf>
    <xf numFmtId="4" fontId="124" fillId="15" borderId="27" xfId="0" applyNumberFormat="1" applyFont="1" applyFill="1" applyBorder="1" applyAlignment="1">
      <alignment horizontal="right" vertical="center"/>
    </xf>
    <xf numFmtId="0" fontId="0" fillId="24" borderId="0" xfId="0" applyFill="1"/>
    <xf numFmtId="0" fontId="63" fillId="0" borderId="4" xfId="0" applyFont="1" applyBorder="1"/>
    <xf numFmtId="4" fontId="99" fillId="0" borderId="2" xfId="37" applyNumberFormat="1" applyFont="1" applyFill="1" applyBorder="1" applyAlignment="1">
      <alignment horizontal="center"/>
    </xf>
    <xf numFmtId="4" fontId="108" fillId="12" borderId="29" xfId="0" applyNumberFormat="1" applyFont="1" applyFill="1" applyBorder="1" applyAlignment="1">
      <alignment horizontal="center"/>
    </xf>
    <xf numFmtId="4" fontId="108" fillId="0" borderId="2" xfId="0" applyNumberFormat="1" applyFont="1" applyBorder="1" applyAlignment="1">
      <alignment horizontal="center"/>
    </xf>
    <xf numFmtId="4" fontId="55" fillId="15" borderId="23" xfId="0" applyNumberFormat="1" applyFont="1" applyFill="1" applyBorder="1" applyAlignment="1">
      <alignment horizontal="center"/>
    </xf>
    <xf numFmtId="4" fontId="55" fillId="15" borderId="4" xfId="0" applyNumberFormat="1" applyFont="1" applyFill="1" applyBorder="1" applyAlignment="1">
      <alignment horizontal="center"/>
    </xf>
    <xf numFmtId="4" fontId="55" fillId="15" borderId="9" xfId="0" applyNumberFormat="1" applyFont="1" applyFill="1" applyBorder="1" applyAlignment="1">
      <alignment horizontal="center" vertical="center"/>
    </xf>
    <xf numFmtId="4" fontId="55" fillId="15" borderId="14" xfId="0" applyNumberFormat="1" applyFont="1" applyFill="1" applyBorder="1" applyAlignment="1">
      <alignment horizontal="center"/>
    </xf>
    <xf numFmtId="4" fontId="55" fillId="16" borderId="23" xfId="0" applyNumberFormat="1" applyFont="1" applyFill="1" applyBorder="1" applyAlignment="1">
      <alignment horizontal="center"/>
    </xf>
    <xf numFmtId="4" fontId="55" fillId="16" borderId="4" xfId="0" applyNumberFormat="1" applyFont="1" applyFill="1" applyBorder="1" applyAlignment="1">
      <alignment horizontal="center"/>
    </xf>
    <xf numFmtId="4" fontId="55" fillId="16" borderId="8" xfId="0" applyNumberFormat="1" applyFont="1" applyFill="1" applyBorder="1" applyAlignment="1">
      <alignment horizontal="center" vertical="center"/>
    </xf>
    <xf numFmtId="4" fontId="55" fillId="16" borderId="9" xfId="0" applyNumberFormat="1" applyFont="1" applyFill="1" applyBorder="1" applyAlignment="1">
      <alignment horizontal="center" vertical="center"/>
    </xf>
    <xf numFmtId="4" fontId="55" fillId="16" borderId="14" xfId="0" applyNumberFormat="1" applyFont="1" applyFill="1" applyBorder="1" applyAlignment="1">
      <alignment horizontal="center" vertical="center"/>
    </xf>
    <xf numFmtId="4" fontId="54" fillId="18" borderId="9" xfId="0" applyNumberFormat="1" applyFont="1" applyFill="1" applyBorder="1" applyAlignment="1">
      <alignment horizontal="center"/>
    </xf>
    <xf numFmtId="4" fontId="55" fillId="16" borderId="14" xfId="0" applyNumberFormat="1" applyFont="1" applyFill="1" applyBorder="1" applyAlignment="1">
      <alignment horizontal="center"/>
    </xf>
    <xf numFmtId="4" fontId="108" fillId="12" borderId="4" xfId="0" applyNumberFormat="1" applyFont="1" applyFill="1" applyBorder="1" applyAlignment="1">
      <alignment horizontal="center"/>
    </xf>
    <xf numFmtId="4" fontId="108" fillId="12" borderId="11" xfId="0" applyNumberFormat="1" applyFont="1" applyFill="1" applyBorder="1" applyAlignment="1">
      <alignment horizontal="center"/>
    </xf>
    <xf numFmtId="4" fontId="99" fillId="8" borderId="11" xfId="0" applyNumberFormat="1" applyFont="1" applyFill="1" applyBorder="1" applyAlignment="1">
      <alignment horizontal="center"/>
    </xf>
    <xf numFmtId="4" fontId="99" fillId="4" borderId="11" xfId="0" applyNumberFormat="1" applyFont="1" applyFill="1" applyBorder="1" applyAlignment="1">
      <alignment horizontal="center"/>
    </xf>
    <xf numFmtId="4" fontId="99" fillId="0" borderId="4" xfId="0" applyNumberFormat="1" applyFont="1" applyFill="1" applyBorder="1" applyAlignment="1">
      <alignment horizontal="center"/>
    </xf>
    <xf numFmtId="4" fontId="108" fillId="0" borderId="4" xfId="0" applyNumberFormat="1" applyFont="1" applyBorder="1" applyAlignment="1">
      <alignment horizontal="center" vertical="center"/>
    </xf>
    <xf numFmtId="4" fontId="99" fillId="0" borderId="11" xfId="0" applyNumberFormat="1" applyFont="1" applyBorder="1" applyAlignment="1">
      <alignment horizontal="center"/>
    </xf>
    <xf numFmtId="4" fontId="99" fillId="9" borderId="11" xfId="0" applyNumberFormat="1" applyFont="1" applyFill="1" applyBorder="1" applyAlignment="1">
      <alignment horizontal="center"/>
    </xf>
    <xf numFmtId="4" fontId="108" fillId="0" borderId="4" xfId="0" applyNumberFormat="1" applyFont="1" applyFill="1" applyBorder="1" applyAlignment="1">
      <alignment horizontal="center" vertical="center"/>
    </xf>
    <xf numFmtId="4" fontId="108" fillId="0" borderId="4" xfId="0" applyNumberFormat="1" applyFont="1" applyFill="1" applyBorder="1" applyAlignment="1">
      <alignment horizontal="center" vertical="center"/>
    </xf>
    <xf numFmtId="4" fontId="108" fillId="0" borderId="11" xfId="3" applyNumberFormat="1" applyFont="1" applyFill="1" applyBorder="1" applyAlignment="1">
      <alignment horizontal="center"/>
    </xf>
    <xf numFmtId="4" fontId="144" fillId="0" borderId="53" xfId="0" applyNumberFormat="1" applyFont="1" applyFill="1" applyBorder="1" applyAlignment="1" applyProtection="1">
      <alignment vertical="center"/>
      <protection locked="0"/>
    </xf>
    <xf numFmtId="0" fontId="21" fillId="0" borderId="81" xfId="0" applyFont="1" applyBorder="1" applyAlignment="1">
      <alignment horizontal="left" vertical="center"/>
    </xf>
    <xf numFmtId="4" fontId="144" fillId="0" borderId="60" xfId="0" applyNumberFormat="1" applyFont="1" applyFill="1" applyBorder="1" applyAlignment="1" applyProtection="1">
      <alignment vertical="center"/>
      <protection locked="0"/>
    </xf>
    <xf numFmtId="4" fontId="91" fillId="2" borderId="61" xfId="0" applyNumberFormat="1" applyFont="1" applyFill="1" applyBorder="1" applyAlignment="1">
      <alignment vertical="center"/>
    </xf>
    <xf numFmtId="0" fontId="21" fillId="0" borderId="82" xfId="0" applyFont="1" applyBorder="1"/>
    <xf numFmtId="4" fontId="144" fillId="0" borderId="83" xfId="0" applyNumberFormat="1" applyFont="1" applyFill="1" applyBorder="1" applyAlignment="1" applyProtection="1">
      <alignment vertical="center"/>
      <protection locked="0"/>
    </xf>
    <xf numFmtId="4" fontId="91" fillId="2" borderId="58" xfId="0" applyNumberFormat="1" applyFont="1" applyFill="1" applyBorder="1" applyAlignment="1">
      <alignment vertical="center"/>
    </xf>
    <xf numFmtId="4" fontId="144" fillId="0" borderId="18" xfId="0" applyNumberFormat="1" applyFont="1" applyFill="1" applyBorder="1" applyAlignment="1">
      <alignment vertical="center" wrapText="1"/>
    </xf>
    <xf numFmtId="4" fontId="144" fillId="0" borderId="55" xfId="0" applyNumberFormat="1" applyFont="1" applyFill="1" applyBorder="1" applyAlignment="1">
      <alignment vertical="center" wrapText="1"/>
    </xf>
    <xf numFmtId="4" fontId="144" fillId="0" borderId="1" xfId="0" applyNumberFormat="1" applyFont="1" applyFill="1" applyBorder="1" applyAlignment="1">
      <alignment vertical="center" wrapText="1"/>
    </xf>
    <xf numFmtId="4" fontId="144" fillId="0" borderId="19" xfId="0" applyNumberFormat="1" applyFont="1" applyFill="1" applyBorder="1" applyAlignment="1">
      <alignment vertical="center" wrapText="1"/>
    </xf>
    <xf numFmtId="4" fontId="144" fillId="0" borderId="56" xfId="0" applyNumberFormat="1" applyFont="1" applyFill="1" applyBorder="1" applyAlignment="1">
      <alignment vertical="center" wrapText="1"/>
    </xf>
    <xf numFmtId="4" fontId="144" fillId="0" borderId="40" xfId="0" applyNumberFormat="1" applyFont="1" applyFill="1" applyBorder="1" applyAlignment="1">
      <alignment vertical="center" wrapText="1"/>
    </xf>
    <xf numFmtId="4" fontId="144" fillId="0" borderId="57" xfId="0" applyNumberFormat="1" applyFont="1" applyFill="1" applyBorder="1" applyAlignment="1">
      <alignment vertical="center" wrapText="1"/>
    </xf>
    <xf numFmtId="4" fontId="144" fillId="0" borderId="50" xfId="0" applyNumberFormat="1" applyFont="1" applyFill="1" applyBorder="1" applyAlignment="1">
      <alignment vertical="center" wrapText="1"/>
    </xf>
    <xf numFmtId="4" fontId="144" fillId="0" borderId="3" xfId="0" applyNumberFormat="1" applyFont="1" applyFill="1" applyBorder="1" applyAlignment="1">
      <alignment vertical="center" wrapText="1"/>
    </xf>
    <xf numFmtId="4" fontId="144" fillId="0" borderId="2" xfId="0" applyNumberFormat="1" applyFont="1" applyFill="1" applyBorder="1" applyAlignment="1">
      <alignment vertical="center" wrapText="1"/>
    </xf>
    <xf numFmtId="4" fontId="144" fillId="0" borderId="47" xfId="0" applyNumberFormat="1" applyFont="1" applyFill="1" applyBorder="1" applyAlignment="1">
      <alignment vertical="center" wrapText="1"/>
    </xf>
    <xf numFmtId="4" fontId="144" fillId="0" borderId="49" xfId="0" applyNumberFormat="1" applyFont="1" applyFill="1" applyBorder="1" applyAlignment="1">
      <alignment vertical="center" wrapText="1"/>
    </xf>
    <xf numFmtId="4" fontId="144" fillId="0" borderId="51" xfId="0" applyNumberFormat="1" applyFont="1" applyFill="1" applyBorder="1" applyAlignment="1">
      <alignment vertical="center" wrapText="1"/>
    </xf>
    <xf numFmtId="4" fontId="144" fillId="0" borderId="29" xfId="0" applyNumberFormat="1" applyFont="1" applyFill="1" applyBorder="1" applyAlignment="1">
      <alignment vertical="center" wrapText="1"/>
    </xf>
    <xf numFmtId="4" fontId="144" fillId="0" borderId="48" xfId="0" applyNumberFormat="1" applyFont="1" applyFill="1" applyBorder="1" applyAlignment="1">
      <alignment vertical="center" wrapText="1"/>
    </xf>
    <xf numFmtId="4" fontId="144" fillId="0" borderId="36" xfId="0" applyNumberFormat="1" applyFont="1" applyFill="1" applyBorder="1" applyAlignment="1">
      <alignment vertical="center" wrapText="1"/>
    </xf>
    <xf numFmtId="4" fontId="144" fillId="0" borderId="26" xfId="0" applyNumberFormat="1" applyFont="1" applyFill="1" applyBorder="1" applyAlignment="1">
      <alignment vertical="center" wrapText="1"/>
    </xf>
    <xf numFmtId="4" fontId="144" fillId="0" borderId="37" xfId="0" applyNumberFormat="1" applyFont="1" applyFill="1" applyBorder="1" applyAlignment="1">
      <alignment vertical="center" wrapText="1"/>
    </xf>
    <xf numFmtId="4" fontId="108" fillId="23" borderId="2" xfId="0" applyNumberFormat="1" applyFont="1" applyFill="1" applyBorder="1" applyAlignment="1">
      <alignment horizontal="center"/>
    </xf>
    <xf numFmtId="4" fontId="108" fillId="23" borderId="29" xfId="0" applyNumberFormat="1" applyFont="1" applyFill="1" applyBorder="1" applyAlignment="1">
      <alignment horizontal="center"/>
    </xf>
    <xf numFmtId="4" fontId="108" fillId="23" borderId="11" xfId="0" applyNumberFormat="1" applyFont="1" applyFill="1" applyBorder="1" applyAlignment="1">
      <alignment horizontal="right"/>
    </xf>
    <xf numFmtId="4" fontId="145" fillId="0" borderId="1" xfId="0" applyNumberFormat="1" applyFont="1" applyBorder="1"/>
    <xf numFmtId="4" fontId="145" fillId="0" borderId="1" xfId="0" applyNumberFormat="1" applyFont="1" applyFill="1" applyBorder="1"/>
    <xf numFmtId="4" fontId="55" fillId="16" borderId="2" xfId="0" applyNumberFormat="1" applyFont="1" applyFill="1" applyBorder="1" applyAlignment="1">
      <alignment horizontal="center"/>
    </xf>
    <xf numFmtId="2" fontId="55" fillId="10" borderId="3" xfId="0" applyNumberFormat="1" applyFont="1" applyFill="1" applyBorder="1" applyAlignment="1">
      <alignment horizontal="center"/>
    </xf>
    <xf numFmtId="2" fontId="55" fillId="10" borderId="2" xfId="0" applyNumberFormat="1" applyFont="1" applyFill="1" applyBorder="1" applyAlignment="1">
      <alignment horizontal="center"/>
    </xf>
    <xf numFmtId="2" fontId="55" fillId="16" borderId="2" xfId="0" applyNumberFormat="1" applyFont="1" applyFill="1" applyBorder="1" applyAlignment="1">
      <alignment horizontal="center"/>
    </xf>
    <xf numFmtId="2" fontId="55" fillId="16" borderId="3" xfId="0" applyNumberFormat="1" applyFont="1" applyFill="1" applyBorder="1" applyAlignment="1">
      <alignment horizontal="center"/>
    </xf>
    <xf numFmtId="1" fontId="18" fillId="12" borderId="0" xfId="26" applyNumberFormat="1" applyFont="1" applyFill="1" applyBorder="1" applyAlignment="1">
      <alignment horizontal="center"/>
    </xf>
    <xf numFmtId="2" fontId="109" fillId="10" borderId="2" xfId="0" applyNumberFormat="1" applyFont="1" applyFill="1" applyBorder="1" applyAlignment="1">
      <alignment horizontal="center"/>
    </xf>
    <xf numFmtId="4" fontId="55" fillId="10" borderId="2" xfId="0" applyNumberFormat="1" applyFont="1" applyFill="1" applyBorder="1" applyAlignment="1">
      <alignment horizontal="center"/>
    </xf>
    <xf numFmtId="0" fontId="147" fillId="0" borderId="4" xfId="0" applyFont="1" applyFill="1" applyBorder="1"/>
    <xf numFmtId="2" fontId="103" fillId="9" borderId="4" xfId="0" applyNumberFormat="1" applyFont="1" applyFill="1" applyBorder="1" applyAlignment="1">
      <alignment horizontal="left" vertical="center"/>
    </xf>
    <xf numFmtId="4" fontId="119" fillId="0" borderId="29" xfId="37" applyNumberFormat="1" applyFont="1" applyFill="1" applyBorder="1" applyAlignment="1">
      <alignment horizontal="center"/>
    </xf>
    <xf numFmtId="0" fontId="0" fillId="12" borderId="0" xfId="0" applyFill="1"/>
    <xf numFmtId="2" fontId="119" fillId="0" borderId="25" xfId="0" applyNumberFormat="1" applyFont="1" applyFill="1" applyBorder="1" applyAlignment="1">
      <alignment horizontal="center"/>
    </xf>
    <xf numFmtId="4" fontId="119" fillId="0" borderId="24" xfId="37" applyNumberFormat="1" applyFont="1" applyFill="1" applyBorder="1" applyAlignment="1">
      <alignment horizontal="center"/>
    </xf>
    <xf numFmtId="4" fontId="119" fillId="0" borderId="2" xfId="37" applyNumberFormat="1" applyFont="1" applyFill="1" applyBorder="1" applyAlignment="1">
      <alignment horizontal="center"/>
    </xf>
    <xf numFmtId="4" fontId="119" fillId="0" borderId="3" xfId="37" applyNumberFormat="1" applyFont="1" applyFill="1" applyBorder="1" applyAlignment="1">
      <alignment horizontal="center"/>
    </xf>
    <xf numFmtId="0" fontId="18" fillId="12" borderId="0" xfId="0" applyFont="1" applyFill="1" applyAlignment="1">
      <alignment horizontal="center"/>
    </xf>
    <xf numFmtId="4" fontId="99" fillId="8" borderId="3" xfId="0" applyNumberFormat="1" applyFont="1" applyFill="1" applyBorder="1" applyAlignment="1">
      <alignment horizontal="center"/>
    </xf>
    <xf numFmtId="2" fontId="130" fillId="8" borderId="4" xfId="0" applyNumberFormat="1" applyFont="1" applyFill="1" applyBorder="1" applyAlignment="1">
      <alignment horizontal="left" vertical="center"/>
    </xf>
    <xf numFmtId="2" fontId="130" fillId="8" borderId="14" xfId="0" applyNumberFormat="1" applyFont="1" applyFill="1" applyBorder="1" applyAlignment="1">
      <alignment horizontal="left" vertical="center"/>
    </xf>
    <xf numFmtId="0" fontId="103" fillId="0" borderId="4" xfId="32" applyFont="1" applyFill="1" applyBorder="1" applyAlignment="1"/>
    <xf numFmtId="0" fontId="129" fillId="0" borderId="4" xfId="0" applyFont="1" applyFill="1" applyBorder="1"/>
    <xf numFmtId="0" fontId="63" fillId="0" borderId="4" xfId="25" applyFont="1" applyBorder="1" applyAlignment="1"/>
    <xf numFmtId="0" fontId="60" fillId="0" borderId="4" xfId="0" applyFont="1" applyFill="1" applyBorder="1"/>
    <xf numFmtId="0" fontId="148" fillId="0" borderId="4" xfId="13" applyFont="1" applyBorder="1" applyAlignment="1">
      <alignment horizontal="center"/>
    </xf>
    <xf numFmtId="0" fontId="62" fillId="0" borderId="4" xfId="0" applyFont="1" applyFill="1" applyBorder="1"/>
    <xf numFmtId="168" fontId="55" fillId="0" borderId="2" xfId="0" applyNumberFormat="1" applyFont="1" applyFill="1" applyBorder="1" applyAlignment="1">
      <alignment horizontal="center"/>
    </xf>
    <xf numFmtId="4" fontId="151" fillId="25" borderId="2" xfId="0" applyNumberFormat="1" applyFont="1" applyFill="1" applyBorder="1" applyAlignment="1">
      <alignment horizontal="center"/>
    </xf>
    <xf numFmtId="4" fontId="109" fillId="0" borderId="2" xfId="0" applyNumberFormat="1" applyFont="1" applyFill="1" applyBorder="1" applyAlignment="1">
      <alignment horizontal="center"/>
    </xf>
    <xf numFmtId="2" fontId="108" fillId="0" borderId="3" xfId="35" applyFont="1" applyFill="1">
      <alignment horizontal="center"/>
    </xf>
    <xf numFmtId="4" fontId="108" fillId="0" borderId="2" xfId="22" applyNumberFormat="1" applyFont="1" applyFill="1" applyBorder="1" applyAlignment="1">
      <alignment horizontal="center"/>
    </xf>
    <xf numFmtId="2" fontId="108" fillId="0" borderId="3" xfId="35" applyNumberFormat="1" applyFont="1" applyFill="1">
      <alignment horizontal="center"/>
    </xf>
    <xf numFmtId="4" fontId="137" fillId="0" borderId="29" xfId="0" applyNumberFormat="1" applyFont="1" applyFill="1" applyBorder="1" applyAlignment="1">
      <alignment horizontal="center"/>
    </xf>
    <xf numFmtId="4" fontId="137" fillId="0" borderId="24" xfId="0" applyNumberFormat="1" applyFont="1" applyFill="1" applyBorder="1" applyAlignment="1">
      <alignment horizontal="center"/>
    </xf>
    <xf numFmtId="4" fontId="152" fillId="25" borderId="2" xfId="22" applyNumberFormat="1" applyFont="1" applyFill="1" applyBorder="1" applyAlignment="1">
      <alignment horizontal="center"/>
    </xf>
    <xf numFmtId="2" fontId="152" fillId="25" borderId="3" xfId="35" applyFont="1" applyFill="1">
      <alignment horizontal="center"/>
    </xf>
    <xf numFmtId="2" fontId="152" fillId="25" borderId="3" xfId="35" applyNumberFormat="1" applyFont="1" applyFill="1">
      <alignment horizontal="center"/>
    </xf>
    <xf numFmtId="0" fontId="63" fillId="9" borderId="4" xfId="0" applyFont="1" applyFill="1" applyBorder="1"/>
    <xf numFmtId="0" fontId="63" fillId="0" borderId="4" xfId="0" applyFont="1" applyFill="1" applyBorder="1"/>
    <xf numFmtId="4" fontId="99" fillId="0" borderId="4" xfId="0" applyNumberFormat="1" applyFont="1" applyFill="1" applyBorder="1" applyAlignment="1">
      <alignment horizontal="center" vertical="center"/>
    </xf>
    <xf numFmtId="1" fontId="18" fillId="12" borderId="0" xfId="26" applyNumberFormat="1" applyFont="1" applyFill="1" applyBorder="1" applyAlignment="1">
      <alignment horizontal="center" vertical="center"/>
    </xf>
    <xf numFmtId="2" fontId="55" fillId="0" borderId="29" xfId="0" applyNumberFormat="1" applyFont="1" applyFill="1" applyBorder="1" applyAlignment="1"/>
    <xf numFmtId="4" fontId="54" fillId="0" borderId="24" xfId="0" applyNumberFormat="1" applyFont="1" applyFill="1" applyBorder="1" applyAlignment="1"/>
    <xf numFmtId="4" fontId="54" fillId="0" borderId="25" xfId="0" applyNumberFormat="1" applyFont="1" applyFill="1" applyBorder="1" applyAlignment="1"/>
    <xf numFmtId="4" fontId="55" fillId="0" borderId="3" xfId="38" applyNumberFormat="1" applyFont="1" applyFill="1" applyBorder="1" applyAlignment="1">
      <alignment horizontal="center"/>
    </xf>
    <xf numFmtId="4" fontId="54" fillId="0" borderId="3" xfId="38" applyNumberFormat="1" applyFont="1" applyFill="1" applyBorder="1" applyAlignment="1">
      <alignment horizontal="center"/>
    </xf>
    <xf numFmtId="2" fontId="55" fillId="11" borderId="10" xfId="0" applyNumberFormat="1" applyFont="1" applyFill="1" applyBorder="1" applyAlignment="1">
      <alignment horizontal="center" vertical="center" wrapText="1"/>
    </xf>
    <xf numFmtId="4" fontId="55" fillId="11" borderId="3" xfId="0" applyNumberFormat="1" applyFont="1" applyFill="1" applyBorder="1" applyAlignment="1">
      <alignment horizontal="center"/>
    </xf>
    <xf numFmtId="4" fontId="55" fillId="11" borderId="2" xfId="0" applyNumberFormat="1" applyFont="1" applyFill="1" applyBorder="1" applyAlignment="1">
      <alignment horizontal="center"/>
    </xf>
    <xf numFmtId="0" fontId="2" fillId="0" borderId="4" xfId="0" quotePrefix="1" applyFont="1" applyFill="1" applyBorder="1"/>
    <xf numFmtId="164" fontId="105" fillId="3" borderId="4" xfId="0" applyNumberFormat="1" applyFont="1" applyFill="1" applyBorder="1" applyAlignment="1">
      <alignment horizontal="center" vertical="center"/>
    </xf>
    <xf numFmtId="2" fontId="54" fillId="0" borderId="0" xfId="0" applyNumberFormat="1" applyFont="1" applyFill="1" applyBorder="1" applyAlignment="1">
      <alignment horizontal="center"/>
    </xf>
    <xf numFmtId="4" fontId="145" fillId="18" borderId="1" xfId="0" applyNumberFormat="1" applyFont="1" applyFill="1" applyBorder="1"/>
    <xf numFmtId="169" fontId="153" fillId="26" borderId="39" xfId="0" applyNumberFormat="1" applyFont="1" applyFill="1" applyBorder="1" applyAlignment="1">
      <alignment horizontal="right" vertical="center"/>
    </xf>
    <xf numFmtId="2" fontId="116" fillId="3" borderId="0" xfId="0" applyNumberFormat="1" applyFont="1" applyFill="1" applyProtection="1">
      <protection locked="0"/>
    </xf>
    <xf numFmtId="2" fontId="118" fillId="3" borderId="0" xfId="0" applyNumberFormat="1" applyFont="1" applyFill="1" applyAlignment="1" applyProtection="1">
      <alignment horizontal="center"/>
      <protection locked="0"/>
    </xf>
    <xf numFmtId="2" fontId="118" fillId="3" borderId="0" xfId="0" applyNumberFormat="1" applyFont="1" applyFill="1" applyProtection="1">
      <protection locked="0"/>
    </xf>
    <xf numFmtId="2" fontId="116" fillId="3" borderId="0" xfId="0" applyNumberFormat="1" applyFont="1" applyFill="1" applyAlignment="1" applyProtection="1">
      <alignment horizontal="center"/>
      <protection locked="0"/>
    </xf>
    <xf numFmtId="2" fontId="116" fillId="3" borderId="0" xfId="0" applyNumberFormat="1" applyFont="1" applyFill="1" applyBorder="1" applyProtection="1">
      <protection locked="0"/>
    </xf>
    <xf numFmtId="0" fontId="2" fillId="27" borderId="4" xfId="0" applyFont="1" applyFill="1" applyBorder="1"/>
    <xf numFmtId="2" fontId="154" fillId="0" borderId="0" xfId="0" applyNumberFormat="1" applyFont="1"/>
    <xf numFmtId="4" fontId="99" fillId="0" borderId="3" xfId="22" applyNumberFormat="1" applyFont="1" applyFill="1" applyBorder="1" applyAlignment="1">
      <alignment horizontal="center"/>
    </xf>
    <xf numFmtId="2" fontId="99" fillId="0" borderId="3" xfId="0" applyNumberFormat="1" applyFont="1" applyFill="1" applyBorder="1" applyAlignment="1">
      <alignment horizontal="center"/>
    </xf>
    <xf numFmtId="4" fontId="99" fillId="0" borderId="3" xfId="0" applyNumberFormat="1" applyFont="1" applyFill="1" applyBorder="1" applyAlignment="1">
      <alignment horizontal="center"/>
    </xf>
    <xf numFmtId="4" fontId="99" fillId="0" borderId="3" xfId="38" applyNumberFormat="1" applyFont="1" applyFill="1" applyBorder="1" applyAlignment="1">
      <alignment horizontal="center"/>
    </xf>
    <xf numFmtId="4" fontId="109" fillId="0" borderId="3" xfId="0" applyNumberFormat="1" applyFont="1" applyFill="1" applyBorder="1" applyAlignment="1">
      <alignment horizontal="center"/>
    </xf>
    <xf numFmtId="4" fontId="98" fillId="0" borderId="3" xfId="0" applyNumberFormat="1" applyFont="1" applyFill="1" applyBorder="1" applyAlignment="1">
      <alignment horizontal="center"/>
    </xf>
    <xf numFmtId="4" fontId="98" fillId="11" borderId="3" xfId="0" applyNumberFormat="1" applyFont="1" applyFill="1" applyBorder="1" applyAlignment="1">
      <alignment horizontal="center"/>
    </xf>
    <xf numFmtId="4" fontId="99" fillId="11" borderId="3" xfId="0" applyNumberFormat="1" applyFont="1" applyFill="1" applyBorder="1" applyAlignment="1">
      <alignment horizontal="center"/>
    </xf>
    <xf numFmtId="4" fontId="99" fillId="0" borderId="2" xfId="22" applyNumberFormat="1" applyFont="1" applyFill="1" applyBorder="1" applyAlignment="1">
      <alignment horizontal="center"/>
    </xf>
    <xf numFmtId="4" fontId="98" fillId="0" borderId="3" xfId="37" applyNumberFormat="1" applyFont="1" applyFill="1" applyBorder="1" applyAlignment="1">
      <alignment horizontal="center"/>
    </xf>
    <xf numFmtId="2" fontId="35" fillId="27" borderId="0" xfId="0" applyNumberFormat="1" applyFont="1" applyFill="1" applyBorder="1" applyAlignment="1" applyProtection="1">
      <alignment horizontal="center" vertical="center"/>
      <protection locked="0"/>
    </xf>
    <xf numFmtId="2" fontId="31" fillId="28" borderId="0" xfId="0" applyNumberFormat="1" applyFont="1" applyFill="1" applyProtection="1">
      <protection locked="0"/>
    </xf>
    <xf numFmtId="4" fontId="99" fillId="11" borderId="2" xfId="0" applyNumberFormat="1" applyFont="1" applyFill="1" applyBorder="1" applyAlignment="1">
      <alignment horizontal="center"/>
    </xf>
    <xf numFmtId="4" fontId="109" fillId="11" borderId="2" xfId="0" applyNumberFormat="1" applyFont="1" applyFill="1" applyBorder="1" applyAlignment="1">
      <alignment horizontal="center"/>
    </xf>
    <xf numFmtId="4" fontId="98" fillId="11" borderId="2" xfId="0" applyNumberFormat="1" applyFont="1" applyFill="1" applyBorder="1" applyAlignment="1">
      <alignment horizontal="center"/>
    </xf>
    <xf numFmtId="4" fontId="98" fillId="0" borderId="3" xfId="22" applyNumberFormat="1" applyFont="1" applyFill="1" applyBorder="1" applyAlignment="1">
      <alignment horizontal="center"/>
    </xf>
    <xf numFmtId="4" fontId="98" fillId="0" borderId="29" xfId="22" applyNumberFormat="1" applyFont="1" applyFill="1" applyBorder="1" applyAlignment="1">
      <alignment horizontal="center"/>
    </xf>
    <xf numFmtId="2" fontId="98" fillId="0" borderId="3" xfId="35" applyFont="1" applyFill="1">
      <alignment horizontal="center"/>
    </xf>
    <xf numFmtId="4" fontId="98" fillId="0" borderId="2" xfId="22" applyNumberFormat="1" applyFont="1" applyFill="1" applyBorder="1" applyAlignment="1">
      <alignment horizontal="center"/>
    </xf>
    <xf numFmtId="2" fontId="98" fillId="0" borderId="3" xfId="35" applyFont="1">
      <alignment horizontal="center"/>
    </xf>
    <xf numFmtId="4" fontId="98" fillId="0" borderId="2" xfId="38" applyNumberFormat="1" applyFont="1" applyFill="1" applyBorder="1" applyAlignment="1">
      <alignment horizontal="center"/>
    </xf>
    <xf numFmtId="2" fontId="98" fillId="0" borderId="10" xfId="0" applyNumberFormat="1" applyFont="1" applyFill="1" applyBorder="1" applyAlignment="1">
      <alignment horizontal="center" vertical="center" wrapText="1"/>
    </xf>
    <xf numFmtId="2" fontId="98" fillId="0" borderId="29" xfId="0" applyNumberFormat="1" applyFont="1" applyFill="1" applyBorder="1" applyAlignment="1">
      <alignment horizontal="center"/>
    </xf>
    <xf numFmtId="4" fontId="98" fillId="0" borderId="2" xfId="37" applyNumberFormat="1" applyFont="1" applyFill="1" applyBorder="1" applyAlignment="1">
      <alignment horizontal="center"/>
    </xf>
    <xf numFmtId="2" fontId="98" fillId="0" borderId="0" xfId="0" applyNumberFormat="1" applyFont="1" applyFill="1" applyBorder="1" applyAlignment="1">
      <alignment horizontal="center" vertical="center" wrapText="1"/>
    </xf>
    <xf numFmtId="2" fontId="109" fillId="0" borderId="2" xfId="0" applyNumberFormat="1" applyFont="1" applyFill="1" applyBorder="1" applyAlignment="1">
      <alignment horizontal="center"/>
    </xf>
    <xf numFmtId="4" fontId="99" fillId="0" borderId="2" xfId="38" applyNumberFormat="1" applyFont="1" applyFill="1" applyBorder="1" applyAlignment="1">
      <alignment horizontal="center"/>
    </xf>
    <xf numFmtId="2" fontId="99" fillId="0" borderId="3" xfId="35" applyFont="1" applyFill="1">
      <alignment horizontal="center"/>
    </xf>
    <xf numFmtId="2" fontId="99" fillId="0" borderId="0" xfId="0" applyNumberFormat="1" applyFont="1" applyFill="1" applyBorder="1" applyAlignment="1">
      <alignment horizontal="center" vertical="center" wrapText="1"/>
    </xf>
    <xf numFmtId="2" fontId="99" fillId="11" borderId="3" xfId="0" applyNumberFormat="1" applyFont="1" applyFill="1" applyBorder="1" applyAlignment="1">
      <alignment horizontal="center"/>
    </xf>
    <xf numFmtId="2" fontId="99" fillId="0" borderId="10" xfId="0" applyNumberFormat="1" applyFont="1" applyFill="1" applyBorder="1" applyAlignment="1">
      <alignment horizontal="center" vertical="center" wrapText="1"/>
    </xf>
    <xf numFmtId="2" fontId="98" fillId="0" borderId="3" xfId="35" applyNumberFormat="1" applyFont="1" applyFill="1">
      <alignment horizontal="center"/>
    </xf>
    <xf numFmtId="2" fontId="98" fillId="0" borderId="29" xfId="37" applyNumberFormat="1" applyFont="1" applyFill="1" applyBorder="1" applyAlignment="1">
      <alignment horizontal="center"/>
    </xf>
    <xf numFmtId="0" fontId="2" fillId="12" borderId="4" xfId="0" applyFont="1" applyFill="1" applyBorder="1"/>
    <xf numFmtId="0" fontId="80" fillId="12" borderId="4" xfId="13" applyFont="1" applyFill="1" applyBorder="1" applyAlignment="1">
      <alignment horizontal="center"/>
    </xf>
    <xf numFmtId="4" fontId="55" fillId="12" borderId="29" xfId="0" applyNumberFormat="1" applyFont="1" applyFill="1" applyBorder="1" applyAlignment="1">
      <alignment horizontal="center"/>
    </xf>
    <xf numFmtId="4" fontId="55" fillId="12" borderId="24" xfId="0" applyNumberFormat="1" applyFont="1" applyFill="1" applyBorder="1" applyAlignment="1">
      <alignment horizontal="center"/>
    </xf>
    <xf numFmtId="4" fontId="55" fillId="12" borderId="25" xfId="0" applyNumberFormat="1" applyFont="1" applyFill="1" applyBorder="1" applyAlignment="1">
      <alignment horizontal="center"/>
    </xf>
    <xf numFmtId="2" fontId="111" fillId="28" borderId="0" xfId="0" applyNumberFormat="1" applyFont="1" applyFill="1" applyProtection="1">
      <protection locked="0"/>
    </xf>
    <xf numFmtId="2" fontId="98" fillId="0" borderId="2" xfId="34" applyFont="1" applyFill="1">
      <alignment horizontal="center"/>
    </xf>
    <xf numFmtId="2" fontId="98" fillId="0" borderId="2" xfId="34" applyFont="1">
      <alignment horizontal="center"/>
    </xf>
    <xf numFmtId="2" fontId="53" fillId="28" borderId="0" xfId="0" applyNumberFormat="1" applyFont="1" applyFill="1" applyProtection="1">
      <protection locked="0"/>
    </xf>
    <xf numFmtId="2" fontId="116" fillId="6" borderId="0" xfId="0" applyNumberFormat="1" applyFont="1" applyFill="1" applyProtection="1">
      <protection locked="0"/>
    </xf>
    <xf numFmtId="2" fontId="64" fillId="0" borderId="0" xfId="0" applyNumberFormat="1" applyFont="1" applyAlignment="1">
      <alignment horizontal="center"/>
    </xf>
    <xf numFmtId="1" fontId="64" fillId="0" borderId="0" xfId="0" applyNumberFormat="1" applyFont="1" applyAlignment="1">
      <alignment horizontal="center"/>
    </xf>
    <xf numFmtId="1" fontId="18" fillId="29" borderId="0" xfId="26" applyNumberFormat="1" applyFont="1" applyFill="1" applyBorder="1" applyAlignment="1">
      <alignment horizontal="center"/>
    </xf>
    <xf numFmtId="0" fontId="18" fillId="29" borderId="0" xfId="0" applyFont="1" applyFill="1" applyAlignment="1">
      <alignment horizontal="center"/>
    </xf>
    <xf numFmtId="1" fontId="18" fillId="30" borderId="0" xfId="26" applyNumberFormat="1" applyFont="1" applyFill="1" applyBorder="1" applyAlignment="1">
      <alignment horizontal="center"/>
    </xf>
    <xf numFmtId="1" fontId="18" fillId="31" borderId="0" xfId="26" applyNumberFormat="1" applyFont="1" applyFill="1" applyBorder="1" applyAlignment="1">
      <alignment horizontal="center"/>
    </xf>
    <xf numFmtId="2" fontId="64" fillId="0" borderId="0" xfId="0" applyNumberFormat="1" applyFont="1" applyAlignment="1">
      <alignment horizontal="center"/>
    </xf>
    <xf numFmtId="1" fontId="18" fillId="32" borderId="0" xfId="26" applyNumberFormat="1" applyFont="1" applyFill="1" applyBorder="1" applyAlignment="1">
      <alignment horizontal="center"/>
    </xf>
    <xf numFmtId="2" fontId="79" fillId="0" borderId="0" xfId="0" applyNumberFormat="1" applyFont="1" applyAlignment="1">
      <alignment horizontal="center"/>
    </xf>
    <xf numFmtId="2" fontId="32" fillId="0" borderId="5" xfId="13" applyNumberFormat="1" applyFont="1" applyBorder="1" applyAlignment="1">
      <alignment horizontal="center"/>
    </xf>
    <xf numFmtId="49" fontId="5" fillId="0" borderId="23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0" fontId="5" fillId="0" borderId="20" xfId="0" applyNumberFormat="1" applyFont="1" applyBorder="1" applyAlignment="1">
      <alignment horizontal="center"/>
    </xf>
    <xf numFmtId="0" fontId="5" fillId="0" borderId="6" xfId="0" applyNumberFormat="1" applyFont="1" applyBorder="1" applyAlignment="1">
      <alignment horizontal="center"/>
    </xf>
    <xf numFmtId="0" fontId="5" fillId="0" borderId="8" xfId="0" applyNumberFormat="1" applyFont="1" applyBorder="1" applyAlignment="1">
      <alignment horizontal="center"/>
    </xf>
    <xf numFmtId="49" fontId="79" fillId="0" borderId="0" xfId="0" applyNumberFormat="1" applyFont="1" applyAlignment="1">
      <alignment horizontal="center"/>
    </xf>
    <xf numFmtId="0" fontId="10" fillId="0" borderId="32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37" xfId="0" applyFont="1" applyFill="1" applyBorder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79" fillId="0" borderId="0" xfId="0" applyFont="1" applyFill="1" applyBorder="1" applyAlignment="1">
      <alignment horizontal="center"/>
    </xf>
    <xf numFmtId="0" fontId="10" fillId="0" borderId="59" xfId="0" applyFont="1" applyFill="1" applyBorder="1" applyAlignment="1">
      <alignment horizontal="center" vertical="center" wrapText="1"/>
    </xf>
    <xf numFmtId="0" fontId="10" fillId="0" borderId="60" xfId="0" applyFont="1" applyFill="1" applyBorder="1" applyAlignment="1">
      <alignment horizontal="center" vertical="center" wrapText="1"/>
    </xf>
    <xf numFmtId="0" fontId="10" fillId="0" borderId="61" xfId="0" applyFont="1" applyFill="1" applyBorder="1" applyAlignment="1">
      <alignment horizontal="center" vertical="center" wrapText="1"/>
    </xf>
    <xf numFmtId="164" fontId="11" fillId="0" borderId="2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8" xfId="0" applyNumberFormat="1" applyFont="1" applyBorder="1" applyAlignment="1">
      <alignment horizontal="center" vertical="center"/>
    </xf>
    <xf numFmtId="2" fontId="12" fillId="0" borderId="6" xfId="0" applyNumberFormat="1" applyFont="1" applyBorder="1" applyAlignment="1">
      <alignment horizontal="center" vertical="center"/>
    </xf>
    <xf numFmtId="2" fontId="12" fillId="0" borderId="8" xfId="0" applyNumberFormat="1" applyFont="1" applyBorder="1" applyAlignment="1">
      <alignment horizontal="center" vertical="center"/>
    </xf>
    <xf numFmtId="4" fontId="99" fillId="0" borderId="45" xfId="0" applyNumberFormat="1" applyFont="1" applyFill="1" applyBorder="1" applyAlignment="1">
      <alignment horizontal="center" vertical="center"/>
    </xf>
    <xf numFmtId="4" fontId="99" fillId="0" borderId="4" xfId="0" applyNumberFormat="1" applyFont="1" applyFill="1" applyBorder="1" applyAlignment="1">
      <alignment horizontal="center" vertical="center"/>
    </xf>
    <xf numFmtId="4" fontId="99" fillId="0" borderId="44" xfId="0" applyNumberFormat="1" applyFont="1" applyFill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4" fontId="108" fillId="0" borderId="4" xfId="0" applyNumberFormat="1" applyFont="1" applyFill="1" applyBorder="1" applyAlignment="1">
      <alignment horizontal="center" vertical="center"/>
    </xf>
    <xf numFmtId="2" fontId="64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2" fontId="27" fillId="0" borderId="0" xfId="0" applyNumberFormat="1" applyFont="1" applyAlignment="1">
      <alignment horizontal="center"/>
    </xf>
    <xf numFmtId="2" fontId="33" fillId="0" borderId="0" xfId="0" applyNumberFormat="1" applyFont="1" applyAlignment="1">
      <alignment horizontal="center"/>
    </xf>
    <xf numFmtId="2" fontId="29" fillId="0" borderId="0" xfId="0" applyNumberFormat="1" applyFont="1" applyAlignment="1">
      <alignment horizontal="right"/>
    </xf>
    <xf numFmtId="2" fontId="21" fillId="0" borderId="10" xfId="0" applyNumberFormat="1" applyFont="1" applyBorder="1" applyAlignment="1">
      <alignment horizontal="center"/>
    </xf>
    <xf numFmtId="2" fontId="21" fillId="0" borderId="11" xfId="0" applyNumberFormat="1" applyFont="1" applyBorder="1" applyAlignment="1">
      <alignment horizontal="center"/>
    </xf>
    <xf numFmtId="2" fontId="40" fillId="0" borderId="0" xfId="0" applyNumberFormat="1" applyFont="1" applyAlignment="1">
      <alignment horizontal="center"/>
    </xf>
    <xf numFmtId="2" fontId="2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21" fillId="0" borderId="21" xfId="0" applyNumberFormat="1" applyFont="1" applyBorder="1" applyAlignment="1">
      <alignment horizontal="center"/>
    </xf>
    <xf numFmtId="2" fontId="21" fillId="0" borderId="35" xfId="0" applyNumberFormat="1" applyFont="1" applyBorder="1" applyAlignment="1">
      <alignment horizontal="center"/>
    </xf>
    <xf numFmtId="2" fontId="67" fillId="0" borderId="0" xfId="0" applyNumberFormat="1" applyFont="1" applyAlignment="1">
      <alignment horizontal="center"/>
    </xf>
    <xf numFmtId="2" fontId="5" fillId="0" borderId="0" xfId="0" applyNumberFormat="1" applyFont="1" applyBorder="1" applyAlignment="1">
      <alignment horizontal="right"/>
    </xf>
    <xf numFmtId="2" fontId="22" fillId="0" borderId="0" xfId="0" applyNumberFormat="1" applyFont="1" applyAlignment="1">
      <alignment horizontal="center"/>
    </xf>
  </cellXfs>
  <cellStyles count="39">
    <cellStyle name="Default" xfId="1" xr:uid="{00000000-0005-0000-0000-000000000000}"/>
    <cellStyle name="Значение" xfId="2" xr:uid="{00000000-0005-0000-0000-000001000000}"/>
    <cellStyle name="Обычный" xfId="0" builtinId="0"/>
    <cellStyle name="Обычный 10" xfId="3" xr:uid="{00000000-0005-0000-0000-000003000000}"/>
    <cellStyle name="Обычный 10 2 2" xfId="38" xr:uid="{00000000-0005-0000-0000-000004000000}"/>
    <cellStyle name="Обычный 11" xfId="4" xr:uid="{00000000-0005-0000-0000-000005000000}"/>
    <cellStyle name="Обычный 12" xfId="5" xr:uid="{00000000-0005-0000-0000-000006000000}"/>
    <cellStyle name="Обычный 13" xfId="6" xr:uid="{00000000-0005-0000-0000-000007000000}"/>
    <cellStyle name="Обычный 14" xfId="7" xr:uid="{00000000-0005-0000-0000-000008000000}"/>
    <cellStyle name="Обычный 15" xfId="8" xr:uid="{00000000-0005-0000-0000-000009000000}"/>
    <cellStyle name="Обычный 16" xfId="9" xr:uid="{00000000-0005-0000-0000-00000A000000}"/>
    <cellStyle name="Обычный 17" xfId="10" xr:uid="{00000000-0005-0000-0000-00000B000000}"/>
    <cellStyle name="Обычный 18" xfId="11" xr:uid="{00000000-0005-0000-0000-00000C000000}"/>
    <cellStyle name="Обычный 19" xfId="12" xr:uid="{00000000-0005-0000-0000-00000D000000}"/>
    <cellStyle name="Обычный 2" xfId="13" xr:uid="{00000000-0005-0000-0000-00000E000000}"/>
    <cellStyle name="Обычный 2 10" xfId="14" xr:uid="{00000000-0005-0000-0000-00000F000000}"/>
    <cellStyle name="Обычный 20" xfId="15" xr:uid="{00000000-0005-0000-0000-000010000000}"/>
    <cellStyle name="Обычный 21" xfId="16" xr:uid="{00000000-0005-0000-0000-000011000000}"/>
    <cellStyle name="Обычный 22" xfId="17" xr:uid="{00000000-0005-0000-0000-000012000000}"/>
    <cellStyle name="Обычный 23" xfId="18" xr:uid="{00000000-0005-0000-0000-000013000000}"/>
    <cellStyle name="Обычный 24" xfId="37" xr:uid="{00000000-0005-0000-0000-000014000000}"/>
    <cellStyle name="Обычный 3" xfId="19" xr:uid="{00000000-0005-0000-0000-000015000000}"/>
    <cellStyle name="Обычный 3 2" xfId="20" xr:uid="{00000000-0005-0000-0000-000016000000}"/>
    <cellStyle name="Обычный 35" xfId="21" xr:uid="{00000000-0005-0000-0000-000017000000}"/>
    <cellStyle name="Обычный 38" xfId="22" xr:uid="{00000000-0005-0000-0000-000018000000}"/>
    <cellStyle name="Обычный 4" xfId="23" xr:uid="{00000000-0005-0000-0000-000019000000}"/>
    <cellStyle name="Обычный 4 2" xfId="24" xr:uid="{00000000-0005-0000-0000-00001A000000}"/>
    <cellStyle name="Обычный 5" xfId="25" xr:uid="{00000000-0005-0000-0000-00001B000000}"/>
    <cellStyle name="Обычный 5 2" xfId="26" xr:uid="{00000000-0005-0000-0000-00001C000000}"/>
    <cellStyle name="Обычный 6" xfId="27" xr:uid="{00000000-0005-0000-0000-00001D000000}"/>
    <cellStyle name="Обычный 7" xfId="28" xr:uid="{00000000-0005-0000-0000-00001E000000}"/>
    <cellStyle name="Обычный 8" xfId="29" xr:uid="{00000000-0005-0000-0000-00001F000000}"/>
    <cellStyle name="Обычный 9" xfId="30" xr:uid="{00000000-0005-0000-0000-000020000000}"/>
    <cellStyle name="Обычный_ВыходныеУровни по ОЭС до 2010г." xfId="31" xr:uid="{00000000-0005-0000-0000-000021000000}"/>
    <cellStyle name="Обычный_ЭС опт 30 инь" xfId="32" xr:uid="{00000000-0005-0000-0000-000022000000}"/>
    <cellStyle name="Стиль 1" xfId="33" xr:uid="{00000000-0005-0000-0000-000023000000}"/>
    <cellStyle name="увеличение" xfId="34" xr:uid="{00000000-0005-0000-0000-000024000000}"/>
    <cellStyle name="уменьшение" xfId="35" xr:uid="{00000000-0005-0000-0000-000025000000}"/>
    <cellStyle name="Формула" xfId="36" xr:uid="{00000000-0005-0000-0000-000026000000}"/>
  </cellStyles>
  <dxfs count="90">
    <dxf>
      <font>
        <b/>
        <i val="0"/>
        <strike val="0"/>
        <condense val="0"/>
        <extend val="0"/>
        <color indexed="32"/>
      </font>
      <fill>
        <patternFill>
          <bgColor indexed="41"/>
        </patternFill>
      </fill>
    </dxf>
    <dxf>
      <font>
        <b/>
        <i val="0"/>
        <strike val="0"/>
        <condense val="0"/>
        <extend val="0"/>
        <color indexed="32"/>
      </font>
      <fill>
        <patternFill>
          <bgColor indexed="41"/>
        </patternFill>
      </fill>
    </dxf>
    <dxf>
      <font>
        <b/>
        <i val="0"/>
        <strike val="0"/>
        <condense val="0"/>
        <extend val="0"/>
        <color indexed="32"/>
      </font>
      <fill>
        <patternFill>
          <bgColor indexed="41"/>
        </patternFill>
      </fill>
    </dxf>
    <dxf>
      <font>
        <b/>
        <i val="0"/>
        <strike val="0"/>
        <condense val="0"/>
        <extend val="0"/>
        <color indexed="32"/>
      </font>
      <fill>
        <patternFill>
          <bgColor indexed="41"/>
        </patternFill>
      </fill>
    </dxf>
    <dxf>
      <font>
        <b/>
        <i val="0"/>
        <strike val="0"/>
        <condense val="0"/>
        <extend val="0"/>
        <color indexed="32"/>
      </font>
      <fill>
        <patternFill>
          <bgColor indexed="41"/>
        </patternFill>
      </fill>
    </dxf>
    <dxf>
      <font>
        <b/>
        <i val="0"/>
        <strike val="0"/>
        <condense val="0"/>
        <extend val="0"/>
        <color indexed="32"/>
      </font>
      <fill>
        <patternFill>
          <bgColor indexed="41"/>
        </patternFill>
      </fill>
    </dxf>
    <dxf>
      <font>
        <b/>
        <i val="0"/>
        <strike val="0"/>
        <condense val="0"/>
        <extend val="0"/>
        <color indexed="32"/>
      </font>
      <fill>
        <patternFill>
          <bgColor indexed="41"/>
        </patternFill>
      </fill>
    </dxf>
    <dxf>
      <font>
        <b/>
        <i val="0"/>
        <strike val="0"/>
        <condense val="0"/>
        <extend val="0"/>
        <color indexed="32"/>
      </font>
      <fill>
        <patternFill>
          <bgColor indexed="41"/>
        </patternFill>
      </fill>
    </dxf>
    <dxf>
      <font>
        <b/>
        <i val="0"/>
        <strike val="0"/>
        <condense val="0"/>
        <extend val="0"/>
        <color indexed="32"/>
      </font>
      <fill>
        <patternFill>
          <bgColor indexed="41"/>
        </patternFill>
      </fill>
    </dxf>
    <dxf>
      <font>
        <b/>
        <i val="0"/>
        <strike val="0"/>
        <condense val="0"/>
        <extend val="0"/>
        <color indexed="32"/>
      </font>
      <fill>
        <patternFill>
          <bgColor indexed="41"/>
        </patternFill>
      </fill>
    </dxf>
    <dxf>
      <font>
        <b/>
        <i val="0"/>
        <strike val="0"/>
        <condense val="0"/>
        <extend val="0"/>
        <color indexed="32"/>
      </font>
      <fill>
        <patternFill>
          <bgColor indexed="41"/>
        </patternFill>
      </fill>
    </dxf>
    <dxf>
      <font>
        <b/>
        <i val="0"/>
        <strike val="0"/>
        <condense val="0"/>
        <extend val="0"/>
        <color indexed="32"/>
      </font>
      <fill>
        <patternFill>
          <bgColor indexed="41"/>
        </patternFill>
      </fill>
    </dxf>
    <dxf>
      <font>
        <b/>
        <i val="0"/>
        <strike val="0"/>
        <condense val="0"/>
        <extend val="0"/>
        <color indexed="32"/>
      </font>
      <fill>
        <patternFill>
          <bgColor indexed="41"/>
        </patternFill>
      </fill>
    </dxf>
    <dxf>
      <font>
        <b/>
        <i val="0"/>
        <strike val="0"/>
        <condense val="0"/>
        <extend val="0"/>
        <color indexed="32"/>
      </font>
      <fill>
        <patternFill>
          <bgColor indexed="41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Light16"/>
  <colors>
    <mruColors>
      <color rgb="FF008000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273843</xdr:colOff>
      <xdr:row>39</xdr:row>
      <xdr:rowOff>11907</xdr:rowOff>
    </xdr:from>
    <xdr:to>
      <xdr:col>11</xdr:col>
      <xdr:colOff>273843</xdr:colOff>
      <xdr:row>55</xdr:row>
      <xdr:rowOff>178594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10822781" y="6072188"/>
          <a:ext cx="0" cy="3214687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250032</xdr:colOff>
      <xdr:row>56</xdr:row>
      <xdr:rowOff>178593</xdr:rowOff>
    </xdr:from>
    <xdr:to>
      <xdr:col>11</xdr:col>
      <xdr:colOff>250032</xdr:colOff>
      <xdr:row>66</xdr:row>
      <xdr:rowOff>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10798970" y="9477374"/>
          <a:ext cx="0" cy="1726407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226219</xdr:colOff>
      <xdr:row>39</xdr:row>
      <xdr:rowOff>23813</xdr:rowOff>
    </xdr:from>
    <xdr:to>
      <xdr:col>14</xdr:col>
      <xdr:colOff>226219</xdr:colOff>
      <xdr:row>56</xdr:row>
      <xdr:rowOff>0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2977813" y="6084094"/>
          <a:ext cx="0" cy="3214687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226219</xdr:colOff>
      <xdr:row>56</xdr:row>
      <xdr:rowOff>190499</xdr:rowOff>
    </xdr:from>
    <xdr:to>
      <xdr:col>14</xdr:col>
      <xdr:colOff>238125</xdr:colOff>
      <xdr:row>65</xdr:row>
      <xdr:rowOff>178594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 flipH="1">
          <a:off x="12977813" y="9489280"/>
          <a:ext cx="11906" cy="1702595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238125</xdr:colOff>
      <xdr:row>39</xdr:row>
      <xdr:rowOff>1</xdr:rowOff>
    </xdr:from>
    <xdr:to>
      <xdr:col>17</xdr:col>
      <xdr:colOff>238125</xdr:colOff>
      <xdr:row>55</xdr:row>
      <xdr:rowOff>166688</xdr:rowOff>
    </xdr:to>
    <xdr:cxnSp macro="">
      <xdr:nvCxnSpPr>
        <xdr:cNvPr id="27" name="Прямая со стрелкой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/>
      </xdr:nvCxnSpPr>
      <xdr:spPr>
        <a:xfrm flipV="1">
          <a:off x="15216188" y="6060282"/>
          <a:ext cx="0" cy="3214687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238125</xdr:colOff>
      <xdr:row>57</xdr:row>
      <xdr:rowOff>11905</xdr:rowOff>
    </xdr:from>
    <xdr:to>
      <xdr:col>17</xdr:col>
      <xdr:colOff>250031</xdr:colOff>
      <xdr:row>66</xdr:row>
      <xdr:rowOff>0</xdr:rowOff>
    </xdr:to>
    <xdr:cxnSp macro="">
      <xdr:nvCxnSpPr>
        <xdr:cNvPr id="28" name="Прямая со стрелкой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/>
      </xdr:nvCxnSpPr>
      <xdr:spPr>
        <a:xfrm flipH="1">
          <a:off x="15216188" y="9501186"/>
          <a:ext cx="11906" cy="1702595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39</xdr:row>
      <xdr:rowOff>11907</xdr:rowOff>
    </xdr:from>
    <xdr:to>
      <xdr:col>20</xdr:col>
      <xdr:colOff>238125</xdr:colOff>
      <xdr:row>55</xdr:row>
      <xdr:rowOff>178594</xdr:rowOff>
    </xdr:to>
    <xdr:cxnSp macro="">
      <xdr:nvCxnSpPr>
        <xdr:cNvPr id="29" name="Прямая со стрелкой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 flipV="1">
          <a:off x="17514094" y="6072188"/>
          <a:ext cx="0" cy="3214687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56</xdr:row>
      <xdr:rowOff>178593</xdr:rowOff>
    </xdr:from>
    <xdr:to>
      <xdr:col>20</xdr:col>
      <xdr:colOff>250031</xdr:colOff>
      <xdr:row>65</xdr:row>
      <xdr:rowOff>166688</xdr:rowOff>
    </xdr:to>
    <xdr:cxnSp macro="">
      <xdr:nvCxnSpPr>
        <xdr:cNvPr id="30" name="Прямая со стрелкой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/>
      </xdr:nvCxnSpPr>
      <xdr:spPr>
        <a:xfrm>
          <a:off x="17514094" y="9477374"/>
          <a:ext cx="11906" cy="1702595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250031</xdr:colOff>
      <xdr:row>39</xdr:row>
      <xdr:rowOff>11907</xdr:rowOff>
    </xdr:from>
    <xdr:to>
      <xdr:col>23</xdr:col>
      <xdr:colOff>250031</xdr:colOff>
      <xdr:row>55</xdr:row>
      <xdr:rowOff>178594</xdr:rowOff>
    </xdr:to>
    <xdr:cxnSp macro="">
      <xdr:nvCxnSpPr>
        <xdr:cNvPr id="31" name="Прямая со стрелкой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/>
      </xdr:nvCxnSpPr>
      <xdr:spPr>
        <a:xfrm flipV="1">
          <a:off x="19704844" y="6072188"/>
          <a:ext cx="0" cy="3214687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285750</xdr:colOff>
      <xdr:row>57</xdr:row>
      <xdr:rowOff>11906</xdr:rowOff>
    </xdr:from>
    <xdr:to>
      <xdr:col>23</xdr:col>
      <xdr:colOff>285750</xdr:colOff>
      <xdr:row>66</xdr:row>
      <xdr:rowOff>1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/>
      </xdr:nvCxnSpPr>
      <xdr:spPr>
        <a:xfrm>
          <a:off x="19740563" y="9501187"/>
          <a:ext cx="0" cy="1702595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202406</xdr:colOff>
      <xdr:row>39</xdr:row>
      <xdr:rowOff>11907</xdr:rowOff>
    </xdr:from>
    <xdr:to>
      <xdr:col>26</xdr:col>
      <xdr:colOff>202406</xdr:colOff>
      <xdr:row>55</xdr:row>
      <xdr:rowOff>178594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CxnSpPr/>
      </xdr:nvCxnSpPr>
      <xdr:spPr>
        <a:xfrm flipV="1">
          <a:off x="21883687" y="6072188"/>
          <a:ext cx="0" cy="3214687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214312</xdr:colOff>
      <xdr:row>56</xdr:row>
      <xdr:rowOff>178593</xdr:rowOff>
    </xdr:from>
    <xdr:to>
      <xdr:col>26</xdr:col>
      <xdr:colOff>214312</xdr:colOff>
      <xdr:row>65</xdr:row>
      <xdr:rowOff>166688</xdr:rowOff>
    </xdr:to>
    <xdr:cxnSp macro="">
      <xdr:nvCxnSpPr>
        <xdr:cNvPr id="37" name="Прямая со стрелкой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/>
      </xdr:nvCxnSpPr>
      <xdr:spPr>
        <a:xfrm>
          <a:off x="21895593" y="9477374"/>
          <a:ext cx="0" cy="1702595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226219</xdr:colOff>
      <xdr:row>39</xdr:row>
      <xdr:rowOff>23813</xdr:rowOff>
    </xdr:from>
    <xdr:to>
      <xdr:col>29</xdr:col>
      <xdr:colOff>226219</xdr:colOff>
      <xdr:row>56</xdr:row>
      <xdr:rowOff>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CxnSpPr/>
      </xdr:nvCxnSpPr>
      <xdr:spPr>
        <a:xfrm flipV="1">
          <a:off x="24157782" y="6084094"/>
          <a:ext cx="0" cy="3214687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226219</xdr:colOff>
      <xdr:row>56</xdr:row>
      <xdr:rowOff>178593</xdr:rowOff>
    </xdr:from>
    <xdr:to>
      <xdr:col>29</xdr:col>
      <xdr:colOff>226219</xdr:colOff>
      <xdr:row>65</xdr:row>
      <xdr:rowOff>166688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CxnSpPr/>
      </xdr:nvCxnSpPr>
      <xdr:spPr>
        <a:xfrm>
          <a:off x="24157782" y="9477374"/>
          <a:ext cx="0" cy="1702595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226219</xdr:colOff>
      <xdr:row>39</xdr:row>
      <xdr:rowOff>1</xdr:rowOff>
    </xdr:from>
    <xdr:to>
      <xdr:col>32</xdr:col>
      <xdr:colOff>226219</xdr:colOff>
      <xdr:row>55</xdr:row>
      <xdr:rowOff>166688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CxnSpPr/>
      </xdr:nvCxnSpPr>
      <xdr:spPr>
        <a:xfrm flipV="1">
          <a:off x="26360438" y="6060282"/>
          <a:ext cx="0" cy="3214687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226219</xdr:colOff>
      <xdr:row>56</xdr:row>
      <xdr:rowOff>178593</xdr:rowOff>
    </xdr:from>
    <xdr:to>
      <xdr:col>32</xdr:col>
      <xdr:colOff>226219</xdr:colOff>
      <xdr:row>65</xdr:row>
      <xdr:rowOff>166688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CxnSpPr/>
      </xdr:nvCxnSpPr>
      <xdr:spPr>
        <a:xfrm>
          <a:off x="26360438" y="9477374"/>
          <a:ext cx="0" cy="1702595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238125</xdr:colOff>
      <xdr:row>39</xdr:row>
      <xdr:rowOff>1</xdr:rowOff>
    </xdr:from>
    <xdr:to>
      <xdr:col>35</xdr:col>
      <xdr:colOff>238125</xdr:colOff>
      <xdr:row>55</xdr:row>
      <xdr:rowOff>166688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CxnSpPr/>
      </xdr:nvCxnSpPr>
      <xdr:spPr>
        <a:xfrm flipV="1">
          <a:off x="28634531" y="6060282"/>
          <a:ext cx="0" cy="3214687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238125</xdr:colOff>
      <xdr:row>56</xdr:row>
      <xdr:rowOff>166686</xdr:rowOff>
    </xdr:from>
    <xdr:to>
      <xdr:col>35</xdr:col>
      <xdr:colOff>238125</xdr:colOff>
      <xdr:row>65</xdr:row>
      <xdr:rowOff>154781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CxnSpPr/>
      </xdr:nvCxnSpPr>
      <xdr:spPr>
        <a:xfrm>
          <a:off x="28634531" y="9465467"/>
          <a:ext cx="0" cy="1702595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250031</xdr:colOff>
      <xdr:row>39</xdr:row>
      <xdr:rowOff>11907</xdr:rowOff>
    </xdr:from>
    <xdr:to>
      <xdr:col>38</xdr:col>
      <xdr:colOff>250031</xdr:colOff>
      <xdr:row>55</xdr:row>
      <xdr:rowOff>178594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/>
      </xdr:nvCxnSpPr>
      <xdr:spPr>
        <a:xfrm flipV="1">
          <a:off x="30908625" y="6072188"/>
          <a:ext cx="0" cy="3214687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250031</xdr:colOff>
      <xdr:row>57</xdr:row>
      <xdr:rowOff>11906</xdr:rowOff>
    </xdr:from>
    <xdr:to>
      <xdr:col>38</xdr:col>
      <xdr:colOff>250031</xdr:colOff>
      <xdr:row>66</xdr:row>
      <xdr:rowOff>1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CxnSpPr/>
      </xdr:nvCxnSpPr>
      <xdr:spPr>
        <a:xfrm>
          <a:off x="30908625" y="9501187"/>
          <a:ext cx="0" cy="1702595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238125</xdr:colOff>
      <xdr:row>39</xdr:row>
      <xdr:rowOff>11907</xdr:rowOff>
    </xdr:from>
    <xdr:to>
      <xdr:col>41</xdr:col>
      <xdr:colOff>238125</xdr:colOff>
      <xdr:row>55</xdr:row>
      <xdr:rowOff>178594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CxnSpPr/>
      </xdr:nvCxnSpPr>
      <xdr:spPr>
        <a:xfrm flipV="1">
          <a:off x="33087469" y="6072188"/>
          <a:ext cx="0" cy="3214687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238125</xdr:colOff>
      <xdr:row>56</xdr:row>
      <xdr:rowOff>178593</xdr:rowOff>
    </xdr:from>
    <xdr:to>
      <xdr:col>41</xdr:col>
      <xdr:colOff>238125</xdr:colOff>
      <xdr:row>65</xdr:row>
      <xdr:rowOff>166688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/>
      </xdr:nvCxnSpPr>
      <xdr:spPr>
        <a:xfrm>
          <a:off x="33087469" y="9477374"/>
          <a:ext cx="0" cy="1702595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273843</xdr:colOff>
      <xdr:row>39</xdr:row>
      <xdr:rowOff>1</xdr:rowOff>
    </xdr:from>
    <xdr:to>
      <xdr:col>44</xdr:col>
      <xdr:colOff>273843</xdr:colOff>
      <xdr:row>55</xdr:row>
      <xdr:rowOff>166688</xdr:rowOff>
    </xdr:to>
    <xdr:cxnSp macro="">
      <xdr:nvCxnSpPr>
        <xdr:cNvPr id="48" name="Прямая со стрелко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CxnSpPr/>
      </xdr:nvCxnSpPr>
      <xdr:spPr>
        <a:xfrm flipV="1">
          <a:off x="35492531" y="6060282"/>
          <a:ext cx="0" cy="3214687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297656</xdr:colOff>
      <xdr:row>56</xdr:row>
      <xdr:rowOff>178593</xdr:rowOff>
    </xdr:from>
    <xdr:to>
      <xdr:col>44</xdr:col>
      <xdr:colOff>297656</xdr:colOff>
      <xdr:row>65</xdr:row>
      <xdr:rowOff>166688</xdr:rowOff>
    </xdr:to>
    <xdr:cxnSp macro="">
      <xdr:nvCxnSpPr>
        <xdr:cNvPr id="49" name="Прямая со стрелкой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CxnSpPr/>
      </xdr:nvCxnSpPr>
      <xdr:spPr>
        <a:xfrm>
          <a:off x="35516344" y="9477374"/>
          <a:ext cx="0" cy="1702595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226218</xdr:colOff>
      <xdr:row>39</xdr:row>
      <xdr:rowOff>11907</xdr:rowOff>
    </xdr:from>
    <xdr:to>
      <xdr:col>47</xdr:col>
      <xdr:colOff>226218</xdr:colOff>
      <xdr:row>55</xdr:row>
      <xdr:rowOff>178594</xdr:rowOff>
    </xdr:to>
    <xdr:cxnSp macro="">
      <xdr:nvCxnSpPr>
        <xdr:cNvPr id="50" name="Прямая со стрелкой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/>
      </xdr:nvCxnSpPr>
      <xdr:spPr>
        <a:xfrm flipV="1">
          <a:off x="37933312" y="6072188"/>
          <a:ext cx="0" cy="3214687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238125</xdr:colOff>
      <xdr:row>56</xdr:row>
      <xdr:rowOff>178593</xdr:rowOff>
    </xdr:from>
    <xdr:to>
      <xdr:col>47</xdr:col>
      <xdr:colOff>238125</xdr:colOff>
      <xdr:row>65</xdr:row>
      <xdr:rowOff>166688</xdr:rowOff>
    </xdr:to>
    <xdr:cxnSp macro="">
      <xdr:nvCxnSpPr>
        <xdr:cNvPr id="51" name="Прямая со стрелкой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CxnSpPr/>
      </xdr:nvCxnSpPr>
      <xdr:spPr>
        <a:xfrm>
          <a:off x="37945219" y="9477374"/>
          <a:ext cx="0" cy="1702595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392906</xdr:colOff>
      <xdr:row>52</xdr:row>
      <xdr:rowOff>0</xdr:rowOff>
    </xdr:from>
    <xdr:to>
      <xdr:col>9</xdr:col>
      <xdr:colOff>392906</xdr:colOff>
      <xdr:row>56</xdr:row>
      <xdr:rowOff>0</xdr:rowOff>
    </xdr:to>
    <xdr:cxnSp macro="">
      <xdr:nvCxnSpPr>
        <xdr:cNvPr id="33" name="Прямая со стрелкой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CxnSpPr/>
      </xdr:nvCxnSpPr>
      <xdr:spPr>
        <a:xfrm flipV="1">
          <a:off x="11037094" y="10679906"/>
          <a:ext cx="0" cy="940594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404812</xdr:colOff>
      <xdr:row>57</xdr:row>
      <xdr:rowOff>0</xdr:rowOff>
    </xdr:from>
    <xdr:to>
      <xdr:col>9</xdr:col>
      <xdr:colOff>404812</xdr:colOff>
      <xdr:row>76</xdr:row>
      <xdr:rowOff>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/>
      </xdr:nvCxnSpPr>
      <xdr:spPr>
        <a:xfrm>
          <a:off x="11049000" y="11811000"/>
          <a:ext cx="0" cy="3048000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392906</xdr:colOff>
      <xdr:row>52</xdr:row>
      <xdr:rowOff>0</xdr:rowOff>
    </xdr:from>
    <xdr:to>
      <xdr:col>12</xdr:col>
      <xdr:colOff>392906</xdr:colOff>
      <xdr:row>56</xdr:row>
      <xdr:rowOff>0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CxnSpPr/>
      </xdr:nvCxnSpPr>
      <xdr:spPr>
        <a:xfrm flipV="1">
          <a:off x="11037094" y="10679906"/>
          <a:ext cx="0" cy="940594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404812</xdr:colOff>
      <xdr:row>57</xdr:row>
      <xdr:rowOff>0</xdr:rowOff>
    </xdr:from>
    <xdr:to>
      <xdr:col>12</xdr:col>
      <xdr:colOff>404812</xdr:colOff>
      <xdr:row>76</xdr:row>
      <xdr:rowOff>0</xdr:rowOff>
    </xdr:to>
    <xdr:cxnSp macro="">
      <xdr:nvCxnSpPr>
        <xdr:cNvPr id="53" name="Прямая со стрелко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/>
      </xdr:nvCxnSpPr>
      <xdr:spPr>
        <a:xfrm>
          <a:off x="11049000" y="11811000"/>
          <a:ext cx="0" cy="3048000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392906</xdr:colOff>
      <xdr:row>52</xdr:row>
      <xdr:rowOff>0</xdr:rowOff>
    </xdr:from>
    <xdr:to>
      <xdr:col>15</xdr:col>
      <xdr:colOff>392906</xdr:colOff>
      <xdr:row>56</xdr:row>
      <xdr:rowOff>0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CxnSpPr/>
      </xdr:nvCxnSpPr>
      <xdr:spPr>
        <a:xfrm flipV="1">
          <a:off x="13299281" y="10679906"/>
          <a:ext cx="0" cy="940594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404812</xdr:colOff>
      <xdr:row>57</xdr:row>
      <xdr:rowOff>0</xdr:rowOff>
    </xdr:from>
    <xdr:to>
      <xdr:col>15</xdr:col>
      <xdr:colOff>404812</xdr:colOff>
      <xdr:row>76</xdr:row>
      <xdr:rowOff>0</xdr:rowOff>
    </xdr:to>
    <xdr:cxnSp macro="">
      <xdr:nvCxnSpPr>
        <xdr:cNvPr id="55" name="Прямая со стрелкой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CxnSpPr/>
      </xdr:nvCxnSpPr>
      <xdr:spPr>
        <a:xfrm>
          <a:off x="13311187" y="11811000"/>
          <a:ext cx="0" cy="3048000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392906</xdr:colOff>
      <xdr:row>52</xdr:row>
      <xdr:rowOff>0</xdr:rowOff>
    </xdr:from>
    <xdr:to>
      <xdr:col>18</xdr:col>
      <xdr:colOff>392906</xdr:colOff>
      <xdr:row>56</xdr:row>
      <xdr:rowOff>0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CxnSpPr/>
      </xdr:nvCxnSpPr>
      <xdr:spPr>
        <a:xfrm flipV="1">
          <a:off x="15466219" y="10679906"/>
          <a:ext cx="0" cy="940594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404812</xdr:colOff>
      <xdr:row>57</xdr:row>
      <xdr:rowOff>0</xdr:rowOff>
    </xdr:from>
    <xdr:to>
      <xdr:col>18</xdr:col>
      <xdr:colOff>404812</xdr:colOff>
      <xdr:row>76</xdr:row>
      <xdr:rowOff>0</xdr:rowOff>
    </xdr:to>
    <xdr:cxnSp macro="">
      <xdr:nvCxnSpPr>
        <xdr:cNvPr id="57" name="Прямая со стрелкой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CxnSpPr/>
      </xdr:nvCxnSpPr>
      <xdr:spPr>
        <a:xfrm>
          <a:off x="15478125" y="11811000"/>
          <a:ext cx="0" cy="3048000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392906</xdr:colOff>
      <xdr:row>52</xdr:row>
      <xdr:rowOff>0</xdr:rowOff>
    </xdr:from>
    <xdr:to>
      <xdr:col>21</xdr:col>
      <xdr:colOff>392906</xdr:colOff>
      <xdr:row>56</xdr:row>
      <xdr:rowOff>0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CxnSpPr/>
      </xdr:nvCxnSpPr>
      <xdr:spPr>
        <a:xfrm flipV="1">
          <a:off x="17787937" y="10679906"/>
          <a:ext cx="0" cy="940594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404812</xdr:colOff>
      <xdr:row>57</xdr:row>
      <xdr:rowOff>0</xdr:rowOff>
    </xdr:from>
    <xdr:to>
      <xdr:col>21</xdr:col>
      <xdr:colOff>404812</xdr:colOff>
      <xdr:row>76</xdr:row>
      <xdr:rowOff>0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/>
      </xdr:nvCxnSpPr>
      <xdr:spPr>
        <a:xfrm>
          <a:off x="17799843" y="11811000"/>
          <a:ext cx="0" cy="3048000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392906</xdr:colOff>
      <xdr:row>52</xdr:row>
      <xdr:rowOff>0</xdr:rowOff>
    </xdr:from>
    <xdr:to>
      <xdr:col>24</xdr:col>
      <xdr:colOff>392906</xdr:colOff>
      <xdr:row>56</xdr:row>
      <xdr:rowOff>0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CxnSpPr/>
      </xdr:nvCxnSpPr>
      <xdr:spPr>
        <a:xfrm flipV="1">
          <a:off x="20169187" y="10679906"/>
          <a:ext cx="0" cy="940594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404812</xdr:colOff>
      <xdr:row>57</xdr:row>
      <xdr:rowOff>0</xdr:rowOff>
    </xdr:from>
    <xdr:to>
      <xdr:col>24</xdr:col>
      <xdr:colOff>404812</xdr:colOff>
      <xdr:row>76</xdr:row>
      <xdr:rowOff>0</xdr:rowOff>
    </xdr:to>
    <xdr:cxnSp macro="">
      <xdr:nvCxnSpPr>
        <xdr:cNvPr id="61" name="Прямая со стрелкой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CxnSpPr/>
      </xdr:nvCxnSpPr>
      <xdr:spPr>
        <a:xfrm>
          <a:off x="20181093" y="11811000"/>
          <a:ext cx="0" cy="3048000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392906</xdr:colOff>
      <xdr:row>52</xdr:row>
      <xdr:rowOff>0</xdr:rowOff>
    </xdr:from>
    <xdr:to>
      <xdr:col>27</xdr:col>
      <xdr:colOff>392906</xdr:colOff>
      <xdr:row>56</xdr:row>
      <xdr:rowOff>0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CxnSpPr/>
      </xdr:nvCxnSpPr>
      <xdr:spPr>
        <a:xfrm flipV="1">
          <a:off x="22359937" y="10679906"/>
          <a:ext cx="0" cy="940594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404812</xdr:colOff>
      <xdr:row>57</xdr:row>
      <xdr:rowOff>0</xdr:rowOff>
    </xdr:from>
    <xdr:to>
      <xdr:col>27</xdr:col>
      <xdr:colOff>404812</xdr:colOff>
      <xdr:row>76</xdr:row>
      <xdr:rowOff>0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/>
      </xdr:nvCxnSpPr>
      <xdr:spPr>
        <a:xfrm>
          <a:off x="22371843" y="11811000"/>
          <a:ext cx="0" cy="3048000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392906</xdr:colOff>
      <xdr:row>52</xdr:row>
      <xdr:rowOff>0</xdr:rowOff>
    </xdr:from>
    <xdr:to>
      <xdr:col>30</xdr:col>
      <xdr:colOff>392906</xdr:colOff>
      <xdr:row>56</xdr:row>
      <xdr:rowOff>0</xdr:rowOff>
    </xdr:to>
    <xdr:cxnSp macro="">
      <xdr:nvCxnSpPr>
        <xdr:cNvPr id="64" name="Прямая со стрелко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CxnSpPr/>
      </xdr:nvCxnSpPr>
      <xdr:spPr>
        <a:xfrm flipV="1">
          <a:off x="24598312" y="10679906"/>
          <a:ext cx="0" cy="940594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404812</xdr:colOff>
      <xdr:row>57</xdr:row>
      <xdr:rowOff>0</xdr:rowOff>
    </xdr:from>
    <xdr:to>
      <xdr:col>30</xdr:col>
      <xdr:colOff>404812</xdr:colOff>
      <xdr:row>76</xdr:row>
      <xdr:rowOff>0</xdr:rowOff>
    </xdr:to>
    <xdr:cxnSp macro="">
      <xdr:nvCxnSpPr>
        <xdr:cNvPr id="65" name="Прямая со стрелкой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CxnSpPr/>
      </xdr:nvCxnSpPr>
      <xdr:spPr>
        <a:xfrm>
          <a:off x="24610218" y="11811000"/>
          <a:ext cx="0" cy="3048000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392906</xdr:colOff>
      <xdr:row>52</xdr:row>
      <xdr:rowOff>0</xdr:rowOff>
    </xdr:from>
    <xdr:to>
      <xdr:col>33</xdr:col>
      <xdr:colOff>392906</xdr:colOff>
      <xdr:row>56</xdr:row>
      <xdr:rowOff>0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/>
      </xdr:nvCxnSpPr>
      <xdr:spPr>
        <a:xfrm flipV="1">
          <a:off x="26836687" y="10679906"/>
          <a:ext cx="0" cy="940594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404812</xdr:colOff>
      <xdr:row>57</xdr:row>
      <xdr:rowOff>0</xdr:rowOff>
    </xdr:from>
    <xdr:to>
      <xdr:col>33</xdr:col>
      <xdr:colOff>404812</xdr:colOff>
      <xdr:row>76</xdr:row>
      <xdr:rowOff>0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CxnSpPr/>
      </xdr:nvCxnSpPr>
      <xdr:spPr>
        <a:xfrm>
          <a:off x="26848593" y="11811000"/>
          <a:ext cx="0" cy="3048000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392906</xdr:colOff>
      <xdr:row>52</xdr:row>
      <xdr:rowOff>0</xdr:rowOff>
    </xdr:from>
    <xdr:to>
      <xdr:col>36</xdr:col>
      <xdr:colOff>392906</xdr:colOff>
      <xdr:row>56</xdr:row>
      <xdr:rowOff>0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CxnSpPr/>
      </xdr:nvCxnSpPr>
      <xdr:spPr>
        <a:xfrm flipV="1">
          <a:off x="29075062" y="10679906"/>
          <a:ext cx="0" cy="940594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404812</xdr:colOff>
      <xdr:row>57</xdr:row>
      <xdr:rowOff>0</xdr:rowOff>
    </xdr:from>
    <xdr:to>
      <xdr:col>36</xdr:col>
      <xdr:colOff>404812</xdr:colOff>
      <xdr:row>76</xdr:row>
      <xdr:rowOff>0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CxnSpPr/>
      </xdr:nvCxnSpPr>
      <xdr:spPr>
        <a:xfrm>
          <a:off x="29086968" y="11811000"/>
          <a:ext cx="0" cy="3048000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392906</xdr:colOff>
      <xdr:row>52</xdr:row>
      <xdr:rowOff>0</xdr:rowOff>
    </xdr:from>
    <xdr:to>
      <xdr:col>39</xdr:col>
      <xdr:colOff>392906</xdr:colOff>
      <xdr:row>56</xdr:row>
      <xdr:rowOff>0</xdr:rowOff>
    </xdr:to>
    <xdr:cxnSp macro="">
      <xdr:nvCxnSpPr>
        <xdr:cNvPr id="70" name="Прямая со стрелкой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CxnSpPr/>
      </xdr:nvCxnSpPr>
      <xdr:spPr>
        <a:xfrm flipV="1">
          <a:off x="31325344" y="10679906"/>
          <a:ext cx="0" cy="940594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404812</xdr:colOff>
      <xdr:row>57</xdr:row>
      <xdr:rowOff>0</xdr:rowOff>
    </xdr:from>
    <xdr:to>
      <xdr:col>39</xdr:col>
      <xdr:colOff>404812</xdr:colOff>
      <xdr:row>76</xdr:row>
      <xdr:rowOff>0</xdr:rowOff>
    </xdr:to>
    <xdr:cxnSp macro="">
      <xdr:nvCxnSpPr>
        <xdr:cNvPr id="71" name="Прямая со стрелкой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CxnSpPr/>
      </xdr:nvCxnSpPr>
      <xdr:spPr>
        <a:xfrm>
          <a:off x="31337250" y="11811000"/>
          <a:ext cx="0" cy="3048000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392906</xdr:colOff>
      <xdr:row>52</xdr:row>
      <xdr:rowOff>0</xdr:rowOff>
    </xdr:from>
    <xdr:to>
      <xdr:col>42</xdr:col>
      <xdr:colOff>392906</xdr:colOff>
      <xdr:row>56</xdr:row>
      <xdr:rowOff>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/>
      </xdr:nvCxnSpPr>
      <xdr:spPr>
        <a:xfrm flipV="1">
          <a:off x="33480375" y="10679906"/>
          <a:ext cx="0" cy="940594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404812</xdr:colOff>
      <xdr:row>57</xdr:row>
      <xdr:rowOff>0</xdr:rowOff>
    </xdr:from>
    <xdr:to>
      <xdr:col>42</xdr:col>
      <xdr:colOff>404812</xdr:colOff>
      <xdr:row>75</xdr:row>
      <xdr:rowOff>178594</xdr:rowOff>
    </xdr:to>
    <xdr:cxnSp macro="">
      <xdr:nvCxnSpPr>
        <xdr:cNvPr id="73" name="Прямая со стрелкой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CxnSpPr/>
      </xdr:nvCxnSpPr>
      <xdr:spPr>
        <a:xfrm>
          <a:off x="33778031" y="9489281"/>
          <a:ext cx="0" cy="3417094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392906</xdr:colOff>
      <xdr:row>52</xdr:row>
      <xdr:rowOff>0</xdr:rowOff>
    </xdr:from>
    <xdr:to>
      <xdr:col>45</xdr:col>
      <xdr:colOff>392906</xdr:colOff>
      <xdr:row>56</xdr:row>
      <xdr:rowOff>0</xdr:rowOff>
    </xdr:to>
    <xdr:cxnSp macro="">
      <xdr:nvCxnSpPr>
        <xdr:cNvPr id="74" name="Прямая со стрелкой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CxnSpPr/>
      </xdr:nvCxnSpPr>
      <xdr:spPr>
        <a:xfrm flipV="1">
          <a:off x="35706844" y="10679906"/>
          <a:ext cx="0" cy="940594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404812</xdr:colOff>
      <xdr:row>57</xdr:row>
      <xdr:rowOff>0</xdr:rowOff>
    </xdr:from>
    <xdr:to>
      <xdr:col>45</xdr:col>
      <xdr:colOff>404812</xdr:colOff>
      <xdr:row>76</xdr:row>
      <xdr:rowOff>0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/>
      </xdr:nvCxnSpPr>
      <xdr:spPr>
        <a:xfrm>
          <a:off x="35718750" y="11811000"/>
          <a:ext cx="0" cy="3048000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66675</xdr:rowOff>
    </xdr:from>
    <xdr:to>
      <xdr:col>8</xdr:col>
      <xdr:colOff>180975</xdr:colOff>
      <xdr:row>25</xdr:row>
      <xdr:rowOff>0</xdr:rowOff>
    </xdr:to>
    <xdr:sp macro="" textlink="">
      <xdr:nvSpPr>
        <xdr:cNvPr id="10835223" name="Oval 1">
          <a:extLst>
            <a:ext uri="{FF2B5EF4-FFF2-40B4-BE49-F238E27FC236}">
              <a16:creationId xmlns:a16="http://schemas.microsoft.com/office/drawing/2014/main" id="{00000000-0008-0000-0C00-00001755A500}"/>
            </a:ext>
          </a:extLst>
        </xdr:cNvPr>
        <xdr:cNvSpPr>
          <a:spLocks noChangeArrowheads="1"/>
        </xdr:cNvSpPr>
      </xdr:nvSpPr>
      <xdr:spPr bwMode="auto">
        <a:xfrm>
          <a:off x="3857625" y="3295650"/>
          <a:ext cx="159067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552450</xdr:colOff>
      <xdr:row>29</xdr:row>
      <xdr:rowOff>38100</xdr:rowOff>
    </xdr:from>
    <xdr:to>
      <xdr:col>8</xdr:col>
      <xdr:colOff>66675</xdr:colOff>
      <xdr:row>37</xdr:row>
      <xdr:rowOff>152400</xdr:rowOff>
    </xdr:to>
    <xdr:sp macro="" textlink="">
      <xdr:nvSpPr>
        <xdr:cNvPr id="10835224" name="Oval 2">
          <a:extLst>
            <a:ext uri="{FF2B5EF4-FFF2-40B4-BE49-F238E27FC236}">
              <a16:creationId xmlns:a16="http://schemas.microsoft.com/office/drawing/2014/main" id="{00000000-0008-0000-0C00-00001855A500}"/>
            </a:ext>
          </a:extLst>
        </xdr:cNvPr>
        <xdr:cNvSpPr>
          <a:spLocks noChangeArrowheads="1"/>
        </xdr:cNvSpPr>
      </xdr:nvSpPr>
      <xdr:spPr bwMode="auto">
        <a:xfrm>
          <a:off x="3648075" y="5543550"/>
          <a:ext cx="168592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609600</xdr:colOff>
      <xdr:row>50</xdr:row>
      <xdr:rowOff>152400</xdr:rowOff>
    </xdr:from>
    <xdr:to>
      <xdr:col>8</xdr:col>
      <xdr:colOff>123825</xdr:colOff>
      <xdr:row>59</xdr:row>
      <xdr:rowOff>28575</xdr:rowOff>
    </xdr:to>
    <xdr:sp macro="" textlink="">
      <xdr:nvSpPr>
        <xdr:cNvPr id="10835225" name="Oval 3">
          <a:extLst>
            <a:ext uri="{FF2B5EF4-FFF2-40B4-BE49-F238E27FC236}">
              <a16:creationId xmlns:a16="http://schemas.microsoft.com/office/drawing/2014/main" id="{00000000-0008-0000-0C00-00001955A500}"/>
            </a:ext>
          </a:extLst>
        </xdr:cNvPr>
        <xdr:cNvSpPr>
          <a:spLocks noChangeArrowheads="1"/>
        </xdr:cNvSpPr>
      </xdr:nvSpPr>
      <xdr:spPr bwMode="auto">
        <a:xfrm>
          <a:off x="3705225" y="9267825"/>
          <a:ext cx="1685925" cy="15716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552450</xdr:colOff>
      <xdr:row>29</xdr:row>
      <xdr:rowOff>38100</xdr:rowOff>
    </xdr:from>
    <xdr:to>
      <xdr:col>11</xdr:col>
      <xdr:colOff>76200</xdr:colOff>
      <xdr:row>38</xdr:row>
      <xdr:rowOff>28575</xdr:rowOff>
    </xdr:to>
    <xdr:sp macro="" textlink="">
      <xdr:nvSpPr>
        <xdr:cNvPr id="10835226" name="Oval 4">
          <a:extLst>
            <a:ext uri="{FF2B5EF4-FFF2-40B4-BE49-F238E27FC236}">
              <a16:creationId xmlns:a16="http://schemas.microsoft.com/office/drawing/2014/main" id="{00000000-0008-0000-0C00-00001A55A500}"/>
            </a:ext>
          </a:extLst>
        </xdr:cNvPr>
        <xdr:cNvSpPr>
          <a:spLocks noChangeArrowheads="1"/>
        </xdr:cNvSpPr>
      </xdr:nvSpPr>
      <xdr:spPr bwMode="auto">
        <a:xfrm>
          <a:off x="5819775" y="5543550"/>
          <a:ext cx="1562100" cy="15430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685800</xdr:colOff>
      <xdr:row>29</xdr:row>
      <xdr:rowOff>66675</xdr:rowOff>
    </xdr:from>
    <xdr:to>
      <xdr:col>14</xdr:col>
      <xdr:colOff>28575</xdr:colOff>
      <xdr:row>38</xdr:row>
      <xdr:rowOff>19050</xdr:rowOff>
    </xdr:to>
    <xdr:sp macro="" textlink="">
      <xdr:nvSpPr>
        <xdr:cNvPr id="10835227" name="Oval 5">
          <a:extLst>
            <a:ext uri="{FF2B5EF4-FFF2-40B4-BE49-F238E27FC236}">
              <a16:creationId xmlns:a16="http://schemas.microsoft.com/office/drawing/2014/main" id="{00000000-0008-0000-0C00-00001B55A500}"/>
            </a:ext>
          </a:extLst>
        </xdr:cNvPr>
        <xdr:cNvSpPr>
          <a:spLocks noChangeArrowheads="1"/>
        </xdr:cNvSpPr>
      </xdr:nvSpPr>
      <xdr:spPr bwMode="auto">
        <a:xfrm>
          <a:off x="7991475" y="5572125"/>
          <a:ext cx="168592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552450</xdr:colOff>
      <xdr:row>29</xdr:row>
      <xdr:rowOff>38100</xdr:rowOff>
    </xdr:from>
    <xdr:to>
      <xdr:col>17</xdr:col>
      <xdr:colOff>66675</xdr:colOff>
      <xdr:row>37</xdr:row>
      <xdr:rowOff>152400</xdr:rowOff>
    </xdr:to>
    <xdr:sp macro="" textlink="">
      <xdr:nvSpPr>
        <xdr:cNvPr id="10835228" name="Oval 6">
          <a:extLst>
            <a:ext uri="{FF2B5EF4-FFF2-40B4-BE49-F238E27FC236}">
              <a16:creationId xmlns:a16="http://schemas.microsoft.com/office/drawing/2014/main" id="{00000000-0008-0000-0C00-00001C55A500}"/>
            </a:ext>
          </a:extLst>
        </xdr:cNvPr>
        <xdr:cNvSpPr>
          <a:spLocks noChangeArrowheads="1"/>
        </xdr:cNvSpPr>
      </xdr:nvSpPr>
      <xdr:spPr bwMode="auto">
        <a:xfrm>
          <a:off x="10201275" y="5543550"/>
          <a:ext cx="16954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552450</xdr:colOff>
      <xdr:row>29</xdr:row>
      <xdr:rowOff>38100</xdr:rowOff>
    </xdr:from>
    <xdr:to>
      <xdr:col>20</xdr:col>
      <xdr:colOff>66675</xdr:colOff>
      <xdr:row>37</xdr:row>
      <xdr:rowOff>152400</xdr:rowOff>
    </xdr:to>
    <xdr:sp macro="" textlink="">
      <xdr:nvSpPr>
        <xdr:cNvPr id="10835229" name="Oval 7">
          <a:extLst>
            <a:ext uri="{FF2B5EF4-FFF2-40B4-BE49-F238E27FC236}">
              <a16:creationId xmlns:a16="http://schemas.microsoft.com/office/drawing/2014/main" id="{00000000-0008-0000-0C00-00001D55A500}"/>
            </a:ext>
          </a:extLst>
        </xdr:cNvPr>
        <xdr:cNvSpPr>
          <a:spLocks noChangeArrowheads="1"/>
        </xdr:cNvSpPr>
      </xdr:nvSpPr>
      <xdr:spPr bwMode="auto">
        <a:xfrm>
          <a:off x="12382500" y="5543550"/>
          <a:ext cx="16573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38</xdr:row>
      <xdr:rowOff>28575</xdr:rowOff>
    </xdr:from>
    <xdr:to>
      <xdr:col>19</xdr:col>
      <xdr:colOff>0</xdr:colOff>
      <xdr:row>45</xdr:row>
      <xdr:rowOff>152400</xdr:rowOff>
    </xdr:to>
    <xdr:sp macro="" textlink="">
      <xdr:nvSpPr>
        <xdr:cNvPr id="10835230" name="Line 8">
          <a:extLst>
            <a:ext uri="{FF2B5EF4-FFF2-40B4-BE49-F238E27FC236}">
              <a16:creationId xmlns:a16="http://schemas.microsoft.com/office/drawing/2014/main" id="{00000000-0008-0000-0C00-00001E55A500}"/>
            </a:ext>
          </a:extLst>
        </xdr:cNvPr>
        <xdr:cNvSpPr>
          <a:spLocks noChangeShapeType="1"/>
        </xdr:cNvSpPr>
      </xdr:nvSpPr>
      <xdr:spPr bwMode="auto">
        <a:xfrm flipH="1">
          <a:off x="13211175" y="7086600"/>
          <a:ext cx="0" cy="1314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66675</xdr:colOff>
      <xdr:row>33</xdr:row>
      <xdr:rowOff>152400</xdr:rowOff>
    </xdr:from>
    <xdr:to>
      <xdr:col>17</xdr:col>
      <xdr:colOff>542925</xdr:colOff>
      <xdr:row>33</xdr:row>
      <xdr:rowOff>152400</xdr:rowOff>
    </xdr:to>
    <xdr:sp macro="" textlink="">
      <xdr:nvSpPr>
        <xdr:cNvPr id="10835231" name="Line 9">
          <a:extLst>
            <a:ext uri="{FF2B5EF4-FFF2-40B4-BE49-F238E27FC236}">
              <a16:creationId xmlns:a16="http://schemas.microsoft.com/office/drawing/2014/main" id="{00000000-0008-0000-0C00-00001F55A500}"/>
            </a:ext>
          </a:extLst>
        </xdr:cNvPr>
        <xdr:cNvSpPr>
          <a:spLocks noChangeShapeType="1"/>
        </xdr:cNvSpPr>
      </xdr:nvSpPr>
      <xdr:spPr bwMode="auto">
        <a:xfrm flipH="1">
          <a:off x="11896725" y="6381750"/>
          <a:ext cx="4762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</xdr:colOff>
      <xdr:row>34</xdr:row>
      <xdr:rowOff>0</xdr:rowOff>
    </xdr:from>
    <xdr:to>
      <xdr:col>14</xdr:col>
      <xdr:colOff>561975</xdr:colOff>
      <xdr:row>34</xdr:row>
      <xdr:rowOff>0</xdr:rowOff>
    </xdr:to>
    <xdr:sp macro="" textlink="">
      <xdr:nvSpPr>
        <xdr:cNvPr id="10835232" name="Line 10">
          <a:extLst>
            <a:ext uri="{FF2B5EF4-FFF2-40B4-BE49-F238E27FC236}">
              <a16:creationId xmlns:a16="http://schemas.microsoft.com/office/drawing/2014/main" id="{00000000-0008-0000-0C00-00002055A500}"/>
            </a:ext>
          </a:extLst>
        </xdr:cNvPr>
        <xdr:cNvSpPr>
          <a:spLocks noChangeShapeType="1"/>
        </xdr:cNvSpPr>
      </xdr:nvSpPr>
      <xdr:spPr bwMode="auto">
        <a:xfrm>
          <a:off x="9677400" y="6410325"/>
          <a:ext cx="5334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47</xdr:row>
      <xdr:rowOff>85725</xdr:rowOff>
    </xdr:from>
    <xdr:to>
      <xdr:col>7</xdr:col>
      <xdr:colOff>0</xdr:colOff>
      <xdr:row>50</xdr:row>
      <xdr:rowOff>142875</xdr:rowOff>
    </xdr:to>
    <xdr:sp macro="" textlink="">
      <xdr:nvSpPr>
        <xdr:cNvPr id="10835233" name="Line 11">
          <a:extLst>
            <a:ext uri="{FF2B5EF4-FFF2-40B4-BE49-F238E27FC236}">
              <a16:creationId xmlns:a16="http://schemas.microsoft.com/office/drawing/2014/main" id="{00000000-0008-0000-0C00-00002155A500}"/>
            </a:ext>
          </a:extLst>
        </xdr:cNvPr>
        <xdr:cNvSpPr>
          <a:spLocks noChangeShapeType="1"/>
        </xdr:cNvSpPr>
      </xdr:nvSpPr>
      <xdr:spPr bwMode="auto">
        <a:xfrm flipH="1">
          <a:off x="4552950" y="8677275"/>
          <a:ext cx="0" cy="581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30</xdr:row>
      <xdr:rowOff>66675</xdr:rowOff>
    </xdr:from>
    <xdr:to>
      <xdr:col>4</xdr:col>
      <xdr:colOff>571500</xdr:colOff>
      <xdr:row>36</xdr:row>
      <xdr:rowOff>114300</xdr:rowOff>
    </xdr:to>
    <xdr:sp macro="" textlink="">
      <xdr:nvSpPr>
        <xdr:cNvPr id="10835234" name="Oval 12">
          <a:extLst>
            <a:ext uri="{FF2B5EF4-FFF2-40B4-BE49-F238E27FC236}">
              <a16:creationId xmlns:a16="http://schemas.microsoft.com/office/drawing/2014/main" id="{00000000-0008-0000-0C00-00002255A500}"/>
            </a:ext>
          </a:extLst>
        </xdr:cNvPr>
        <xdr:cNvSpPr>
          <a:spLocks noChangeArrowheads="1"/>
        </xdr:cNvSpPr>
      </xdr:nvSpPr>
      <xdr:spPr bwMode="auto">
        <a:xfrm>
          <a:off x="1905000" y="5734050"/>
          <a:ext cx="1123950" cy="11144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571500</xdr:colOff>
      <xdr:row>34</xdr:row>
      <xdr:rowOff>0</xdr:rowOff>
    </xdr:from>
    <xdr:to>
      <xdr:col>5</xdr:col>
      <xdr:colOff>542925</xdr:colOff>
      <xdr:row>34</xdr:row>
      <xdr:rowOff>0</xdr:rowOff>
    </xdr:to>
    <xdr:sp macro="" textlink="">
      <xdr:nvSpPr>
        <xdr:cNvPr id="10835235" name="Line 13">
          <a:extLst>
            <a:ext uri="{FF2B5EF4-FFF2-40B4-BE49-F238E27FC236}">
              <a16:creationId xmlns:a16="http://schemas.microsoft.com/office/drawing/2014/main" id="{00000000-0008-0000-0C00-00002355A500}"/>
            </a:ext>
          </a:extLst>
        </xdr:cNvPr>
        <xdr:cNvSpPr>
          <a:spLocks noChangeShapeType="1"/>
        </xdr:cNvSpPr>
      </xdr:nvSpPr>
      <xdr:spPr bwMode="auto">
        <a:xfrm flipH="1">
          <a:off x="3028950" y="6410325"/>
          <a:ext cx="6096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</xdr:colOff>
      <xdr:row>46</xdr:row>
      <xdr:rowOff>47625</xdr:rowOff>
    </xdr:from>
    <xdr:to>
      <xdr:col>4</xdr:col>
      <xdr:colOff>571500</xdr:colOff>
      <xdr:row>52</xdr:row>
      <xdr:rowOff>114300</xdr:rowOff>
    </xdr:to>
    <xdr:sp macro="" textlink="">
      <xdr:nvSpPr>
        <xdr:cNvPr id="10835236" name="Oval 14">
          <a:extLst>
            <a:ext uri="{FF2B5EF4-FFF2-40B4-BE49-F238E27FC236}">
              <a16:creationId xmlns:a16="http://schemas.microsoft.com/office/drawing/2014/main" id="{00000000-0008-0000-0C00-00002455A500}"/>
            </a:ext>
          </a:extLst>
        </xdr:cNvPr>
        <xdr:cNvSpPr>
          <a:spLocks noChangeArrowheads="1"/>
        </xdr:cNvSpPr>
      </xdr:nvSpPr>
      <xdr:spPr bwMode="auto">
        <a:xfrm>
          <a:off x="1924050" y="8477250"/>
          <a:ext cx="1104900" cy="10953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371475</xdr:colOff>
      <xdr:row>36</xdr:row>
      <xdr:rowOff>114300</xdr:rowOff>
    </xdr:from>
    <xdr:to>
      <xdr:col>6</xdr:col>
      <xdr:colOff>114300</xdr:colOff>
      <xdr:row>46</xdr:row>
      <xdr:rowOff>161925</xdr:rowOff>
    </xdr:to>
    <xdr:sp macro="" textlink="">
      <xdr:nvSpPr>
        <xdr:cNvPr id="10835237" name="Line 15">
          <a:extLst>
            <a:ext uri="{FF2B5EF4-FFF2-40B4-BE49-F238E27FC236}">
              <a16:creationId xmlns:a16="http://schemas.microsoft.com/office/drawing/2014/main" id="{00000000-0008-0000-0C00-00002555A500}"/>
            </a:ext>
          </a:extLst>
        </xdr:cNvPr>
        <xdr:cNvSpPr>
          <a:spLocks noChangeShapeType="1"/>
        </xdr:cNvSpPr>
      </xdr:nvSpPr>
      <xdr:spPr bwMode="auto">
        <a:xfrm flipH="1">
          <a:off x="2828925" y="6848475"/>
          <a:ext cx="1143000" cy="17430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561975</xdr:colOff>
      <xdr:row>49</xdr:row>
      <xdr:rowOff>152400</xdr:rowOff>
    </xdr:from>
    <xdr:to>
      <xdr:col>5</xdr:col>
      <xdr:colOff>752475</xdr:colOff>
      <xdr:row>52</xdr:row>
      <xdr:rowOff>161925</xdr:rowOff>
    </xdr:to>
    <xdr:sp macro="" textlink="">
      <xdr:nvSpPr>
        <xdr:cNvPr id="10835238" name="Line 16">
          <a:extLst>
            <a:ext uri="{FF2B5EF4-FFF2-40B4-BE49-F238E27FC236}">
              <a16:creationId xmlns:a16="http://schemas.microsoft.com/office/drawing/2014/main" id="{00000000-0008-0000-0C00-00002655A500}"/>
            </a:ext>
          </a:extLst>
        </xdr:cNvPr>
        <xdr:cNvSpPr>
          <a:spLocks noChangeShapeType="1"/>
        </xdr:cNvSpPr>
      </xdr:nvSpPr>
      <xdr:spPr bwMode="auto">
        <a:xfrm flipH="1" flipV="1">
          <a:off x="3019425" y="9105900"/>
          <a:ext cx="828675" cy="5143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47</xdr:row>
      <xdr:rowOff>9525</xdr:rowOff>
    </xdr:from>
    <xdr:to>
      <xdr:col>4</xdr:col>
      <xdr:colOff>371475</xdr:colOff>
      <xdr:row>47</xdr:row>
      <xdr:rowOff>19050</xdr:rowOff>
    </xdr:to>
    <xdr:sp macro="" textlink="">
      <xdr:nvSpPr>
        <xdr:cNvPr id="10835239" name="Arc 17">
          <a:extLst>
            <a:ext uri="{FF2B5EF4-FFF2-40B4-BE49-F238E27FC236}">
              <a16:creationId xmlns:a16="http://schemas.microsoft.com/office/drawing/2014/main" id="{00000000-0008-0000-0C00-00002755A500}"/>
            </a:ext>
          </a:extLst>
        </xdr:cNvPr>
        <xdr:cNvSpPr>
          <a:spLocks/>
        </xdr:cNvSpPr>
      </xdr:nvSpPr>
      <xdr:spPr bwMode="auto">
        <a:xfrm flipH="1" flipV="1">
          <a:off x="2819400" y="8601075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171450</xdr:colOff>
      <xdr:row>47</xdr:row>
      <xdr:rowOff>9525</xdr:rowOff>
    </xdr:from>
    <xdr:to>
      <xdr:col>4</xdr:col>
      <xdr:colOff>352425</xdr:colOff>
      <xdr:row>49</xdr:row>
      <xdr:rowOff>152400</xdr:rowOff>
    </xdr:to>
    <xdr:sp macro="" textlink="">
      <xdr:nvSpPr>
        <xdr:cNvPr id="10835240" name="Line 18">
          <a:extLst>
            <a:ext uri="{FF2B5EF4-FFF2-40B4-BE49-F238E27FC236}">
              <a16:creationId xmlns:a16="http://schemas.microsoft.com/office/drawing/2014/main" id="{00000000-0008-0000-0C00-00002855A500}"/>
            </a:ext>
          </a:extLst>
        </xdr:cNvPr>
        <xdr:cNvSpPr>
          <a:spLocks noChangeShapeType="1"/>
        </xdr:cNvSpPr>
      </xdr:nvSpPr>
      <xdr:spPr bwMode="auto">
        <a:xfrm flipH="1">
          <a:off x="1933575" y="8601075"/>
          <a:ext cx="876300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50</xdr:row>
      <xdr:rowOff>0</xdr:rowOff>
    </xdr:from>
    <xdr:to>
      <xdr:col>3</xdr:col>
      <xdr:colOff>171450</xdr:colOff>
      <xdr:row>50</xdr:row>
      <xdr:rowOff>0</xdr:rowOff>
    </xdr:to>
    <xdr:sp macro="" textlink="">
      <xdr:nvSpPr>
        <xdr:cNvPr id="10835241" name="Line 19">
          <a:extLst>
            <a:ext uri="{FF2B5EF4-FFF2-40B4-BE49-F238E27FC236}">
              <a16:creationId xmlns:a16="http://schemas.microsoft.com/office/drawing/2014/main" id="{00000000-0008-0000-0C00-00002955A500}"/>
            </a:ext>
          </a:extLst>
        </xdr:cNvPr>
        <xdr:cNvSpPr>
          <a:spLocks noChangeShapeType="1"/>
        </xdr:cNvSpPr>
      </xdr:nvSpPr>
      <xdr:spPr bwMode="auto">
        <a:xfrm flipH="1">
          <a:off x="1219200" y="9115425"/>
          <a:ext cx="71437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352425</xdr:colOff>
      <xdr:row>47</xdr:row>
      <xdr:rowOff>19050</xdr:rowOff>
    </xdr:from>
    <xdr:to>
      <xdr:col>4</xdr:col>
      <xdr:colOff>581025</xdr:colOff>
      <xdr:row>50</xdr:row>
      <xdr:rowOff>0</xdr:rowOff>
    </xdr:to>
    <xdr:sp macro="" textlink="">
      <xdr:nvSpPr>
        <xdr:cNvPr id="10835242" name="Arc 20">
          <a:extLst>
            <a:ext uri="{FF2B5EF4-FFF2-40B4-BE49-F238E27FC236}">
              <a16:creationId xmlns:a16="http://schemas.microsoft.com/office/drawing/2014/main" id="{00000000-0008-0000-0C00-00002A55A500}"/>
            </a:ext>
          </a:extLst>
        </xdr:cNvPr>
        <xdr:cNvSpPr>
          <a:spLocks/>
        </xdr:cNvSpPr>
      </xdr:nvSpPr>
      <xdr:spPr bwMode="auto">
        <a:xfrm flipH="1" flipV="1">
          <a:off x="2809875" y="8610600"/>
          <a:ext cx="228600" cy="5048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228600</xdr:colOff>
      <xdr:row>10</xdr:row>
      <xdr:rowOff>66675</xdr:rowOff>
    </xdr:from>
    <xdr:to>
      <xdr:col>5</xdr:col>
      <xdr:colOff>57150</xdr:colOff>
      <xdr:row>16</xdr:row>
      <xdr:rowOff>57150</xdr:rowOff>
    </xdr:to>
    <xdr:sp macro="" textlink="">
      <xdr:nvSpPr>
        <xdr:cNvPr id="10835243" name="Oval 21">
          <a:extLst>
            <a:ext uri="{FF2B5EF4-FFF2-40B4-BE49-F238E27FC236}">
              <a16:creationId xmlns:a16="http://schemas.microsoft.com/office/drawing/2014/main" id="{00000000-0008-0000-0C00-00002B55A500}"/>
            </a:ext>
          </a:extLst>
        </xdr:cNvPr>
        <xdr:cNvSpPr>
          <a:spLocks noChangeArrowheads="1"/>
        </xdr:cNvSpPr>
      </xdr:nvSpPr>
      <xdr:spPr bwMode="auto">
        <a:xfrm>
          <a:off x="1990725" y="2181225"/>
          <a:ext cx="1162050" cy="11049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409575</xdr:colOff>
      <xdr:row>24</xdr:row>
      <xdr:rowOff>9525</xdr:rowOff>
    </xdr:from>
    <xdr:to>
      <xdr:col>6</xdr:col>
      <xdr:colOff>266700</xdr:colOff>
      <xdr:row>31</xdr:row>
      <xdr:rowOff>28575</xdr:rowOff>
    </xdr:to>
    <xdr:sp macro="" textlink="">
      <xdr:nvSpPr>
        <xdr:cNvPr id="10835244" name="Line 22">
          <a:extLst>
            <a:ext uri="{FF2B5EF4-FFF2-40B4-BE49-F238E27FC236}">
              <a16:creationId xmlns:a16="http://schemas.microsoft.com/office/drawing/2014/main" id="{00000000-0008-0000-0C00-00002C55A500}"/>
            </a:ext>
          </a:extLst>
        </xdr:cNvPr>
        <xdr:cNvSpPr>
          <a:spLocks noChangeShapeType="1"/>
        </xdr:cNvSpPr>
      </xdr:nvSpPr>
      <xdr:spPr bwMode="auto">
        <a:xfrm flipH="1">
          <a:off x="2867025" y="4638675"/>
          <a:ext cx="1257300" cy="12477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52</xdr:row>
      <xdr:rowOff>38100</xdr:rowOff>
    </xdr:from>
    <xdr:to>
      <xdr:col>14</xdr:col>
      <xdr:colOff>9525</xdr:colOff>
      <xdr:row>60</xdr:row>
      <xdr:rowOff>28575</xdr:rowOff>
    </xdr:to>
    <xdr:sp macro="" textlink="">
      <xdr:nvSpPr>
        <xdr:cNvPr id="10835245" name="Arc 23">
          <a:extLst>
            <a:ext uri="{FF2B5EF4-FFF2-40B4-BE49-F238E27FC236}">
              <a16:creationId xmlns:a16="http://schemas.microsoft.com/office/drawing/2014/main" id="{00000000-0008-0000-0C00-00002D55A500}"/>
            </a:ext>
          </a:extLst>
        </xdr:cNvPr>
        <xdr:cNvSpPr>
          <a:spLocks/>
        </xdr:cNvSpPr>
      </xdr:nvSpPr>
      <xdr:spPr bwMode="auto">
        <a:xfrm flipH="1">
          <a:off x="6638925" y="9496425"/>
          <a:ext cx="3019425" cy="15049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600075</xdr:colOff>
      <xdr:row>52</xdr:row>
      <xdr:rowOff>38100</xdr:rowOff>
    </xdr:from>
    <xdr:to>
      <xdr:col>17</xdr:col>
      <xdr:colOff>571500</xdr:colOff>
      <xdr:row>60</xdr:row>
      <xdr:rowOff>38100</xdr:rowOff>
    </xdr:to>
    <xdr:sp macro="" textlink="">
      <xdr:nvSpPr>
        <xdr:cNvPr id="10835246" name="Arc 24">
          <a:extLst>
            <a:ext uri="{FF2B5EF4-FFF2-40B4-BE49-F238E27FC236}">
              <a16:creationId xmlns:a16="http://schemas.microsoft.com/office/drawing/2014/main" id="{00000000-0008-0000-0C00-00002E55A500}"/>
            </a:ext>
          </a:extLst>
        </xdr:cNvPr>
        <xdr:cNvSpPr>
          <a:spLocks/>
        </xdr:cNvSpPr>
      </xdr:nvSpPr>
      <xdr:spPr bwMode="auto">
        <a:xfrm>
          <a:off x="9382125" y="9496425"/>
          <a:ext cx="3019425" cy="151447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676275</xdr:colOff>
      <xdr:row>58</xdr:row>
      <xdr:rowOff>76200</xdr:rowOff>
    </xdr:from>
    <xdr:to>
      <xdr:col>6</xdr:col>
      <xdr:colOff>228600</xdr:colOff>
      <xdr:row>62</xdr:row>
      <xdr:rowOff>9525</xdr:rowOff>
    </xdr:to>
    <xdr:sp macro="" textlink="">
      <xdr:nvSpPr>
        <xdr:cNvPr id="10835247" name="Line 25">
          <a:extLst>
            <a:ext uri="{FF2B5EF4-FFF2-40B4-BE49-F238E27FC236}">
              <a16:creationId xmlns:a16="http://schemas.microsoft.com/office/drawing/2014/main" id="{00000000-0008-0000-0C00-00002F55A500}"/>
            </a:ext>
          </a:extLst>
        </xdr:cNvPr>
        <xdr:cNvSpPr>
          <a:spLocks noChangeShapeType="1"/>
        </xdr:cNvSpPr>
      </xdr:nvSpPr>
      <xdr:spPr bwMode="auto">
        <a:xfrm flipH="1">
          <a:off x="3771900" y="10706100"/>
          <a:ext cx="314325" cy="6191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190500</xdr:colOff>
      <xdr:row>37</xdr:row>
      <xdr:rowOff>114300</xdr:rowOff>
    </xdr:from>
    <xdr:to>
      <xdr:col>17</xdr:col>
      <xdr:colOff>152400</xdr:colOff>
      <xdr:row>45</xdr:row>
      <xdr:rowOff>152400</xdr:rowOff>
    </xdr:to>
    <xdr:sp macro="" textlink="">
      <xdr:nvSpPr>
        <xdr:cNvPr id="10835248" name="Line 26">
          <a:extLst>
            <a:ext uri="{FF2B5EF4-FFF2-40B4-BE49-F238E27FC236}">
              <a16:creationId xmlns:a16="http://schemas.microsoft.com/office/drawing/2014/main" id="{00000000-0008-0000-0C00-00003055A500}"/>
            </a:ext>
          </a:extLst>
        </xdr:cNvPr>
        <xdr:cNvSpPr>
          <a:spLocks noChangeShapeType="1"/>
        </xdr:cNvSpPr>
      </xdr:nvSpPr>
      <xdr:spPr bwMode="auto">
        <a:xfrm>
          <a:off x="11334750" y="7010400"/>
          <a:ext cx="647700" cy="13906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37</xdr:row>
      <xdr:rowOff>152400</xdr:rowOff>
    </xdr:from>
    <xdr:to>
      <xdr:col>11</xdr:col>
      <xdr:colOff>676275</xdr:colOff>
      <xdr:row>53</xdr:row>
      <xdr:rowOff>114300</xdr:rowOff>
    </xdr:to>
    <xdr:sp macro="" textlink="">
      <xdr:nvSpPr>
        <xdr:cNvPr id="10835249" name="Line 27">
          <a:extLst>
            <a:ext uri="{FF2B5EF4-FFF2-40B4-BE49-F238E27FC236}">
              <a16:creationId xmlns:a16="http://schemas.microsoft.com/office/drawing/2014/main" id="{00000000-0008-0000-0C00-00003155A500}"/>
            </a:ext>
          </a:extLst>
        </xdr:cNvPr>
        <xdr:cNvSpPr>
          <a:spLocks noChangeShapeType="1"/>
        </xdr:cNvSpPr>
      </xdr:nvSpPr>
      <xdr:spPr bwMode="auto">
        <a:xfrm>
          <a:off x="6724650" y="7048500"/>
          <a:ext cx="1257300" cy="27146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152400</xdr:colOff>
      <xdr:row>45</xdr:row>
      <xdr:rowOff>47625</xdr:rowOff>
    </xdr:from>
    <xdr:to>
      <xdr:col>11</xdr:col>
      <xdr:colOff>266700</xdr:colOff>
      <xdr:row>54</xdr:row>
      <xdr:rowOff>38100</xdr:rowOff>
    </xdr:to>
    <xdr:sp macro="" textlink="">
      <xdr:nvSpPr>
        <xdr:cNvPr id="10835250" name="Line 28">
          <a:extLst>
            <a:ext uri="{FF2B5EF4-FFF2-40B4-BE49-F238E27FC236}">
              <a16:creationId xmlns:a16="http://schemas.microsoft.com/office/drawing/2014/main" id="{00000000-0008-0000-0C00-00003255A500}"/>
            </a:ext>
          </a:extLst>
        </xdr:cNvPr>
        <xdr:cNvSpPr>
          <a:spLocks noChangeShapeType="1"/>
        </xdr:cNvSpPr>
      </xdr:nvSpPr>
      <xdr:spPr bwMode="auto">
        <a:xfrm>
          <a:off x="5419725" y="8296275"/>
          <a:ext cx="2152650" cy="15525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25</xdr:row>
      <xdr:rowOff>0</xdr:rowOff>
    </xdr:from>
    <xdr:to>
      <xdr:col>11</xdr:col>
      <xdr:colOff>123825</xdr:colOff>
      <xdr:row>25</xdr:row>
      <xdr:rowOff>0</xdr:rowOff>
    </xdr:to>
    <xdr:sp macro="" textlink="">
      <xdr:nvSpPr>
        <xdr:cNvPr id="10835251" name="Line 29">
          <a:extLst>
            <a:ext uri="{FF2B5EF4-FFF2-40B4-BE49-F238E27FC236}">
              <a16:creationId xmlns:a16="http://schemas.microsoft.com/office/drawing/2014/main" id="{00000000-0008-0000-0C00-00003355A500}"/>
            </a:ext>
          </a:extLst>
        </xdr:cNvPr>
        <xdr:cNvSpPr>
          <a:spLocks noChangeShapeType="1"/>
        </xdr:cNvSpPr>
      </xdr:nvSpPr>
      <xdr:spPr bwMode="auto">
        <a:xfrm>
          <a:off x="5943600" y="4800600"/>
          <a:ext cx="14859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600075</xdr:colOff>
      <xdr:row>20</xdr:row>
      <xdr:rowOff>0</xdr:rowOff>
    </xdr:from>
    <xdr:to>
      <xdr:col>13</xdr:col>
      <xdr:colOff>9525</xdr:colOff>
      <xdr:row>29</xdr:row>
      <xdr:rowOff>47625</xdr:rowOff>
    </xdr:to>
    <xdr:sp macro="" textlink="">
      <xdr:nvSpPr>
        <xdr:cNvPr id="10835252" name="Line 30">
          <a:extLst>
            <a:ext uri="{FF2B5EF4-FFF2-40B4-BE49-F238E27FC236}">
              <a16:creationId xmlns:a16="http://schemas.microsoft.com/office/drawing/2014/main" id="{00000000-0008-0000-0C00-00003455A500}"/>
            </a:ext>
          </a:extLst>
        </xdr:cNvPr>
        <xdr:cNvSpPr>
          <a:spLocks noChangeShapeType="1"/>
        </xdr:cNvSpPr>
      </xdr:nvSpPr>
      <xdr:spPr bwMode="auto">
        <a:xfrm>
          <a:off x="7905750" y="3924300"/>
          <a:ext cx="885825" cy="16287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171450</xdr:colOff>
      <xdr:row>19</xdr:row>
      <xdr:rowOff>171450</xdr:rowOff>
    </xdr:from>
    <xdr:to>
      <xdr:col>11</xdr:col>
      <xdr:colOff>619125</xdr:colOff>
      <xdr:row>19</xdr:row>
      <xdr:rowOff>171450</xdr:rowOff>
    </xdr:to>
    <xdr:sp macro="" textlink="">
      <xdr:nvSpPr>
        <xdr:cNvPr id="10835253" name="Line 31">
          <a:extLst>
            <a:ext uri="{FF2B5EF4-FFF2-40B4-BE49-F238E27FC236}">
              <a16:creationId xmlns:a16="http://schemas.microsoft.com/office/drawing/2014/main" id="{00000000-0008-0000-0C00-00003555A500}"/>
            </a:ext>
          </a:extLst>
        </xdr:cNvPr>
        <xdr:cNvSpPr>
          <a:spLocks noChangeShapeType="1"/>
        </xdr:cNvSpPr>
      </xdr:nvSpPr>
      <xdr:spPr bwMode="auto">
        <a:xfrm flipH="1">
          <a:off x="5438775" y="3905250"/>
          <a:ext cx="248602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58</xdr:row>
      <xdr:rowOff>38100</xdr:rowOff>
    </xdr:from>
    <xdr:to>
      <xdr:col>8</xdr:col>
      <xdr:colOff>114300</xdr:colOff>
      <xdr:row>61</xdr:row>
      <xdr:rowOff>104775</xdr:rowOff>
    </xdr:to>
    <xdr:sp macro="" textlink="">
      <xdr:nvSpPr>
        <xdr:cNvPr id="10835254" name="Line 32">
          <a:extLst>
            <a:ext uri="{FF2B5EF4-FFF2-40B4-BE49-F238E27FC236}">
              <a16:creationId xmlns:a16="http://schemas.microsoft.com/office/drawing/2014/main" id="{00000000-0008-0000-0C00-00003655A500}"/>
            </a:ext>
          </a:extLst>
        </xdr:cNvPr>
        <xdr:cNvSpPr>
          <a:spLocks noChangeShapeType="1"/>
        </xdr:cNvSpPr>
      </xdr:nvSpPr>
      <xdr:spPr bwMode="auto">
        <a:xfrm flipH="1" flipV="1">
          <a:off x="5048250" y="10668000"/>
          <a:ext cx="333375" cy="571500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685800</xdr:colOff>
      <xdr:row>24</xdr:row>
      <xdr:rowOff>171450</xdr:rowOff>
    </xdr:from>
    <xdr:to>
      <xdr:col>7</xdr:col>
      <xdr:colOff>0</xdr:colOff>
      <xdr:row>29</xdr:row>
      <xdr:rowOff>28575</xdr:rowOff>
    </xdr:to>
    <xdr:sp macro="" textlink="">
      <xdr:nvSpPr>
        <xdr:cNvPr id="10835255" name="Line 33">
          <a:extLst>
            <a:ext uri="{FF2B5EF4-FFF2-40B4-BE49-F238E27FC236}">
              <a16:creationId xmlns:a16="http://schemas.microsoft.com/office/drawing/2014/main" id="{00000000-0008-0000-0C00-00003755A500}"/>
            </a:ext>
          </a:extLst>
        </xdr:cNvPr>
        <xdr:cNvSpPr>
          <a:spLocks noChangeShapeType="1"/>
        </xdr:cNvSpPr>
      </xdr:nvSpPr>
      <xdr:spPr bwMode="auto">
        <a:xfrm flipH="1">
          <a:off x="4543425" y="4800600"/>
          <a:ext cx="9525" cy="7334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247650</xdr:colOff>
      <xdr:row>11</xdr:row>
      <xdr:rowOff>0</xdr:rowOff>
    </xdr:from>
    <xdr:to>
      <xdr:col>6</xdr:col>
      <xdr:colOff>657225</xdr:colOff>
      <xdr:row>16</xdr:row>
      <xdr:rowOff>57150</xdr:rowOff>
    </xdr:to>
    <xdr:sp macro="" textlink="">
      <xdr:nvSpPr>
        <xdr:cNvPr id="10835256" name="Line 34">
          <a:extLst>
            <a:ext uri="{FF2B5EF4-FFF2-40B4-BE49-F238E27FC236}">
              <a16:creationId xmlns:a16="http://schemas.microsoft.com/office/drawing/2014/main" id="{00000000-0008-0000-0C00-00003855A500}"/>
            </a:ext>
          </a:extLst>
        </xdr:cNvPr>
        <xdr:cNvSpPr>
          <a:spLocks noChangeShapeType="1"/>
        </xdr:cNvSpPr>
      </xdr:nvSpPr>
      <xdr:spPr bwMode="auto">
        <a:xfrm flipH="1" flipV="1">
          <a:off x="4105275" y="2314575"/>
          <a:ext cx="409575" cy="9715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66675</xdr:colOff>
      <xdr:row>33</xdr:row>
      <xdr:rowOff>161925</xdr:rowOff>
    </xdr:from>
    <xdr:to>
      <xdr:col>8</xdr:col>
      <xdr:colOff>571500</xdr:colOff>
      <xdr:row>33</xdr:row>
      <xdr:rowOff>161925</xdr:rowOff>
    </xdr:to>
    <xdr:sp macro="" textlink="">
      <xdr:nvSpPr>
        <xdr:cNvPr id="10835257" name="Line 35">
          <a:extLst>
            <a:ext uri="{FF2B5EF4-FFF2-40B4-BE49-F238E27FC236}">
              <a16:creationId xmlns:a16="http://schemas.microsoft.com/office/drawing/2014/main" id="{00000000-0008-0000-0C00-00003955A500}"/>
            </a:ext>
          </a:extLst>
        </xdr:cNvPr>
        <xdr:cNvSpPr>
          <a:spLocks noChangeShapeType="1"/>
        </xdr:cNvSpPr>
      </xdr:nvSpPr>
      <xdr:spPr bwMode="auto">
        <a:xfrm>
          <a:off x="5334000" y="6391275"/>
          <a:ext cx="50482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495300</xdr:colOff>
      <xdr:row>37</xdr:row>
      <xdr:rowOff>123825</xdr:rowOff>
    </xdr:from>
    <xdr:to>
      <xdr:col>15</xdr:col>
      <xdr:colOff>466725</xdr:colOff>
      <xdr:row>52</xdr:row>
      <xdr:rowOff>85725</xdr:rowOff>
    </xdr:to>
    <xdr:sp macro="" textlink="">
      <xdr:nvSpPr>
        <xdr:cNvPr id="10835258" name="Line 36">
          <a:extLst>
            <a:ext uri="{FF2B5EF4-FFF2-40B4-BE49-F238E27FC236}">
              <a16:creationId xmlns:a16="http://schemas.microsoft.com/office/drawing/2014/main" id="{00000000-0008-0000-0C00-00003A55A500}"/>
            </a:ext>
          </a:extLst>
        </xdr:cNvPr>
        <xdr:cNvSpPr>
          <a:spLocks noChangeShapeType="1"/>
        </xdr:cNvSpPr>
      </xdr:nvSpPr>
      <xdr:spPr bwMode="auto">
        <a:xfrm flipV="1">
          <a:off x="10144125" y="7019925"/>
          <a:ext cx="666750" cy="2524125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</xdr:colOff>
      <xdr:row>13</xdr:row>
      <xdr:rowOff>0</xdr:rowOff>
    </xdr:from>
    <xdr:to>
      <xdr:col>6</xdr:col>
      <xdr:colOff>438150</xdr:colOff>
      <xdr:row>17</xdr:row>
      <xdr:rowOff>0</xdr:rowOff>
    </xdr:to>
    <xdr:sp macro="" textlink="">
      <xdr:nvSpPr>
        <xdr:cNvPr id="10835259" name="Line 37">
          <a:extLst>
            <a:ext uri="{FF2B5EF4-FFF2-40B4-BE49-F238E27FC236}">
              <a16:creationId xmlns:a16="http://schemas.microsoft.com/office/drawing/2014/main" id="{00000000-0008-0000-0C00-00003B55A500}"/>
            </a:ext>
          </a:extLst>
        </xdr:cNvPr>
        <xdr:cNvSpPr>
          <a:spLocks noChangeShapeType="1"/>
        </xdr:cNvSpPr>
      </xdr:nvSpPr>
      <xdr:spPr bwMode="auto">
        <a:xfrm>
          <a:off x="3162300" y="2705100"/>
          <a:ext cx="1133475" cy="6858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33</xdr:row>
      <xdr:rowOff>161925</xdr:rowOff>
    </xdr:from>
    <xdr:to>
      <xdr:col>11</xdr:col>
      <xdr:colOff>695325</xdr:colOff>
      <xdr:row>33</xdr:row>
      <xdr:rowOff>161925</xdr:rowOff>
    </xdr:to>
    <xdr:sp macro="" textlink="">
      <xdr:nvSpPr>
        <xdr:cNvPr id="10835260" name="Line 38">
          <a:extLst>
            <a:ext uri="{FF2B5EF4-FFF2-40B4-BE49-F238E27FC236}">
              <a16:creationId xmlns:a16="http://schemas.microsoft.com/office/drawing/2014/main" id="{00000000-0008-0000-0C00-00003C55A500}"/>
            </a:ext>
          </a:extLst>
        </xdr:cNvPr>
        <xdr:cNvSpPr>
          <a:spLocks noChangeShapeType="1"/>
        </xdr:cNvSpPr>
      </xdr:nvSpPr>
      <xdr:spPr bwMode="auto">
        <a:xfrm>
          <a:off x="7372350" y="6391275"/>
          <a:ext cx="6286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25</xdr:row>
      <xdr:rowOff>0</xdr:rowOff>
    </xdr:from>
    <xdr:to>
      <xdr:col>9</xdr:col>
      <xdr:colOff>28575</xdr:colOff>
      <xdr:row>30</xdr:row>
      <xdr:rowOff>114300</xdr:rowOff>
    </xdr:to>
    <xdr:sp macro="" textlink="">
      <xdr:nvSpPr>
        <xdr:cNvPr id="10835261" name="Line 39">
          <a:extLst>
            <a:ext uri="{FF2B5EF4-FFF2-40B4-BE49-F238E27FC236}">
              <a16:creationId xmlns:a16="http://schemas.microsoft.com/office/drawing/2014/main" id="{00000000-0008-0000-0C00-00003D55A500}"/>
            </a:ext>
          </a:extLst>
        </xdr:cNvPr>
        <xdr:cNvSpPr>
          <a:spLocks noChangeShapeType="1"/>
        </xdr:cNvSpPr>
      </xdr:nvSpPr>
      <xdr:spPr bwMode="auto">
        <a:xfrm flipH="1">
          <a:off x="5086350" y="4800600"/>
          <a:ext cx="876300" cy="9810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114300</xdr:colOff>
      <xdr:row>25</xdr:row>
      <xdr:rowOff>9525</xdr:rowOff>
    </xdr:from>
    <xdr:to>
      <xdr:col>12</xdr:col>
      <xdr:colOff>142875</xdr:colOff>
      <xdr:row>30</xdr:row>
      <xdr:rowOff>76200</xdr:rowOff>
    </xdr:to>
    <xdr:sp macro="" textlink="">
      <xdr:nvSpPr>
        <xdr:cNvPr id="10835262" name="Line 40">
          <a:extLst>
            <a:ext uri="{FF2B5EF4-FFF2-40B4-BE49-F238E27FC236}">
              <a16:creationId xmlns:a16="http://schemas.microsoft.com/office/drawing/2014/main" id="{00000000-0008-0000-0C00-00003E55A500}"/>
            </a:ext>
          </a:extLst>
        </xdr:cNvPr>
        <xdr:cNvSpPr>
          <a:spLocks noChangeShapeType="1"/>
        </xdr:cNvSpPr>
      </xdr:nvSpPr>
      <xdr:spPr bwMode="auto">
        <a:xfrm>
          <a:off x="7419975" y="4810125"/>
          <a:ext cx="809625" cy="933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52</xdr:row>
      <xdr:rowOff>104775</xdr:rowOff>
    </xdr:from>
    <xdr:to>
      <xdr:col>12</xdr:col>
      <xdr:colOff>561975</xdr:colOff>
      <xdr:row>52</xdr:row>
      <xdr:rowOff>114300</xdr:rowOff>
    </xdr:to>
    <xdr:sp macro="" textlink="">
      <xdr:nvSpPr>
        <xdr:cNvPr id="10835263" name="Arc 41">
          <a:extLst>
            <a:ext uri="{FF2B5EF4-FFF2-40B4-BE49-F238E27FC236}">
              <a16:creationId xmlns:a16="http://schemas.microsoft.com/office/drawing/2014/main" id="{00000000-0008-0000-0C00-00003F55A500}"/>
            </a:ext>
          </a:extLst>
        </xdr:cNvPr>
        <xdr:cNvSpPr>
          <a:spLocks/>
        </xdr:cNvSpPr>
      </xdr:nvSpPr>
      <xdr:spPr bwMode="auto">
        <a:xfrm flipV="1">
          <a:off x="8591550" y="9563100"/>
          <a:ext cx="57150" cy="95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85725</xdr:rowOff>
    </xdr:from>
    <xdr:to>
      <xdr:col>13</xdr:col>
      <xdr:colOff>152400</xdr:colOff>
      <xdr:row>52</xdr:row>
      <xdr:rowOff>85725</xdr:rowOff>
    </xdr:to>
    <xdr:sp macro="" textlink="">
      <xdr:nvSpPr>
        <xdr:cNvPr id="10835264" name="Arc 42">
          <a:extLst>
            <a:ext uri="{FF2B5EF4-FFF2-40B4-BE49-F238E27FC236}">
              <a16:creationId xmlns:a16="http://schemas.microsoft.com/office/drawing/2014/main" id="{00000000-0008-0000-0C00-00004055A500}"/>
            </a:ext>
          </a:extLst>
        </xdr:cNvPr>
        <xdr:cNvSpPr>
          <a:spLocks/>
        </xdr:cNvSpPr>
      </xdr:nvSpPr>
      <xdr:spPr bwMode="auto">
        <a:xfrm flipH="1">
          <a:off x="8905875" y="954405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66675</xdr:rowOff>
    </xdr:from>
    <xdr:to>
      <xdr:col>13</xdr:col>
      <xdr:colOff>152400</xdr:colOff>
      <xdr:row>52</xdr:row>
      <xdr:rowOff>85725</xdr:rowOff>
    </xdr:to>
    <xdr:sp macro="" textlink="">
      <xdr:nvSpPr>
        <xdr:cNvPr id="10835265" name="Arc 43">
          <a:extLst>
            <a:ext uri="{FF2B5EF4-FFF2-40B4-BE49-F238E27FC236}">
              <a16:creationId xmlns:a16="http://schemas.microsoft.com/office/drawing/2014/main" id="{00000000-0008-0000-0C00-00004155A500}"/>
            </a:ext>
          </a:extLst>
        </xdr:cNvPr>
        <xdr:cNvSpPr>
          <a:spLocks/>
        </xdr:cNvSpPr>
      </xdr:nvSpPr>
      <xdr:spPr bwMode="auto">
        <a:xfrm>
          <a:off x="8905875" y="9525000"/>
          <a:ext cx="28575" cy="190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4 h 21600"/>
            <a:gd name="T4" fmla="*/ 0 w 21600"/>
            <a:gd name="T5" fmla="*/ 4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104775</xdr:colOff>
      <xdr:row>52</xdr:row>
      <xdr:rowOff>66675</xdr:rowOff>
    </xdr:from>
    <xdr:to>
      <xdr:col>13</xdr:col>
      <xdr:colOff>161925</xdr:colOff>
      <xdr:row>58</xdr:row>
      <xdr:rowOff>0</xdr:rowOff>
    </xdr:to>
    <xdr:sp macro="" textlink="">
      <xdr:nvSpPr>
        <xdr:cNvPr id="10835266" name="Arc 44">
          <a:extLst>
            <a:ext uri="{FF2B5EF4-FFF2-40B4-BE49-F238E27FC236}">
              <a16:creationId xmlns:a16="http://schemas.microsoft.com/office/drawing/2014/main" id="{00000000-0008-0000-0C00-00004255A500}"/>
            </a:ext>
          </a:extLst>
        </xdr:cNvPr>
        <xdr:cNvSpPr>
          <a:spLocks/>
        </xdr:cNvSpPr>
      </xdr:nvSpPr>
      <xdr:spPr bwMode="auto">
        <a:xfrm flipV="1">
          <a:off x="6743700" y="9525000"/>
          <a:ext cx="2200275" cy="110490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647700</xdr:colOff>
      <xdr:row>38</xdr:row>
      <xdr:rowOff>28575</xdr:rowOff>
    </xdr:from>
    <xdr:to>
      <xdr:col>12</xdr:col>
      <xdr:colOff>676275</xdr:colOff>
      <xdr:row>52</xdr:row>
      <xdr:rowOff>104775</xdr:rowOff>
    </xdr:to>
    <xdr:sp macro="" textlink="">
      <xdr:nvSpPr>
        <xdr:cNvPr id="10835267" name="Line 45">
          <a:extLst>
            <a:ext uri="{FF2B5EF4-FFF2-40B4-BE49-F238E27FC236}">
              <a16:creationId xmlns:a16="http://schemas.microsoft.com/office/drawing/2014/main" id="{00000000-0008-0000-0C00-00004355A500}"/>
            </a:ext>
          </a:extLst>
        </xdr:cNvPr>
        <xdr:cNvSpPr>
          <a:spLocks noChangeShapeType="1"/>
        </xdr:cNvSpPr>
      </xdr:nvSpPr>
      <xdr:spPr bwMode="auto">
        <a:xfrm flipH="1">
          <a:off x="8734425" y="7086600"/>
          <a:ext cx="28575" cy="24765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161925</xdr:colOff>
      <xdr:row>34</xdr:row>
      <xdr:rowOff>0</xdr:rowOff>
    </xdr:from>
    <xdr:to>
      <xdr:col>3</xdr:col>
      <xdr:colOff>142875</xdr:colOff>
      <xdr:row>34</xdr:row>
      <xdr:rowOff>0</xdr:rowOff>
    </xdr:to>
    <xdr:sp macro="" textlink="">
      <xdr:nvSpPr>
        <xdr:cNvPr id="10835268" name="Line 46">
          <a:extLst>
            <a:ext uri="{FF2B5EF4-FFF2-40B4-BE49-F238E27FC236}">
              <a16:creationId xmlns:a16="http://schemas.microsoft.com/office/drawing/2014/main" id="{00000000-0008-0000-0C00-00004455A500}"/>
            </a:ext>
          </a:extLst>
        </xdr:cNvPr>
        <xdr:cNvSpPr>
          <a:spLocks noChangeShapeType="1"/>
        </xdr:cNvSpPr>
      </xdr:nvSpPr>
      <xdr:spPr bwMode="auto">
        <a:xfrm flipH="1">
          <a:off x="1085850" y="6410325"/>
          <a:ext cx="8191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542925</xdr:colOff>
      <xdr:row>61</xdr:row>
      <xdr:rowOff>85725</xdr:rowOff>
    </xdr:from>
    <xdr:to>
      <xdr:col>6</xdr:col>
      <xdr:colOff>85725</xdr:colOff>
      <xdr:row>66</xdr:row>
      <xdr:rowOff>114300</xdr:rowOff>
    </xdr:to>
    <xdr:sp macro="" textlink="">
      <xdr:nvSpPr>
        <xdr:cNvPr id="10835269" name="Oval 47">
          <a:extLst>
            <a:ext uri="{FF2B5EF4-FFF2-40B4-BE49-F238E27FC236}">
              <a16:creationId xmlns:a16="http://schemas.microsoft.com/office/drawing/2014/main" id="{00000000-0008-0000-0C00-00004555A500}"/>
            </a:ext>
          </a:extLst>
        </xdr:cNvPr>
        <xdr:cNvSpPr>
          <a:spLocks noChangeArrowheads="1"/>
        </xdr:cNvSpPr>
      </xdr:nvSpPr>
      <xdr:spPr bwMode="auto">
        <a:xfrm>
          <a:off x="3000375" y="11220450"/>
          <a:ext cx="942975" cy="8858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581025</xdr:colOff>
      <xdr:row>61</xdr:row>
      <xdr:rowOff>28575</xdr:rowOff>
    </xdr:from>
    <xdr:to>
      <xdr:col>9</xdr:col>
      <xdr:colOff>180975</xdr:colOff>
      <xdr:row>66</xdr:row>
      <xdr:rowOff>114300</xdr:rowOff>
    </xdr:to>
    <xdr:sp macro="" textlink="">
      <xdr:nvSpPr>
        <xdr:cNvPr id="10835270" name="Oval 48">
          <a:extLst>
            <a:ext uri="{FF2B5EF4-FFF2-40B4-BE49-F238E27FC236}">
              <a16:creationId xmlns:a16="http://schemas.microsoft.com/office/drawing/2014/main" id="{00000000-0008-0000-0C00-00004655A500}"/>
            </a:ext>
          </a:extLst>
        </xdr:cNvPr>
        <xdr:cNvSpPr>
          <a:spLocks noChangeArrowheads="1"/>
        </xdr:cNvSpPr>
      </xdr:nvSpPr>
      <xdr:spPr bwMode="auto">
        <a:xfrm>
          <a:off x="5140325" y="11306175"/>
          <a:ext cx="984250" cy="9239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161925</xdr:colOff>
      <xdr:row>38</xdr:row>
      <xdr:rowOff>38100</xdr:rowOff>
    </xdr:from>
    <xdr:to>
      <xdr:col>13</xdr:col>
      <xdr:colOff>342900</xdr:colOff>
      <xdr:row>52</xdr:row>
      <xdr:rowOff>47625</xdr:rowOff>
    </xdr:to>
    <xdr:sp macro="" textlink="">
      <xdr:nvSpPr>
        <xdr:cNvPr id="10835271" name="Line 49">
          <a:extLst>
            <a:ext uri="{FF2B5EF4-FFF2-40B4-BE49-F238E27FC236}">
              <a16:creationId xmlns:a16="http://schemas.microsoft.com/office/drawing/2014/main" id="{00000000-0008-0000-0C00-00004755A500}"/>
            </a:ext>
          </a:extLst>
        </xdr:cNvPr>
        <xdr:cNvSpPr>
          <a:spLocks noChangeShapeType="1"/>
        </xdr:cNvSpPr>
      </xdr:nvSpPr>
      <xdr:spPr bwMode="auto">
        <a:xfrm>
          <a:off x="8943975" y="7096125"/>
          <a:ext cx="180975" cy="24098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657225</xdr:colOff>
      <xdr:row>37</xdr:row>
      <xdr:rowOff>142875</xdr:rowOff>
    </xdr:from>
    <xdr:to>
      <xdr:col>15</xdr:col>
      <xdr:colOff>647700</xdr:colOff>
      <xdr:row>52</xdr:row>
      <xdr:rowOff>114300</xdr:rowOff>
    </xdr:to>
    <xdr:sp macro="" textlink="">
      <xdr:nvSpPr>
        <xdr:cNvPr id="10835272" name="Line 50">
          <a:extLst>
            <a:ext uri="{FF2B5EF4-FFF2-40B4-BE49-F238E27FC236}">
              <a16:creationId xmlns:a16="http://schemas.microsoft.com/office/drawing/2014/main" id="{00000000-0008-0000-0C00-00004855A500}"/>
            </a:ext>
          </a:extLst>
        </xdr:cNvPr>
        <xdr:cNvSpPr>
          <a:spLocks noChangeShapeType="1"/>
        </xdr:cNvSpPr>
      </xdr:nvSpPr>
      <xdr:spPr bwMode="auto">
        <a:xfrm flipV="1">
          <a:off x="10306050" y="7038975"/>
          <a:ext cx="685800" cy="25336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18</xdr:row>
      <xdr:rowOff>104775</xdr:rowOff>
    </xdr:from>
    <xdr:to>
      <xdr:col>6</xdr:col>
      <xdr:colOff>0</xdr:colOff>
      <xdr:row>26</xdr:row>
      <xdr:rowOff>0</xdr:rowOff>
    </xdr:to>
    <xdr:sp macro="" textlink="">
      <xdr:nvSpPr>
        <xdr:cNvPr id="10835273" name="Oval 51">
          <a:extLst>
            <a:ext uri="{FF2B5EF4-FFF2-40B4-BE49-F238E27FC236}">
              <a16:creationId xmlns:a16="http://schemas.microsoft.com/office/drawing/2014/main" id="{00000000-0008-0000-0C00-00004955A500}"/>
            </a:ext>
          </a:extLst>
        </xdr:cNvPr>
        <xdr:cNvSpPr>
          <a:spLocks noChangeArrowheads="1"/>
        </xdr:cNvSpPr>
      </xdr:nvSpPr>
      <xdr:spPr bwMode="auto">
        <a:xfrm>
          <a:off x="2466975" y="3657600"/>
          <a:ext cx="1390650" cy="13335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16</xdr:row>
      <xdr:rowOff>66675</xdr:rowOff>
    </xdr:from>
    <xdr:to>
      <xdr:col>4</xdr:col>
      <xdr:colOff>180975</xdr:colOff>
      <xdr:row>19</xdr:row>
      <xdr:rowOff>152400</xdr:rowOff>
    </xdr:to>
    <xdr:sp macro="" textlink="">
      <xdr:nvSpPr>
        <xdr:cNvPr id="10835274" name="Line 52">
          <a:extLst>
            <a:ext uri="{FF2B5EF4-FFF2-40B4-BE49-F238E27FC236}">
              <a16:creationId xmlns:a16="http://schemas.microsoft.com/office/drawing/2014/main" id="{00000000-0008-0000-0C00-00004A55A500}"/>
            </a:ext>
          </a:extLst>
        </xdr:cNvPr>
        <xdr:cNvSpPr>
          <a:spLocks noChangeShapeType="1"/>
        </xdr:cNvSpPr>
      </xdr:nvSpPr>
      <xdr:spPr bwMode="auto">
        <a:xfrm flipH="1" flipV="1">
          <a:off x="2533650" y="3295650"/>
          <a:ext cx="104775" cy="5905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15</xdr:row>
      <xdr:rowOff>123825</xdr:rowOff>
    </xdr:from>
    <xdr:to>
      <xdr:col>3</xdr:col>
      <xdr:colOff>533400</xdr:colOff>
      <xdr:row>30</xdr:row>
      <xdr:rowOff>104775</xdr:rowOff>
    </xdr:to>
    <xdr:sp macro="" textlink="">
      <xdr:nvSpPr>
        <xdr:cNvPr id="10835275" name="Line 53">
          <a:extLst>
            <a:ext uri="{FF2B5EF4-FFF2-40B4-BE49-F238E27FC236}">
              <a16:creationId xmlns:a16="http://schemas.microsoft.com/office/drawing/2014/main" id="{00000000-0008-0000-0C00-00004B55A500}"/>
            </a:ext>
          </a:extLst>
        </xdr:cNvPr>
        <xdr:cNvSpPr>
          <a:spLocks noChangeShapeType="1"/>
        </xdr:cNvSpPr>
      </xdr:nvSpPr>
      <xdr:spPr bwMode="auto">
        <a:xfrm flipV="1">
          <a:off x="2247900" y="3190875"/>
          <a:ext cx="47625" cy="25812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485775</xdr:colOff>
      <xdr:row>41</xdr:row>
      <xdr:rowOff>9525</xdr:rowOff>
    </xdr:from>
    <xdr:to>
      <xdr:col>8</xdr:col>
      <xdr:colOff>200025</xdr:colOff>
      <xdr:row>47</xdr:row>
      <xdr:rowOff>76200</xdr:rowOff>
    </xdr:to>
    <xdr:sp macro="" textlink="">
      <xdr:nvSpPr>
        <xdr:cNvPr id="10835276" name="Oval 54">
          <a:extLst>
            <a:ext uri="{FF2B5EF4-FFF2-40B4-BE49-F238E27FC236}">
              <a16:creationId xmlns:a16="http://schemas.microsoft.com/office/drawing/2014/main" id="{00000000-0008-0000-0C00-00004C55A500}"/>
            </a:ext>
          </a:extLst>
        </xdr:cNvPr>
        <xdr:cNvSpPr>
          <a:spLocks noChangeArrowheads="1"/>
        </xdr:cNvSpPr>
      </xdr:nvSpPr>
      <xdr:spPr bwMode="auto">
        <a:xfrm>
          <a:off x="3581400" y="7610475"/>
          <a:ext cx="1885950" cy="10572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695325</xdr:colOff>
      <xdr:row>36</xdr:row>
      <xdr:rowOff>104775</xdr:rowOff>
    </xdr:from>
    <xdr:to>
      <xdr:col>9</xdr:col>
      <xdr:colOff>95250</xdr:colOff>
      <xdr:row>42</xdr:row>
      <xdr:rowOff>38100</xdr:rowOff>
    </xdr:to>
    <xdr:sp macro="" textlink="">
      <xdr:nvSpPr>
        <xdr:cNvPr id="10835277" name="Line 55">
          <a:extLst>
            <a:ext uri="{FF2B5EF4-FFF2-40B4-BE49-F238E27FC236}">
              <a16:creationId xmlns:a16="http://schemas.microsoft.com/office/drawing/2014/main" id="{00000000-0008-0000-0C00-00004D55A500}"/>
            </a:ext>
          </a:extLst>
        </xdr:cNvPr>
        <xdr:cNvSpPr>
          <a:spLocks noChangeShapeType="1"/>
        </xdr:cNvSpPr>
      </xdr:nvSpPr>
      <xdr:spPr bwMode="auto">
        <a:xfrm flipH="1">
          <a:off x="5248275" y="6838950"/>
          <a:ext cx="781050" cy="962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466725</xdr:colOff>
      <xdr:row>41</xdr:row>
      <xdr:rowOff>0</xdr:rowOff>
    </xdr:from>
    <xdr:to>
      <xdr:col>8</xdr:col>
      <xdr:colOff>190500</xdr:colOff>
      <xdr:row>59</xdr:row>
      <xdr:rowOff>28575</xdr:rowOff>
    </xdr:to>
    <xdr:sp macro="" textlink="">
      <xdr:nvSpPr>
        <xdr:cNvPr id="10835278" name="Rectangle 56">
          <a:extLst>
            <a:ext uri="{FF2B5EF4-FFF2-40B4-BE49-F238E27FC236}">
              <a16:creationId xmlns:a16="http://schemas.microsoft.com/office/drawing/2014/main" id="{00000000-0008-0000-0C00-00004E55A500}"/>
            </a:ext>
          </a:extLst>
        </xdr:cNvPr>
        <xdr:cNvSpPr>
          <a:spLocks noChangeArrowheads="1"/>
        </xdr:cNvSpPr>
      </xdr:nvSpPr>
      <xdr:spPr bwMode="auto">
        <a:xfrm>
          <a:off x="3562350" y="7600950"/>
          <a:ext cx="1895475" cy="32385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390525</xdr:colOff>
      <xdr:row>45</xdr:row>
      <xdr:rowOff>85725</xdr:rowOff>
    </xdr:from>
    <xdr:to>
      <xdr:col>5</xdr:col>
      <xdr:colOff>561975</xdr:colOff>
      <xdr:row>47</xdr:row>
      <xdr:rowOff>0</xdr:rowOff>
    </xdr:to>
    <xdr:sp macro="" textlink="">
      <xdr:nvSpPr>
        <xdr:cNvPr id="10835279" name="Line 57">
          <a:extLst>
            <a:ext uri="{FF2B5EF4-FFF2-40B4-BE49-F238E27FC236}">
              <a16:creationId xmlns:a16="http://schemas.microsoft.com/office/drawing/2014/main" id="{00000000-0008-0000-0C00-00004F55A500}"/>
            </a:ext>
          </a:extLst>
        </xdr:cNvPr>
        <xdr:cNvSpPr>
          <a:spLocks noChangeShapeType="1"/>
        </xdr:cNvSpPr>
      </xdr:nvSpPr>
      <xdr:spPr bwMode="auto">
        <a:xfrm flipH="1">
          <a:off x="2847975" y="8334375"/>
          <a:ext cx="809625" cy="2571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</xdr:row>
      <xdr:rowOff>0</xdr:rowOff>
    </xdr:from>
    <xdr:to>
      <xdr:col>7</xdr:col>
      <xdr:colOff>0</xdr:colOff>
      <xdr:row>41</xdr:row>
      <xdr:rowOff>9525</xdr:rowOff>
    </xdr:to>
    <xdr:sp macro="" textlink="">
      <xdr:nvSpPr>
        <xdr:cNvPr id="10835280" name="Line 58">
          <a:extLst>
            <a:ext uri="{FF2B5EF4-FFF2-40B4-BE49-F238E27FC236}">
              <a16:creationId xmlns:a16="http://schemas.microsoft.com/office/drawing/2014/main" id="{00000000-0008-0000-0C00-00005055A500}"/>
            </a:ext>
          </a:extLst>
        </xdr:cNvPr>
        <xdr:cNvSpPr>
          <a:spLocks noChangeShapeType="1"/>
        </xdr:cNvSpPr>
      </xdr:nvSpPr>
      <xdr:spPr bwMode="auto">
        <a:xfrm>
          <a:off x="4552950" y="7058025"/>
          <a:ext cx="0" cy="552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835281" name="Line 59">
          <a:extLst>
            <a:ext uri="{FF2B5EF4-FFF2-40B4-BE49-F238E27FC236}">
              <a16:creationId xmlns:a16="http://schemas.microsoft.com/office/drawing/2014/main" id="{00000000-0008-0000-0C00-00005155A500}"/>
            </a:ext>
          </a:extLst>
        </xdr:cNvPr>
        <xdr:cNvSpPr>
          <a:spLocks noChangeShapeType="1"/>
        </xdr:cNvSpPr>
      </xdr:nvSpPr>
      <xdr:spPr bwMode="auto">
        <a:xfrm flipH="1">
          <a:off x="13211175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0</xdr:row>
      <xdr:rowOff>0</xdr:rowOff>
    </xdr:from>
    <xdr:to>
      <xdr:col>4</xdr:col>
      <xdr:colOff>371475</xdr:colOff>
      <xdr:row>0</xdr:row>
      <xdr:rowOff>0</xdr:rowOff>
    </xdr:to>
    <xdr:sp macro="" textlink="">
      <xdr:nvSpPr>
        <xdr:cNvPr id="10835282" name="Arc 60">
          <a:extLst>
            <a:ext uri="{FF2B5EF4-FFF2-40B4-BE49-F238E27FC236}">
              <a16:creationId xmlns:a16="http://schemas.microsoft.com/office/drawing/2014/main" id="{00000000-0008-0000-0C00-00005255A500}"/>
            </a:ext>
          </a:extLst>
        </xdr:cNvPr>
        <xdr:cNvSpPr>
          <a:spLocks/>
        </xdr:cNvSpPr>
      </xdr:nvSpPr>
      <xdr:spPr bwMode="auto">
        <a:xfrm flipH="1" flipV="1">
          <a:off x="2819400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35283" name="Line 61">
          <a:extLst>
            <a:ext uri="{FF2B5EF4-FFF2-40B4-BE49-F238E27FC236}">
              <a16:creationId xmlns:a16="http://schemas.microsoft.com/office/drawing/2014/main" id="{00000000-0008-0000-0C00-00005355A500}"/>
            </a:ext>
          </a:extLst>
        </xdr:cNvPr>
        <xdr:cNvSpPr>
          <a:spLocks noChangeShapeType="1"/>
        </xdr:cNvSpPr>
      </xdr:nvSpPr>
      <xdr:spPr bwMode="auto">
        <a:xfrm flipV="1">
          <a:off x="455295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0</xdr:row>
      <xdr:rowOff>0</xdr:rowOff>
    </xdr:from>
    <xdr:to>
      <xdr:col>12</xdr:col>
      <xdr:colOff>561975</xdr:colOff>
      <xdr:row>0</xdr:row>
      <xdr:rowOff>0</xdr:rowOff>
    </xdr:to>
    <xdr:sp macro="" textlink="">
      <xdr:nvSpPr>
        <xdr:cNvPr id="10835284" name="Arc 62">
          <a:extLst>
            <a:ext uri="{FF2B5EF4-FFF2-40B4-BE49-F238E27FC236}">
              <a16:creationId xmlns:a16="http://schemas.microsoft.com/office/drawing/2014/main" id="{00000000-0008-0000-0C00-00005455A500}"/>
            </a:ext>
          </a:extLst>
        </xdr:cNvPr>
        <xdr:cNvSpPr>
          <a:spLocks/>
        </xdr:cNvSpPr>
      </xdr:nvSpPr>
      <xdr:spPr bwMode="auto">
        <a:xfrm flipV="1">
          <a:off x="8591550" y="0"/>
          <a:ext cx="57150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35285" name="Arc 63">
          <a:extLst>
            <a:ext uri="{FF2B5EF4-FFF2-40B4-BE49-F238E27FC236}">
              <a16:creationId xmlns:a16="http://schemas.microsoft.com/office/drawing/2014/main" id="{00000000-0008-0000-0C00-00005555A500}"/>
            </a:ext>
          </a:extLst>
        </xdr:cNvPr>
        <xdr:cNvSpPr>
          <a:spLocks/>
        </xdr:cNvSpPr>
      </xdr:nvSpPr>
      <xdr:spPr bwMode="auto">
        <a:xfrm flipH="1">
          <a:off x="8905875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35286" name="Arc 64">
          <a:extLst>
            <a:ext uri="{FF2B5EF4-FFF2-40B4-BE49-F238E27FC236}">
              <a16:creationId xmlns:a16="http://schemas.microsoft.com/office/drawing/2014/main" id="{00000000-0008-0000-0C00-00005655A500}"/>
            </a:ext>
          </a:extLst>
        </xdr:cNvPr>
        <xdr:cNvSpPr>
          <a:spLocks/>
        </xdr:cNvSpPr>
      </xdr:nvSpPr>
      <xdr:spPr bwMode="auto">
        <a:xfrm>
          <a:off x="8905875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35287" name="Line 65">
          <a:extLst>
            <a:ext uri="{FF2B5EF4-FFF2-40B4-BE49-F238E27FC236}">
              <a16:creationId xmlns:a16="http://schemas.microsoft.com/office/drawing/2014/main" id="{00000000-0008-0000-0C00-00005755A500}"/>
            </a:ext>
          </a:extLst>
        </xdr:cNvPr>
        <xdr:cNvSpPr>
          <a:spLocks noChangeShapeType="1"/>
        </xdr:cNvSpPr>
      </xdr:nvSpPr>
      <xdr:spPr bwMode="auto">
        <a:xfrm>
          <a:off x="455295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5288" name="Line 66">
          <a:extLst>
            <a:ext uri="{FF2B5EF4-FFF2-40B4-BE49-F238E27FC236}">
              <a16:creationId xmlns:a16="http://schemas.microsoft.com/office/drawing/2014/main" id="{00000000-0008-0000-0C00-00005855A500}"/>
            </a:ext>
          </a:extLst>
        </xdr:cNvPr>
        <xdr:cNvSpPr>
          <a:spLocks noChangeShapeType="1"/>
        </xdr:cNvSpPr>
      </xdr:nvSpPr>
      <xdr:spPr bwMode="auto">
        <a:xfrm flipH="1">
          <a:off x="13211175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289" name="Line 67">
          <a:extLst>
            <a:ext uri="{FF2B5EF4-FFF2-40B4-BE49-F238E27FC236}">
              <a16:creationId xmlns:a16="http://schemas.microsoft.com/office/drawing/2014/main" id="{00000000-0008-0000-0C00-00005955A500}"/>
            </a:ext>
          </a:extLst>
        </xdr:cNvPr>
        <xdr:cNvSpPr>
          <a:spLocks noChangeShapeType="1"/>
        </xdr:cNvSpPr>
      </xdr:nvSpPr>
      <xdr:spPr bwMode="auto">
        <a:xfrm flipH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35290" name="Arc 68">
          <a:extLst>
            <a:ext uri="{FF2B5EF4-FFF2-40B4-BE49-F238E27FC236}">
              <a16:creationId xmlns:a16="http://schemas.microsoft.com/office/drawing/2014/main" id="{00000000-0008-0000-0C00-00005A55A500}"/>
            </a:ext>
          </a:extLst>
        </xdr:cNvPr>
        <xdr:cNvSpPr>
          <a:spLocks/>
        </xdr:cNvSpPr>
      </xdr:nvSpPr>
      <xdr:spPr bwMode="auto">
        <a:xfrm flipH="1" flipV="1">
          <a:off x="2819400" y="12372975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291" name="Line 69">
          <a:extLst>
            <a:ext uri="{FF2B5EF4-FFF2-40B4-BE49-F238E27FC236}">
              <a16:creationId xmlns:a16="http://schemas.microsoft.com/office/drawing/2014/main" id="{00000000-0008-0000-0C00-00005B55A500}"/>
            </a:ext>
          </a:extLst>
        </xdr:cNvPr>
        <xdr:cNvSpPr>
          <a:spLocks noChangeShapeType="1"/>
        </xdr:cNvSpPr>
      </xdr:nvSpPr>
      <xdr:spPr bwMode="auto">
        <a:xfrm flipV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292" name="Line 70">
          <a:extLst>
            <a:ext uri="{FF2B5EF4-FFF2-40B4-BE49-F238E27FC236}">
              <a16:creationId xmlns:a16="http://schemas.microsoft.com/office/drawing/2014/main" id="{00000000-0008-0000-0C00-00005C55A500}"/>
            </a:ext>
          </a:extLst>
        </xdr:cNvPr>
        <xdr:cNvSpPr>
          <a:spLocks noChangeShapeType="1"/>
        </xdr:cNvSpPr>
      </xdr:nvSpPr>
      <xdr:spPr bwMode="auto">
        <a:xfrm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5293" name="Line 71">
          <a:extLst>
            <a:ext uri="{FF2B5EF4-FFF2-40B4-BE49-F238E27FC236}">
              <a16:creationId xmlns:a16="http://schemas.microsoft.com/office/drawing/2014/main" id="{00000000-0008-0000-0C00-00005D55A500}"/>
            </a:ext>
          </a:extLst>
        </xdr:cNvPr>
        <xdr:cNvSpPr>
          <a:spLocks noChangeShapeType="1"/>
        </xdr:cNvSpPr>
      </xdr:nvSpPr>
      <xdr:spPr bwMode="auto">
        <a:xfrm flipH="1">
          <a:off x="13211175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294" name="Line 72">
          <a:extLst>
            <a:ext uri="{FF2B5EF4-FFF2-40B4-BE49-F238E27FC236}">
              <a16:creationId xmlns:a16="http://schemas.microsoft.com/office/drawing/2014/main" id="{00000000-0008-0000-0C00-00005E55A500}"/>
            </a:ext>
          </a:extLst>
        </xdr:cNvPr>
        <xdr:cNvSpPr>
          <a:spLocks noChangeShapeType="1"/>
        </xdr:cNvSpPr>
      </xdr:nvSpPr>
      <xdr:spPr bwMode="auto">
        <a:xfrm flipH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35295" name="Arc 73">
          <a:extLst>
            <a:ext uri="{FF2B5EF4-FFF2-40B4-BE49-F238E27FC236}">
              <a16:creationId xmlns:a16="http://schemas.microsoft.com/office/drawing/2014/main" id="{00000000-0008-0000-0C00-00005F55A500}"/>
            </a:ext>
          </a:extLst>
        </xdr:cNvPr>
        <xdr:cNvSpPr>
          <a:spLocks/>
        </xdr:cNvSpPr>
      </xdr:nvSpPr>
      <xdr:spPr bwMode="auto">
        <a:xfrm flipH="1" flipV="1">
          <a:off x="2819400" y="12372975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296" name="Line 74">
          <a:extLst>
            <a:ext uri="{FF2B5EF4-FFF2-40B4-BE49-F238E27FC236}">
              <a16:creationId xmlns:a16="http://schemas.microsoft.com/office/drawing/2014/main" id="{00000000-0008-0000-0C00-00006055A500}"/>
            </a:ext>
          </a:extLst>
        </xdr:cNvPr>
        <xdr:cNvSpPr>
          <a:spLocks noChangeShapeType="1"/>
        </xdr:cNvSpPr>
      </xdr:nvSpPr>
      <xdr:spPr bwMode="auto">
        <a:xfrm flipV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297" name="Line 75">
          <a:extLst>
            <a:ext uri="{FF2B5EF4-FFF2-40B4-BE49-F238E27FC236}">
              <a16:creationId xmlns:a16="http://schemas.microsoft.com/office/drawing/2014/main" id="{00000000-0008-0000-0C00-00006155A500}"/>
            </a:ext>
          </a:extLst>
        </xdr:cNvPr>
        <xdr:cNvSpPr>
          <a:spLocks noChangeShapeType="1"/>
        </xdr:cNvSpPr>
      </xdr:nvSpPr>
      <xdr:spPr bwMode="auto">
        <a:xfrm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5298" name="Line 76">
          <a:extLst>
            <a:ext uri="{FF2B5EF4-FFF2-40B4-BE49-F238E27FC236}">
              <a16:creationId xmlns:a16="http://schemas.microsoft.com/office/drawing/2014/main" id="{00000000-0008-0000-0C00-00006255A500}"/>
            </a:ext>
          </a:extLst>
        </xdr:cNvPr>
        <xdr:cNvSpPr>
          <a:spLocks noChangeShapeType="1"/>
        </xdr:cNvSpPr>
      </xdr:nvSpPr>
      <xdr:spPr bwMode="auto">
        <a:xfrm flipH="1">
          <a:off x="13211175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299" name="Line 77">
          <a:extLst>
            <a:ext uri="{FF2B5EF4-FFF2-40B4-BE49-F238E27FC236}">
              <a16:creationId xmlns:a16="http://schemas.microsoft.com/office/drawing/2014/main" id="{00000000-0008-0000-0C00-00006355A500}"/>
            </a:ext>
          </a:extLst>
        </xdr:cNvPr>
        <xdr:cNvSpPr>
          <a:spLocks noChangeShapeType="1"/>
        </xdr:cNvSpPr>
      </xdr:nvSpPr>
      <xdr:spPr bwMode="auto">
        <a:xfrm flipH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00" name="Line 78">
          <a:extLst>
            <a:ext uri="{FF2B5EF4-FFF2-40B4-BE49-F238E27FC236}">
              <a16:creationId xmlns:a16="http://schemas.microsoft.com/office/drawing/2014/main" id="{00000000-0008-0000-0C00-00006455A500}"/>
            </a:ext>
          </a:extLst>
        </xdr:cNvPr>
        <xdr:cNvSpPr>
          <a:spLocks noChangeShapeType="1"/>
        </xdr:cNvSpPr>
      </xdr:nvSpPr>
      <xdr:spPr bwMode="auto">
        <a:xfrm flipV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01" name="Line 79">
          <a:extLst>
            <a:ext uri="{FF2B5EF4-FFF2-40B4-BE49-F238E27FC236}">
              <a16:creationId xmlns:a16="http://schemas.microsoft.com/office/drawing/2014/main" id="{00000000-0008-0000-0C00-00006555A500}"/>
            </a:ext>
          </a:extLst>
        </xdr:cNvPr>
        <xdr:cNvSpPr>
          <a:spLocks noChangeShapeType="1"/>
        </xdr:cNvSpPr>
      </xdr:nvSpPr>
      <xdr:spPr bwMode="auto">
        <a:xfrm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5302" name="Line 80">
          <a:extLst>
            <a:ext uri="{FF2B5EF4-FFF2-40B4-BE49-F238E27FC236}">
              <a16:creationId xmlns:a16="http://schemas.microsoft.com/office/drawing/2014/main" id="{00000000-0008-0000-0C00-00006655A500}"/>
            </a:ext>
          </a:extLst>
        </xdr:cNvPr>
        <xdr:cNvSpPr>
          <a:spLocks noChangeShapeType="1"/>
        </xdr:cNvSpPr>
      </xdr:nvSpPr>
      <xdr:spPr bwMode="auto">
        <a:xfrm flipH="1">
          <a:off x="13211175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03" name="Line 81">
          <a:extLst>
            <a:ext uri="{FF2B5EF4-FFF2-40B4-BE49-F238E27FC236}">
              <a16:creationId xmlns:a16="http://schemas.microsoft.com/office/drawing/2014/main" id="{00000000-0008-0000-0C00-00006755A500}"/>
            </a:ext>
          </a:extLst>
        </xdr:cNvPr>
        <xdr:cNvSpPr>
          <a:spLocks noChangeShapeType="1"/>
        </xdr:cNvSpPr>
      </xdr:nvSpPr>
      <xdr:spPr bwMode="auto">
        <a:xfrm flipH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04" name="Line 82">
          <a:extLst>
            <a:ext uri="{FF2B5EF4-FFF2-40B4-BE49-F238E27FC236}">
              <a16:creationId xmlns:a16="http://schemas.microsoft.com/office/drawing/2014/main" id="{00000000-0008-0000-0C00-00006855A500}"/>
            </a:ext>
          </a:extLst>
        </xdr:cNvPr>
        <xdr:cNvSpPr>
          <a:spLocks noChangeShapeType="1"/>
        </xdr:cNvSpPr>
      </xdr:nvSpPr>
      <xdr:spPr bwMode="auto">
        <a:xfrm flipV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05" name="Line 83">
          <a:extLst>
            <a:ext uri="{FF2B5EF4-FFF2-40B4-BE49-F238E27FC236}">
              <a16:creationId xmlns:a16="http://schemas.microsoft.com/office/drawing/2014/main" id="{00000000-0008-0000-0C00-00006955A500}"/>
            </a:ext>
          </a:extLst>
        </xdr:cNvPr>
        <xdr:cNvSpPr>
          <a:spLocks noChangeShapeType="1"/>
        </xdr:cNvSpPr>
      </xdr:nvSpPr>
      <xdr:spPr bwMode="auto">
        <a:xfrm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5306" name="Line 84">
          <a:extLst>
            <a:ext uri="{FF2B5EF4-FFF2-40B4-BE49-F238E27FC236}">
              <a16:creationId xmlns:a16="http://schemas.microsoft.com/office/drawing/2014/main" id="{00000000-0008-0000-0C00-00006A55A500}"/>
            </a:ext>
          </a:extLst>
        </xdr:cNvPr>
        <xdr:cNvSpPr>
          <a:spLocks noChangeShapeType="1"/>
        </xdr:cNvSpPr>
      </xdr:nvSpPr>
      <xdr:spPr bwMode="auto">
        <a:xfrm flipH="1">
          <a:off x="13211175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07" name="Line 85">
          <a:extLst>
            <a:ext uri="{FF2B5EF4-FFF2-40B4-BE49-F238E27FC236}">
              <a16:creationId xmlns:a16="http://schemas.microsoft.com/office/drawing/2014/main" id="{00000000-0008-0000-0C00-00006B55A500}"/>
            </a:ext>
          </a:extLst>
        </xdr:cNvPr>
        <xdr:cNvSpPr>
          <a:spLocks noChangeShapeType="1"/>
        </xdr:cNvSpPr>
      </xdr:nvSpPr>
      <xdr:spPr bwMode="auto">
        <a:xfrm flipH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08" name="Line 86">
          <a:extLst>
            <a:ext uri="{FF2B5EF4-FFF2-40B4-BE49-F238E27FC236}">
              <a16:creationId xmlns:a16="http://schemas.microsoft.com/office/drawing/2014/main" id="{00000000-0008-0000-0C00-00006C55A500}"/>
            </a:ext>
          </a:extLst>
        </xdr:cNvPr>
        <xdr:cNvSpPr>
          <a:spLocks noChangeShapeType="1"/>
        </xdr:cNvSpPr>
      </xdr:nvSpPr>
      <xdr:spPr bwMode="auto">
        <a:xfrm flipV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09" name="Line 87">
          <a:extLst>
            <a:ext uri="{FF2B5EF4-FFF2-40B4-BE49-F238E27FC236}">
              <a16:creationId xmlns:a16="http://schemas.microsoft.com/office/drawing/2014/main" id="{00000000-0008-0000-0C00-00006D55A500}"/>
            </a:ext>
          </a:extLst>
        </xdr:cNvPr>
        <xdr:cNvSpPr>
          <a:spLocks noChangeShapeType="1"/>
        </xdr:cNvSpPr>
      </xdr:nvSpPr>
      <xdr:spPr bwMode="auto">
        <a:xfrm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5310" name="Line 88">
          <a:extLst>
            <a:ext uri="{FF2B5EF4-FFF2-40B4-BE49-F238E27FC236}">
              <a16:creationId xmlns:a16="http://schemas.microsoft.com/office/drawing/2014/main" id="{00000000-0008-0000-0C00-00006E55A500}"/>
            </a:ext>
          </a:extLst>
        </xdr:cNvPr>
        <xdr:cNvSpPr>
          <a:spLocks noChangeShapeType="1"/>
        </xdr:cNvSpPr>
      </xdr:nvSpPr>
      <xdr:spPr bwMode="auto">
        <a:xfrm flipH="1">
          <a:off x="13211175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11" name="Line 89">
          <a:extLst>
            <a:ext uri="{FF2B5EF4-FFF2-40B4-BE49-F238E27FC236}">
              <a16:creationId xmlns:a16="http://schemas.microsoft.com/office/drawing/2014/main" id="{00000000-0008-0000-0C00-00006F55A500}"/>
            </a:ext>
          </a:extLst>
        </xdr:cNvPr>
        <xdr:cNvSpPr>
          <a:spLocks noChangeShapeType="1"/>
        </xdr:cNvSpPr>
      </xdr:nvSpPr>
      <xdr:spPr bwMode="auto">
        <a:xfrm flipH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12" name="Line 90">
          <a:extLst>
            <a:ext uri="{FF2B5EF4-FFF2-40B4-BE49-F238E27FC236}">
              <a16:creationId xmlns:a16="http://schemas.microsoft.com/office/drawing/2014/main" id="{00000000-0008-0000-0C00-00007055A500}"/>
            </a:ext>
          </a:extLst>
        </xdr:cNvPr>
        <xdr:cNvSpPr>
          <a:spLocks noChangeShapeType="1"/>
        </xdr:cNvSpPr>
      </xdr:nvSpPr>
      <xdr:spPr bwMode="auto">
        <a:xfrm flipV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13" name="Line 91">
          <a:extLst>
            <a:ext uri="{FF2B5EF4-FFF2-40B4-BE49-F238E27FC236}">
              <a16:creationId xmlns:a16="http://schemas.microsoft.com/office/drawing/2014/main" id="{00000000-0008-0000-0C00-00007155A500}"/>
            </a:ext>
          </a:extLst>
        </xdr:cNvPr>
        <xdr:cNvSpPr>
          <a:spLocks noChangeShapeType="1"/>
        </xdr:cNvSpPr>
      </xdr:nvSpPr>
      <xdr:spPr bwMode="auto">
        <a:xfrm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5314" name="Line 92">
          <a:extLst>
            <a:ext uri="{FF2B5EF4-FFF2-40B4-BE49-F238E27FC236}">
              <a16:creationId xmlns:a16="http://schemas.microsoft.com/office/drawing/2014/main" id="{00000000-0008-0000-0C00-00007255A500}"/>
            </a:ext>
          </a:extLst>
        </xdr:cNvPr>
        <xdr:cNvSpPr>
          <a:spLocks noChangeShapeType="1"/>
        </xdr:cNvSpPr>
      </xdr:nvSpPr>
      <xdr:spPr bwMode="auto">
        <a:xfrm flipH="1">
          <a:off x="13211175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15" name="Line 93">
          <a:extLst>
            <a:ext uri="{FF2B5EF4-FFF2-40B4-BE49-F238E27FC236}">
              <a16:creationId xmlns:a16="http://schemas.microsoft.com/office/drawing/2014/main" id="{00000000-0008-0000-0C00-00007355A500}"/>
            </a:ext>
          </a:extLst>
        </xdr:cNvPr>
        <xdr:cNvSpPr>
          <a:spLocks noChangeShapeType="1"/>
        </xdr:cNvSpPr>
      </xdr:nvSpPr>
      <xdr:spPr bwMode="auto">
        <a:xfrm flipH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16" name="Line 94">
          <a:extLst>
            <a:ext uri="{FF2B5EF4-FFF2-40B4-BE49-F238E27FC236}">
              <a16:creationId xmlns:a16="http://schemas.microsoft.com/office/drawing/2014/main" id="{00000000-0008-0000-0C00-00007455A500}"/>
            </a:ext>
          </a:extLst>
        </xdr:cNvPr>
        <xdr:cNvSpPr>
          <a:spLocks noChangeShapeType="1"/>
        </xdr:cNvSpPr>
      </xdr:nvSpPr>
      <xdr:spPr bwMode="auto">
        <a:xfrm flipV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17" name="Line 95">
          <a:extLst>
            <a:ext uri="{FF2B5EF4-FFF2-40B4-BE49-F238E27FC236}">
              <a16:creationId xmlns:a16="http://schemas.microsoft.com/office/drawing/2014/main" id="{00000000-0008-0000-0C00-00007555A500}"/>
            </a:ext>
          </a:extLst>
        </xdr:cNvPr>
        <xdr:cNvSpPr>
          <a:spLocks noChangeShapeType="1"/>
        </xdr:cNvSpPr>
      </xdr:nvSpPr>
      <xdr:spPr bwMode="auto">
        <a:xfrm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5318" name="Line 96">
          <a:extLst>
            <a:ext uri="{FF2B5EF4-FFF2-40B4-BE49-F238E27FC236}">
              <a16:creationId xmlns:a16="http://schemas.microsoft.com/office/drawing/2014/main" id="{00000000-0008-0000-0C00-00007655A500}"/>
            </a:ext>
          </a:extLst>
        </xdr:cNvPr>
        <xdr:cNvSpPr>
          <a:spLocks noChangeShapeType="1"/>
        </xdr:cNvSpPr>
      </xdr:nvSpPr>
      <xdr:spPr bwMode="auto">
        <a:xfrm flipH="1">
          <a:off x="13211175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19" name="Line 97">
          <a:extLst>
            <a:ext uri="{FF2B5EF4-FFF2-40B4-BE49-F238E27FC236}">
              <a16:creationId xmlns:a16="http://schemas.microsoft.com/office/drawing/2014/main" id="{00000000-0008-0000-0C00-00007755A500}"/>
            </a:ext>
          </a:extLst>
        </xdr:cNvPr>
        <xdr:cNvSpPr>
          <a:spLocks noChangeShapeType="1"/>
        </xdr:cNvSpPr>
      </xdr:nvSpPr>
      <xdr:spPr bwMode="auto">
        <a:xfrm flipH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20" name="Line 98">
          <a:extLst>
            <a:ext uri="{FF2B5EF4-FFF2-40B4-BE49-F238E27FC236}">
              <a16:creationId xmlns:a16="http://schemas.microsoft.com/office/drawing/2014/main" id="{00000000-0008-0000-0C00-00007855A500}"/>
            </a:ext>
          </a:extLst>
        </xdr:cNvPr>
        <xdr:cNvSpPr>
          <a:spLocks noChangeShapeType="1"/>
        </xdr:cNvSpPr>
      </xdr:nvSpPr>
      <xdr:spPr bwMode="auto">
        <a:xfrm flipV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21" name="Line 99">
          <a:extLst>
            <a:ext uri="{FF2B5EF4-FFF2-40B4-BE49-F238E27FC236}">
              <a16:creationId xmlns:a16="http://schemas.microsoft.com/office/drawing/2014/main" id="{00000000-0008-0000-0C00-00007955A500}"/>
            </a:ext>
          </a:extLst>
        </xdr:cNvPr>
        <xdr:cNvSpPr>
          <a:spLocks noChangeShapeType="1"/>
        </xdr:cNvSpPr>
      </xdr:nvSpPr>
      <xdr:spPr bwMode="auto">
        <a:xfrm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5322" name="Line 100">
          <a:extLst>
            <a:ext uri="{FF2B5EF4-FFF2-40B4-BE49-F238E27FC236}">
              <a16:creationId xmlns:a16="http://schemas.microsoft.com/office/drawing/2014/main" id="{00000000-0008-0000-0C00-00007A55A500}"/>
            </a:ext>
          </a:extLst>
        </xdr:cNvPr>
        <xdr:cNvSpPr>
          <a:spLocks noChangeShapeType="1"/>
        </xdr:cNvSpPr>
      </xdr:nvSpPr>
      <xdr:spPr bwMode="auto">
        <a:xfrm flipH="1">
          <a:off x="13211175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23" name="Line 101">
          <a:extLst>
            <a:ext uri="{FF2B5EF4-FFF2-40B4-BE49-F238E27FC236}">
              <a16:creationId xmlns:a16="http://schemas.microsoft.com/office/drawing/2014/main" id="{00000000-0008-0000-0C00-00007B55A500}"/>
            </a:ext>
          </a:extLst>
        </xdr:cNvPr>
        <xdr:cNvSpPr>
          <a:spLocks noChangeShapeType="1"/>
        </xdr:cNvSpPr>
      </xdr:nvSpPr>
      <xdr:spPr bwMode="auto">
        <a:xfrm flipH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24" name="Line 102">
          <a:extLst>
            <a:ext uri="{FF2B5EF4-FFF2-40B4-BE49-F238E27FC236}">
              <a16:creationId xmlns:a16="http://schemas.microsoft.com/office/drawing/2014/main" id="{00000000-0008-0000-0C00-00007C55A500}"/>
            </a:ext>
          </a:extLst>
        </xdr:cNvPr>
        <xdr:cNvSpPr>
          <a:spLocks noChangeShapeType="1"/>
        </xdr:cNvSpPr>
      </xdr:nvSpPr>
      <xdr:spPr bwMode="auto">
        <a:xfrm flipV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25" name="Line 103">
          <a:extLst>
            <a:ext uri="{FF2B5EF4-FFF2-40B4-BE49-F238E27FC236}">
              <a16:creationId xmlns:a16="http://schemas.microsoft.com/office/drawing/2014/main" id="{00000000-0008-0000-0C00-00007D55A500}"/>
            </a:ext>
          </a:extLst>
        </xdr:cNvPr>
        <xdr:cNvSpPr>
          <a:spLocks noChangeShapeType="1"/>
        </xdr:cNvSpPr>
      </xdr:nvSpPr>
      <xdr:spPr bwMode="auto">
        <a:xfrm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5326" name="Line 104">
          <a:extLst>
            <a:ext uri="{FF2B5EF4-FFF2-40B4-BE49-F238E27FC236}">
              <a16:creationId xmlns:a16="http://schemas.microsoft.com/office/drawing/2014/main" id="{00000000-0008-0000-0C00-00007E55A500}"/>
            </a:ext>
          </a:extLst>
        </xdr:cNvPr>
        <xdr:cNvSpPr>
          <a:spLocks noChangeShapeType="1"/>
        </xdr:cNvSpPr>
      </xdr:nvSpPr>
      <xdr:spPr bwMode="auto">
        <a:xfrm flipH="1">
          <a:off x="13211175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27" name="Line 105">
          <a:extLst>
            <a:ext uri="{FF2B5EF4-FFF2-40B4-BE49-F238E27FC236}">
              <a16:creationId xmlns:a16="http://schemas.microsoft.com/office/drawing/2014/main" id="{00000000-0008-0000-0C00-00007F55A500}"/>
            </a:ext>
          </a:extLst>
        </xdr:cNvPr>
        <xdr:cNvSpPr>
          <a:spLocks noChangeShapeType="1"/>
        </xdr:cNvSpPr>
      </xdr:nvSpPr>
      <xdr:spPr bwMode="auto">
        <a:xfrm flipH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28" name="Line 106">
          <a:extLst>
            <a:ext uri="{FF2B5EF4-FFF2-40B4-BE49-F238E27FC236}">
              <a16:creationId xmlns:a16="http://schemas.microsoft.com/office/drawing/2014/main" id="{00000000-0008-0000-0C00-00008055A500}"/>
            </a:ext>
          </a:extLst>
        </xdr:cNvPr>
        <xdr:cNvSpPr>
          <a:spLocks noChangeShapeType="1"/>
        </xdr:cNvSpPr>
      </xdr:nvSpPr>
      <xdr:spPr bwMode="auto">
        <a:xfrm flipV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29" name="Line 107">
          <a:extLst>
            <a:ext uri="{FF2B5EF4-FFF2-40B4-BE49-F238E27FC236}">
              <a16:creationId xmlns:a16="http://schemas.microsoft.com/office/drawing/2014/main" id="{00000000-0008-0000-0C00-00008155A500}"/>
            </a:ext>
          </a:extLst>
        </xdr:cNvPr>
        <xdr:cNvSpPr>
          <a:spLocks noChangeShapeType="1"/>
        </xdr:cNvSpPr>
      </xdr:nvSpPr>
      <xdr:spPr bwMode="auto">
        <a:xfrm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5330" name="Line 108">
          <a:extLst>
            <a:ext uri="{FF2B5EF4-FFF2-40B4-BE49-F238E27FC236}">
              <a16:creationId xmlns:a16="http://schemas.microsoft.com/office/drawing/2014/main" id="{00000000-0008-0000-0C00-00008255A500}"/>
            </a:ext>
          </a:extLst>
        </xdr:cNvPr>
        <xdr:cNvSpPr>
          <a:spLocks noChangeShapeType="1"/>
        </xdr:cNvSpPr>
      </xdr:nvSpPr>
      <xdr:spPr bwMode="auto">
        <a:xfrm flipH="1">
          <a:off x="13211175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31" name="Line 109">
          <a:extLst>
            <a:ext uri="{FF2B5EF4-FFF2-40B4-BE49-F238E27FC236}">
              <a16:creationId xmlns:a16="http://schemas.microsoft.com/office/drawing/2014/main" id="{00000000-0008-0000-0C00-00008355A500}"/>
            </a:ext>
          </a:extLst>
        </xdr:cNvPr>
        <xdr:cNvSpPr>
          <a:spLocks noChangeShapeType="1"/>
        </xdr:cNvSpPr>
      </xdr:nvSpPr>
      <xdr:spPr bwMode="auto">
        <a:xfrm flipH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32" name="Line 110">
          <a:extLst>
            <a:ext uri="{FF2B5EF4-FFF2-40B4-BE49-F238E27FC236}">
              <a16:creationId xmlns:a16="http://schemas.microsoft.com/office/drawing/2014/main" id="{00000000-0008-0000-0C00-00008455A500}"/>
            </a:ext>
          </a:extLst>
        </xdr:cNvPr>
        <xdr:cNvSpPr>
          <a:spLocks noChangeShapeType="1"/>
        </xdr:cNvSpPr>
      </xdr:nvSpPr>
      <xdr:spPr bwMode="auto">
        <a:xfrm flipV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33" name="Line 111">
          <a:extLst>
            <a:ext uri="{FF2B5EF4-FFF2-40B4-BE49-F238E27FC236}">
              <a16:creationId xmlns:a16="http://schemas.microsoft.com/office/drawing/2014/main" id="{00000000-0008-0000-0C00-00008555A500}"/>
            </a:ext>
          </a:extLst>
        </xdr:cNvPr>
        <xdr:cNvSpPr>
          <a:spLocks noChangeShapeType="1"/>
        </xdr:cNvSpPr>
      </xdr:nvSpPr>
      <xdr:spPr bwMode="auto">
        <a:xfrm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5334" name="Line 112">
          <a:extLst>
            <a:ext uri="{FF2B5EF4-FFF2-40B4-BE49-F238E27FC236}">
              <a16:creationId xmlns:a16="http://schemas.microsoft.com/office/drawing/2014/main" id="{00000000-0008-0000-0C00-00008655A500}"/>
            </a:ext>
          </a:extLst>
        </xdr:cNvPr>
        <xdr:cNvSpPr>
          <a:spLocks noChangeShapeType="1"/>
        </xdr:cNvSpPr>
      </xdr:nvSpPr>
      <xdr:spPr bwMode="auto">
        <a:xfrm flipH="1">
          <a:off x="13211175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35" name="Line 113">
          <a:extLst>
            <a:ext uri="{FF2B5EF4-FFF2-40B4-BE49-F238E27FC236}">
              <a16:creationId xmlns:a16="http://schemas.microsoft.com/office/drawing/2014/main" id="{00000000-0008-0000-0C00-00008755A500}"/>
            </a:ext>
          </a:extLst>
        </xdr:cNvPr>
        <xdr:cNvSpPr>
          <a:spLocks noChangeShapeType="1"/>
        </xdr:cNvSpPr>
      </xdr:nvSpPr>
      <xdr:spPr bwMode="auto">
        <a:xfrm flipH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36" name="Line 114">
          <a:extLst>
            <a:ext uri="{FF2B5EF4-FFF2-40B4-BE49-F238E27FC236}">
              <a16:creationId xmlns:a16="http://schemas.microsoft.com/office/drawing/2014/main" id="{00000000-0008-0000-0C00-00008855A500}"/>
            </a:ext>
          </a:extLst>
        </xdr:cNvPr>
        <xdr:cNvSpPr>
          <a:spLocks noChangeShapeType="1"/>
        </xdr:cNvSpPr>
      </xdr:nvSpPr>
      <xdr:spPr bwMode="auto">
        <a:xfrm flipV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37" name="Line 115">
          <a:extLst>
            <a:ext uri="{FF2B5EF4-FFF2-40B4-BE49-F238E27FC236}">
              <a16:creationId xmlns:a16="http://schemas.microsoft.com/office/drawing/2014/main" id="{00000000-0008-0000-0C00-00008955A500}"/>
            </a:ext>
          </a:extLst>
        </xdr:cNvPr>
        <xdr:cNvSpPr>
          <a:spLocks noChangeShapeType="1"/>
        </xdr:cNvSpPr>
      </xdr:nvSpPr>
      <xdr:spPr bwMode="auto">
        <a:xfrm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5338" name="Line 116">
          <a:extLst>
            <a:ext uri="{FF2B5EF4-FFF2-40B4-BE49-F238E27FC236}">
              <a16:creationId xmlns:a16="http://schemas.microsoft.com/office/drawing/2014/main" id="{00000000-0008-0000-0C00-00008A55A500}"/>
            </a:ext>
          </a:extLst>
        </xdr:cNvPr>
        <xdr:cNvSpPr>
          <a:spLocks noChangeShapeType="1"/>
        </xdr:cNvSpPr>
      </xdr:nvSpPr>
      <xdr:spPr bwMode="auto">
        <a:xfrm flipH="1">
          <a:off x="13211175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39" name="Line 117">
          <a:extLst>
            <a:ext uri="{FF2B5EF4-FFF2-40B4-BE49-F238E27FC236}">
              <a16:creationId xmlns:a16="http://schemas.microsoft.com/office/drawing/2014/main" id="{00000000-0008-0000-0C00-00008B55A500}"/>
            </a:ext>
          </a:extLst>
        </xdr:cNvPr>
        <xdr:cNvSpPr>
          <a:spLocks noChangeShapeType="1"/>
        </xdr:cNvSpPr>
      </xdr:nvSpPr>
      <xdr:spPr bwMode="auto">
        <a:xfrm flipH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40" name="Line 118">
          <a:extLst>
            <a:ext uri="{FF2B5EF4-FFF2-40B4-BE49-F238E27FC236}">
              <a16:creationId xmlns:a16="http://schemas.microsoft.com/office/drawing/2014/main" id="{00000000-0008-0000-0C00-00008C55A500}"/>
            </a:ext>
          </a:extLst>
        </xdr:cNvPr>
        <xdr:cNvSpPr>
          <a:spLocks noChangeShapeType="1"/>
        </xdr:cNvSpPr>
      </xdr:nvSpPr>
      <xdr:spPr bwMode="auto">
        <a:xfrm flipV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41" name="Line 119">
          <a:extLst>
            <a:ext uri="{FF2B5EF4-FFF2-40B4-BE49-F238E27FC236}">
              <a16:creationId xmlns:a16="http://schemas.microsoft.com/office/drawing/2014/main" id="{00000000-0008-0000-0C00-00008D55A500}"/>
            </a:ext>
          </a:extLst>
        </xdr:cNvPr>
        <xdr:cNvSpPr>
          <a:spLocks noChangeShapeType="1"/>
        </xdr:cNvSpPr>
      </xdr:nvSpPr>
      <xdr:spPr bwMode="auto">
        <a:xfrm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5342" name="Line 120">
          <a:extLst>
            <a:ext uri="{FF2B5EF4-FFF2-40B4-BE49-F238E27FC236}">
              <a16:creationId xmlns:a16="http://schemas.microsoft.com/office/drawing/2014/main" id="{00000000-0008-0000-0C00-00008E55A500}"/>
            </a:ext>
          </a:extLst>
        </xdr:cNvPr>
        <xdr:cNvSpPr>
          <a:spLocks noChangeShapeType="1"/>
        </xdr:cNvSpPr>
      </xdr:nvSpPr>
      <xdr:spPr bwMode="auto">
        <a:xfrm flipH="1">
          <a:off x="13211175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43" name="Line 121">
          <a:extLst>
            <a:ext uri="{FF2B5EF4-FFF2-40B4-BE49-F238E27FC236}">
              <a16:creationId xmlns:a16="http://schemas.microsoft.com/office/drawing/2014/main" id="{00000000-0008-0000-0C00-00008F55A500}"/>
            </a:ext>
          </a:extLst>
        </xdr:cNvPr>
        <xdr:cNvSpPr>
          <a:spLocks noChangeShapeType="1"/>
        </xdr:cNvSpPr>
      </xdr:nvSpPr>
      <xdr:spPr bwMode="auto">
        <a:xfrm flipH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44" name="Line 122">
          <a:extLst>
            <a:ext uri="{FF2B5EF4-FFF2-40B4-BE49-F238E27FC236}">
              <a16:creationId xmlns:a16="http://schemas.microsoft.com/office/drawing/2014/main" id="{00000000-0008-0000-0C00-00009055A500}"/>
            </a:ext>
          </a:extLst>
        </xdr:cNvPr>
        <xdr:cNvSpPr>
          <a:spLocks noChangeShapeType="1"/>
        </xdr:cNvSpPr>
      </xdr:nvSpPr>
      <xdr:spPr bwMode="auto">
        <a:xfrm flipV="1"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5345" name="Line 123">
          <a:extLst>
            <a:ext uri="{FF2B5EF4-FFF2-40B4-BE49-F238E27FC236}">
              <a16:creationId xmlns:a16="http://schemas.microsoft.com/office/drawing/2014/main" id="{00000000-0008-0000-0C00-00009155A500}"/>
            </a:ext>
          </a:extLst>
        </xdr:cNvPr>
        <xdr:cNvSpPr>
          <a:spLocks noChangeShapeType="1"/>
        </xdr:cNvSpPr>
      </xdr:nvSpPr>
      <xdr:spPr bwMode="auto">
        <a:xfrm>
          <a:off x="4552950" y="123729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809625</xdr:colOff>
      <xdr:row>75</xdr:row>
      <xdr:rowOff>9525</xdr:rowOff>
    </xdr:from>
    <xdr:to>
      <xdr:col>19</xdr:col>
      <xdr:colOff>9525</xdr:colOff>
      <xdr:row>75</xdr:row>
      <xdr:rowOff>9525</xdr:rowOff>
    </xdr:to>
    <xdr:sp macro="" textlink="">
      <xdr:nvSpPr>
        <xdr:cNvPr id="10835346" name="Line 124">
          <a:extLst>
            <a:ext uri="{FF2B5EF4-FFF2-40B4-BE49-F238E27FC236}">
              <a16:creationId xmlns:a16="http://schemas.microsoft.com/office/drawing/2014/main" id="{00000000-0008-0000-0C00-00009255A500}"/>
            </a:ext>
          </a:extLst>
        </xdr:cNvPr>
        <xdr:cNvSpPr>
          <a:spLocks noChangeShapeType="1"/>
        </xdr:cNvSpPr>
      </xdr:nvSpPr>
      <xdr:spPr bwMode="auto">
        <a:xfrm flipH="1">
          <a:off x="12592050" y="12544425"/>
          <a:ext cx="628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75</xdr:row>
      <xdr:rowOff>9525</xdr:rowOff>
    </xdr:from>
    <xdr:to>
      <xdr:col>16</xdr:col>
      <xdr:colOff>0</xdr:colOff>
      <xdr:row>75</xdr:row>
      <xdr:rowOff>9525</xdr:rowOff>
    </xdr:to>
    <xdr:sp macro="" textlink="">
      <xdr:nvSpPr>
        <xdr:cNvPr id="10835347" name="Line 125">
          <a:extLst>
            <a:ext uri="{FF2B5EF4-FFF2-40B4-BE49-F238E27FC236}">
              <a16:creationId xmlns:a16="http://schemas.microsoft.com/office/drawing/2014/main" id="{00000000-0008-0000-0C00-00009355A500}"/>
            </a:ext>
          </a:extLst>
        </xdr:cNvPr>
        <xdr:cNvSpPr>
          <a:spLocks noChangeShapeType="1"/>
        </xdr:cNvSpPr>
      </xdr:nvSpPr>
      <xdr:spPr bwMode="auto">
        <a:xfrm>
          <a:off x="10344150" y="12544425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75</xdr:row>
      <xdr:rowOff>9525</xdr:rowOff>
    </xdr:from>
    <xdr:to>
      <xdr:col>13</xdr:col>
      <xdr:colOff>0</xdr:colOff>
      <xdr:row>75</xdr:row>
      <xdr:rowOff>9525</xdr:rowOff>
    </xdr:to>
    <xdr:sp macro="" textlink="">
      <xdr:nvSpPr>
        <xdr:cNvPr id="10835348" name="Line 126">
          <a:extLst>
            <a:ext uri="{FF2B5EF4-FFF2-40B4-BE49-F238E27FC236}">
              <a16:creationId xmlns:a16="http://schemas.microsoft.com/office/drawing/2014/main" id="{00000000-0008-0000-0C00-00009455A500}"/>
            </a:ext>
          </a:extLst>
        </xdr:cNvPr>
        <xdr:cNvSpPr>
          <a:spLocks noChangeShapeType="1"/>
        </xdr:cNvSpPr>
      </xdr:nvSpPr>
      <xdr:spPr bwMode="auto">
        <a:xfrm>
          <a:off x="8086725" y="12544425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75</xdr:row>
      <xdr:rowOff>9525</xdr:rowOff>
    </xdr:from>
    <xdr:to>
      <xdr:col>9</xdr:col>
      <xdr:colOff>695325</xdr:colOff>
      <xdr:row>75</xdr:row>
      <xdr:rowOff>9525</xdr:rowOff>
    </xdr:to>
    <xdr:sp macro="" textlink="">
      <xdr:nvSpPr>
        <xdr:cNvPr id="10835349" name="Line 127">
          <a:extLst>
            <a:ext uri="{FF2B5EF4-FFF2-40B4-BE49-F238E27FC236}">
              <a16:creationId xmlns:a16="http://schemas.microsoft.com/office/drawing/2014/main" id="{00000000-0008-0000-0C00-00009555A500}"/>
            </a:ext>
          </a:extLst>
        </xdr:cNvPr>
        <xdr:cNvSpPr>
          <a:spLocks noChangeShapeType="1"/>
        </xdr:cNvSpPr>
      </xdr:nvSpPr>
      <xdr:spPr bwMode="auto">
        <a:xfrm flipH="1">
          <a:off x="5934075" y="12544425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8</xdr:row>
      <xdr:rowOff>114300</xdr:rowOff>
    </xdr:from>
    <xdr:to>
      <xdr:col>10</xdr:col>
      <xdr:colOff>333375</xdr:colOff>
      <xdr:row>15</xdr:row>
      <xdr:rowOff>9525</xdr:rowOff>
    </xdr:to>
    <xdr:sp macro="" textlink="">
      <xdr:nvSpPr>
        <xdr:cNvPr id="10835350" name="Rectangle 56">
          <a:extLst>
            <a:ext uri="{FF2B5EF4-FFF2-40B4-BE49-F238E27FC236}">
              <a16:creationId xmlns:a16="http://schemas.microsoft.com/office/drawing/2014/main" id="{00000000-0008-0000-0C00-00009655A500}"/>
            </a:ext>
          </a:extLst>
        </xdr:cNvPr>
        <xdr:cNvSpPr>
          <a:spLocks noChangeArrowheads="1"/>
        </xdr:cNvSpPr>
      </xdr:nvSpPr>
      <xdr:spPr bwMode="auto">
        <a:xfrm>
          <a:off x="5267325" y="1866900"/>
          <a:ext cx="1704975" cy="120967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142875</xdr:colOff>
      <xdr:row>11</xdr:row>
      <xdr:rowOff>0</xdr:rowOff>
    </xdr:from>
    <xdr:to>
      <xdr:col>8</xdr:col>
      <xdr:colOff>333375</xdr:colOff>
      <xdr:row>16</xdr:row>
      <xdr:rowOff>76200</xdr:rowOff>
    </xdr:to>
    <xdr:sp macro="" textlink="">
      <xdr:nvSpPr>
        <xdr:cNvPr id="10835351" name="Line 34">
          <a:extLst>
            <a:ext uri="{FF2B5EF4-FFF2-40B4-BE49-F238E27FC236}">
              <a16:creationId xmlns:a16="http://schemas.microsoft.com/office/drawing/2014/main" id="{00000000-0008-0000-0C00-00009755A500}"/>
            </a:ext>
          </a:extLst>
        </xdr:cNvPr>
        <xdr:cNvSpPr>
          <a:spLocks noChangeShapeType="1"/>
        </xdr:cNvSpPr>
      </xdr:nvSpPr>
      <xdr:spPr bwMode="auto">
        <a:xfrm flipV="1">
          <a:off x="4695825" y="2314575"/>
          <a:ext cx="904875" cy="9906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295275</xdr:colOff>
      <xdr:row>12</xdr:row>
      <xdr:rowOff>114300</xdr:rowOff>
    </xdr:from>
    <xdr:to>
      <xdr:col>9</xdr:col>
      <xdr:colOff>0</xdr:colOff>
      <xdr:row>16</xdr:row>
      <xdr:rowOff>76200</xdr:rowOff>
    </xdr:to>
    <xdr:sp macro="" textlink="">
      <xdr:nvSpPr>
        <xdr:cNvPr id="10835352" name="Line 34">
          <a:extLst>
            <a:ext uri="{FF2B5EF4-FFF2-40B4-BE49-F238E27FC236}">
              <a16:creationId xmlns:a16="http://schemas.microsoft.com/office/drawing/2014/main" id="{00000000-0008-0000-0C00-00009855A500}"/>
            </a:ext>
          </a:extLst>
        </xdr:cNvPr>
        <xdr:cNvSpPr>
          <a:spLocks noChangeShapeType="1"/>
        </xdr:cNvSpPr>
      </xdr:nvSpPr>
      <xdr:spPr bwMode="auto">
        <a:xfrm flipV="1">
          <a:off x="4848225" y="2628900"/>
          <a:ext cx="1085850" cy="6762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447675</xdr:colOff>
      <xdr:row>14</xdr:row>
      <xdr:rowOff>76200</xdr:rowOff>
    </xdr:from>
    <xdr:to>
      <xdr:col>9</xdr:col>
      <xdr:colOff>9525</xdr:colOff>
      <xdr:row>16</xdr:row>
      <xdr:rowOff>123825</xdr:rowOff>
    </xdr:to>
    <xdr:sp macro="" textlink="">
      <xdr:nvSpPr>
        <xdr:cNvPr id="10835353" name="Line 34">
          <a:extLst>
            <a:ext uri="{FF2B5EF4-FFF2-40B4-BE49-F238E27FC236}">
              <a16:creationId xmlns:a16="http://schemas.microsoft.com/office/drawing/2014/main" id="{00000000-0008-0000-0C00-00009955A500}"/>
            </a:ext>
          </a:extLst>
        </xdr:cNvPr>
        <xdr:cNvSpPr>
          <a:spLocks noChangeShapeType="1"/>
        </xdr:cNvSpPr>
      </xdr:nvSpPr>
      <xdr:spPr bwMode="auto">
        <a:xfrm flipV="1">
          <a:off x="5000625" y="2981325"/>
          <a:ext cx="942975" cy="3714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771525</xdr:colOff>
      <xdr:row>54</xdr:row>
      <xdr:rowOff>0</xdr:rowOff>
    </xdr:from>
    <xdr:to>
      <xdr:col>4</xdr:col>
      <xdr:colOff>152400</xdr:colOff>
      <xdr:row>58</xdr:row>
      <xdr:rowOff>76200</xdr:rowOff>
    </xdr:to>
    <xdr:sp macro="" textlink="">
      <xdr:nvSpPr>
        <xdr:cNvPr id="10835354" name="Oval 14">
          <a:extLst>
            <a:ext uri="{FF2B5EF4-FFF2-40B4-BE49-F238E27FC236}">
              <a16:creationId xmlns:a16="http://schemas.microsoft.com/office/drawing/2014/main" id="{00000000-0008-0000-0C00-00009A55A500}"/>
            </a:ext>
          </a:extLst>
        </xdr:cNvPr>
        <xdr:cNvSpPr>
          <a:spLocks noChangeArrowheads="1"/>
        </xdr:cNvSpPr>
      </xdr:nvSpPr>
      <xdr:spPr bwMode="auto">
        <a:xfrm>
          <a:off x="1698625" y="9969500"/>
          <a:ext cx="917575" cy="901700"/>
        </a:xfrm>
        <a:prstGeom prst="ellips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609600</xdr:colOff>
      <xdr:row>52</xdr:row>
      <xdr:rowOff>123825</xdr:rowOff>
    </xdr:from>
    <xdr:to>
      <xdr:col>3</xdr:col>
      <xdr:colOff>685800</xdr:colOff>
      <xdr:row>54</xdr:row>
      <xdr:rowOff>38100</xdr:rowOff>
    </xdr:to>
    <xdr:sp macro="" textlink="">
      <xdr:nvSpPr>
        <xdr:cNvPr id="10835355" name="Line 19">
          <a:extLst>
            <a:ext uri="{FF2B5EF4-FFF2-40B4-BE49-F238E27FC236}">
              <a16:creationId xmlns:a16="http://schemas.microsoft.com/office/drawing/2014/main" id="{00000000-0008-0000-0C00-00009B55A500}"/>
            </a:ext>
          </a:extLst>
        </xdr:cNvPr>
        <xdr:cNvSpPr>
          <a:spLocks noChangeShapeType="1"/>
        </xdr:cNvSpPr>
      </xdr:nvSpPr>
      <xdr:spPr bwMode="auto">
        <a:xfrm flipH="1">
          <a:off x="2371725" y="9582150"/>
          <a:ext cx="76200" cy="2667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190500</xdr:colOff>
      <xdr:row>56</xdr:row>
      <xdr:rowOff>9525</xdr:rowOff>
    </xdr:from>
    <xdr:to>
      <xdr:col>5</xdr:col>
      <xdr:colOff>619125</xdr:colOff>
      <xdr:row>56</xdr:row>
      <xdr:rowOff>9525</xdr:rowOff>
    </xdr:to>
    <xdr:sp macro="" textlink="">
      <xdr:nvSpPr>
        <xdr:cNvPr id="10835356" name="Line 19">
          <a:extLst>
            <a:ext uri="{FF2B5EF4-FFF2-40B4-BE49-F238E27FC236}">
              <a16:creationId xmlns:a16="http://schemas.microsoft.com/office/drawing/2014/main" id="{00000000-0008-0000-0C00-00009C55A500}"/>
            </a:ext>
          </a:extLst>
        </xdr:cNvPr>
        <xdr:cNvSpPr>
          <a:spLocks noChangeShapeType="1"/>
        </xdr:cNvSpPr>
      </xdr:nvSpPr>
      <xdr:spPr bwMode="auto">
        <a:xfrm flipH="1">
          <a:off x="2647950" y="10220325"/>
          <a:ext cx="10668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561975</xdr:colOff>
      <xdr:row>50</xdr:row>
      <xdr:rowOff>0</xdr:rowOff>
    </xdr:from>
    <xdr:to>
      <xdr:col>6</xdr:col>
      <xdr:colOff>0</xdr:colOff>
      <xdr:row>52</xdr:row>
      <xdr:rowOff>161925</xdr:rowOff>
    </xdr:to>
    <xdr:sp macro="" textlink="">
      <xdr:nvSpPr>
        <xdr:cNvPr id="10835357" name="Line 16">
          <a:extLst>
            <a:ext uri="{FF2B5EF4-FFF2-40B4-BE49-F238E27FC236}">
              <a16:creationId xmlns:a16="http://schemas.microsoft.com/office/drawing/2014/main" id="{00000000-0008-0000-0C00-00009D55A500}"/>
            </a:ext>
          </a:extLst>
        </xdr:cNvPr>
        <xdr:cNvSpPr>
          <a:spLocks noChangeShapeType="1"/>
        </xdr:cNvSpPr>
      </xdr:nvSpPr>
      <xdr:spPr bwMode="auto">
        <a:xfrm flipH="1" flipV="1">
          <a:off x="3019425" y="9115425"/>
          <a:ext cx="838200" cy="5048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581025</xdr:colOff>
      <xdr:row>50</xdr:row>
      <xdr:rowOff>9525</xdr:rowOff>
    </xdr:from>
    <xdr:to>
      <xdr:col>5</xdr:col>
      <xdr:colOff>733425</xdr:colOff>
      <xdr:row>52</xdr:row>
      <xdr:rowOff>152400</xdr:rowOff>
    </xdr:to>
    <xdr:sp macro="" textlink="">
      <xdr:nvSpPr>
        <xdr:cNvPr id="10835358" name="Line 16">
          <a:extLst>
            <a:ext uri="{FF2B5EF4-FFF2-40B4-BE49-F238E27FC236}">
              <a16:creationId xmlns:a16="http://schemas.microsoft.com/office/drawing/2014/main" id="{00000000-0008-0000-0C00-00009E55A500}"/>
            </a:ext>
          </a:extLst>
        </xdr:cNvPr>
        <xdr:cNvSpPr>
          <a:spLocks noChangeShapeType="1"/>
        </xdr:cNvSpPr>
      </xdr:nvSpPr>
      <xdr:spPr bwMode="auto">
        <a:xfrm flipH="1" flipV="1">
          <a:off x="3038475" y="9124950"/>
          <a:ext cx="790575" cy="4857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711200</xdr:colOff>
      <xdr:row>53</xdr:row>
      <xdr:rowOff>1</xdr:rowOff>
    </xdr:from>
    <xdr:to>
      <xdr:col>5</xdr:col>
      <xdr:colOff>469901</xdr:colOff>
      <xdr:row>59</xdr:row>
      <xdr:rowOff>25401</xdr:rowOff>
    </xdr:to>
    <xdr:sp macro="" textlink="">
      <xdr:nvSpPr>
        <xdr:cNvPr id="138" name="Rectangle 56">
          <a:extLst>
            <a:ext uri="{FF2B5EF4-FFF2-40B4-BE49-F238E27FC236}">
              <a16:creationId xmlns:a16="http://schemas.microsoft.com/office/drawing/2014/main" id="{00000000-0008-0000-0C00-00008A000000}"/>
            </a:ext>
          </a:extLst>
        </xdr:cNvPr>
        <xdr:cNvSpPr>
          <a:spLocks noChangeArrowheads="1"/>
        </xdr:cNvSpPr>
      </xdr:nvSpPr>
      <xdr:spPr bwMode="auto">
        <a:xfrm>
          <a:off x="1638300" y="9804401"/>
          <a:ext cx="1930401" cy="11938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66675</xdr:rowOff>
    </xdr:from>
    <xdr:to>
      <xdr:col>8</xdr:col>
      <xdr:colOff>180975</xdr:colOff>
      <xdr:row>25</xdr:row>
      <xdr:rowOff>0</xdr:rowOff>
    </xdr:to>
    <xdr:sp macro="" textlink="">
      <xdr:nvSpPr>
        <xdr:cNvPr id="10830286" name="Oval 1">
          <a:extLst>
            <a:ext uri="{FF2B5EF4-FFF2-40B4-BE49-F238E27FC236}">
              <a16:creationId xmlns:a16="http://schemas.microsoft.com/office/drawing/2014/main" id="{00000000-0008-0000-0D00-0000CE41A500}"/>
            </a:ext>
          </a:extLst>
        </xdr:cNvPr>
        <xdr:cNvSpPr>
          <a:spLocks noChangeArrowheads="1"/>
        </xdr:cNvSpPr>
      </xdr:nvSpPr>
      <xdr:spPr bwMode="auto">
        <a:xfrm>
          <a:off x="3857625" y="3295650"/>
          <a:ext cx="1657350" cy="15906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552450</xdr:colOff>
      <xdr:row>29</xdr:row>
      <xdr:rowOff>38100</xdr:rowOff>
    </xdr:from>
    <xdr:to>
      <xdr:col>8</xdr:col>
      <xdr:colOff>66675</xdr:colOff>
      <xdr:row>37</xdr:row>
      <xdr:rowOff>152400</xdr:rowOff>
    </xdr:to>
    <xdr:sp macro="" textlink="">
      <xdr:nvSpPr>
        <xdr:cNvPr id="10830287" name="Oval 2">
          <a:extLst>
            <a:ext uri="{FF2B5EF4-FFF2-40B4-BE49-F238E27FC236}">
              <a16:creationId xmlns:a16="http://schemas.microsoft.com/office/drawing/2014/main" id="{00000000-0008-0000-0D00-0000CF41A500}"/>
            </a:ext>
          </a:extLst>
        </xdr:cNvPr>
        <xdr:cNvSpPr>
          <a:spLocks noChangeArrowheads="1"/>
        </xdr:cNvSpPr>
      </xdr:nvSpPr>
      <xdr:spPr bwMode="auto">
        <a:xfrm>
          <a:off x="3648075" y="5629275"/>
          <a:ext cx="1752600" cy="15716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609600</xdr:colOff>
      <xdr:row>50</xdr:row>
      <xdr:rowOff>152400</xdr:rowOff>
    </xdr:from>
    <xdr:to>
      <xdr:col>8</xdr:col>
      <xdr:colOff>123825</xdr:colOff>
      <xdr:row>59</xdr:row>
      <xdr:rowOff>28575</xdr:rowOff>
    </xdr:to>
    <xdr:sp macro="" textlink="">
      <xdr:nvSpPr>
        <xdr:cNvPr id="10830288" name="Oval 3">
          <a:extLst>
            <a:ext uri="{FF2B5EF4-FFF2-40B4-BE49-F238E27FC236}">
              <a16:creationId xmlns:a16="http://schemas.microsoft.com/office/drawing/2014/main" id="{00000000-0008-0000-0D00-0000D041A500}"/>
            </a:ext>
          </a:extLst>
        </xdr:cNvPr>
        <xdr:cNvSpPr>
          <a:spLocks noChangeArrowheads="1"/>
        </xdr:cNvSpPr>
      </xdr:nvSpPr>
      <xdr:spPr bwMode="auto">
        <a:xfrm>
          <a:off x="3705225" y="9534525"/>
          <a:ext cx="1752600" cy="15716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552450</xdr:colOff>
      <xdr:row>29</xdr:row>
      <xdr:rowOff>38100</xdr:rowOff>
    </xdr:from>
    <xdr:to>
      <xdr:col>11</xdr:col>
      <xdr:colOff>76200</xdr:colOff>
      <xdr:row>38</xdr:row>
      <xdr:rowOff>28575</xdr:rowOff>
    </xdr:to>
    <xdr:sp macro="" textlink="">
      <xdr:nvSpPr>
        <xdr:cNvPr id="10830289" name="Oval 4">
          <a:extLst>
            <a:ext uri="{FF2B5EF4-FFF2-40B4-BE49-F238E27FC236}">
              <a16:creationId xmlns:a16="http://schemas.microsoft.com/office/drawing/2014/main" id="{00000000-0008-0000-0D00-0000D141A500}"/>
            </a:ext>
          </a:extLst>
        </xdr:cNvPr>
        <xdr:cNvSpPr>
          <a:spLocks noChangeArrowheads="1"/>
        </xdr:cNvSpPr>
      </xdr:nvSpPr>
      <xdr:spPr bwMode="auto">
        <a:xfrm>
          <a:off x="5886450" y="5629275"/>
          <a:ext cx="1562100" cy="16097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685800</xdr:colOff>
      <xdr:row>29</xdr:row>
      <xdr:rowOff>66675</xdr:rowOff>
    </xdr:from>
    <xdr:to>
      <xdr:col>14</xdr:col>
      <xdr:colOff>28575</xdr:colOff>
      <xdr:row>38</xdr:row>
      <xdr:rowOff>19050</xdr:rowOff>
    </xdr:to>
    <xdr:sp macro="" textlink="">
      <xdr:nvSpPr>
        <xdr:cNvPr id="10830290" name="Oval 5">
          <a:extLst>
            <a:ext uri="{FF2B5EF4-FFF2-40B4-BE49-F238E27FC236}">
              <a16:creationId xmlns:a16="http://schemas.microsoft.com/office/drawing/2014/main" id="{00000000-0008-0000-0D00-0000D241A500}"/>
            </a:ext>
          </a:extLst>
        </xdr:cNvPr>
        <xdr:cNvSpPr>
          <a:spLocks noChangeArrowheads="1"/>
        </xdr:cNvSpPr>
      </xdr:nvSpPr>
      <xdr:spPr bwMode="auto">
        <a:xfrm>
          <a:off x="8058150" y="5657850"/>
          <a:ext cx="1685925" cy="15716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552450</xdr:colOff>
      <xdr:row>29</xdr:row>
      <xdr:rowOff>38100</xdr:rowOff>
    </xdr:from>
    <xdr:to>
      <xdr:col>17</xdr:col>
      <xdr:colOff>66675</xdr:colOff>
      <xdr:row>37</xdr:row>
      <xdr:rowOff>152400</xdr:rowOff>
    </xdr:to>
    <xdr:sp macro="" textlink="">
      <xdr:nvSpPr>
        <xdr:cNvPr id="10830291" name="Oval 6">
          <a:extLst>
            <a:ext uri="{FF2B5EF4-FFF2-40B4-BE49-F238E27FC236}">
              <a16:creationId xmlns:a16="http://schemas.microsoft.com/office/drawing/2014/main" id="{00000000-0008-0000-0D00-0000D341A500}"/>
            </a:ext>
          </a:extLst>
        </xdr:cNvPr>
        <xdr:cNvSpPr>
          <a:spLocks noChangeArrowheads="1"/>
        </xdr:cNvSpPr>
      </xdr:nvSpPr>
      <xdr:spPr bwMode="auto">
        <a:xfrm>
          <a:off x="10267950" y="5629275"/>
          <a:ext cx="1695450" cy="15716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552450</xdr:colOff>
      <xdr:row>29</xdr:row>
      <xdr:rowOff>38100</xdr:rowOff>
    </xdr:from>
    <xdr:to>
      <xdr:col>20</xdr:col>
      <xdr:colOff>66675</xdr:colOff>
      <xdr:row>37</xdr:row>
      <xdr:rowOff>152400</xdr:rowOff>
    </xdr:to>
    <xdr:sp macro="" textlink="">
      <xdr:nvSpPr>
        <xdr:cNvPr id="10830292" name="Oval 7">
          <a:extLst>
            <a:ext uri="{FF2B5EF4-FFF2-40B4-BE49-F238E27FC236}">
              <a16:creationId xmlns:a16="http://schemas.microsoft.com/office/drawing/2014/main" id="{00000000-0008-0000-0D00-0000D441A500}"/>
            </a:ext>
          </a:extLst>
        </xdr:cNvPr>
        <xdr:cNvSpPr>
          <a:spLocks noChangeArrowheads="1"/>
        </xdr:cNvSpPr>
      </xdr:nvSpPr>
      <xdr:spPr bwMode="auto">
        <a:xfrm>
          <a:off x="12449175" y="5629275"/>
          <a:ext cx="1657350" cy="15716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38</xdr:row>
      <xdr:rowOff>28575</xdr:rowOff>
    </xdr:from>
    <xdr:to>
      <xdr:col>19</xdr:col>
      <xdr:colOff>0</xdr:colOff>
      <xdr:row>45</xdr:row>
      <xdr:rowOff>152400</xdr:rowOff>
    </xdr:to>
    <xdr:sp macro="" textlink="">
      <xdr:nvSpPr>
        <xdr:cNvPr id="10830293" name="Line 8">
          <a:extLst>
            <a:ext uri="{FF2B5EF4-FFF2-40B4-BE49-F238E27FC236}">
              <a16:creationId xmlns:a16="http://schemas.microsoft.com/office/drawing/2014/main" id="{00000000-0008-0000-0D00-0000D541A500}"/>
            </a:ext>
          </a:extLst>
        </xdr:cNvPr>
        <xdr:cNvSpPr>
          <a:spLocks noChangeShapeType="1"/>
        </xdr:cNvSpPr>
      </xdr:nvSpPr>
      <xdr:spPr bwMode="auto">
        <a:xfrm flipH="1">
          <a:off x="13277850" y="7239000"/>
          <a:ext cx="0" cy="13620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66675</xdr:colOff>
      <xdr:row>33</xdr:row>
      <xdr:rowOff>152400</xdr:rowOff>
    </xdr:from>
    <xdr:to>
      <xdr:col>17</xdr:col>
      <xdr:colOff>542925</xdr:colOff>
      <xdr:row>33</xdr:row>
      <xdr:rowOff>152400</xdr:rowOff>
    </xdr:to>
    <xdr:sp macro="" textlink="">
      <xdr:nvSpPr>
        <xdr:cNvPr id="10830294" name="Line 9">
          <a:extLst>
            <a:ext uri="{FF2B5EF4-FFF2-40B4-BE49-F238E27FC236}">
              <a16:creationId xmlns:a16="http://schemas.microsoft.com/office/drawing/2014/main" id="{00000000-0008-0000-0D00-0000D641A500}"/>
            </a:ext>
          </a:extLst>
        </xdr:cNvPr>
        <xdr:cNvSpPr>
          <a:spLocks noChangeShapeType="1"/>
        </xdr:cNvSpPr>
      </xdr:nvSpPr>
      <xdr:spPr bwMode="auto">
        <a:xfrm flipH="1">
          <a:off x="11963400" y="6467475"/>
          <a:ext cx="4762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</xdr:colOff>
      <xdr:row>34</xdr:row>
      <xdr:rowOff>0</xdr:rowOff>
    </xdr:from>
    <xdr:to>
      <xdr:col>14</xdr:col>
      <xdr:colOff>561975</xdr:colOff>
      <xdr:row>34</xdr:row>
      <xdr:rowOff>0</xdr:rowOff>
    </xdr:to>
    <xdr:sp macro="" textlink="">
      <xdr:nvSpPr>
        <xdr:cNvPr id="10830295" name="Line 10">
          <a:extLst>
            <a:ext uri="{FF2B5EF4-FFF2-40B4-BE49-F238E27FC236}">
              <a16:creationId xmlns:a16="http://schemas.microsoft.com/office/drawing/2014/main" id="{00000000-0008-0000-0D00-0000D741A500}"/>
            </a:ext>
          </a:extLst>
        </xdr:cNvPr>
        <xdr:cNvSpPr>
          <a:spLocks noChangeShapeType="1"/>
        </xdr:cNvSpPr>
      </xdr:nvSpPr>
      <xdr:spPr bwMode="auto">
        <a:xfrm>
          <a:off x="9744075" y="6496050"/>
          <a:ext cx="5334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47</xdr:row>
      <xdr:rowOff>85725</xdr:rowOff>
    </xdr:from>
    <xdr:to>
      <xdr:col>7</xdr:col>
      <xdr:colOff>0</xdr:colOff>
      <xdr:row>50</xdr:row>
      <xdr:rowOff>142875</xdr:rowOff>
    </xdr:to>
    <xdr:sp macro="" textlink="">
      <xdr:nvSpPr>
        <xdr:cNvPr id="10830296" name="Line 11">
          <a:extLst>
            <a:ext uri="{FF2B5EF4-FFF2-40B4-BE49-F238E27FC236}">
              <a16:creationId xmlns:a16="http://schemas.microsoft.com/office/drawing/2014/main" id="{00000000-0008-0000-0D00-0000D841A500}"/>
            </a:ext>
          </a:extLst>
        </xdr:cNvPr>
        <xdr:cNvSpPr>
          <a:spLocks noChangeShapeType="1"/>
        </xdr:cNvSpPr>
      </xdr:nvSpPr>
      <xdr:spPr bwMode="auto">
        <a:xfrm flipH="1">
          <a:off x="4619625" y="8877300"/>
          <a:ext cx="0" cy="6477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30</xdr:row>
      <xdr:rowOff>66675</xdr:rowOff>
    </xdr:from>
    <xdr:to>
      <xdr:col>4</xdr:col>
      <xdr:colOff>571500</xdr:colOff>
      <xdr:row>37</xdr:row>
      <xdr:rowOff>9525</xdr:rowOff>
    </xdr:to>
    <xdr:sp macro="" textlink="">
      <xdr:nvSpPr>
        <xdr:cNvPr id="10830297" name="Oval 12">
          <a:extLst>
            <a:ext uri="{FF2B5EF4-FFF2-40B4-BE49-F238E27FC236}">
              <a16:creationId xmlns:a16="http://schemas.microsoft.com/office/drawing/2014/main" id="{00000000-0008-0000-0D00-0000D941A500}"/>
            </a:ext>
          </a:extLst>
        </xdr:cNvPr>
        <xdr:cNvSpPr>
          <a:spLocks noChangeArrowheads="1"/>
        </xdr:cNvSpPr>
      </xdr:nvSpPr>
      <xdr:spPr bwMode="auto">
        <a:xfrm>
          <a:off x="1905000" y="5819775"/>
          <a:ext cx="1123950" cy="12382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571500</xdr:colOff>
      <xdr:row>34</xdr:row>
      <xdr:rowOff>0</xdr:rowOff>
    </xdr:from>
    <xdr:to>
      <xdr:col>5</xdr:col>
      <xdr:colOff>542925</xdr:colOff>
      <xdr:row>34</xdr:row>
      <xdr:rowOff>0</xdr:rowOff>
    </xdr:to>
    <xdr:sp macro="" textlink="">
      <xdr:nvSpPr>
        <xdr:cNvPr id="10830298" name="Line 13">
          <a:extLst>
            <a:ext uri="{FF2B5EF4-FFF2-40B4-BE49-F238E27FC236}">
              <a16:creationId xmlns:a16="http://schemas.microsoft.com/office/drawing/2014/main" id="{00000000-0008-0000-0D00-0000DA41A500}"/>
            </a:ext>
          </a:extLst>
        </xdr:cNvPr>
        <xdr:cNvSpPr>
          <a:spLocks noChangeShapeType="1"/>
        </xdr:cNvSpPr>
      </xdr:nvSpPr>
      <xdr:spPr bwMode="auto">
        <a:xfrm flipH="1">
          <a:off x="3028950" y="6496050"/>
          <a:ext cx="6096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</xdr:colOff>
      <xdr:row>46</xdr:row>
      <xdr:rowOff>47625</xdr:rowOff>
    </xdr:from>
    <xdr:to>
      <xdr:col>4</xdr:col>
      <xdr:colOff>571500</xdr:colOff>
      <xdr:row>52</xdr:row>
      <xdr:rowOff>114300</xdr:rowOff>
    </xdr:to>
    <xdr:sp macro="" textlink="">
      <xdr:nvSpPr>
        <xdr:cNvPr id="10830299" name="Oval 14">
          <a:extLst>
            <a:ext uri="{FF2B5EF4-FFF2-40B4-BE49-F238E27FC236}">
              <a16:creationId xmlns:a16="http://schemas.microsoft.com/office/drawing/2014/main" id="{00000000-0008-0000-0D00-0000DB41A500}"/>
            </a:ext>
          </a:extLst>
        </xdr:cNvPr>
        <xdr:cNvSpPr>
          <a:spLocks noChangeArrowheads="1"/>
        </xdr:cNvSpPr>
      </xdr:nvSpPr>
      <xdr:spPr bwMode="auto">
        <a:xfrm>
          <a:off x="1924050" y="8677275"/>
          <a:ext cx="1104900" cy="11620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352425</xdr:colOff>
      <xdr:row>36</xdr:row>
      <xdr:rowOff>180975</xdr:rowOff>
    </xdr:from>
    <xdr:to>
      <xdr:col>6</xdr:col>
      <xdr:colOff>76200</xdr:colOff>
      <xdr:row>47</xdr:row>
      <xdr:rowOff>9525</xdr:rowOff>
    </xdr:to>
    <xdr:sp macro="" textlink="">
      <xdr:nvSpPr>
        <xdr:cNvPr id="10830300" name="Line 15">
          <a:extLst>
            <a:ext uri="{FF2B5EF4-FFF2-40B4-BE49-F238E27FC236}">
              <a16:creationId xmlns:a16="http://schemas.microsoft.com/office/drawing/2014/main" id="{00000000-0008-0000-0D00-0000DC41A500}"/>
            </a:ext>
          </a:extLst>
        </xdr:cNvPr>
        <xdr:cNvSpPr>
          <a:spLocks noChangeShapeType="1"/>
        </xdr:cNvSpPr>
      </xdr:nvSpPr>
      <xdr:spPr bwMode="auto">
        <a:xfrm flipH="1">
          <a:off x="2809875" y="7000875"/>
          <a:ext cx="1123950" cy="18002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561975</xdr:colOff>
      <xdr:row>50</xdr:row>
      <xdr:rowOff>0</xdr:rowOff>
    </xdr:from>
    <xdr:to>
      <xdr:col>6</xdr:col>
      <xdr:colOff>0</xdr:colOff>
      <xdr:row>52</xdr:row>
      <xdr:rowOff>180975</xdr:rowOff>
    </xdr:to>
    <xdr:sp macro="" textlink="">
      <xdr:nvSpPr>
        <xdr:cNvPr id="10830301" name="Line 16">
          <a:extLst>
            <a:ext uri="{FF2B5EF4-FFF2-40B4-BE49-F238E27FC236}">
              <a16:creationId xmlns:a16="http://schemas.microsoft.com/office/drawing/2014/main" id="{00000000-0008-0000-0D00-0000DD41A500}"/>
            </a:ext>
          </a:extLst>
        </xdr:cNvPr>
        <xdr:cNvSpPr>
          <a:spLocks noChangeShapeType="1"/>
        </xdr:cNvSpPr>
      </xdr:nvSpPr>
      <xdr:spPr bwMode="auto">
        <a:xfrm flipH="1" flipV="1">
          <a:off x="3019425" y="9382125"/>
          <a:ext cx="838200" cy="5238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47</xdr:row>
      <xdr:rowOff>9525</xdr:rowOff>
    </xdr:from>
    <xdr:to>
      <xdr:col>4</xdr:col>
      <xdr:colOff>371475</xdr:colOff>
      <xdr:row>47</xdr:row>
      <xdr:rowOff>19050</xdr:rowOff>
    </xdr:to>
    <xdr:sp macro="" textlink="">
      <xdr:nvSpPr>
        <xdr:cNvPr id="10830302" name="Arc 17">
          <a:extLst>
            <a:ext uri="{FF2B5EF4-FFF2-40B4-BE49-F238E27FC236}">
              <a16:creationId xmlns:a16="http://schemas.microsoft.com/office/drawing/2014/main" id="{00000000-0008-0000-0D00-0000DE41A500}"/>
            </a:ext>
          </a:extLst>
        </xdr:cNvPr>
        <xdr:cNvSpPr>
          <a:spLocks/>
        </xdr:cNvSpPr>
      </xdr:nvSpPr>
      <xdr:spPr bwMode="auto">
        <a:xfrm flipH="1" flipV="1">
          <a:off x="2819400" y="880110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171450</xdr:colOff>
      <xdr:row>47</xdr:row>
      <xdr:rowOff>9525</xdr:rowOff>
    </xdr:from>
    <xdr:to>
      <xdr:col>4</xdr:col>
      <xdr:colOff>352425</xdr:colOff>
      <xdr:row>49</xdr:row>
      <xdr:rowOff>152400</xdr:rowOff>
    </xdr:to>
    <xdr:sp macro="" textlink="">
      <xdr:nvSpPr>
        <xdr:cNvPr id="10830303" name="Line 18">
          <a:extLst>
            <a:ext uri="{FF2B5EF4-FFF2-40B4-BE49-F238E27FC236}">
              <a16:creationId xmlns:a16="http://schemas.microsoft.com/office/drawing/2014/main" id="{00000000-0008-0000-0D00-0000DF41A500}"/>
            </a:ext>
          </a:extLst>
        </xdr:cNvPr>
        <xdr:cNvSpPr>
          <a:spLocks noChangeShapeType="1"/>
        </xdr:cNvSpPr>
      </xdr:nvSpPr>
      <xdr:spPr bwMode="auto">
        <a:xfrm flipH="1">
          <a:off x="1933575" y="8801100"/>
          <a:ext cx="876300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50</xdr:row>
      <xdr:rowOff>0</xdr:rowOff>
    </xdr:from>
    <xdr:to>
      <xdr:col>3</xdr:col>
      <xdr:colOff>171450</xdr:colOff>
      <xdr:row>50</xdr:row>
      <xdr:rowOff>0</xdr:rowOff>
    </xdr:to>
    <xdr:sp macro="" textlink="">
      <xdr:nvSpPr>
        <xdr:cNvPr id="10830304" name="Line 19">
          <a:extLst>
            <a:ext uri="{FF2B5EF4-FFF2-40B4-BE49-F238E27FC236}">
              <a16:creationId xmlns:a16="http://schemas.microsoft.com/office/drawing/2014/main" id="{00000000-0008-0000-0D00-0000E041A500}"/>
            </a:ext>
          </a:extLst>
        </xdr:cNvPr>
        <xdr:cNvSpPr>
          <a:spLocks noChangeShapeType="1"/>
        </xdr:cNvSpPr>
      </xdr:nvSpPr>
      <xdr:spPr bwMode="auto">
        <a:xfrm flipH="1">
          <a:off x="1219200" y="9382125"/>
          <a:ext cx="71437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352425</xdr:colOff>
      <xdr:row>47</xdr:row>
      <xdr:rowOff>19050</xdr:rowOff>
    </xdr:from>
    <xdr:to>
      <xdr:col>4</xdr:col>
      <xdr:colOff>581025</xdr:colOff>
      <xdr:row>50</xdr:row>
      <xdr:rowOff>0</xdr:rowOff>
    </xdr:to>
    <xdr:sp macro="" textlink="">
      <xdr:nvSpPr>
        <xdr:cNvPr id="10830305" name="Arc 20">
          <a:extLst>
            <a:ext uri="{FF2B5EF4-FFF2-40B4-BE49-F238E27FC236}">
              <a16:creationId xmlns:a16="http://schemas.microsoft.com/office/drawing/2014/main" id="{00000000-0008-0000-0D00-0000E141A500}"/>
            </a:ext>
          </a:extLst>
        </xdr:cNvPr>
        <xdr:cNvSpPr>
          <a:spLocks/>
        </xdr:cNvSpPr>
      </xdr:nvSpPr>
      <xdr:spPr bwMode="auto">
        <a:xfrm flipH="1" flipV="1">
          <a:off x="2809875" y="8810625"/>
          <a:ext cx="228600" cy="57150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228600</xdr:colOff>
      <xdr:row>10</xdr:row>
      <xdr:rowOff>66675</xdr:rowOff>
    </xdr:from>
    <xdr:to>
      <xdr:col>5</xdr:col>
      <xdr:colOff>57150</xdr:colOff>
      <xdr:row>16</xdr:row>
      <xdr:rowOff>57150</xdr:rowOff>
    </xdr:to>
    <xdr:sp macro="" textlink="">
      <xdr:nvSpPr>
        <xdr:cNvPr id="10830306" name="Oval 21">
          <a:extLst>
            <a:ext uri="{FF2B5EF4-FFF2-40B4-BE49-F238E27FC236}">
              <a16:creationId xmlns:a16="http://schemas.microsoft.com/office/drawing/2014/main" id="{00000000-0008-0000-0D00-0000E241A500}"/>
            </a:ext>
          </a:extLst>
        </xdr:cNvPr>
        <xdr:cNvSpPr>
          <a:spLocks noChangeArrowheads="1"/>
        </xdr:cNvSpPr>
      </xdr:nvSpPr>
      <xdr:spPr bwMode="auto">
        <a:xfrm>
          <a:off x="1990725" y="2181225"/>
          <a:ext cx="1162050" cy="11049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352425</xdr:colOff>
      <xdr:row>24</xdr:row>
      <xdr:rowOff>0</xdr:rowOff>
    </xdr:from>
    <xdr:to>
      <xdr:col>6</xdr:col>
      <xdr:colOff>304800</xdr:colOff>
      <xdr:row>31</xdr:row>
      <xdr:rowOff>0</xdr:rowOff>
    </xdr:to>
    <xdr:sp macro="" textlink="">
      <xdr:nvSpPr>
        <xdr:cNvPr id="10830307" name="Line 22">
          <a:extLst>
            <a:ext uri="{FF2B5EF4-FFF2-40B4-BE49-F238E27FC236}">
              <a16:creationId xmlns:a16="http://schemas.microsoft.com/office/drawing/2014/main" id="{00000000-0008-0000-0D00-0000E341A500}"/>
            </a:ext>
          </a:extLst>
        </xdr:cNvPr>
        <xdr:cNvSpPr>
          <a:spLocks noChangeShapeType="1"/>
        </xdr:cNvSpPr>
      </xdr:nvSpPr>
      <xdr:spPr bwMode="auto">
        <a:xfrm flipH="1">
          <a:off x="2809875" y="4714875"/>
          <a:ext cx="1352550" cy="12287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52</xdr:row>
      <xdr:rowOff>38100</xdr:rowOff>
    </xdr:from>
    <xdr:to>
      <xdr:col>14</xdr:col>
      <xdr:colOff>9525</xdr:colOff>
      <xdr:row>60</xdr:row>
      <xdr:rowOff>28575</xdr:rowOff>
    </xdr:to>
    <xdr:sp macro="" textlink="">
      <xdr:nvSpPr>
        <xdr:cNvPr id="10830308" name="Arc 23">
          <a:extLst>
            <a:ext uri="{FF2B5EF4-FFF2-40B4-BE49-F238E27FC236}">
              <a16:creationId xmlns:a16="http://schemas.microsoft.com/office/drawing/2014/main" id="{00000000-0008-0000-0D00-0000E441A500}"/>
            </a:ext>
          </a:extLst>
        </xdr:cNvPr>
        <xdr:cNvSpPr>
          <a:spLocks/>
        </xdr:cNvSpPr>
      </xdr:nvSpPr>
      <xdr:spPr bwMode="auto">
        <a:xfrm flipH="1">
          <a:off x="6705600" y="9763125"/>
          <a:ext cx="3019425" cy="15049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600075</xdr:colOff>
      <xdr:row>52</xdr:row>
      <xdr:rowOff>38100</xdr:rowOff>
    </xdr:from>
    <xdr:to>
      <xdr:col>17</xdr:col>
      <xdr:colOff>571500</xdr:colOff>
      <xdr:row>60</xdr:row>
      <xdr:rowOff>38100</xdr:rowOff>
    </xdr:to>
    <xdr:sp macro="" textlink="">
      <xdr:nvSpPr>
        <xdr:cNvPr id="10830309" name="Arc 24">
          <a:extLst>
            <a:ext uri="{FF2B5EF4-FFF2-40B4-BE49-F238E27FC236}">
              <a16:creationId xmlns:a16="http://schemas.microsoft.com/office/drawing/2014/main" id="{00000000-0008-0000-0D00-0000E541A500}"/>
            </a:ext>
          </a:extLst>
        </xdr:cNvPr>
        <xdr:cNvSpPr>
          <a:spLocks/>
        </xdr:cNvSpPr>
      </xdr:nvSpPr>
      <xdr:spPr bwMode="auto">
        <a:xfrm>
          <a:off x="9448800" y="9763125"/>
          <a:ext cx="3019425" cy="151447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58</xdr:row>
      <xdr:rowOff>85725</xdr:rowOff>
    </xdr:from>
    <xdr:to>
      <xdr:col>6</xdr:col>
      <xdr:colOff>238125</xdr:colOff>
      <xdr:row>61</xdr:row>
      <xdr:rowOff>161925</xdr:rowOff>
    </xdr:to>
    <xdr:sp macro="" textlink="">
      <xdr:nvSpPr>
        <xdr:cNvPr id="10830310" name="Line 25">
          <a:extLst>
            <a:ext uri="{FF2B5EF4-FFF2-40B4-BE49-F238E27FC236}">
              <a16:creationId xmlns:a16="http://schemas.microsoft.com/office/drawing/2014/main" id="{00000000-0008-0000-0D00-0000E641A500}"/>
            </a:ext>
          </a:extLst>
        </xdr:cNvPr>
        <xdr:cNvSpPr>
          <a:spLocks noChangeShapeType="1"/>
        </xdr:cNvSpPr>
      </xdr:nvSpPr>
      <xdr:spPr bwMode="auto">
        <a:xfrm flipH="1">
          <a:off x="3790950" y="10982325"/>
          <a:ext cx="304800" cy="581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180975</xdr:colOff>
      <xdr:row>37</xdr:row>
      <xdr:rowOff>76200</xdr:rowOff>
    </xdr:from>
    <xdr:to>
      <xdr:col>17</xdr:col>
      <xdr:colOff>152400</xdr:colOff>
      <xdr:row>45</xdr:row>
      <xdr:rowOff>152400</xdr:rowOff>
    </xdr:to>
    <xdr:sp macro="" textlink="">
      <xdr:nvSpPr>
        <xdr:cNvPr id="10830311" name="Line 26">
          <a:extLst>
            <a:ext uri="{FF2B5EF4-FFF2-40B4-BE49-F238E27FC236}">
              <a16:creationId xmlns:a16="http://schemas.microsoft.com/office/drawing/2014/main" id="{00000000-0008-0000-0D00-0000E741A500}"/>
            </a:ext>
          </a:extLst>
        </xdr:cNvPr>
        <xdr:cNvSpPr>
          <a:spLocks noChangeShapeType="1"/>
        </xdr:cNvSpPr>
      </xdr:nvSpPr>
      <xdr:spPr bwMode="auto">
        <a:xfrm>
          <a:off x="11391900" y="7124700"/>
          <a:ext cx="657225" cy="14763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123825</xdr:colOff>
      <xdr:row>37</xdr:row>
      <xdr:rowOff>152400</xdr:rowOff>
    </xdr:from>
    <xdr:to>
      <xdr:col>11</xdr:col>
      <xdr:colOff>714375</xdr:colOff>
      <xdr:row>53</xdr:row>
      <xdr:rowOff>114300</xdr:rowOff>
    </xdr:to>
    <xdr:sp macro="" textlink="">
      <xdr:nvSpPr>
        <xdr:cNvPr id="10830312" name="Line 27">
          <a:extLst>
            <a:ext uri="{FF2B5EF4-FFF2-40B4-BE49-F238E27FC236}">
              <a16:creationId xmlns:a16="http://schemas.microsoft.com/office/drawing/2014/main" id="{00000000-0008-0000-0D00-0000E841A500}"/>
            </a:ext>
          </a:extLst>
        </xdr:cNvPr>
        <xdr:cNvSpPr>
          <a:spLocks noChangeShapeType="1"/>
        </xdr:cNvSpPr>
      </xdr:nvSpPr>
      <xdr:spPr bwMode="auto">
        <a:xfrm>
          <a:off x="6829425" y="7200900"/>
          <a:ext cx="1257300" cy="28289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152400</xdr:colOff>
      <xdr:row>45</xdr:row>
      <xdr:rowOff>47625</xdr:rowOff>
    </xdr:from>
    <xdr:to>
      <xdr:col>11</xdr:col>
      <xdr:colOff>314325</xdr:colOff>
      <xdr:row>54</xdr:row>
      <xdr:rowOff>76200</xdr:rowOff>
    </xdr:to>
    <xdr:sp macro="" textlink="">
      <xdr:nvSpPr>
        <xdr:cNvPr id="10830313" name="Line 28">
          <a:extLst>
            <a:ext uri="{FF2B5EF4-FFF2-40B4-BE49-F238E27FC236}">
              <a16:creationId xmlns:a16="http://schemas.microsoft.com/office/drawing/2014/main" id="{00000000-0008-0000-0D00-0000E941A500}"/>
            </a:ext>
          </a:extLst>
        </xdr:cNvPr>
        <xdr:cNvSpPr>
          <a:spLocks noChangeShapeType="1"/>
        </xdr:cNvSpPr>
      </xdr:nvSpPr>
      <xdr:spPr bwMode="auto">
        <a:xfrm>
          <a:off x="5486400" y="8496300"/>
          <a:ext cx="2200275" cy="16573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25</xdr:row>
      <xdr:rowOff>0</xdr:rowOff>
    </xdr:from>
    <xdr:to>
      <xdr:col>11</xdr:col>
      <xdr:colOff>123825</xdr:colOff>
      <xdr:row>25</xdr:row>
      <xdr:rowOff>0</xdr:rowOff>
    </xdr:to>
    <xdr:sp macro="" textlink="">
      <xdr:nvSpPr>
        <xdr:cNvPr id="10830314" name="Line 29">
          <a:extLst>
            <a:ext uri="{FF2B5EF4-FFF2-40B4-BE49-F238E27FC236}">
              <a16:creationId xmlns:a16="http://schemas.microsoft.com/office/drawing/2014/main" id="{00000000-0008-0000-0D00-0000EA41A500}"/>
            </a:ext>
          </a:extLst>
        </xdr:cNvPr>
        <xdr:cNvSpPr>
          <a:spLocks noChangeShapeType="1"/>
        </xdr:cNvSpPr>
      </xdr:nvSpPr>
      <xdr:spPr bwMode="auto">
        <a:xfrm>
          <a:off x="6010275" y="4886325"/>
          <a:ext cx="14859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600075</xdr:colOff>
      <xdr:row>20</xdr:row>
      <xdr:rowOff>0</xdr:rowOff>
    </xdr:from>
    <xdr:to>
      <xdr:col>13</xdr:col>
      <xdr:colOff>9525</xdr:colOff>
      <xdr:row>29</xdr:row>
      <xdr:rowOff>47625</xdr:rowOff>
    </xdr:to>
    <xdr:sp macro="" textlink="">
      <xdr:nvSpPr>
        <xdr:cNvPr id="10830315" name="Line 30">
          <a:extLst>
            <a:ext uri="{FF2B5EF4-FFF2-40B4-BE49-F238E27FC236}">
              <a16:creationId xmlns:a16="http://schemas.microsoft.com/office/drawing/2014/main" id="{00000000-0008-0000-0D00-0000EB41A500}"/>
            </a:ext>
          </a:extLst>
        </xdr:cNvPr>
        <xdr:cNvSpPr>
          <a:spLocks noChangeShapeType="1"/>
        </xdr:cNvSpPr>
      </xdr:nvSpPr>
      <xdr:spPr bwMode="auto">
        <a:xfrm>
          <a:off x="7972425" y="3924300"/>
          <a:ext cx="885825" cy="17145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171450</xdr:colOff>
      <xdr:row>19</xdr:row>
      <xdr:rowOff>171450</xdr:rowOff>
    </xdr:from>
    <xdr:to>
      <xdr:col>11</xdr:col>
      <xdr:colOff>619125</xdr:colOff>
      <xdr:row>19</xdr:row>
      <xdr:rowOff>171450</xdr:rowOff>
    </xdr:to>
    <xdr:sp macro="" textlink="">
      <xdr:nvSpPr>
        <xdr:cNvPr id="10830316" name="Line 31">
          <a:extLst>
            <a:ext uri="{FF2B5EF4-FFF2-40B4-BE49-F238E27FC236}">
              <a16:creationId xmlns:a16="http://schemas.microsoft.com/office/drawing/2014/main" id="{00000000-0008-0000-0D00-0000EC41A500}"/>
            </a:ext>
          </a:extLst>
        </xdr:cNvPr>
        <xdr:cNvSpPr>
          <a:spLocks noChangeShapeType="1"/>
        </xdr:cNvSpPr>
      </xdr:nvSpPr>
      <xdr:spPr bwMode="auto">
        <a:xfrm flipH="1">
          <a:off x="5505450" y="3905250"/>
          <a:ext cx="248602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58</xdr:row>
      <xdr:rowOff>38100</xdr:rowOff>
    </xdr:from>
    <xdr:to>
      <xdr:col>8</xdr:col>
      <xdr:colOff>95250</xdr:colOff>
      <xdr:row>61</xdr:row>
      <xdr:rowOff>133350</xdr:rowOff>
    </xdr:to>
    <xdr:sp macro="" textlink="">
      <xdr:nvSpPr>
        <xdr:cNvPr id="10830317" name="Line 32">
          <a:extLst>
            <a:ext uri="{FF2B5EF4-FFF2-40B4-BE49-F238E27FC236}">
              <a16:creationId xmlns:a16="http://schemas.microsoft.com/office/drawing/2014/main" id="{00000000-0008-0000-0D00-0000ED41A500}"/>
            </a:ext>
          </a:extLst>
        </xdr:cNvPr>
        <xdr:cNvSpPr>
          <a:spLocks noChangeShapeType="1"/>
        </xdr:cNvSpPr>
      </xdr:nvSpPr>
      <xdr:spPr bwMode="auto">
        <a:xfrm flipH="1" flipV="1">
          <a:off x="5114925" y="10934700"/>
          <a:ext cx="314325" cy="600075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25</xdr:row>
      <xdr:rowOff>9525</xdr:rowOff>
    </xdr:from>
    <xdr:to>
      <xdr:col>7</xdr:col>
      <xdr:colOff>0</xdr:colOff>
      <xdr:row>29</xdr:row>
      <xdr:rowOff>47625</xdr:rowOff>
    </xdr:to>
    <xdr:sp macro="" textlink="">
      <xdr:nvSpPr>
        <xdr:cNvPr id="10830318" name="Line 33">
          <a:extLst>
            <a:ext uri="{FF2B5EF4-FFF2-40B4-BE49-F238E27FC236}">
              <a16:creationId xmlns:a16="http://schemas.microsoft.com/office/drawing/2014/main" id="{00000000-0008-0000-0D00-0000EE41A500}"/>
            </a:ext>
          </a:extLst>
        </xdr:cNvPr>
        <xdr:cNvSpPr>
          <a:spLocks noChangeShapeType="1"/>
        </xdr:cNvSpPr>
      </xdr:nvSpPr>
      <xdr:spPr bwMode="auto">
        <a:xfrm flipH="1">
          <a:off x="4619625" y="4895850"/>
          <a:ext cx="0" cy="7429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247650</xdr:colOff>
      <xdr:row>11</xdr:row>
      <xdr:rowOff>0</xdr:rowOff>
    </xdr:from>
    <xdr:to>
      <xdr:col>6</xdr:col>
      <xdr:colOff>657225</xdr:colOff>
      <xdr:row>16</xdr:row>
      <xdr:rowOff>57150</xdr:rowOff>
    </xdr:to>
    <xdr:sp macro="" textlink="">
      <xdr:nvSpPr>
        <xdr:cNvPr id="10830319" name="Line 34">
          <a:extLst>
            <a:ext uri="{FF2B5EF4-FFF2-40B4-BE49-F238E27FC236}">
              <a16:creationId xmlns:a16="http://schemas.microsoft.com/office/drawing/2014/main" id="{00000000-0008-0000-0D00-0000EF41A500}"/>
            </a:ext>
          </a:extLst>
        </xdr:cNvPr>
        <xdr:cNvSpPr>
          <a:spLocks noChangeShapeType="1"/>
        </xdr:cNvSpPr>
      </xdr:nvSpPr>
      <xdr:spPr bwMode="auto">
        <a:xfrm flipH="1" flipV="1">
          <a:off x="4105275" y="2314575"/>
          <a:ext cx="409575" cy="9715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66675</xdr:colOff>
      <xdr:row>34</xdr:row>
      <xdr:rowOff>9525</xdr:rowOff>
    </xdr:from>
    <xdr:to>
      <xdr:col>8</xdr:col>
      <xdr:colOff>561975</xdr:colOff>
      <xdr:row>34</xdr:row>
      <xdr:rowOff>9525</xdr:rowOff>
    </xdr:to>
    <xdr:sp macro="" textlink="">
      <xdr:nvSpPr>
        <xdr:cNvPr id="10830320" name="Line 35">
          <a:extLst>
            <a:ext uri="{FF2B5EF4-FFF2-40B4-BE49-F238E27FC236}">
              <a16:creationId xmlns:a16="http://schemas.microsoft.com/office/drawing/2014/main" id="{00000000-0008-0000-0D00-0000F041A500}"/>
            </a:ext>
          </a:extLst>
        </xdr:cNvPr>
        <xdr:cNvSpPr>
          <a:spLocks noChangeShapeType="1"/>
        </xdr:cNvSpPr>
      </xdr:nvSpPr>
      <xdr:spPr bwMode="auto">
        <a:xfrm>
          <a:off x="5400675" y="6505575"/>
          <a:ext cx="4953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571500</xdr:colOff>
      <xdr:row>37</xdr:row>
      <xdr:rowOff>152400</xdr:rowOff>
    </xdr:from>
    <xdr:to>
      <xdr:col>15</xdr:col>
      <xdr:colOff>542925</xdr:colOff>
      <xdr:row>52</xdr:row>
      <xdr:rowOff>104775</xdr:rowOff>
    </xdr:to>
    <xdr:sp macro="" textlink="">
      <xdr:nvSpPr>
        <xdr:cNvPr id="10830321" name="Line 36">
          <a:extLst>
            <a:ext uri="{FF2B5EF4-FFF2-40B4-BE49-F238E27FC236}">
              <a16:creationId xmlns:a16="http://schemas.microsoft.com/office/drawing/2014/main" id="{00000000-0008-0000-0D00-0000F141A500}"/>
            </a:ext>
          </a:extLst>
        </xdr:cNvPr>
        <xdr:cNvSpPr>
          <a:spLocks noChangeShapeType="1"/>
        </xdr:cNvSpPr>
      </xdr:nvSpPr>
      <xdr:spPr bwMode="auto">
        <a:xfrm flipV="1">
          <a:off x="10287000" y="7200900"/>
          <a:ext cx="666750" cy="2628900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</xdr:colOff>
      <xdr:row>13</xdr:row>
      <xdr:rowOff>0</xdr:rowOff>
    </xdr:from>
    <xdr:to>
      <xdr:col>6</xdr:col>
      <xdr:colOff>438150</xdr:colOff>
      <xdr:row>17</xdr:row>
      <xdr:rowOff>0</xdr:rowOff>
    </xdr:to>
    <xdr:sp macro="" textlink="">
      <xdr:nvSpPr>
        <xdr:cNvPr id="10830322" name="Line 37">
          <a:extLst>
            <a:ext uri="{FF2B5EF4-FFF2-40B4-BE49-F238E27FC236}">
              <a16:creationId xmlns:a16="http://schemas.microsoft.com/office/drawing/2014/main" id="{00000000-0008-0000-0D00-0000F241A500}"/>
            </a:ext>
          </a:extLst>
        </xdr:cNvPr>
        <xdr:cNvSpPr>
          <a:spLocks noChangeShapeType="1"/>
        </xdr:cNvSpPr>
      </xdr:nvSpPr>
      <xdr:spPr bwMode="auto">
        <a:xfrm>
          <a:off x="3162300" y="2705100"/>
          <a:ext cx="1133475" cy="6858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33</xdr:row>
      <xdr:rowOff>161925</xdr:rowOff>
    </xdr:from>
    <xdr:to>
      <xdr:col>11</xdr:col>
      <xdr:colOff>695325</xdr:colOff>
      <xdr:row>33</xdr:row>
      <xdr:rowOff>161925</xdr:rowOff>
    </xdr:to>
    <xdr:sp macro="" textlink="">
      <xdr:nvSpPr>
        <xdr:cNvPr id="10830323" name="Line 38">
          <a:extLst>
            <a:ext uri="{FF2B5EF4-FFF2-40B4-BE49-F238E27FC236}">
              <a16:creationId xmlns:a16="http://schemas.microsoft.com/office/drawing/2014/main" id="{00000000-0008-0000-0D00-0000F341A500}"/>
            </a:ext>
          </a:extLst>
        </xdr:cNvPr>
        <xdr:cNvSpPr>
          <a:spLocks noChangeShapeType="1"/>
        </xdr:cNvSpPr>
      </xdr:nvSpPr>
      <xdr:spPr bwMode="auto">
        <a:xfrm>
          <a:off x="7439025" y="6477000"/>
          <a:ext cx="6286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25</xdr:row>
      <xdr:rowOff>0</xdr:rowOff>
    </xdr:from>
    <xdr:to>
      <xdr:col>9</xdr:col>
      <xdr:colOff>28575</xdr:colOff>
      <xdr:row>30</xdr:row>
      <xdr:rowOff>114300</xdr:rowOff>
    </xdr:to>
    <xdr:sp macro="" textlink="">
      <xdr:nvSpPr>
        <xdr:cNvPr id="10830324" name="Line 39">
          <a:extLst>
            <a:ext uri="{FF2B5EF4-FFF2-40B4-BE49-F238E27FC236}">
              <a16:creationId xmlns:a16="http://schemas.microsoft.com/office/drawing/2014/main" id="{00000000-0008-0000-0D00-0000F441A500}"/>
            </a:ext>
          </a:extLst>
        </xdr:cNvPr>
        <xdr:cNvSpPr>
          <a:spLocks noChangeShapeType="1"/>
        </xdr:cNvSpPr>
      </xdr:nvSpPr>
      <xdr:spPr bwMode="auto">
        <a:xfrm flipH="1">
          <a:off x="5153025" y="4886325"/>
          <a:ext cx="876300" cy="9810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114300</xdr:colOff>
      <xdr:row>25</xdr:row>
      <xdr:rowOff>9525</xdr:rowOff>
    </xdr:from>
    <xdr:to>
      <xdr:col>12</xdr:col>
      <xdr:colOff>190500</xdr:colOff>
      <xdr:row>30</xdr:row>
      <xdr:rowOff>114300</xdr:rowOff>
    </xdr:to>
    <xdr:sp macro="" textlink="">
      <xdr:nvSpPr>
        <xdr:cNvPr id="10830325" name="Line 40">
          <a:extLst>
            <a:ext uri="{FF2B5EF4-FFF2-40B4-BE49-F238E27FC236}">
              <a16:creationId xmlns:a16="http://schemas.microsoft.com/office/drawing/2014/main" id="{00000000-0008-0000-0D00-0000F541A500}"/>
            </a:ext>
          </a:extLst>
        </xdr:cNvPr>
        <xdr:cNvSpPr>
          <a:spLocks noChangeShapeType="1"/>
        </xdr:cNvSpPr>
      </xdr:nvSpPr>
      <xdr:spPr bwMode="auto">
        <a:xfrm>
          <a:off x="7486650" y="4895850"/>
          <a:ext cx="857250" cy="9715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52</xdr:row>
      <xdr:rowOff>104775</xdr:rowOff>
    </xdr:from>
    <xdr:to>
      <xdr:col>12</xdr:col>
      <xdr:colOff>561975</xdr:colOff>
      <xdr:row>52</xdr:row>
      <xdr:rowOff>114300</xdr:rowOff>
    </xdr:to>
    <xdr:sp macro="" textlink="">
      <xdr:nvSpPr>
        <xdr:cNvPr id="10830326" name="Arc 41">
          <a:extLst>
            <a:ext uri="{FF2B5EF4-FFF2-40B4-BE49-F238E27FC236}">
              <a16:creationId xmlns:a16="http://schemas.microsoft.com/office/drawing/2014/main" id="{00000000-0008-0000-0D00-0000F641A500}"/>
            </a:ext>
          </a:extLst>
        </xdr:cNvPr>
        <xdr:cNvSpPr>
          <a:spLocks/>
        </xdr:cNvSpPr>
      </xdr:nvSpPr>
      <xdr:spPr bwMode="auto">
        <a:xfrm flipV="1">
          <a:off x="8658225" y="9829800"/>
          <a:ext cx="57150" cy="95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85725</xdr:rowOff>
    </xdr:from>
    <xdr:to>
      <xdr:col>13</xdr:col>
      <xdr:colOff>152400</xdr:colOff>
      <xdr:row>52</xdr:row>
      <xdr:rowOff>85725</xdr:rowOff>
    </xdr:to>
    <xdr:sp macro="" textlink="">
      <xdr:nvSpPr>
        <xdr:cNvPr id="10830327" name="Arc 42">
          <a:extLst>
            <a:ext uri="{FF2B5EF4-FFF2-40B4-BE49-F238E27FC236}">
              <a16:creationId xmlns:a16="http://schemas.microsoft.com/office/drawing/2014/main" id="{00000000-0008-0000-0D00-0000F741A500}"/>
            </a:ext>
          </a:extLst>
        </xdr:cNvPr>
        <xdr:cNvSpPr>
          <a:spLocks/>
        </xdr:cNvSpPr>
      </xdr:nvSpPr>
      <xdr:spPr bwMode="auto">
        <a:xfrm flipH="1">
          <a:off x="8972550" y="981075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66675</xdr:rowOff>
    </xdr:from>
    <xdr:to>
      <xdr:col>13</xdr:col>
      <xdr:colOff>152400</xdr:colOff>
      <xdr:row>52</xdr:row>
      <xdr:rowOff>85725</xdr:rowOff>
    </xdr:to>
    <xdr:sp macro="" textlink="">
      <xdr:nvSpPr>
        <xdr:cNvPr id="10830328" name="Arc 43">
          <a:extLst>
            <a:ext uri="{FF2B5EF4-FFF2-40B4-BE49-F238E27FC236}">
              <a16:creationId xmlns:a16="http://schemas.microsoft.com/office/drawing/2014/main" id="{00000000-0008-0000-0D00-0000F841A500}"/>
            </a:ext>
          </a:extLst>
        </xdr:cNvPr>
        <xdr:cNvSpPr>
          <a:spLocks/>
        </xdr:cNvSpPr>
      </xdr:nvSpPr>
      <xdr:spPr bwMode="auto">
        <a:xfrm>
          <a:off x="8972550" y="9791700"/>
          <a:ext cx="28575" cy="190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4 h 21600"/>
            <a:gd name="T4" fmla="*/ 0 w 21600"/>
            <a:gd name="T5" fmla="*/ 4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104775</xdr:colOff>
      <xdr:row>52</xdr:row>
      <xdr:rowOff>66675</xdr:rowOff>
    </xdr:from>
    <xdr:to>
      <xdr:col>13</xdr:col>
      <xdr:colOff>161925</xdr:colOff>
      <xdr:row>58</xdr:row>
      <xdr:rowOff>0</xdr:rowOff>
    </xdr:to>
    <xdr:sp macro="" textlink="">
      <xdr:nvSpPr>
        <xdr:cNvPr id="10830329" name="Arc 44">
          <a:extLst>
            <a:ext uri="{FF2B5EF4-FFF2-40B4-BE49-F238E27FC236}">
              <a16:creationId xmlns:a16="http://schemas.microsoft.com/office/drawing/2014/main" id="{00000000-0008-0000-0D00-0000F941A500}"/>
            </a:ext>
          </a:extLst>
        </xdr:cNvPr>
        <xdr:cNvSpPr>
          <a:spLocks/>
        </xdr:cNvSpPr>
      </xdr:nvSpPr>
      <xdr:spPr bwMode="auto">
        <a:xfrm flipV="1">
          <a:off x="6810375" y="9791700"/>
          <a:ext cx="2200275" cy="110490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676275</xdr:colOff>
      <xdr:row>38</xdr:row>
      <xdr:rowOff>28575</xdr:rowOff>
    </xdr:from>
    <xdr:to>
      <xdr:col>13</xdr:col>
      <xdr:colOff>9525</xdr:colOff>
      <xdr:row>52</xdr:row>
      <xdr:rowOff>104775</xdr:rowOff>
    </xdr:to>
    <xdr:sp macro="" textlink="">
      <xdr:nvSpPr>
        <xdr:cNvPr id="10830330" name="Line 45">
          <a:extLst>
            <a:ext uri="{FF2B5EF4-FFF2-40B4-BE49-F238E27FC236}">
              <a16:creationId xmlns:a16="http://schemas.microsoft.com/office/drawing/2014/main" id="{00000000-0008-0000-0D00-0000FA41A500}"/>
            </a:ext>
          </a:extLst>
        </xdr:cNvPr>
        <xdr:cNvSpPr>
          <a:spLocks noChangeShapeType="1"/>
        </xdr:cNvSpPr>
      </xdr:nvSpPr>
      <xdr:spPr bwMode="auto">
        <a:xfrm>
          <a:off x="8829675" y="7239000"/>
          <a:ext cx="28575" cy="25908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161925</xdr:colOff>
      <xdr:row>34</xdr:row>
      <xdr:rowOff>0</xdr:rowOff>
    </xdr:from>
    <xdr:to>
      <xdr:col>3</xdr:col>
      <xdr:colOff>142875</xdr:colOff>
      <xdr:row>34</xdr:row>
      <xdr:rowOff>0</xdr:rowOff>
    </xdr:to>
    <xdr:sp macro="" textlink="">
      <xdr:nvSpPr>
        <xdr:cNvPr id="10830331" name="Line 46">
          <a:extLst>
            <a:ext uri="{FF2B5EF4-FFF2-40B4-BE49-F238E27FC236}">
              <a16:creationId xmlns:a16="http://schemas.microsoft.com/office/drawing/2014/main" id="{00000000-0008-0000-0D00-0000FB41A500}"/>
            </a:ext>
          </a:extLst>
        </xdr:cNvPr>
        <xdr:cNvSpPr>
          <a:spLocks noChangeShapeType="1"/>
        </xdr:cNvSpPr>
      </xdr:nvSpPr>
      <xdr:spPr bwMode="auto">
        <a:xfrm flipH="1">
          <a:off x="1085850" y="6496050"/>
          <a:ext cx="8191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628650</xdr:colOff>
      <xdr:row>61</xdr:row>
      <xdr:rowOff>95250</xdr:rowOff>
    </xdr:from>
    <xdr:to>
      <xdr:col>6</xdr:col>
      <xdr:colOff>171450</xdr:colOff>
      <xdr:row>66</xdr:row>
      <xdr:rowOff>123825</xdr:rowOff>
    </xdr:to>
    <xdr:sp macro="" textlink="">
      <xdr:nvSpPr>
        <xdr:cNvPr id="10830332" name="Oval 47">
          <a:extLst>
            <a:ext uri="{FF2B5EF4-FFF2-40B4-BE49-F238E27FC236}">
              <a16:creationId xmlns:a16="http://schemas.microsoft.com/office/drawing/2014/main" id="{00000000-0008-0000-0D00-0000FC41A500}"/>
            </a:ext>
          </a:extLst>
        </xdr:cNvPr>
        <xdr:cNvSpPr>
          <a:spLocks noChangeArrowheads="1"/>
        </xdr:cNvSpPr>
      </xdr:nvSpPr>
      <xdr:spPr bwMode="auto">
        <a:xfrm>
          <a:off x="3086100" y="11496675"/>
          <a:ext cx="942975" cy="8858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581025</xdr:colOff>
      <xdr:row>61</xdr:row>
      <xdr:rowOff>28575</xdr:rowOff>
    </xdr:from>
    <xdr:to>
      <xdr:col>9</xdr:col>
      <xdr:colOff>180975</xdr:colOff>
      <xdr:row>66</xdr:row>
      <xdr:rowOff>101600</xdr:rowOff>
    </xdr:to>
    <xdr:sp macro="" textlink="">
      <xdr:nvSpPr>
        <xdr:cNvPr id="10830333" name="Oval 48">
          <a:extLst>
            <a:ext uri="{FF2B5EF4-FFF2-40B4-BE49-F238E27FC236}">
              <a16:creationId xmlns:a16="http://schemas.microsoft.com/office/drawing/2014/main" id="{00000000-0008-0000-0D00-0000FD41A500}"/>
            </a:ext>
          </a:extLst>
        </xdr:cNvPr>
        <xdr:cNvSpPr>
          <a:spLocks noChangeArrowheads="1"/>
        </xdr:cNvSpPr>
      </xdr:nvSpPr>
      <xdr:spPr bwMode="auto">
        <a:xfrm>
          <a:off x="5203825" y="11560175"/>
          <a:ext cx="984250" cy="9112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190500</xdr:colOff>
      <xdr:row>38</xdr:row>
      <xdr:rowOff>28575</xdr:rowOff>
    </xdr:from>
    <xdr:to>
      <xdr:col>13</xdr:col>
      <xdr:colOff>371475</xdr:colOff>
      <xdr:row>52</xdr:row>
      <xdr:rowOff>47625</xdr:rowOff>
    </xdr:to>
    <xdr:sp macro="" textlink="">
      <xdr:nvSpPr>
        <xdr:cNvPr id="10830334" name="Line 49">
          <a:extLst>
            <a:ext uri="{FF2B5EF4-FFF2-40B4-BE49-F238E27FC236}">
              <a16:creationId xmlns:a16="http://schemas.microsoft.com/office/drawing/2014/main" id="{00000000-0008-0000-0D00-0000FE41A500}"/>
            </a:ext>
          </a:extLst>
        </xdr:cNvPr>
        <xdr:cNvSpPr>
          <a:spLocks noChangeShapeType="1"/>
        </xdr:cNvSpPr>
      </xdr:nvSpPr>
      <xdr:spPr bwMode="auto">
        <a:xfrm>
          <a:off x="9039225" y="7239000"/>
          <a:ext cx="180975" cy="25336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685799</xdr:colOff>
      <xdr:row>37</xdr:row>
      <xdr:rowOff>152400</xdr:rowOff>
    </xdr:from>
    <xdr:to>
      <xdr:col>15</xdr:col>
      <xdr:colOff>657224</xdr:colOff>
      <xdr:row>52</xdr:row>
      <xdr:rowOff>88900</xdr:rowOff>
    </xdr:to>
    <xdr:sp macro="" textlink="">
      <xdr:nvSpPr>
        <xdr:cNvPr id="10830335" name="Line 50">
          <a:extLst>
            <a:ext uri="{FF2B5EF4-FFF2-40B4-BE49-F238E27FC236}">
              <a16:creationId xmlns:a16="http://schemas.microsoft.com/office/drawing/2014/main" id="{00000000-0008-0000-0D00-0000FF41A500}"/>
            </a:ext>
          </a:extLst>
        </xdr:cNvPr>
        <xdr:cNvSpPr>
          <a:spLocks noChangeShapeType="1"/>
        </xdr:cNvSpPr>
      </xdr:nvSpPr>
      <xdr:spPr bwMode="auto">
        <a:xfrm flipV="1">
          <a:off x="10426699" y="7315200"/>
          <a:ext cx="669925" cy="26416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18</xdr:row>
      <xdr:rowOff>104775</xdr:rowOff>
    </xdr:from>
    <xdr:to>
      <xdr:col>6</xdr:col>
      <xdr:colOff>0</xdr:colOff>
      <xdr:row>26</xdr:row>
      <xdr:rowOff>0</xdr:rowOff>
    </xdr:to>
    <xdr:sp macro="" textlink="">
      <xdr:nvSpPr>
        <xdr:cNvPr id="10830336" name="Oval 51">
          <a:extLst>
            <a:ext uri="{FF2B5EF4-FFF2-40B4-BE49-F238E27FC236}">
              <a16:creationId xmlns:a16="http://schemas.microsoft.com/office/drawing/2014/main" id="{00000000-0008-0000-0D00-00000042A500}"/>
            </a:ext>
          </a:extLst>
        </xdr:cNvPr>
        <xdr:cNvSpPr>
          <a:spLocks noChangeArrowheads="1"/>
        </xdr:cNvSpPr>
      </xdr:nvSpPr>
      <xdr:spPr bwMode="auto">
        <a:xfrm>
          <a:off x="2466975" y="3657600"/>
          <a:ext cx="1390650" cy="14192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47625</xdr:colOff>
      <xdr:row>16</xdr:row>
      <xdr:rowOff>66675</xdr:rowOff>
    </xdr:from>
    <xdr:to>
      <xdr:col>4</xdr:col>
      <xdr:colOff>228600</xdr:colOff>
      <xdr:row>19</xdr:row>
      <xdr:rowOff>123825</xdr:rowOff>
    </xdr:to>
    <xdr:sp macro="" textlink="">
      <xdr:nvSpPr>
        <xdr:cNvPr id="10830337" name="Line 52">
          <a:extLst>
            <a:ext uri="{FF2B5EF4-FFF2-40B4-BE49-F238E27FC236}">
              <a16:creationId xmlns:a16="http://schemas.microsoft.com/office/drawing/2014/main" id="{00000000-0008-0000-0D00-00000142A500}"/>
            </a:ext>
          </a:extLst>
        </xdr:cNvPr>
        <xdr:cNvSpPr>
          <a:spLocks noChangeShapeType="1"/>
        </xdr:cNvSpPr>
      </xdr:nvSpPr>
      <xdr:spPr bwMode="auto">
        <a:xfrm flipH="1" flipV="1">
          <a:off x="2505075" y="3295650"/>
          <a:ext cx="180975" cy="5619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15</xdr:row>
      <xdr:rowOff>123825</xdr:rowOff>
    </xdr:from>
    <xdr:to>
      <xdr:col>3</xdr:col>
      <xdr:colOff>533400</xdr:colOff>
      <xdr:row>30</xdr:row>
      <xdr:rowOff>104775</xdr:rowOff>
    </xdr:to>
    <xdr:sp macro="" textlink="">
      <xdr:nvSpPr>
        <xdr:cNvPr id="10830338" name="Line 53">
          <a:extLst>
            <a:ext uri="{FF2B5EF4-FFF2-40B4-BE49-F238E27FC236}">
              <a16:creationId xmlns:a16="http://schemas.microsoft.com/office/drawing/2014/main" id="{00000000-0008-0000-0D00-00000242A500}"/>
            </a:ext>
          </a:extLst>
        </xdr:cNvPr>
        <xdr:cNvSpPr>
          <a:spLocks noChangeShapeType="1"/>
        </xdr:cNvSpPr>
      </xdr:nvSpPr>
      <xdr:spPr bwMode="auto">
        <a:xfrm flipV="1">
          <a:off x="2247900" y="3190875"/>
          <a:ext cx="47625" cy="26670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485775</xdr:colOff>
      <xdr:row>41</xdr:row>
      <xdr:rowOff>9525</xdr:rowOff>
    </xdr:from>
    <xdr:to>
      <xdr:col>8</xdr:col>
      <xdr:colOff>200025</xdr:colOff>
      <xdr:row>47</xdr:row>
      <xdr:rowOff>76200</xdr:rowOff>
    </xdr:to>
    <xdr:sp macro="" textlink="">
      <xdr:nvSpPr>
        <xdr:cNvPr id="10830339" name="Oval 54">
          <a:extLst>
            <a:ext uri="{FF2B5EF4-FFF2-40B4-BE49-F238E27FC236}">
              <a16:creationId xmlns:a16="http://schemas.microsoft.com/office/drawing/2014/main" id="{00000000-0008-0000-0D00-00000342A500}"/>
            </a:ext>
          </a:extLst>
        </xdr:cNvPr>
        <xdr:cNvSpPr>
          <a:spLocks noChangeArrowheads="1"/>
        </xdr:cNvSpPr>
      </xdr:nvSpPr>
      <xdr:spPr bwMode="auto">
        <a:xfrm>
          <a:off x="3581400" y="7810500"/>
          <a:ext cx="1952625" cy="10572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695325</xdr:colOff>
      <xdr:row>36</xdr:row>
      <xdr:rowOff>104775</xdr:rowOff>
    </xdr:from>
    <xdr:to>
      <xdr:col>9</xdr:col>
      <xdr:colOff>95250</xdr:colOff>
      <xdr:row>42</xdr:row>
      <xdr:rowOff>38100</xdr:rowOff>
    </xdr:to>
    <xdr:sp macro="" textlink="">
      <xdr:nvSpPr>
        <xdr:cNvPr id="10830340" name="Line 55">
          <a:extLst>
            <a:ext uri="{FF2B5EF4-FFF2-40B4-BE49-F238E27FC236}">
              <a16:creationId xmlns:a16="http://schemas.microsoft.com/office/drawing/2014/main" id="{00000000-0008-0000-0D00-00000442A500}"/>
            </a:ext>
          </a:extLst>
        </xdr:cNvPr>
        <xdr:cNvSpPr>
          <a:spLocks noChangeShapeType="1"/>
        </xdr:cNvSpPr>
      </xdr:nvSpPr>
      <xdr:spPr bwMode="auto">
        <a:xfrm flipH="1">
          <a:off x="5314950" y="6924675"/>
          <a:ext cx="781050" cy="10763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466725</xdr:colOff>
      <xdr:row>41</xdr:row>
      <xdr:rowOff>0</xdr:rowOff>
    </xdr:from>
    <xdr:to>
      <xdr:col>8</xdr:col>
      <xdr:colOff>190500</xdr:colOff>
      <xdr:row>59</xdr:row>
      <xdr:rowOff>28575</xdr:rowOff>
    </xdr:to>
    <xdr:sp macro="" textlink="">
      <xdr:nvSpPr>
        <xdr:cNvPr id="10830341" name="Rectangle 56">
          <a:extLst>
            <a:ext uri="{FF2B5EF4-FFF2-40B4-BE49-F238E27FC236}">
              <a16:creationId xmlns:a16="http://schemas.microsoft.com/office/drawing/2014/main" id="{00000000-0008-0000-0D00-00000542A500}"/>
            </a:ext>
          </a:extLst>
        </xdr:cNvPr>
        <xdr:cNvSpPr>
          <a:spLocks noChangeArrowheads="1"/>
        </xdr:cNvSpPr>
      </xdr:nvSpPr>
      <xdr:spPr bwMode="auto">
        <a:xfrm>
          <a:off x="3562350" y="7800975"/>
          <a:ext cx="1962150" cy="330517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381000</xdr:colOff>
      <xdr:row>45</xdr:row>
      <xdr:rowOff>85725</xdr:rowOff>
    </xdr:from>
    <xdr:to>
      <xdr:col>5</xdr:col>
      <xdr:colOff>561975</xdr:colOff>
      <xdr:row>47</xdr:row>
      <xdr:rowOff>28575</xdr:rowOff>
    </xdr:to>
    <xdr:sp macro="" textlink="">
      <xdr:nvSpPr>
        <xdr:cNvPr id="10830342" name="Line 57">
          <a:extLst>
            <a:ext uri="{FF2B5EF4-FFF2-40B4-BE49-F238E27FC236}">
              <a16:creationId xmlns:a16="http://schemas.microsoft.com/office/drawing/2014/main" id="{00000000-0008-0000-0D00-00000642A500}"/>
            </a:ext>
          </a:extLst>
        </xdr:cNvPr>
        <xdr:cNvSpPr>
          <a:spLocks noChangeShapeType="1"/>
        </xdr:cNvSpPr>
      </xdr:nvSpPr>
      <xdr:spPr bwMode="auto">
        <a:xfrm flipH="1">
          <a:off x="2838450" y="8534400"/>
          <a:ext cx="819150" cy="2857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</xdr:row>
      <xdr:rowOff>0</xdr:rowOff>
    </xdr:from>
    <xdr:to>
      <xdr:col>7</xdr:col>
      <xdr:colOff>0</xdr:colOff>
      <xdr:row>41</xdr:row>
      <xdr:rowOff>9525</xdr:rowOff>
    </xdr:to>
    <xdr:sp macro="" textlink="">
      <xdr:nvSpPr>
        <xdr:cNvPr id="10830343" name="Line 58">
          <a:extLst>
            <a:ext uri="{FF2B5EF4-FFF2-40B4-BE49-F238E27FC236}">
              <a16:creationId xmlns:a16="http://schemas.microsoft.com/office/drawing/2014/main" id="{00000000-0008-0000-0D00-00000742A500}"/>
            </a:ext>
          </a:extLst>
        </xdr:cNvPr>
        <xdr:cNvSpPr>
          <a:spLocks noChangeShapeType="1"/>
        </xdr:cNvSpPr>
      </xdr:nvSpPr>
      <xdr:spPr bwMode="auto">
        <a:xfrm>
          <a:off x="4619625" y="7210425"/>
          <a:ext cx="0" cy="6000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830344" name="Line 59">
          <a:extLst>
            <a:ext uri="{FF2B5EF4-FFF2-40B4-BE49-F238E27FC236}">
              <a16:creationId xmlns:a16="http://schemas.microsoft.com/office/drawing/2014/main" id="{00000000-0008-0000-0D00-00000842A500}"/>
            </a:ext>
          </a:extLst>
        </xdr:cNvPr>
        <xdr:cNvSpPr>
          <a:spLocks noChangeShapeType="1"/>
        </xdr:cNvSpPr>
      </xdr:nvSpPr>
      <xdr:spPr bwMode="auto">
        <a:xfrm flipH="1">
          <a:off x="1327785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0</xdr:row>
      <xdr:rowOff>0</xdr:rowOff>
    </xdr:from>
    <xdr:to>
      <xdr:col>4</xdr:col>
      <xdr:colOff>371475</xdr:colOff>
      <xdr:row>0</xdr:row>
      <xdr:rowOff>0</xdr:rowOff>
    </xdr:to>
    <xdr:sp macro="" textlink="">
      <xdr:nvSpPr>
        <xdr:cNvPr id="10830345" name="Arc 60">
          <a:extLst>
            <a:ext uri="{FF2B5EF4-FFF2-40B4-BE49-F238E27FC236}">
              <a16:creationId xmlns:a16="http://schemas.microsoft.com/office/drawing/2014/main" id="{00000000-0008-0000-0D00-00000942A500}"/>
            </a:ext>
          </a:extLst>
        </xdr:cNvPr>
        <xdr:cNvSpPr>
          <a:spLocks/>
        </xdr:cNvSpPr>
      </xdr:nvSpPr>
      <xdr:spPr bwMode="auto">
        <a:xfrm flipH="1" flipV="1">
          <a:off x="2819400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30346" name="Line 61">
          <a:extLst>
            <a:ext uri="{FF2B5EF4-FFF2-40B4-BE49-F238E27FC236}">
              <a16:creationId xmlns:a16="http://schemas.microsoft.com/office/drawing/2014/main" id="{00000000-0008-0000-0D00-00000A42A500}"/>
            </a:ext>
          </a:extLst>
        </xdr:cNvPr>
        <xdr:cNvSpPr>
          <a:spLocks noChangeShapeType="1"/>
        </xdr:cNvSpPr>
      </xdr:nvSpPr>
      <xdr:spPr bwMode="auto">
        <a:xfrm flipV="1">
          <a:off x="4619625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0</xdr:row>
      <xdr:rowOff>0</xdr:rowOff>
    </xdr:from>
    <xdr:to>
      <xdr:col>12</xdr:col>
      <xdr:colOff>561975</xdr:colOff>
      <xdr:row>0</xdr:row>
      <xdr:rowOff>0</xdr:rowOff>
    </xdr:to>
    <xdr:sp macro="" textlink="">
      <xdr:nvSpPr>
        <xdr:cNvPr id="10830347" name="Arc 62">
          <a:extLst>
            <a:ext uri="{FF2B5EF4-FFF2-40B4-BE49-F238E27FC236}">
              <a16:creationId xmlns:a16="http://schemas.microsoft.com/office/drawing/2014/main" id="{00000000-0008-0000-0D00-00000B42A500}"/>
            </a:ext>
          </a:extLst>
        </xdr:cNvPr>
        <xdr:cNvSpPr>
          <a:spLocks/>
        </xdr:cNvSpPr>
      </xdr:nvSpPr>
      <xdr:spPr bwMode="auto">
        <a:xfrm flipV="1">
          <a:off x="8658225" y="0"/>
          <a:ext cx="57150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30348" name="Arc 63">
          <a:extLst>
            <a:ext uri="{FF2B5EF4-FFF2-40B4-BE49-F238E27FC236}">
              <a16:creationId xmlns:a16="http://schemas.microsoft.com/office/drawing/2014/main" id="{00000000-0008-0000-0D00-00000C42A500}"/>
            </a:ext>
          </a:extLst>
        </xdr:cNvPr>
        <xdr:cNvSpPr>
          <a:spLocks/>
        </xdr:cNvSpPr>
      </xdr:nvSpPr>
      <xdr:spPr bwMode="auto">
        <a:xfrm flipH="1">
          <a:off x="8972550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30349" name="Arc 64">
          <a:extLst>
            <a:ext uri="{FF2B5EF4-FFF2-40B4-BE49-F238E27FC236}">
              <a16:creationId xmlns:a16="http://schemas.microsoft.com/office/drawing/2014/main" id="{00000000-0008-0000-0D00-00000D42A500}"/>
            </a:ext>
          </a:extLst>
        </xdr:cNvPr>
        <xdr:cNvSpPr>
          <a:spLocks/>
        </xdr:cNvSpPr>
      </xdr:nvSpPr>
      <xdr:spPr bwMode="auto">
        <a:xfrm>
          <a:off x="8972550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30350" name="Line 65">
          <a:extLst>
            <a:ext uri="{FF2B5EF4-FFF2-40B4-BE49-F238E27FC236}">
              <a16:creationId xmlns:a16="http://schemas.microsoft.com/office/drawing/2014/main" id="{00000000-0008-0000-0D00-00000E42A500}"/>
            </a:ext>
          </a:extLst>
        </xdr:cNvPr>
        <xdr:cNvSpPr>
          <a:spLocks noChangeShapeType="1"/>
        </xdr:cNvSpPr>
      </xdr:nvSpPr>
      <xdr:spPr bwMode="auto">
        <a:xfrm>
          <a:off x="4619625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0351" name="Line 66">
          <a:extLst>
            <a:ext uri="{FF2B5EF4-FFF2-40B4-BE49-F238E27FC236}">
              <a16:creationId xmlns:a16="http://schemas.microsoft.com/office/drawing/2014/main" id="{00000000-0008-0000-0D00-00000F42A500}"/>
            </a:ext>
          </a:extLst>
        </xdr:cNvPr>
        <xdr:cNvSpPr>
          <a:spLocks noChangeShapeType="1"/>
        </xdr:cNvSpPr>
      </xdr:nvSpPr>
      <xdr:spPr bwMode="auto">
        <a:xfrm flipH="1">
          <a:off x="13277850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52" name="Line 67">
          <a:extLst>
            <a:ext uri="{FF2B5EF4-FFF2-40B4-BE49-F238E27FC236}">
              <a16:creationId xmlns:a16="http://schemas.microsoft.com/office/drawing/2014/main" id="{00000000-0008-0000-0D00-00001042A500}"/>
            </a:ext>
          </a:extLst>
        </xdr:cNvPr>
        <xdr:cNvSpPr>
          <a:spLocks noChangeShapeType="1"/>
        </xdr:cNvSpPr>
      </xdr:nvSpPr>
      <xdr:spPr bwMode="auto">
        <a:xfrm flipH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30353" name="Arc 68">
          <a:extLst>
            <a:ext uri="{FF2B5EF4-FFF2-40B4-BE49-F238E27FC236}">
              <a16:creationId xmlns:a16="http://schemas.microsoft.com/office/drawing/2014/main" id="{00000000-0008-0000-0D00-00001142A500}"/>
            </a:ext>
          </a:extLst>
        </xdr:cNvPr>
        <xdr:cNvSpPr>
          <a:spLocks/>
        </xdr:cNvSpPr>
      </xdr:nvSpPr>
      <xdr:spPr bwMode="auto">
        <a:xfrm flipH="1" flipV="1">
          <a:off x="2819400" y="12639675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54" name="Line 69">
          <a:extLst>
            <a:ext uri="{FF2B5EF4-FFF2-40B4-BE49-F238E27FC236}">
              <a16:creationId xmlns:a16="http://schemas.microsoft.com/office/drawing/2014/main" id="{00000000-0008-0000-0D00-00001242A500}"/>
            </a:ext>
          </a:extLst>
        </xdr:cNvPr>
        <xdr:cNvSpPr>
          <a:spLocks noChangeShapeType="1"/>
        </xdr:cNvSpPr>
      </xdr:nvSpPr>
      <xdr:spPr bwMode="auto">
        <a:xfrm flipV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55" name="Line 70">
          <a:extLst>
            <a:ext uri="{FF2B5EF4-FFF2-40B4-BE49-F238E27FC236}">
              <a16:creationId xmlns:a16="http://schemas.microsoft.com/office/drawing/2014/main" id="{00000000-0008-0000-0D00-00001342A500}"/>
            </a:ext>
          </a:extLst>
        </xdr:cNvPr>
        <xdr:cNvSpPr>
          <a:spLocks noChangeShapeType="1"/>
        </xdr:cNvSpPr>
      </xdr:nvSpPr>
      <xdr:spPr bwMode="auto">
        <a:xfrm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0356" name="Line 71">
          <a:extLst>
            <a:ext uri="{FF2B5EF4-FFF2-40B4-BE49-F238E27FC236}">
              <a16:creationId xmlns:a16="http://schemas.microsoft.com/office/drawing/2014/main" id="{00000000-0008-0000-0D00-00001442A500}"/>
            </a:ext>
          </a:extLst>
        </xdr:cNvPr>
        <xdr:cNvSpPr>
          <a:spLocks noChangeShapeType="1"/>
        </xdr:cNvSpPr>
      </xdr:nvSpPr>
      <xdr:spPr bwMode="auto">
        <a:xfrm flipH="1">
          <a:off x="13277850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57" name="Line 72">
          <a:extLst>
            <a:ext uri="{FF2B5EF4-FFF2-40B4-BE49-F238E27FC236}">
              <a16:creationId xmlns:a16="http://schemas.microsoft.com/office/drawing/2014/main" id="{00000000-0008-0000-0D00-00001542A500}"/>
            </a:ext>
          </a:extLst>
        </xdr:cNvPr>
        <xdr:cNvSpPr>
          <a:spLocks noChangeShapeType="1"/>
        </xdr:cNvSpPr>
      </xdr:nvSpPr>
      <xdr:spPr bwMode="auto">
        <a:xfrm flipH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30358" name="Arc 73">
          <a:extLst>
            <a:ext uri="{FF2B5EF4-FFF2-40B4-BE49-F238E27FC236}">
              <a16:creationId xmlns:a16="http://schemas.microsoft.com/office/drawing/2014/main" id="{00000000-0008-0000-0D00-00001642A500}"/>
            </a:ext>
          </a:extLst>
        </xdr:cNvPr>
        <xdr:cNvSpPr>
          <a:spLocks/>
        </xdr:cNvSpPr>
      </xdr:nvSpPr>
      <xdr:spPr bwMode="auto">
        <a:xfrm flipH="1" flipV="1">
          <a:off x="2819400" y="12639675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59" name="Line 74">
          <a:extLst>
            <a:ext uri="{FF2B5EF4-FFF2-40B4-BE49-F238E27FC236}">
              <a16:creationId xmlns:a16="http://schemas.microsoft.com/office/drawing/2014/main" id="{00000000-0008-0000-0D00-00001742A500}"/>
            </a:ext>
          </a:extLst>
        </xdr:cNvPr>
        <xdr:cNvSpPr>
          <a:spLocks noChangeShapeType="1"/>
        </xdr:cNvSpPr>
      </xdr:nvSpPr>
      <xdr:spPr bwMode="auto">
        <a:xfrm flipV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60" name="Line 75">
          <a:extLst>
            <a:ext uri="{FF2B5EF4-FFF2-40B4-BE49-F238E27FC236}">
              <a16:creationId xmlns:a16="http://schemas.microsoft.com/office/drawing/2014/main" id="{00000000-0008-0000-0D00-00001842A500}"/>
            </a:ext>
          </a:extLst>
        </xdr:cNvPr>
        <xdr:cNvSpPr>
          <a:spLocks noChangeShapeType="1"/>
        </xdr:cNvSpPr>
      </xdr:nvSpPr>
      <xdr:spPr bwMode="auto">
        <a:xfrm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0361" name="Line 76">
          <a:extLst>
            <a:ext uri="{FF2B5EF4-FFF2-40B4-BE49-F238E27FC236}">
              <a16:creationId xmlns:a16="http://schemas.microsoft.com/office/drawing/2014/main" id="{00000000-0008-0000-0D00-00001942A500}"/>
            </a:ext>
          </a:extLst>
        </xdr:cNvPr>
        <xdr:cNvSpPr>
          <a:spLocks noChangeShapeType="1"/>
        </xdr:cNvSpPr>
      </xdr:nvSpPr>
      <xdr:spPr bwMode="auto">
        <a:xfrm flipH="1">
          <a:off x="13277850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62" name="Line 77">
          <a:extLst>
            <a:ext uri="{FF2B5EF4-FFF2-40B4-BE49-F238E27FC236}">
              <a16:creationId xmlns:a16="http://schemas.microsoft.com/office/drawing/2014/main" id="{00000000-0008-0000-0D00-00001A42A500}"/>
            </a:ext>
          </a:extLst>
        </xdr:cNvPr>
        <xdr:cNvSpPr>
          <a:spLocks noChangeShapeType="1"/>
        </xdr:cNvSpPr>
      </xdr:nvSpPr>
      <xdr:spPr bwMode="auto">
        <a:xfrm flipH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63" name="Line 78">
          <a:extLst>
            <a:ext uri="{FF2B5EF4-FFF2-40B4-BE49-F238E27FC236}">
              <a16:creationId xmlns:a16="http://schemas.microsoft.com/office/drawing/2014/main" id="{00000000-0008-0000-0D00-00001B42A500}"/>
            </a:ext>
          </a:extLst>
        </xdr:cNvPr>
        <xdr:cNvSpPr>
          <a:spLocks noChangeShapeType="1"/>
        </xdr:cNvSpPr>
      </xdr:nvSpPr>
      <xdr:spPr bwMode="auto">
        <a:xfrm flipV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64" name="Line 79">
          <a:extLst>
            <a:ext uri="{FF2B5EF4-FFF2-40B4-BE49-F238E27FC236}">
              <a16:creationId xmlns:a16="http://schemas.microsoft.com/office/drawing/2014/main" id="{00000000-0008-0000-0D00-00001C42A500}"/>
            </a:ext>
          </a:extLst>
        </xdr:cNvPr>
        <xdr:cNvSpPr>
          <a:spLocks noChangeShapeType="1"/>
        </xdr:cNvSpPr>
      </xdr:nvSpPr>
      <xdr:spPr bwMode="auto">
        <a:xfrm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0365" name="Line 80">
          <a:extLst>
            <a:ext uri="{FF2B5EF4-FFF2-40B4-BE49-F238E27FC236}">
              <a16:creationId xmlns:a16="http://schemas.microsoft.com/office/drawing/2014/main" id="{00000000-0008-0000-0D00-00001D42A500}"/>
            </a:ext>
          </a:extLst>
        </xdr:cNvPr>
        <xdr:cNvSpPr>
          <a:spLocks noChangeShapeType="1"/>
        </xdr:cNvSpPr>
      </xdr:nvSpPr>
      <xdr:spPr bwMode="auto">
        <a:xfrm flipH="1">
          <a:off x="13277850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66" name="Line 81">
          <a:extLst>
            <a:ext uri="{FF2B5EF4-FFF2-40B4-BE49-F238E27FC236}">
              <a16:creationId xmlns:a16="http://schemas.microsoft.com/office/drawing/2014/main" id="{00000000-0008-0000-0D00-00001E42A500}"/>
            </a:ext>
          </a:extLst>
        </xdr:cNvPr>
        <xdr:cNvSpPr>
          <a:spLocks noChangeShapeType="1"/>
        </xdr:cNvSpPr>
      </xdr:nvSpPr>
      <xdr:spPr bwMode="auto">
        <a:xfrm flipH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67" name="Line 82">
          <a:extLst>
            <a:ext uri="{FF2B5EF4-FFF2-40B4-BE49-F238E27FC236}">
              <a16:creationId xmlns:a16="http://schemas.microsoft.com/office/drawing/2014/main" id="{00000000-0008-0000-0D00-00001F42A500}"/>
            </a:ext>
          </a:extLst>
        </xdr:cNvPr>
        <xdr:cNvSpPr>
          <a:spLocks noChangeShapeType="1"/>
        </xdr:cNvSpPr>
      </xdr:nvSpPr>
      <xdr:spPr bwMode="auto">
        <a:xfrm flipV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68" name="Line 83">
          <a:extLst>
            <a:ext uri="{FF2B5EF4-FFF2-40B4-BE49-F238E27FC236}">
              <a16:creationId xmlns:a16="http://schemas.microsoft.com/office/drawing/2014/main" id="{00000000-0008-0000-0D00-00002042A500}"/>
            </a:ext>
          </a:extLst>
        </xdr:cNvPr>
        <xdr:cNvSpPr>
          <a:spLocks noChangeShapeType="1"/>
        </xdr:cNvSpPr>
      </xdr:nvSpPr>
      <xdr:spPr bwMode="auto">
        <a:xfrm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0369" name="Line 84">
          <a:extLst>
            <a:ext uri="{FF2B5EF4-FFF2-40B4-BE49-F238E27FC236}">
              <a16:creationId xmlns:a16="http://schemas.microsoft.com/office/drawing/2014/main" id="{00000000-0008-0000-0D00-00002142A500}"/>
            </a:ext>
          </a:extLst>
        </xdr:cNvPr>
        <xdr:cNvSpPr>
          <a:spLocks noChangeShapeType="1"/>
        </xdr:cNvSpPr>
      </xdr:nvSpPr>
      <xdr:spPr bwMode="auto">
        <a:xfrm flipH="1">
          <a:off x="13277850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70" name="Line 85">
          <a:extLst>
            <a:ext uri="{FF2B5EF4-FFF2-40B4-BE49-F238E27FC236}">
              <a16:creationId xmlns:a16="http://schemas.microsoft.com/office/drawing/2014/main" id="{00000000-0008-0000-0D00-00002242A500}"/>
            </a:ext>
          </a:extLst>
        </xdr:cNvPr>
        <xdr:cNvSpPr>
          <a:spLocks noChangeShapeType="1"/>
        </xdr:cNvSpPr>
      </xdr:nvSpPr>
      <xdr:spPr bwMode="auto">
        <a:xfrm flipH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71" name="Line 86">
          <a:extLst>
            <a:ext uri="{FF2B5EF4-FFF2-40B4-BE49-F238E27FC236}">
              <a16:creationId xmlns:a16="http://schemas.microsoft.com/office/drawing/2014/main" id="{00000000-0008-0000-0D00-00002342A500}"/>
            </a:ext>
          </a:extLst>
        </xdr:cNvPr>
        <xdr:cNvSpPr>
          <a:spLocks noChangeShapeType="1"/>
        </xdr:cNvSpPr>
      </xdr:nvSpPr>
      <xdr:spPr bwMode="auto">
        <a:xfrm flipV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72" name="Line 87">
          <a:extLst>
            <a:ext uri="{FF2B5EF4-FFF2-40B4-BE49-F238E27FC236}">
              <a16:creationId xmlns:a16="http://schemas.microsoft.com/office/drawing/2014/main" id="{00000000-0008-0000-0D00-00002442A500}"/>
            </a:ext>
          </a:extLst>
        </xdr:cNvPr>
        <xdr:cNvSpPr>
          <a:spLocks noChangeShapeType="1"/>
        </xdr:cNvSpPr>
      </xdr:nvSpPr>
      <xdr:spPr bwMode="auto">
        <a:xfrm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0373" name="Line 88">
          <a:extLst>
            <a:ext uri="{FF2B5EF4-FFF2-40B4-BE49-F238E27FC236}">
              <a16:creationId xmlns:a16="http://schemas.microsoft.com/office/drawing/2014/main" id="{00000000-0008-0000-0D00-00002542A500}"/>
            </a:ext>
          </a:extLst>
        </xdr:cNvPr>
        <xdr:cNvSpPr>
          <a:spLocks noChangeShapeType="1"/>
        </xdr:cNvSpPr>
      </xdr:nvSpPr>
      <xdr:spPr bwMode="auto">
        <a:xfrm flipH="1">
          <a:off x="13277850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74" name="Line 89">
          <a:extLst>
            <a:ext uri="{FF2B5EF4-FFF2-40B4-BE49-F238E27FC236}">
              <a16:creationId xmlns:a16="http://schemas.microsoft.com/office/drawing/2014/main" id="{00000000-0008-0000-0D00-00002642A500}"/>
            </a:ext>
          </a:extLst>
        </xdr:cNvPr>
        <xdr:cNvSpPr>
          <a:spLocks noChangeShapeType="1"/>
        </xdr:cNvSpPr>
      </xdr:nvSpPr>
      <xdr:spPr bwMode="auto">
        <a:xfrm flipH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75" name="Line 90">
          <a:extLst>
            <a:ext uri="{FF2B5EF4-FFF2-40B4-BE49-F238E27FC236}">
              <a16:creationId xmlns:a16="http://schemas.microsoft.com/office/drawing/2014/main" id="{00000000-0008-0000-0D00-00002742A500}"/>
            </a:ext>
          </a:extLst>
        </xdr:cNvPr>
        <xdr:cNvSpPr>
          <a:spLocks noChangeShapeType="1"/>
        </xdr:cNvSpPr>
      </xdr:nvSpPr>
      <xdr:spPr bwMode="auto">
        <a:xfrm flipV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76" name="Line 91">
          <a:extLst>
            <a:ext uri="{FF2B5EF4-FFF2-40B4-BE49-F238E27FC236}">
              <a16:creationId xmlns:a16="http://schemas.microsoft.com/office/drawing/2014/main" id="{00000000-0008-0000-0D00-00002842A500}"/>
            </a:ext>
          </a:extLst>
        </xdr:cNvPr>
        <xdr:cNvSpPr>
          <a:spLocks noChangeShapeType="1"/>
        </xdr:cNvSpPr>
      </xdr:nvSpPr>
      <xdr:spPr bwMode="auto">
        <a:xfrm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0377" name="Line 92">
          <a:extLst>
            <a:ext uri="{FF2B5EF4-FFF2-40B4-BE49-F238E27FC236}">
              <a16:creationId xmlns:a16="http://schemas.microsoft.com/office/drawing/2014/main" id="{00000000-0008-0000-0D00-00002942A500}"/>
            </a:ext>
          </a:extLst>
        </xdr:cNvPr>
        <xdr:cNvSpPr>
          <a:spLocks noChangeShapeType="1"/>
        </xdr:cNvSpPr>
      </xdr:nvSpPr>
      <xdr:spPr bwMode="auto">
        <a:xfrm flipH="1">
          <a:off x="13277850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78" name="Line 93">
          <a:extLst>
            <a:ext uri="{FF2B5EF4-FFF2-40B4-BE49-F238E27FC236}">
              <a16:creationId xmlns:a16="http://schemas.microsoft.com/office/drawing/2014/main" id="{00000000-0008-0000-0D00-00002A42A500}"/>
            </a:ext>
          </a:extLst>
        </xdr:cNvPr>
        <xdr:cNvSpPr>
          <a:spLocks noChangeShapeType="1"/>
        </xdr:cNvSpPr>
      </xdr:nvSpPr>
      <xdr:spPr bwMode="auto">
        <a:xfrm flipH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79" name="Line 94">
          <a:extLst>
            <a:ext uri="{FF2B5EF4-FFF2-40B4-BE49-F238E27FC236}">
              <a16:creationId xmlns:a16="http://schemas.microsoft.com/office/drawing/2014/main" id="{00000000-0008-0000-0D00-00002B42A500}"/>
            </a:ext>
          </a:extLst>
        </xdr:cNvPr>
        <xdr:cNvSpPr>
          <a:spLocks noChangeShapeType="1"/>
        </xdr:cNvSpPr>
      </xdr:nvSpPr>
      <xdr:spPr bwMode="auto">
        <a:xfrm flipV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80" name="Line 95">
          <a:extLst>
            <a:ext uri="{FF2B5EF4-FFF2-40B4-BE49-F238E27FC236}">
              <a16:creationId xmlns:a16="http://schemas.microsoft.com/office/drawing/2014/main" id="{00000000-0008-0000-0D00-00002C42A500}"/>
            </a:ext>
          </a:extLst>
        </xdr:cNvPr>
        <xdr:cNvSpPr>
          <a:spLocks noChangeShapeType="1"/>
        </xdr:cNvSpPr>
      </xdr:nvSpPr>
      <xdr:spPr bwMode="auto">
        <a:xfrm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0381" name="Line 96">
          <a:extLst>
            <a:ext uri="{FF2B5EF4-FFF2-40B4-BE49-F238E27FC236}">
              <a16:creationId xmlns:a16="http://schemas.microsoft.com/office/drawing/2014/main" id="{00000000-0008-0000-0D00-00002D42A500}"/>
            </a:ext>
          </a:extLst>
        </xdr:cNvPr>
        <xdr:cNvSpPr>
          <a:spLocks noChangeShapeType="1"/>
        </xdr:cNvSpPr>
      </xdr:nvSpPr>
      <xdr:spPr bwMode="auto">
        <a:xfrm flipH="1">
          <a:off x="13277850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82" name="Line 97">
          <a:extLst>
            <a:ext uri="{FF2B5EF4-FFF2-40B4-BE49-F238E27FC236}">
              <a16:creationId xmlns:a16="http://schemas.microsoft.com/office/drawing/2014/main" id="{00000000-0008-0000-0D00-00002E42A500}"/>
            </a:ext>
          </a:extLst>
        </xdr:cNvPr>
        <xdr:cNvSpPr>
          <a:spLocks noChangeShapeType="1"/>
        </xdr:cNvSpPr>
      </xdr:nvSpPr>
      <xdr:spPr bwMode="auto">
        <a:xfrm flipH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83" name="Line 98">
          <a:extLst>
            <a:ext uri="{FF2B5EF4-FFF2-40B4-BE49-F238E27FC236}">
              <a16:creationId xmlns:a16="http://schemas.microsoft.com/office/drawing/2014/main" id="{00000000-0008-0000-0D00-00002F42A500}"/>
            </a:ext>
          </a:extLst>
        </xdr:cNvPr>
        <xdr:cNvSpPr>
          <a:spLocks noChangeShapeType="1"/>
        </xdr:cNvSpPr>
      </xdr:nvSpPr>
      <xdr:spPr bwMode="auto">
        <a:xfrm flipV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84" name="Line 99">
          <a:extLst>
            <a:ext uri="{FF2B5EF4-FFF2-40B4-BE49-F238E27FC236}">
              <a16:creationId xmlns:a16="http://schemas.microsoft.com/office/drawing/2014/main" id="{00000000-0008-0000-0D00-00003042A500}"/>
            </a:ext>
          </a:extLst>
        </xdr:cNvPr>
        <xdr:cNvSpPr>
          <a:spLocks noChangeShapeType="1"/>
        </xdr:cNvSpPr>
      </xdr:nvSpPr>
      <xdr:spPr bwMode="auto">
        <a:xfrm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0385" name="Line 100">
          <a:extLst>
            <a:ext uri="{FF2B5EF4-FFF2-40B4-BE49-F238E27FC236}">
              <a16:creationId xmlns:a16="http://schemas.microsoft.com/office/drawing/2014/main" id="{00000000-0008-0000-0D00-00003142A500}"/>
            </a:ext>
          </a:extLst>
        </xdr:cNvPr>
        <xdr:cNvSpPr>
          <a:spLocks noChangeShapeType="1"/>
        </xdr:cNvSpPr>
      </xdr:nvSpPr>
      <xdr:spPr bwMode="auto">
        <a:xfrm flipH="1">
          <a:off x="13277850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86" name="Line 101">
          <a:extLst>
            <a:ext uri="{FF2B5EF4-FFF2-40B4-BE49-F238E27FC236}">
              <a16:creationId xmlns:a16="http://schemas.microsoft.com/office/drawing/2014/main" id="{00000000-0008-0000-0D00-00003242A500}"/>
            </a:ext>
          </a:extLst>
        </xdr:cNvPr>
        <xdr:cNvSpPr>
          <a:spLocks noChangeShapeType="1"/>
        </xdr:cNvSpPr>
      </xdr:nvSpPr>
      <xdr:spPr bwMode="auto">
        <a:xfrm flipH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87" name="Line 102">
          <a:extLst>
            <a:ext uri="{FF2B5EF4-FFF2-40B4-BE49-F238E27FC236}">
              <a16:creationId xmlns:a16="http://schemas.microsoft.com/office/drawing/2014/main" id="{00000000-0008-0000-0D00-00003342A500}"/>
            </a:ext>
          </a:extLst>
        </xdr:cNvPr>
        <xdr:cNvSpPr>
          <a:spLocks noChangeShapeType="1"/>
        </xdr:cNvSpPr>
      </xdr:nvSpPr>
      <xdr:spPr bwMode="auto">
        <a:xfrm flipV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88" name="Line 103">
          <a:extLst>
            <a:ext uri="{FF2B5EF4-FFF2-40B4-BE49-F238E27FC236}">
              <a16:creationId xmlns:a16="http://schemas.microsoft.com/office/drawing/2014/main" id="{00000000-0008-0000-0D00-00003442A500}"/>
            </a:ext>
          </a:extLst>
        </xdr:cNvPr>
        <xdr:cNvSpPr>
          <a:spLocks noChangeShapeType="1"/>
        </xdr:cNvSpPr>
      </xdr:nvSpPr>
      <xdr:spPr bwMode="auto">
        <a:xfrm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0389" name="Line 104">
          <a:extLst>
            <a:ext uri="{FF2B5EF4-FFF2-40B4-BE49-F238E27FC236}">
              <a16:creationId xmlns:a16="http://schemas.microsoft.com/office/drawing/2014/main" id="{00000000-0008-0000-0D00-00003542A500}"/>
            </a:ext>
          </a:extLst>
        </xdr:cNvPr>
        <xdr:cNvSpPr>
          <a:spLocks noChangeShapeType="1"/>
        </xdr:cNvSpPr>
      </xdr:nvSpPr>
      <xdr:spPr bwMode="auto">
        <a:xfrm flipH="1">
          <a:off x="13277850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90" name="Line 105">
          <a:extLst>
            <a:ext uri="{FF2B5EF4-FFF2-40B4-BE49-F238E27FC236}">
              <a16:creationId xmlns:a16="http://schemas.microsoft.com/office/drawing/2014/main" id="{00000000-0008-0000-0D00-00003642A500}"/>
            </a:ext>
          </a:extLst>
        </xdr:cNvPr>
        <xdr:cNvSpPr>
          <a:spLocks noChangeShapeType="1"/>
        </xdr:cNvSpPr>
      </xdr:nvSpPr>
      <xdr:spPr bwMode="auto">
        <a:xfrm flipH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91" name="Line 106">
          <a:extLst>
            <a:ext uri="{FF2B5EF4-FFF2-40B4-BE49-F238E27FC236}">
              <a16:creationId xmlns:a16="http://schemas.microsoft.com/office/drawing/2014/main" id="{00000000-0008-0000-0D00-00003742A500}"/>
            </a:ext>
          </a:extLst>
        </xdr:cNvPr>
        <xdr:cNvSpPr>
          <a:spLocks noChangeShapeType="1"/>
        </xdr:cNvSpPr>
      </xdr:nvSpPr>
      <xdr:spPr bwMode="auto">
        <a:xfrm flipV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92" name="Line 107">
          <a:extLst>
            <a:ext uri="{FF2B5EF4-FFF2-40B4-BE49-F238E27FC236}">
              <a16:creationId xmlns:a16="http://schemas.microsoft.com/office/drawing/2014/main" id="{00000000-0008-0000-0D00-00003842A500}"/>
            </a:ext>
          </a:extLst>
        </xdr:cNvPr>
        <xdr:cNvSpPr>
          <a:spLocks noChangeShapeType="1"/>
        </xdr:cNvSpPr>
      </xdr:nvSpPr>
      <xdr:spPr bwMode="auto">
        <a:xfrm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0393" name="Line 108">
          <a:extLst>
            <a:ext uri="{FF2B5EF4-FFF2-40B4-BE49-F238E27FC236}">
              <a16:creationId xmlns:a16="http://schemas.microsoft.com/office/drawing/2014/main" id="{00000000-0008-0000-0D00-00003942A500}"/>
            </a:ext>
          </a:extLst>
        </xdr:cNvPr>
        <xdr:cNvSpPr>
          <a:spLocks noChangeShapeType="1"/>
        </xdr:cNvSpPr>
      </xdr:nvSpPr>
      <xdr:spPr bwMode="auto">
        <a:xfrm flipH="1">
          <a:off x="13277850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94" name="Line 109">
          <a:extLst>
            <a:ext uri="{FF2B5EF4-FFF2-40B4-BE49-F238E27FC236}">
              <a16:creationId xmlns:a16="http://schemas.microsoft.com/office/drawing/2014/main" id="{00000000-0008-0000-0D00-00003A42A500}"/>
            </a:ext>
          </a:extLst>
        </xdr:cNvPr>
        <xdr:cNvSpPr>
          <a:spLocks noChangeShapeType="1"/>
        </xdr:cNvSpPr>
      </xdr:nvSpPr>
      <xdr:spPr bwMode="auto">
        <a:xfrm flipH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95" name="Line 110">
          <a:extLst>
            <a:ext uri="{FF2B5EF4-FFF2-40B4-BE49-F238E27FC236}">
              <a16:creationId xmlns:a16="http://schemas.microsoft.com/office/drawing/2014/main" id="{00000000-0008-0000-0D00-00003B42A500}"/>
            </a:ext>
          </a:extLst>
        </xdr:cNvPr>
        <xdr:cNvSpPr>
          <a:spLocks noChangeShapeType="1"/>
        </xdr:cNvSpPr>
      </xdr:nvSpPr>
      <xdr:spPr bwMode="auto">
        <a:xfrm flipV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96" name="Line 111">
          <a:extLst>
            <a:ext uri="{FF2B5EF4-FFF2-40B4-BE49-F238E27FC236}">
              <a16:creationId xmlns:a16="http://schemas.microsoft.com/office/drawing/2014/main" id="{00000000-0008-0000-0D00-00003C42A500}"/>
            </a:ext>
          </a:extLst>
        </xdr:cNvPr>
        <xdr:cNvSpPr>
          <a:spLocks noChangeShapeType="1"/>
        </xdr:cNvSpPr>
      </xdr:nvSpPr>
      <xdr:spPr bwMode="auto">
        <a:xfrm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0397" name="Line 112">
          <a:extLst>
            <a:ext uri="{FF2B5EF4-FFF2-40B4-BE49-F238E27FC236}">
              <a16:creationId xmlns:a16="http://schemas.microsoft.com/office/drawing/2014/main" id="{00000000-0008-0000-0D00-00003D42A500}"/>
            </a:ext>
          </a:extLst>
        </xdr:cNvPr>
        <xdr:cNvSpPr>
          <a:spLocks noChangeShapeType="1"/>
        </xdr:cNvSpPr>
      </xdr:nvSpPr>
      <xdr:spPr bwMode="auto">
        <a:xfrm flipH="1">
          <a:off x="13277850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98" name="Line 113">
          <a:extLst>
            <a:ext uri="{FF2B5EF4-FFF2-40B4-BE49-F238E27FC236}">
              <a16:creationId xmlns:a16="http://schemas.microsoft.com/office/drawing/2014/main" id="{00000000-0008-0000-0D00-00003E42A500}"/>
            </a:ext>
          </a:extLst>
        </xdr:cNvPr>
        <xdr:cNvSpPr>
          <a:spLocks noChangeShapeType="1"/>
        </xdr:cNvSpPr>
      </xdr:nvSpPr>
      <xdr:spPr bwMode="auto">
        <a:xfrm flipH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399" name="Line 114">
          <a:extLst>
            <a:ext uri="{FF2B5EF4-FFF2-40B4-BE49-F238E27FC236}">
              <a16:creationId xmlns:a16="http://schemas.microsoft.com/office/drawing/2014/main" id="{00000000-0008-0000-0D00-00003F42A500}"/>
            </a:ext>
          </a:extLst>
        </xdr:cNvPr>
        <xdr:cNvSpPr>
          <a:spLocks noChangeShapeType="1"/>
        </xdr:cNvSpPr>
      </xdr:nvSpPr>
      <xdr:spPr bwMode="auto">
        <a:xfrm flipV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400" name="Line 115">
          <a:extLst>
            <a:ext uri="{FF2B5EF4-FFF2-40B4-BE49-F238E27FC236}">
              <a16:creationId xmlns:a16="http://schemas.microsoft.com/office/drawing/2014/main" id="{00000000-0008-0000-0D00-00004042A500}"/>
            </a:ext>
          </a:extLst>
        </xdr:cNvPr>
        <xdr:cNvSpPr>
          <a:spLocks noChangeShapeType="1"/>
        </xdr:cNvSpPr>
      </xdr:nvSpPr>
      <xdr:spPr bwMode="auto">
        <a:xfrm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0401" name="Line 116">
          <a:extLst>
            <a:ext uri="{FF2B5EF4-FFF2-40B4-BE49-F238E27FC236}">
              <a16:creationId xmlns:a16="http://schemas.microsoft.com/office/drawing/2014/main" id="{00000000-0008-0000-0D00-00004142A500}"/>
            </a:ext>
          </a:extLst>
        </xdr:cNvPr>
        <xdr:cNvSpPr>
          <a:spLocks noChangeShapeType="1"/>
        </xdr:cNvSpPr>
      </xdr:nvSpPr>
      <xdr:spPr bwMode="auto">
        <a:xfrm flipH="1">
          <a:off x="13277850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402" name="Line 117">
          <a:extLst>
            <a:ext uri="{FF2B5EF4-FFF2-40B4-BE49-F238E27FC236}">
              <a16:creationId xmlns:a16="http://schemas.microsoft.com/office/drawing/2014/main" id="{00000000-0008-0000-0D00-00004242A500}"/>
            </a:ext>
          </a:extLst>
        </xdr:cNvPr>
        <xdr:cNvSpPr>
          <a:spLocks noChangeShapeType="1"/>
        </xdr:cNvSpPr>
      </xdr:nvSpPr>
      <xdr:spPr bwMode="auto">
        <a:xfrm flipH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403" name="Line 118">
          <a:extLst>
            <a:ext uri="{FF2B5EF4-FFF2-40B4-BE49-F238E27FC236}">
              <a16:creationId xmlns:a16="http://schemas.microsoft.com/office/drawing/2014/main" id="{00000000-0008-0000-0D00-00004342A500}"/>
            </a:ext>
          </a:extLst>
        </xdr:cNvPr>
        <xdr:cNvSpPr>
          <a:spLocks noChangeShapeType="1"/>
        </xdr:cNvSpPr>
      </xdr:nvSpPr>
      <xdr:spPr bwMode="auto">
        <a:xfrm flipV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404" name="Line 119">
          <a:extLst>
            <a:ext uri="{FF2B5EF4-FFF2-40B4-BE49-F238E27FC236}">
              <a16:creationId xmlns:a16="http://schemas.microsoft.com/office/drawing/2014/main" id="{00000000-0008-0000-0D00-00004442A500}"/>
            </a:ext>
          </a:extLst>
        </xdr:cNvPr>
        <xdr:cNvSpPr>
          <a:spLocks noChangeShapeType="1"/>
        </xdr:cNvSpPr>
      </xdr:nvSpPr>
      <xdr:spPr bwMode="auto">
        <a:xfrm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0405" name="Line 120">
          <a:extLst>
            <a:ext uri="{FF2B5EF4-FFF2-40B4-BE49-F238E27FC236}">
              <a16:creationId xmlns:a16="http://schemas.microsoft.com/office/drawing/2014/main" id="{00000000-0008-0000-0D00-00004542A500}"/>
            </a:ext>
          </a:extLst>
        </xdr:cNvPr>
        <xdr:cNvSpPr>
          <a:spLocks noChangeShapeType="1"/>
        </xdr:cNvSpPr>
      </xdr:nvSpPr>
      <xdr:spPr bwMode="auto">
        <a:xfrm flipH="1">
          <a:off x="13277850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406" name="Line 121">
          <a:extLst>
            <a:ext uri="{FF2B5EF4-FFF2-40B4-BE49-F238E27FC236}">
              <a16:creationId xmlns:a16="http://schemas.microsoft.com/office/drawing/2014/main" id="{00000000-0008-0000-0D00-00004642A500}"/>
            </a:ext>
          </a:extLst>
        </xdr:cNvPr>
        <xdr:cNvSpPr>
          <a:spLocks noChangeShapeType="1"/>
        </xdr:cNvSpPr>
      </xdr:nvSpPr>
      <xdr:spPr bwMode="auto">
        <a:xfrm flipH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407" name="Line 122">
          <a:extLst>
            <a:ext uri="{FF2B5EF4-FFF2-40B4-BE49-F238E27FC236}">
              <a16:creationId xmlns:a16="http://schemas.microsoft.com/office/drawing/2014/main" id="{00000000-0008-0000-0D00-00004742A500}"/>
            </a:ext>
          </a:extLst>
        </xdr:cNvPr>
        <xdr:cNvSpPr>
          <a:spLocks noChangeShapeType="1"/>
        </xdr:cNvSpPr>
      </xdr:nvSpPr>
      <xdr:spPr bwMode="auto">
        <a:xfrm flipV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408" name="Line 123">
          <a:extLst>
            <a:ext uri="{FF2B5EF4-FFF2-40B4-BE49-F238E27FC236}">
              <a16:creationId xmlns:a16="http://schemas.microsoft.com/office/drawing/2014/main" id="{00000000-0008-0000-0D00-00004842A500}"/>
            </a:ext>
          </a:extLst>
        </xdr:cNvPr>
        <xdr:cNvSpPr>
          <a:spLocks noChangeShapeType="1"/>
        </xdr:cNvSpPr>
      </xdr:nvSpPr>
      <xdr:spPr bwMode="auto">
        <a:xfrm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0409" name="Line 124">
          <a:extLst>
            <a:ext uri="{FF2B5EF4-FFF2-40B4-BE49-F238E27FC236}">
              <a16:creationId xmlns:a16="http://schemas.microsoft.com/office/drawing/2014/main" id="{00000000-0008-0000-0D00-00004942A500}"/>
            </a:ext>
          </a:extLst>
        </xdr:cNvPr>
        <xdr:cNvSpPr>
          <a:spLocks noChangeShapeType="1"/>
        </xdr:cNvSpPr>
      </xdr:nvSpPr>
      <xdr:spPr bwMode="auto">
        <a:xfrm flipH="1">
          <a:off x="13277850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410" name="Line 125">
          <a:extLst>
            <a:ext uri="{FF2B5EF4-FFF2-40B4-BE49-F238E27FC236}">
              <a16:creationId xmlns:a16="http://schemas.microsoft.com/office/drawing/2014/main" id="{00000000-0008-0000-0D00-00004A42A500}"/>
            </a:ext>
          </a:extLst>
        </xdr:cNvPr>
        <xdr:cNvSpPr>
          <a:spLocks noChangeShapeType="1"/>
        </xdr:cNvSpPr>
      </xdr:nvSpPr>
      <xdr:spPr bwMode="auto">
        <a:xfrm flipH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411" name="Line 126">
          <a:extLst>
            <a:ext uri="{FF2B5EF4-FFF2-40B4-BE49-F238E27FC236}">
              <a16:creationId xmlns:a16="http://schemas.microsoft.com/office/drawing/2014/main" id="{00000000-0008-0000-0D00-00004B42A500}"/>
            </a:ext>
          </a:extLst>
        </xdr:cNvPr>
        <xdr:cNvSpPr>
          <a:spLocks noChangeShapeType="1"/>
        </xdr:cNvSpPr>
      </xdr:nvSpPr>
      <xdr:spPr bwMode="auto">
        <a:xfrm flipV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412" name="Line 127">
          <a:extLst>
            <a:ext uri="{FF2B5EF4-FFF2-40B4-BE49-F238E27FC236}">
              <a16:creationId xmlns:a16="http://schemas.microsoft.com/office/drawing/2014/main" id="{00000000-0008-0000-0D00-00004C42A500}"/>
            </a:ext>
          </a:extLst>
        </xdr:cNvPr>
        <xdr:cNvSpPr>
          <a:spLocks noChangeShapeType="1"/>
        </xdr:cNvSpPr>
      </xdr:nvSpPr>
      <xdr:spPr bwMode="auto">
        <a:xfrm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0413" name="Line 128">
          <a:extLst>
            <a:ext uri="{FF2B5EF4-FFF2-40B4-BE49-F238E27FC236}">
              <a16:creationId xmlns:a16="http://schemas.microsoft.com/office/drawing/2014/main" id="{00000000-0008-0000-0D00-00004D42A500}"/>
            </a:ext>
          </a:extLst>
        </xdr:cNvPr>
        <xdr:cNvSpPr>
          <a:spLocks noChangeShapeType="1"/>
        </xdr:cNvSpPr>
      </xdr:nvSpPr>
      <xdr:spPr bwMode="auto">
        <a:xfrm flipH="1">
          <a:off x="13277850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414" name="Line 129">
          <a:extLst>
            <a:ext uri="{FF2B5EF4-FFF2-40B4-BE49-F238E27FC236}">
              <a16:creationId xmlns:a16="http://schemas.microsoft.com/office/drawing/2014/main" id="{00000000-0008-0000-0D00-00004E42A500}"/>
            </a:ext>
          </a:extLst>
        </xdr:cNvPr>
        <xdr:cNvSpPr>
          <a:spLocks noChangeShapeType="1"/>
        </xdr:cNvSpPr>
      </xdr:nvSpPr>
      <xdr:spPr bwMode="auto">
        <a:xfrm flipH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415" name="Line 130">
          <a:extLst>
            <a:ext uri="{FF2B5EF4-FFF2-40B4-BE49-F238E27FC236}">
              <a16:creationId xmlns:a16="http://schemas.microsoft.com/office/drawing/2014/main" id="{00000000-0008-0000-0D00-00004F42A500}"/>
            </a:ext>
          </a:extLst>
        </xdr:cNvPr>
        <xdr:cNvSpPr>
          <a:spLocks noChangeShapeType="1"/>
        </xdr:cNvSpPr>
      </xdr:nvSpPr>
      <xdr:spPr bwMode="auto">
        <a:xfrm flipV="1"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0416" name="Line 131">
          <a:extLst>
            <a:ext uri="{FF2B5EF4-FFF2-40B4-BE49-F238E27FC236}">
              <a16:creationId xmlns:a16="http://schemas.microsoft.com/office/drawing/2014/main" id="{00000000-0008-0000-0D00-00005042A500}"/>
            </a:ext>
          </a:extLst>
        </xdr:cNvPr>
        <xdr:cNvSpPr>
          <a:spLocks noChangeShapeType="1"/>
        </xdr:cNvSpPr>
      </xdr:nvSpPr>
      <xdr:spPr bwMode="auto">
        <a:xfrm>
          <a:off x="4619625" y="126396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809625</xdr:colOff>
      <xdr:row>75</xdr:row>
      <xdr:rowOff>9525</xdr:rowOff>
    </xdr:from>
    <xdr:to>
      <xdr:col>19</xdr:col>
      <xdr:colOff>9525</xdr:colOff>
      <xdr:row>75</xdr:row>
      <xdr:rowOff>9525</xdr:rowOff>
    </xdr:to>
    <xdr:sp macro="" textlink="">
      <xdr:nvSpPr>
        <xdr:cNvPr id="10830417" name="Line 132">
          <a:extLst>
            <a:ext uri="{FF2B5EF4-FFF2-40B4-BE49-F238E27FC236}">
              <a16:creationId xmlns:a16="http://schemas.microsoft.com/office/drawing/2014/main" id="{00000000-0008-0000-0D00-00005142A500}"/>
            </a:ext>
          </a:extLst>
        </xdr:cNvPr>
        <xdr:cNvSpPr>
          <a:spLocks noChangeShapeType="1"/>
        </xdr:cNvSpPr>
      </xdr:nvSpPr>
      <xdr:spPr bwMode="auto">
        <a:xfrm flipH="1">
          <a:off x="12658725" y="12811125"/>
          <a:ext cx="628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75</xdr:row>
      <xdr:rowOff>9525</xdr:rowOff>
    </xdr:from>
    <xdr:to>
      <xdr:col>16</xdr:col>
      <xdr:colOff>0</xdr:colOff>
      <xdr:row>75</xdr:row>
      <xdr:rowOff>9525</xdr:rowOff>
    </xdr:to>
    <xdr:sp macro="" textlink="">
      <xdr:nvSpPr>
        <xdr:cNvPr id="10830418" name="Line 133">
          <a:extLst>
            <a:ext uri="{FF2B5EF4-FFF2-40B4-BE49-F238E27FC236}">
              <a16:creationId xmlns:a16="http://schemas.microsoft.com/office/drawing/2014/main" id="{00000000-0008-0000-0D00-00005242A500}"/>
            </a:ext>
          </a:extLst>
        </xdr:cNvPr>
        <xdr:cNvSpPr>
          <a:spLocks noChangeShapeType="1"/>
        </xdr:cNvSpPr>
      </xdr:nvSpPr>
      <xdr:spPr bwMode="auto">
        <a:xfrm>
          <a:off x="10410825" y="12811125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75</xdr:row>
      <xdr:rowOff>9525</xdr:rowOff>
    </xdr:from>
    <xdr:to>
      <xdr:col>13</xdr:col>
      <xdr:colOff>0</xdr:colOff>
      <xdr:row>75</xdr:row>
      <xdr:rowOff>9525</xdr:rowOff>
    </xdr:to>
    <xdr:sp macro="" textlink="">
      <xdr:nvSpPr>
        <xdr:cNvPr id="10830419" name="Line 134">
          <a:extLst>
            <a:ext uri="{FF2B5EF4-FFF2-40B4-BE49-F238E27FC236}">
              <a16:creationId xmlns:a16="http://schemas.microsoft.com/office/drawing/2014/main" id="{00000000-0008-0000-0D00-00005342A500}"/>
            </a:ext>
          </a:extLst>
        </xdr:cNvPr>
        <xdr:cNvSpPr>
          <a:spLocks noChangeShapeType="1"/>
        </xdr:cNvSpPr>
      </xdr:nvSpPr>
      <xdr:spPr bwMode="auto">
        <a:xfrm>
          <a:off x="8153400" y="12811125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75</xdr:row>
      <xdr:rowOff>9525</xdr:rowOff>
    </xdr:from>
    <xdr:to>
      <xdr:col>9</xdr:col>
      <xdr:colOff>695325</xdr:colOff>
      <xdr:row>75</xdr:row>
      <xdr:rowOff>9525</xdr:rowOff>
    </xdr:to>
    <xdr:sp macro="" textlink="">
      <xdr:nvSpPr>
        <xdr:cNvPr id="10830420" name="Line 135">
          <a:extLst>
            <a:ext uri="{FF2B5EF4-FFF2-40B4-BE49-F238E27FC236}">
              <a16:creationId xmlns:a16="http://schemas.microsoft.com/office/drawing/2014/main" id="{00000000-0008-0000-0D00-00005442A500}"/>
            </a:ext>
          </a:extLst>
        </xdr:cNvPr>
        <xdr:cNvSpPr>
          <a:spLocks noChangeShapeType="1"/>
        </xdr:cNvSpPr>
      </xdr:nvSpPr>
      <xdr:spPr bwMode="auto">
        <a:xfrm flipH="1">
          <a:off x="6000750" y="12811125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8</xdr:row>
      <xdr:rowOff>114300</xdr:rowOff>
    </xdr:from>
    <xdr:to>
      <xdr:col>10</xdr:col>
      <xdr:colOff>333375</xdr:colOff>
      <xdr:row>15</xdr:row>
      <xdr:rowOff>9525</xdr:rowOff>
    </xdr:to>
    <xdr:sp macro="" textlink="">
      <xdr:nvSpPr>
        <xdr:cNvPr id="10830421" name="Rectangle 56">
          <a:extLst>
            <a:ext uri="{FF2B5EF4-FFF2-40B4-BE49-F238E27FC236}">
              <a16:creationId xmlns:a16="http://schemas.microsoft.com/office/drawing/2014/main" id="{00000000-0008-0000-0D00-00005542A500}"/>
            </a:ext>
          </a:extLst>
        </xdr:cNvPr>
        <xdr:cNvSpPr>
          <a:spLocks noChangeArrowheads="1"/>
        </xdr:cNvSpPr>
      </xdr:nvSpPr>
      <xdr:spPr bwMode="auto">
        <a:xfrm>
          <a:off x="5334000" y="1866900"/>
          <a:ext cx="1704975" cy="120967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76200</xdr:colOff>
      <xdr:row>11</xdr:row>
      <xdr:rowOff>0</xdr:rowOff>
    </xdr:from>
    <xdr:to>
      <xdr:col>8</xdr:col>
      <xdr:colOff>352425</xdr:colOff>
      <xdr:row>16</xdr:row>
      <xdr:rowOff>76200</xdr:rowOff>
    </xdr:to>
    <xdr:sp macro="" textlink="">
      <xdr:nvSpPr>
        <xdr:cNvPr id="10830422" name="Line 34">
          <a:extLst>
            <a:ext uri="{FF2B5EF4-FFF2-40B4-BE49-F238E27FC236}">
              <a16:creationId xmlns:a16="http://schemas.microsoft.com/office/drawing/2014/main" id="{00000000-0008-0000-0D00-00005642A500}"/>
            </a:ext>
          </a:extLst>
        </xdr:cNvPr>
        <xdr:cNvSpPr>
          <a:spLocks noChangeShapeType="1"/>
        </xdr:cNvSpPr>
      </xdr:nvSpPr>
      <xdr:spPr bwMode="auto">
        <a:xfrm flipV="1">
          <a:off x="4695825" y="2314575"/>
          <a:ext cx="990600" cy="9906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</xdr:colOff>
      <xdr:row>12</xdr:row>
      <xdr:rowOff>104775</xdr:rowOff>
    </xdr:from>
    <xdr:to>
      <xdr:col>9</xdr:col>
      <xdr:colOff>9525</xdr:colOff>
      <xdr:row>16</xdr:row>
      <xdr:rowOff>76200</xdr:rowOff>
    </xdr:to>
    <xdr:sp macro="" textlink="">
      <xdr:nvSpPr>
        <xdr:cNvPr id="10830423" name="Line 34">
          <a:extLst>
            <a:ext uri="{FF2B5EF4-FFF2-40B4-BE49-F238E27FC236}">
              <a16:creationId xmlns:a16="http://schemas.microsoft.com/office/drawing/2014/main" id="{00000000-0008-0000-0D00-00005742A500}"/>
            </a:ext>
          </a:extLst>
        </xdr:cNvPr>
        <xdr:cNvSpPr>
          <a:spLocks noChangeShapeType="1"/>
        </xdr:cNvSpPr>
      </xdr:nvSpPr>
      <xdr:spPr bwMode="auto">
        <a:xfrm flipV="1">
          <a:off x="4848225" y="2619375"/>
          <a:ext cx="1162050" cy="6858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371475</xdr:colOff>
      <xdr:row>14</xdr:row>
      <xdr:rowOff>85725</xdr:rowOff>
    </xdr:from>
    <xdr:to>
      <xdr:col>9</xdr:col>
      <xdr:colOff>0</xdr:colOff>
      <xdr:row>16</xdr:row>
      <xdr:rowOff>114300</xdr:rowOff>
    </xdr:to>
    <xdr:sp macro="" textlink="">
      <xdr:nvSpPr>
        <xdr:cNvPr id="10830424" name="Line 34">
          <a:extLst>
            <a:ext uri="{FF2B5EF4-FFF2-40B4-BE49-F238E27FC236}">
              <a16:creationId xmlns:a16="http://schemas.microsoft.com/office/drawing/2014/main" id="{00000000-0008-0000-0D00-00005842A500}"/>
            </a:ext>
          </a:extLst>
        </xdr:cNvPr>
        <xdr:cNvSpPr>
          <a:spLocks noChangeShapeType="1"/>
        </xdr:cNvSpPr>
      </xdr:nvSpPr>
      <xdr:spPr bwMode="auto">
        <a:xfrm flipV="1">
          <a:off x="4991100" y="2990850"/>
          <a:ext cx="1009650" cy="3524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739775</xdr:colOff>
      <xdr:row>53</xdr:row>
      <xdr:rowOff>139700</xdr:rowOff>
    </xdr:from>
    <xdr:to>
      <xdr:col>4</xdr:col>
      <xdr:colOff>114300</xdr:colOff>
      <xdr:row>58</xdr:row>
      <xdr:rowOff>50800</xdr:rowOff>
    </xdr:to>
    <xdr:sp macro="" textlink="">
      <xdr:nvSpPr>
        <xdr:cNvPr id="10830425" name="Oval 14">
          <a:extLst>
            <a:ext uri="{FF2B5EF4-FFF2-40B4-BE49-F238E27FC236}">
              <a16:creationId xmlns:a16="http://schemas.microsoft.com/office/drawing/2014/main" id="{00000000-0008-0000-0D00-00005942A500}"/>
            </a:ext>
          </a:extLst>
        </xdr:cNvPr>
        <xdr:cNvSpPr>
          <a:spLocks noChangeArrowheads="1"/>
        </xdr:cNvSpPr>
      </xdr:nvSpPr>
      <xdr:spPr bwMode="auto">
        <a:xfrm>
          <a:off x="1666875" y="10198100"/>
          <a:ext cx="911225" cy="901700"/>
        </a:xfrm>
        <a:prstGeom prst="ellips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619125</xdr:colOff>
      <xdr:row>52</xdr:row>
      <xdr:rowOff>114300</xdr:rowOff>
    </xdr:from>
    <xdr:to>
      <xdr:col>4</xdr:col>
      <xdr:colOff>0</xdr:colOff>
      <xdr:row>54</xdr:row>
      <xdr:rowOff>28575</xdr:rowOff>
    </xdr:to>
    <xdr:sp macro="" textlink="">
      <xdr:nvSpPr>
        <xdr:cNvPr id="10830426" name="Line 19">
          <a:extLst>
            <a:ext uri="{FF2B5EF4-FFF2-40B4-BE49-F238E27FC236}">
              <a16:creationId xmlns:a16="http://schemas.microsoft.com/office/drawing/2014/main" id="{00000000-0008-0000-0D00-00005A42A500}"/>
            </a:ext>
          </a:extLst>
        </xdr:cNvPr>
        <xdr:cNvSpPr>
          <a:spLocks noChangeShapeType="1"/>
        </xdr:cNvSpPr>
      </xdr:nvSpPr>
      <xdr:spPr bwMode="auto">
        <a:xfrm flipH="1">
          <a:off x="2381250" y="9839325"/>
          <a:ext cx="76200" cy="2667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190500</xdr:colOff>
      <xdr:row>56</xdr:row>
      <xdr:rowOff>0</xdr:rowOff>
    </xdr:from>
    <xdr:to>
      <xdr:col>5</xdr:col>
      <xdr:colOff>619125</xdr:colOff>
      <xdr:row>56</xdr:row>
      <xdr:rowOff>0</xdr:rowOff>
    </xdr:to>
    <xdr:sp macro="" textlink="">
      <xdr:nvSpPr>
        <xdr:cNvPr id="10830427" name="Line 19">
          <a:extLst>
            <a:ext uri="{FF2B5EF4-FFF2-40B4-BE49-F238E27FC236}">
              <a16:creationId xmlns:a16="http://schemas.microsoft.com/office/drawing/2014/main" id="{00000000-0008-0000-0D00-00005B42A500}"/>
            </a:ext>
          </a:extLst>
        </xdr:cNvPr>
        <xdr:cNvSpPr>
          <a:spLocks noChangeShapeType="1"/>
        </xdr:cNvSpPr>
      </xdr:nvSpPr>
      <xdr:spPr bwMode="auto">
        <a:xfrm flipH="1">
          <a:off x="2647950" y="10477500"/>
          <a:ext cx="10668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561975</xdr:colOff>
      <xdr:row>50</xdr:row>
      <xdr:rowOff>0</xdr:rowOff>
    </xdr:from>
    <xdr:to>
      <xdr:col>6</xdr:col>
      <xdr:colOff>0</xdr:colOff>
      <xdr:row>52</xdr:row>
      <xdr:rowOff>161925</xdr:rowOff>
    </xdr:to>
    <xdr:sp macro="" textlink="">
      <xdr:nvSpPr>
        <xdr:cNvPr id="10830428" name="Line 16">
          <a:extLst>
            <a:ext uri="{FF2B5EF4-FFF2-40B4-BE49-F238E27FC236}">
              <a16:creationId xmlns:a16="http://schemas.microsoft.com/office/drawing/2014/main" id="{00000000-0008-0000-0D00-00005C42A500}"/>
            </a:ext>
          </a:extLst>
        </xdr:cNvPr>
        <xdr:cNvSpPr>
          <a:spLocks noChangeShapeType="1"/>
        </xdr:cNvSpPr>
      </xdr:nvSpPr>
      <xdr:spPr bwMode="auto">
        <a:xfrm flipH="1" flipV="1">
          <a:off x="3019425" y="9382125"/>
          <a:ext cx="838200" cy="5048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581025</xdr:colOff>
      <xdr:row>50</xdr:row>
      <xdr:rowOff>9525</xdr:rowOff>
    </xdr:from>
    <xdr:to>
      <xdr:col>5</xdr:col>
      <xdr:colOff>733425</xdr:colOff>
      <xdr:row>52</xdr:row>
      <xdr:rowOff>152400</xdr:rowOff>
    </xdr:to>
    <xdr:sp macro="" textlink="">
      <xdr:nvSpPr>
        <xdr:cNvPr id="10830429" name="Line 16">
          <a:extLst>
            <a:ext uri="{FF2B5EF4-FFF2-40B4-BE49-F238E27FC236}">
              <a16:creationId xmlns:a16="http://schemas.microsoft.com/office/drawing/2014/main" id="{00000000-0008-0000-0D00-00005D42A500}"/>
            </a:ext>
          </a:extLst>
        </xdr:cNvPr>
        <xdr:cNvSpPr>
          <a:spLocks noChangeShapeType="1"/>
        </xdr:cNvSpPr>
      </xdr:nvSpPr>
      <xdr:spPr bwMode="auto">
        <a:xfrm flipH="1" flipV="1">
          <a:off x="3038475" y="9391650"/>
          <a:ext cx="790575" cy="4857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711200</xdr:colOff>
      <xdr:row>53</xdr:row>
      <xdr:rowOff>1</xdr:rowOff>
    </xdr:from>
    <xdr:to>
      <xdr:col>5</xdr:col>
      <xdr:colOff>469901</xdr:colOff>
      <xdr:row>59</xdr:row>
      <xdr:rowOff>25401</xdr:rowOff>
    </xdr:to>
    <xdr:sp macro="" textlink="">
      <xdr:nvSpPr>
        <xdr:cNvPr id="146" name="Rectangle 56">
          <a:extLst>
            <a:ext uri="{FF2B5EF4-FFF2-40B4-BE49-F238E27FC236}">
              <a16:creationId xmlns:a16="http://schemas.microsoft.com/office/drawing/2014/main" id="{00000000-0008-0000-0D00-000092000000}"/>
            </a:ext>
          </a:extLst>
        </xdr:cNvPr>
        <xdr:cNvSpPr>
          <a:spLocks noChangeArrowheads="1"/>
        </xdr:cNvSpPr>
      </xdr:nvSpPr>
      <xdr:spPr bwMode="auto">
        <a:xfrm>
          <a:off x="1638300" y="10058401"/>
          <a:ext cx="1930401" cy="11938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66675</xdr:rowOff>
    </xdr:from>
    <xdr:to>
      <xdr:col>8</xdr:col>
      <xdr:colOff>180975</xdr:colOff>
      <xdr:row>25</xdr:row>
      <xdr:rowOff>0</xdr:rowOff>
    </xdr:to>
    <xdr:sp macro="" textlink="">
      <xdr:nvSpPr>
        <xdr:cNvPr id="10827682" name="Oval 1">
          <a:extLst>
            <a:ext uri="{FF2B5EF4-FFF2-40B4-BE49-F238E27FC236}">
              <a16:creationId xmlns:a16="http://schemas.microsoft.com/office/drawing/2014/main" id="{00000000-0008-0000-0E00-0000A237A500}"/>
            </a:ext>
          </a:extLst>
        </xdr:cNvPr>
        <xdr:cNvSpPr>
          <a:spLocks noChangeArrowheads="1"/>
        </xdr:cNvSpPr>
      </xdr:nvSpPr>
      <xdr:spPr bwMode="auto">
        <a:xfrm>
          <a:off x="3819525" y="3295650"/>
          <a:ext cx="16573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590550</xdr:colOff>
      <xdr:row>29</xdr:row>
      <xdr:rowOff>38100</xdr:rowOff>
    </xdr:from>
    <xdr:to>
      <xdr:col>8</xdr:col>
      <xdr:colOff>104775</xdr:colOff>
      <xdr:row>38</xdr:row>
      <xdr:rowOff>76200</xdr:rowOff>
    </xdr:to>
    <xdr:sp macro="" textlink="">
      <xdr:nvSpPr>
        <xdr:cNvPr id="10827683" name="Oval 2">
          <a:extLst>
            <a:ext uri="{FF2B5EF4-FFF2-40B4-BE49-F238E27FC236}">
              <a16:creationId xmlns:a16="http://schemas.microsoft.com/office/drawing/2014/main" id="{00000000-0008-0000-0E00-0000A337A500}"/>
            </a:ext>
          </a:extLst>
        </xdr:cNvPr>
        <xdr:cNvSpPr>
          <a:spLocks noChangeArrowheads="1"/>
        </xdr:cNvSpPr>
      </xdr:nvSpPr>
      <xdr:spPr bwMode="auto">
        <a:xfrm>
          <a:off x="3648075" y="5543550"/>
          <a:ext cx="1752600" cy="15906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609600</xdr:colOff>
      <xdr:row>50</xdr:row>
      <xdr:rowOff>152400</xdr:rowOff>
    </xdr:from>
    <xdr:to>
      <xdr:col>8</xdr:col>
      <xdr:colOff>123825</xdr:colOff>
      <xdr:row>59</xdr:row>
      <xdr:rowOff>28575</xdr:rowOff>
    </xdr:to>
    <xdr:sp macro="" textlink="">
      <xdr:nvSpPr>
        <xdr:cNvPr id="10827684" name="Oval 3">
          <a:extLst>
            <a:ext uri="{FF2B5EF4-FFF2-40B4-BE49-F238E27FC236}">
              <a16:creationId xmlns:a16="http://schemas.microsoft.com/office/drawing/2014/main" id="{00000000-0008-0000-0E00-0000A437A500}"/>
            </a:ext>
          </a:extLst>
        </xdr:cNvPr>
        <xdr:cNvSpPr>
          <a:spLocks noChangeArrowheads="1"/>
        </xdr:cNvSpPr>
      </xdr:nvSpPr>
      <xdr:spPr bwMode="auto">
        <a:xfrm>
          <a:off x="3667125" y="9210675"/>
          <a:ext cx="1752600" cy="15716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552450</xdr:colOff>
      <xdr:row>29</xdr:row>
      <xdr:rowOff>38100</xdr:rowOff>
    </xdr:from>
    <xdr:to>
      <xdr:col>11</xdr:col>
      <xdr:colOff>76200</xdr:colOff>
      <xdr:row>38</xdr:row>
      <xdr:rowOff>28575</xdr:rowOff>
    </xdr:to>
    <xdr:sp macro="" textlink="">
      <xdr:nvSpPr>
        <xdr:cNvPr id="10827685" name="Oval 4">
          <a:extLst>
            <a:ext uri="{FF2B5EF4-FFF2-40B4-BE49-F238E27FC236}">
              <a16:creationId xmlns:a16="http://schemas.microsoft.com/office/drawing/2014/main" id="{00000000-0008-0000-0E00-0000A537A500}"/>
            </a:ext>
          </a:extLst>
        </xdr:cNvPr>
        <xdr:cNvSpPr>
          <a:spLocks noChangeArrowheads="1"/>
        </xdr:cNvSpPr>
      </xdr:nvSpPr>
      <xdr:spPr bwMode="auto">
        <a:xfrm>
          <a:off x="5848350" y="5543550"/>
          <a:ext cx="1562100" cy="15430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685800</xdr:colOff>
      <xdr:row>29</xdr:row>
      <xdr:rowOff>66675</xdr:rowOff>
    </xdr:from>
    <xdr:to>
      <xdr:col>14</xdr:col>
      <xdr:colOff>28575</xdr:colOff>
      <xdr:row>38</xdr:row>
      <xdr:rowOff>19050</xdr:rowOff>
    </xdr:to>
    <xdr:sp macro="" textlink="">
      <xdr:nvSpPr>
        <xdr:cNvPr id="10827686" name="Oval 5">
          <a:extLst>
            <a:ext uri="{FF2B5EF4-FFF2-40B4-BE49-F238E27FC236}">
              <a16:creationId xmlns:a16="http://schemas.microsoft.com/office/drawing/2014/main" id="{00000000-0008-0000-0E00-0000A637A500}"/>
            </a:ext>
          </a:extLst>
        </xdr:cNvPr>
        <xdr:cNvSpPr>
          <a:spLocks noChangeArrowheads="1"/>
        </xdr:cNvSpPr>
      </xdr:nvSpPr>
      <xdr:spPr bwMode="auto">
        <a:xfrm>
          <a:off x="8020050" y="5572125"/>
          <a:ext cx="168592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552450</xdr:colOff>
      <xdr:row>29</xdr:row>
      <xdr:rowOff>38100</xdr:rowOff>
    </xdr:from>
    <xdr:to>
      <xdr:col>17</xdr:col>
      <xdr:colOff>66675</xdr:colOff>
      <xdr:row>37</xdr:row>
      <xdr:rowOff>152400</xdr:rowOff>
    </xdr:to>
    <xdr:sp macro="" textlink="">
      <xdr:nvSpPr>
        <xdr:cNvPr id="10827687" name="Oval 6">
          <a:extLst>
            <a:ext uri="{FF2B5EF4-FFF2-40B4-BE49-F238E27FC236}">
              <a16:creationId xmlns:a16="http://schemas.microsoft.com/office/drawing/2014/main" id="{00000000-0008-0000-0E00-0000A737A500}"/>
            </a:ext>
          </a:extLst>
        </xdr:cNvPr>
        <xdr:cNvSpPr>
          <a:spLocks noChangeArrowheads="1"/>
        </xdr:cNvSpPr>
      </xdr:nvSpPr>
      <xdr:spPr bwMode="auto">
        <a:xfrm>
          <a:off x="10229850" y="5543550"/>
          <a:ext cx="16954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552450</xdr:colOff>
      <xdr:row>29</xdr:row>
      <xdr:rowOff>38100</xdr:rowOff>
    </xdr:from>
    <xdr:to>
      <xdr:col>20</xdr:col>
      <xdr:colOff>66675</xdr:colOff>
      <xdr:row>37</xdr:row>
      <xdr:rowOff>152400</xdr:rowOff>
    </xdr:to>
    <xdr:sp macro="" textlink="">
      <xdr:nvSpPr>
        <xdr:cNvPr id="10827688" name="Oval 7">
          <a:extLst>
            <a:ext uri="{FF2B5EF4-FFF2-40B4-BE49-F238E27FC236}">
              <a16:creationId xmlns:a16="http://schemas.microsoft.com/office/drawing/2014/main" id="{00000000-0008-0000-0E00-0000A837A500}"/>
            </a:ext>
          </a:extLst>
        </xdr:cNvPr>
        <xdr:cNvSpPr>
          <a:spLocks noChangeArrowheads="1"/>
        </xdr:cNvSpPr>
      </xdr:nvSpPr>
      <xdr:spPr bwMode="auto">
        <a:xfrm>
          <a:off x="12411075" y="5543550"/>
          <a:ext cx="16573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38</xdr:row>
      <xdr:rowOff>28575</xdr:rowOff>
    </xdr:from>
    <xdr:to>
      <xdr:col>19</xdr:col>
      <xdr:colOff>0</xdr:colOff>
      <xdr:row>45</xdr:row>
      <xdr:rowOff>152400</xdr:rowOff>
    </xdr:to>
    <xdr:sp macro="" textlink="">
      <xdr:nvSpPr>
        <xdr:cNvPr id="10827689" name="Line 8">
          <a:extLst>
            <a:ext uri="{FF2B5EF4-FFF2-40B4-BE49-F238E27FC236}">
              <a16:creationId xmlns:a16="http://schemas.microsoft.com/office/drawing/2014/main" id="{00000000-0008-0000-0E00-0000A937A500}"/>
            </a:ext>
          </a:extLst>
        </xdr:cNvPr>
        <xdr:cNvSpPr>
          <a:spLocks noChangeShapeType="1"/>
        </xdr:cNvSpPr>
      </xdr:nvSpPr>
      <xdr:spPr bwMode="auto">
        <a:xfrm flipH="1">
          <a:off x="13239750" y="7086600"/>
          <a:ext cx="0" cy="12573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66675</xdr:colOff>
      <xdr:row>33</xdr:row>
      <xdr:rowOff>152400</xdr:rowOff>
    </xdr:from>
    <xdr:to>
      <xdr:col>17</xdr:col>
      <xdr:colOff>542925</xdr:colOff>
      <xdr:row>33</xdr:row>
      <xdr:rowOff>152400</xdr:rowOff>
    </xdr:to>
    <xdr:sp macro="" textlink="">
      <xdr:nvSpPr>
        <xdr:cNvPr id="10827690" name="Line 9">
          <a:extLst>
            <a:ext uri="{FF2B5EF4-FFF2-40B4-BE49-F238E27FC236}">
              <a16:creationId xmlns:a16="http://schemas.microsoft.com/office/drawing/2014/main" id="{00000000-0008-0000-0E00-0000AA37A500}"/>
            </a:ext>
          </a:extLst>
        </xdr:cNvPr>
        <xdr:cNvSpPr>
          <a:spLocks noChangeShapeType="1"/>
        </xdr:cNvSpPr>
      </xdr:nvSpPr>
      <xdr:spPr bwMode="auto">
        <a:xfrm flipH="1">
          <a:off x="11925300" y="6381750"/>
          <a:ext cx="4762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</xdr:colOff>
      <xdr:row>34</xdr:row>
      <xdr:rowOff>0</xdr:rowOff>
    </xdr:from>
    <xdr:to>
      <xdr:col>14</xdr:col>
      <xdr:colOff>561975</xdr:colOff>
      <xdr:row>34</xdr:row>
      <xdr:rowOff>0</xdr:rowOff>
    </xdr:to>
    <xdr:sp macro="" textlink="">
      <xdr:nvSpPr>
        <xdr:cNvPr id="10827691" name="Line 10">
          <a:extLst>
            <a:ext uri="{FF2B5EF4-FFF2-40B4-BE49-F238E27FC236}">
              <a16:creationId xmlns:a16="http://schemas.microsoft.com/office/drawing/2014/main" id="{00000000-0008-0000-0E00-0000AB37A500}"/>
            </a:ext>
          </a:extLst>
        </xdr:cNvPr>
        <xdr:cNvSpPr>
          <a:spLocks noChangeShapeType="1"/>
        </xdr:cNvSpPr>
      </xdr:nvSpPr>
      <xdr:spPr bwMode="auto">
        <a:xfrm>
          <a:off x="9705975" y="6410325"/>
          <a:ext cx="5334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47</xdr:row>
      <xdr:rowOff>85725</xdr:rowOff>
    </xdr:from>
    <xdr:to>
      <xdr:col>7</xdr:col>
      <xdr:colOff>0</xdr:colOff>
      <xdr:row>50</xdr:row>
      <xdr:rowOff>142875</xdr:rowOff>
    </xdr:to>
    <xdr:sp macro="" textlink="">
      <xdr:nvSpPr>
        <xdr:cNvPr id="10827692" name="Line 11">
          <a:extLst>
            <a:ext uri="{FF2B5EF4-FFF2-40B4-BE49-F238E27FC236}">
              <a16:creationId xmlns:a16="http://schemas.microsoft.com/office/drawing/2014/main" id="{00000000-0008-0000-0E00-0000AC37A500}"/>
            </a:ext>
          </a:extLst>
        </xdr:cNvPr>
        <xdr:cNvSpPr>
          <a:spLocks noChangeShapeType="1"/>
        </xdr:cNvSpPr>
      </xdr:nvSpPr>
      <xdr:spPr bwMode="auto">
        <a:xfrm flipH="1">
          <a:off x="4581525" y="8620125"/>
          <a:ext cx="0" cy="581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30</xdr:row>
      <xdr:rowOff>66675</xdr:rowOff>
    </xdr:from>
    <xdr:to>
      <xdr:col>4</xdr:col>
      <xdr:colOff>571500</xdr:colOff>
      <xdr:row>37</xdr:row>
      <xdr:rowOff>9525</xdr:rowOff>
    </xdr:to>
    <xdr:sp macro="" textlink="">
      <xdr:nvSpPr>
        <xdr:cNvPr id="10827693" name="Oval 12">
          <a:extLst>
            <a:ext uri="{FF2B5EF4-FFF2-40B4-BE49-F238E27FC236}">
              <a16:creationId xmlns:a16="http://schemas.microsoft.com/office/drawing/2014/main" id="{00000000-0008-0000-0E00-0000AD37A500}"/>
            </a:ext>
          </a:extLst>
        </xdr:cNvPr>
        <xdr:cNvSpPr>
          <a:spLocks noChangeArrowheads="1"/>
        </xdr:cNvSpPr>
      </xdr:nvSpPr>
      <xdr:spPr bwMode="auto">
        <a:xfrm>
          <a:off x="1866900" y="5734050"/>
          <a:ext cx="1123950" cy="11715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571500</xdr:colOff>
      <xdr:row>34</xdr:row>
      <xdr:rowOff>0</xdr:rowOff>
    </xdr:from>
    <xdr:to>
      <xdr:col>5</xdr:col>
      <xdr:colOff>581025</xdr:colOff>
      <xdr:row>34</xdr:row>
      <xdr:rowOff>0</xdr:rowOff>
    </xdr:to>
    <xdr:sp macro="" textlink="">
      <xdr:nvSpPr>
        <xdr:cNvPr id="10827694" name="Line 13">
          <a:extLst>
            <a:ext uri="{FF2B5EF4-FFF2-40B4-BE49-F238E27FC236}">
              <a16:creationId xmlns:a16="http://schemas.microsoft.com/office/drawing/2014/main" id="{00000000-0008-0000-0E00-0000AE37A500}"/>
            </a:ext>
          </a:extLst>
        </xdr:cNvPr>
        <xdr:cNvSpPr>
          <a:spLocks noChangeShapeType="1"/>
        </xdr:cNvSpPr>
      </xdr:nvSpPr>
      <xdr:spPr bwMode="auto">
        <a:xfrm flipH="1">
          <a:off x="2990850" y="6410325"/>
          <a:ext cx="6477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</xdr:colOff>
      <xdr:row>46</xdr:row>
      <xdr:rowOff>47625</xdr:rowOff>
    </xdr:from>
    <xdr:to>
      <xdr:col>4</xdr:col>
      <xdr:colOff>571500</xdr:colOff>
      <xdr:row>52</xdr:row>
      <xdr:rowOff>104775</xdr:rowOff>
    </xdr:to>
    <xdr:sp macro="" textlink="">
      <xdr:nvSpPr>
        <xdr:cNvPr id="10827695" name="Oval 14">
          <a:extLst>
            <a:ext uri="{FF2B5EF4-FFF2-40B4-BE49-F238E27FC236}">
              <a16:creationId xmlns:a16="http://schemas.microsoft.com/office/drawing/2014/main" id="{00000000-0008-0000-0E00-0000AF37A500}"/>
            </a:ext>
          </a:extLst>
        </xdr:cNvPr>
        <xdr:cNvSpPr>
          <a:spLocks noChangeArrowheads="1"/>
        </xdr:cNvSpPr>
      </xdr:nvSpPr>
      <xdr:spPr bwMode="auto">
        <a:xfrm>
          <a:off x="1885950" y="8420100"/>
          <a:ext cx="1104900" cy="10858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371475</xdr:colOff>
      <xdr:row>37</xdr:row>
      <xdr:rowOff>0</xdr:rowOff>
    </xdr:from>
    <xdr:to>
      <xdr:col>6</xdr:col>
      <xdr:colOff>114300</xdr:colOff>
      <xdr:row>47</xdr:row>
      <xdr:rowOff>47625</xdr:rowOff>
    </xdr:to>
    <xdr:sp macro="" textlink="">
      <xdr:nvSpPr>
        <xdr:cNvPr id="10827696" name="Line 15">
          <a:extLst>
            <a:ext uri="{FF2B5EF4-FFF2-40B4-BE49-F238E27FC236}">
              <a16:creationId xmlns:a16="http://schemas.microsoft.com/office/drawing/2014/main" id="{00000000-0008-0000-0E00-0000B037A500}"/>
            </a:ext>
          </a:extLst>
        </xdr:cNvPr>
        <xdr:cNvSpPr>
          <a:spLocks noChangeShapeType="1"/>
        </xdr:cNvSpPr>
      </xdr:nvSpPr>
      <xdr:spPr bwMode="auto">
        <a:xfrm flipH="1">
          <a:off x="2790825" y="6896100"/>
          <a:ext cx="1143000" cy="16859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561975</xdr:colOff>
      <xdr:row>50</xdr:row>
      <xdr:rowOff>0</xdr:rowOff>
    </xdr:from>
    <xdr:to>
      <xdr:col>6</xdr:col>
      <xdr:colOff>0</xdr:colOff>
      <xdr:row>52</xdr:row>
      <xdr:rowOff>152400</xdr:rowOff>
    </xdr:to>
    <xdr:sp macro="" textlink="">
      <xdr:nvSpPr>
        <xdr:cNvPr id="10827697" name="Line 16">
          <a:extLst>
            <a:ext uri="{FF2B5EF4-FFF2-40B4-BE49-F238E27FC236}">
              <a16:creationId xmlns:a16="http://schemas.microsoft.com/office/drawing/2014/main" id="{00000000-0008-0000-0E00-0000B137A500}"/>
            </a:ext>
          </a:extLst>
        </xdr:cNvPr>
        <xdr:cNvSpPr>
          <a:spLocks noChangeShapeType="1"/>
        </xdr:cNvSpPr>
      </xdr:nvSpPr>
      <xdr:spPr bwMode="auto">
        <a:xfrm flipH="1" flipV="1">
          <a:off x="2981325" y="9058275"/>
          <a:ext cx="838200" cy="4953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47</xdr:row>
      <xdr:rowOff>9525</xdr:rowOff>
    </xdr:from>
    <xdr:to>
      <xdr:col>4</xdr:col>
      <xdr:colOff>371475</xdr:colOff>
      <xdr:row>47</xdr:row>
      <xdr:rowOff>19050</xdr:rowOff>
    </xdr:to>
    <xdr:sp macro="" textlink="">
      <xdr:nvSpPr>
        <xdr:cNvPr id="10827698" name="Arc 17">
          <a:extLst>
            <a:ext uri="{FF2B5EF4-FFF2-40B4-BE49-F238E27FC236}">
              <a16:creationId xmlns:a16="http://schemas.microsoft.com/office/drawing/2014/main" id="{00000000-0008-0000-0E00-0000B237A500}"/>
            </a:ext>
          </a:extLst>
        </xdr:cNvPr>
        <xdr:cNvSpPr>
          <a:spLocks/>
        </xdr:cNvSpPr>
      </xdr:nvSpPr>
      <xdr:spPr bwMode="auto">
        <a:xfrm flipH="1" flipV="1">
          <a:off x="2781300" y="8543925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171450</xdr:colOff>
      <xdr:row>47</xdr:row>
      <xdr:rowOff>9525</xdr:rowOff>
    </xdr:from>
    <xdr:to>
      <xdr:col>4</xdr:col>
      <xdr:colOff>352425</xdr:colOff>
      <xdr:row>49</xdr:row>
      <xdr:rowOff>152400</xdr:rowOff>
    </xdr:to>
    <xdr:sp macro="" textlink="">
      <xdr:nvSpPr>
        <xdr:cNvPr id="10827699" name="Line 18">
          <a:extLst>
            <a:ext uri="{FF2B5EF4-FFF2-40B4-BE49-F238E27FC236}">
              <a16:creationId xmlns:a16="http://schemas.microsoft.com/office/drawing/2014/main" id="{00000000-0008-0000-0E00-0000B337A500}"/>
            </a:ext>
          </a:extLst>
        </xdr:cNvPr>
        <xdr:cNvSpPr>
          <a:spLocks noChangeShapeType="1"/>
        </xdr:cNvSpPr>
      </xdr:nvSpPr>
      <xdr:spPr bwMode="auto">
        <a:xfrm flipH="1">
          <a:off x="1895475" y="8543925"/>
          <a:ext cx="876300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50</xdr:row>
      <xdr:rowOff>0</xdr:rowOff>
    </xdr:from>
    <xdr:to>
      <xdr:col>3</xdr:col>
      <xdr:colOff>171450</xdr:colOff>
      <xdr:row>50</xdr:row>
      <xdr:rowOff>0</xdr:rowOff>
    </xdr:to>
    <xdr:sp macro="" textlink="">
      <xdr:nvSpPr>
        <xdr:cNvPr id="10827700" name="Line 19">
          <a:extLst>
            <a:ext uri="{FF2B5EF4-FFF2-40B4-BE49-F238E27FC236}">
              <a16:creationId xmlns:a16="http://schemas.microsoft.com/office/drawing/2014/main" id="{00000000-0008-0000-0E00-0000B437A500}"/>
            </a:ext>
          </a:extLst>
        </xdr:cNvPr>
        <xdr:cNvSpPr>
          <a:spLocks noChangeShapeType="1"/>
        </xdr:cNvSpPr>
      </xdr:nvSpPr>
      <xdr:spPr bwMode="auto">
        <a:xfrm flipH="1">
          <a:off x="1181100" y="9058275"/>
          <a:ext cx="71437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352425</xdr:colOff>
      <xdr:row>47</xdr:row>
      <xdr:rowOff>19050</xdr:rowOff>
    </xdr:from>
    <xdr:to>
      <xdr:col>4</xdr:col>
      <xdr:colOff>581025</xdr:colOff>
      <xdr:row>50</xdr:row>
      <xdr:rowOff>0</xdr:rowOff>
    </xdr:to>
    <xdr:sp macro="" textlink="">
      <xdr:nvSpPr>
        <xdr:cNvPr id="10827701" name="Arc 20">
          <a:extLst>
            <a:ext uri="{FF2B5EF4-FFF2-40B4-BE49-F238E27FC236}">
              <a16:creationId xmlns:a16="http://schemas.microsoft.com/office/drawing/2014/main" id="{00000000-0008-0000-0E00-0000B537A500}"/>
            </a:ext>
          </a:extLst>
        </xdr:cNvPr>
        <xdr:cNvSpPr>
          <a:spLocks/>
        </xdr:cNvSpPr>
      </xdr:nvSpPr>
      <xdr:spPr bwMode="auto">
        <a:xfrm flipH="1" flipV="1">
          <a:off x="2771775" y="8553450"/>
          <a:ext cx="228600" cy="5048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228600</xdr:colOff>
      <xdr:row>10</xdr:row>
      <xdr:rowOff>66675</xdr:rowOff>
    </xdr:from>
    <xdr:to>
      <xdr:col>5</xdr:col>
      <xdr:colOff>57150</xdr:colOff>
      <xdr:row>16</xdr:row>
      <xdr:rowOff>57150</xdr:rowOff>
    </xdr:to>
    <xdr:sp macro="" textlink="">
      <xdr:nvSpPr>
        <xdr:cNvPr id="10827702" name="Oval 21">
          <a:extLst>
            <a:ext uri="{FF2B5EF4-FFF2-40B4-BE49-F238E27FC236}">
              <a16:creationId xmlns:a16="http://schemas.microsoft.com/office/drawing/2014/main" id="{00000000-0008-0000-0E00-0000B637A500}"/>
            </a:ext>
          </a:extLst>
        </xdr:cNvPr>
        <xdr:cNvSpPr>
          <a:spLocks noChangeArrowheads="1"/>
        </xdr:cNvSpPr>
      </xdr:nvSpPr>
      <xdr:spPr bwMode="auto">
        <a:xfrm>
          <a:off x="1952625" y="2181225"/>
          <a:ext cx="1162050" cy="11049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390525</xdr:colOff>
      <xdr:row>24</xdr:row>
      <xdr:rowOff>28575</xdr:rowOff>
    </xdr:from>
    <xdr:to>
      <xdr:col>6</xdr:col>
      <xdr:colOff>333375</xdr:colOff>
      <xdr:row>31</xdr:row>
      <xdr:rowOff>47625</xdr:rowOff>
    </xdr:to>
    <xdr:sp macro="" textlink="">
      <xdr:nvSpPr>
        <xdr:cNvPr id="10827703" name="Line 22">
          <a:extLst>
            <a:ext uri="{FF2B5EF4-FFF2-40B4-BE49-F238E27FC236}">
              <a16:creationId xmlns:a16="http://schemas.microsoft.com/office/drawing/2014/main" id="{00000000-0008-0000-0E00-0000B737A500}"/>
            </a:ext>
          </a:extLst>
        </xdr:cNvPr>
        <xdr:cNvSpPr>
          <a:spLocks noChangeShapeType="1"/>
        </xdr:cNvSpPr>
      </xdr:nvSpPr>
      <xdr:spPr bwMode="auto">
        <a:xfrm flipH="1">
          <a:off x="2809875" y="4657725"/>
          <a:ext cx="1343025" cy="12477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52</xdr:row>
      <xdr:rowOff>38100</xdr:rowOff>
    </xdr:from>
    <xdr:to>
      <xdr:col>14</xdr:col>
      <xdr:colOff>9525</xdr:colOff>
      <xdr:row>60</xdr:row>
      <xdr:rowOff>28575</xdr:rowOff>
    </xdr:to>
    <xdr:sp macro="" textlink="">
      <xdr:nvSpPr>
        <xdr:cNvPr id="10827704" name="Arc 23">
          <a:extLst>
            <a:ext uri="{FF2B5EF4-FFF2-40B4-BE49-F238E27FC236}">
              <a16:creationId xmlns:a16="http://schemas.microsoft.com/office/drawing/2014/main" id="{00000000-0008-0000-0E00-0000B837A500}"/>
            </a:ext>
          </a:extLst>
        </xdr:cNvPr>
        <xdr:cNvSpPr>
          <a:spLocks/>
        </xdr:cNvSpPr>
      </xdr:nvSpPr>
      <xdr:spPr bwMode="auto">
        <a:xfrm flipH="1">
          <a:off x="6667500" y="9439275"/>
          <a:ext cx="3019425" cy="15049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600075</xdr:colOff>
      <xdr:row>52</xdr:row>
      <xdr:rowOff>38100</xdr:rowOff>
    </xdr:from>
    <xdr:to>
      <xdr:col>17</xdr:col>
      <xdr:colOff>571500</xdr:colOff>
      <xdr:row>60</xdr:row>
      <xdr:rowOff>38100</xdr:rowOff>
    </xdr:to>
    <xdr:sp macro="" textlink="">
      <xdr:nvSpPr>
        <xdr:cNvPr id="10827705" name="Arc 24">
          <a:extLst>
            <a:ext uri="{FF2B5EF4-FFF2-40B4-BE49-F238E27FC236}">
              <a16:creationId xmlns:a16="http://schemas.microsoft.com/office/drawing/2014/main" id="{00000000-0008-0000-0E00-0000B937A500}"/>
            </a:ext>
          </a:extLst>
        </xdr:cNvPr>
        <xdr:cNvSpPr>
          <a:spLocks/>
        </xdr:cNvSpPr>
      </xdr:nvSpPr>
      <xdr:spPr bwMode="auto">
        <a:xfrm>
          <a:off x="9410700" y="9439275"/>
          <a:ext cx="3019425" cy="151447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733425</xdr:colOff>
      <xdr:row>58</xdr:row>
      <xdr:rowOff>66675</xdr:rowOff>
    </xdr:from>
    <xdr:to>
      <xdr:col>6</xdr:col>
      <xdr:colOff>238125</xdr:colOff>
      <xdr:row>61</xdr:row>
      <xdr:rowOff>152400</xdr:rowOff>
    </xdr:to>
    <xdr:sp macro="" textlink="">
      <xdr:nvSpPr>
        <xdr:cNvPr id="10827706" name="Line 25">
          <a:extLst>
            <a:ext uri="{FF2B5EF4-FFF2-40B4-BE49-F238E27FC236}">
              <a16:creationId xmlns:a16="http://schemas.microsoft.com/office/drawing/2014/main" id="{00000000-0008-0000-0E00-0000BA37A500}"/>
            </a:ext>
          </a:extLst>
        </xdr:cNvPr>
        <xdr:cNvSpPr>
          <a:spLocks noChangeShapeType="1"/>
        </xdr:cNvSpPr>
      </xdr:nvSpPr>
      <xdr:spPr bwMode="auto">
        <a:xfrm flipH="1">
          <a:off x="3790950" y="10639425"/>
          <a:ext cx="266700" cy="5905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180975</xdr:colOff>
      <xdr:row>37</xdr:row>
      <xdr:rowOff>76200</xdr:rowOff>
    </xdr:from>
    <xdr:to>
      <xdr:col>17</xdr:col>
      <xdr:colOff>152400</xdr:colOff>
      <xdr:row>45</xdr:row>
      <xdr:rowOff>152400</xdr:rowOff>
    </xdr:to>
    <xdr:sp macro="" textlink="">
      <xdr:nvSpPr>
        <xdr:cNvPr id="10827707" name="Line 26">
          <a:extLst>
            <a:ext uri="{FF2B5EF4-FFF2-40B4-BE49-F238E27FC236}">
              <a16:creationId xmlns:a16="http://schemas.microsoft.com/office/drawing/2014/main" id="{00000000-0008-0000-0E00-0000BB37A500}"/>
            </a:ext>
          </a:extLst>
        </xdr:cNvPr>
        <xdr:cNvSpPr>
          <a:spLocks noChangeShapeType="1"/>
        </xdr:cNvSpPr>
      </xdr:nvSpPr>
      <xdr:spPr bwMode="auto">
        <a:xfrm>
          <a:off x="11353800" y="6972300"/>
          <a:ext cx="657225" cy="13716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47625</xdr:colOff>
      <xdr:row>38</xdr:row>
      <xdr:rowOff>0</xdr:rowOff>
    </xdr:from>
    <xdr:to>
      <xdr:col>11</xdr:col>
      <xdr:colOff>638175</xdr:colOff>
      <xdr:row>53</xdr:row>
      <xdr:rowOff>133350</xdr:rowOff>
    </xdr:to>
    <xdr:sp macro="" textlink="">
      <xdr:nvSpPr>
        <xdr:cNvPr id="10827708" name="Line 27">
          <a:extLst>
            <a:ext uri="{FF2B5EF4-FFF2-40B4-BE49-F238E27FC236}">
              <a16:creationId xmlns:a16="http://schemas.microsoft.com/office/drawing/2014/main" id="{00000000-0008-0000-0E00-0000BC37A500}"/>
            </a:ext>
          </a:extLst>
        </xdr:cNvPr>
        <xdr:cNvSpPr>
          <a:spLocks noChangeShapeType="1"/>
        </xdr:cNvSpPr>
      </xdr:nvSpPr>
      <xdr:spPr bwMode="auto">
        <a:xfrm>
          <a:off x="6715125" y="7058025"/>
          <a:ext cx="1257300" cy="26670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152400</xdr:colOff>
      <xdr:row>45</xdr:row>
      <xdr:rowOff>47625</xdr:rowOff>
    </xdr:from>
    <xdr:to>
      <xdr:col>11</xdr:col>
      <xdr:colOff>314325</xdr:colOff>
      <xdr:row>54</xdr:row>
      <xdr:rowOff>85725</xdr:rowOff>
    </xdr:to>
    <xdr:sp macro="" textlink="">
      <xdr:nvSpPr>
        <xdr:cNvPr id="10827709" name="Line 28">
          <a:extLst>
            <a:ext uri="{FF2B5EF4-FFF2-40B4-BE49-F238E27FC236}">
              <a16:creationId xmlns:a16="http://schemas.microsoft.com/office/drawing/2014/main" id="{00000000-0008-0000-0E00-0000BD37A500}"/>
            </a:ext>
          </a:extLst>
        </xdr:cNvPr>
        <xdr:cNvSpPr>
          <a:spLocks noChangeShapeType="1"/>
        </xdr:cNvSpPr>
      </xdr:nvSpPr>
      <xdr:spPr bwMode="auto">
        <a:xfrm>
          <a:off x="5448300" y="8239125"/>
          <a:ext cx="2200275" cy="16002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25</xdr:row>
      <xdr:rowOff>0</xdr:rowOff>
    </xdr:from>
    <xdr:to>
      <xdr:col>11</xdr:col>
      <xdr:colOff>123825</xdr:colOff>
      <xdr:row>25</xdr:row>
      <xdr:rowOff>0</xdr:rowOff>
    </xdr:to>
    <xdr:sp macro="" textlink="">
      <xdr:nvSpPr>
        <xdr:cNvPr id="10827710" name="Line 29">
          <a:extLst>
            <a:ext uri="{FF2B5EF4-FFF2-40B4-BE49-F238E27FC236}">
              <a16:creationId xmlns:a16="http://schemas.microsoft.com/office/drawing/2014/main" id="{00000000-0008-0000-0E00-0000BE37A500}"/>
            </a:ext>
          </a:extLst>
        </xdr:cNvPr>
        <xdr:cNvSpPr>
          <a:spLocks noChangeShapeType="1"/>
        </xdr:cNvSpPr>
      </xdr:nvSpPr>
      <xdr:spPr bwMode="auto">
        <a:xfrm>
          <a:off x="5972175" y="4800600"/>
          <a:ext cx="14859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600075</xdr:colOff>
      <xdr:row>20</xdr:row>
      <xdr:rowOff>0</xdr:rowOff>
    </xdr:from>
    <xdr:to>
      <xdr:col>13</xdr:col>
      <xdr:colOff>9525</xdr:colOff>
      <xdr:row>29</xdr:row>
      <xdr:rowOff>47625</xdr:rowOff>
    </xdr:to>
    <xdr:sp macro="" textlink="">
      <xdr:nvSpPr>
        <xdr:cNvPr id="10827711" name="Line 30">
          <a:extLst>
            <a:ext uri="{FF2B5EF4-FFF2-40B4-BE49-F238E27FC236}">
              <a16:creationId xmlns:a16="http://schemas.microsoft.com/office/drawing/2014/main" id="{00000000-0008-0000-0E00-0000BF37A500}"/>
            </a:ext>
          </a:extLst>
        </xdr:cNvPr>
        <xdr:cNvSpPr>
          <a:spLocks noChangeShapeType="1"/>
        </xdr:cNvSpPr>
      </xdr:nvSpPr>
      <xdr:spPr bwMode="auto">
        <a:xfrm>
          <a:off x="7934325" y="3924300"/>
          <a:ext cx="885825" cy="16287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171450</xdr:colOff>
      <xdr:row>19</xdr:row>
      <xdr:rowOff>171450</xdr:rowOff>
    </xdr:from>
    <xdr:to>
      <xdr:col>11</xdr:col>
      <xdr:colOff>619125</xdr:colOff>
      <xdr:row>19</xdr:row>
      <xdr:rowOff>171450</xdr:rowOff>
    </xdr:to>
    <xdr:sp macro="" textlink="">
      <xdr:nvSpPr>
        <xdr:cNvPr id="10827712" name="Line 31">
          <a:extLst>
            <a:ext uri="{FF2B5EF4-FFF2-40B4-BE49-F238E27FC236}">
              <a16:creationId xmlns:a16="http://schemas.microsoft.com/office/drawing/2014/main" id="{00000000-0008-0000-0E00-0000C037A500}"/>
            </a:ext>
          </a:extLst>
        </xdr:cNvPr>
        <xdr:cNvSpPr>
          <a:spLocks noChangeShapeType="1"/>
        </xdr:cNvSpPr>
      </xdr:nvSpPr>
      <xdr:spPr bwMode="auto">
        <a:xfrm flipH="1">
          <a:off x="5467350" y="3905250"/>
          <a:ext cx="248602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542925</xdr:colOff>
      <xdr:row>57</xdr:row>
      <xdr:rowOff>228600</xdr:rowOff>
    </xdr:from>
    <xdr:to>
      <xdr:col>8</xdr:col>
      <xdr:colOff>257175</xdr:colOff>
      <xdr:row>61</xdr:row>
      <xdr:rowOff>28575</xdr:rowOff>
    </xdr:to>
    <xdr:sp macro="" textlink="">
      <xdr:nvSpPr>
        <xdr:cNvPr id="10827713" name="Line 32">
          <a:extLst>
            <a:ext uri="{FF2B5EF4-FFF2-40B4-BE49-F238E27FC236}">
              <a16:creationId xmlns:a16="http://schemas.microsoft.com/office/drawing/2014/main" id="{00000000-0008-0000-0E00-0000C137A500}"/>
            </a:ext>
          </a:extLst>
        </xdr:cNvPr>
        <xdr:cNvSpPr>
          <a:spLocks noChangeShapeType="1"/>
        </xdr:cNvSpPr>
      </xdr:nvSpPr>
      <xdr:spPr bwMode="auto">
        <a:xfrm flipH="1" flipV="1">
          <a:off x="5124450" y="10544175"/>
          <a:ext cx="428625" cy="561975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</xdr:row>
      <xdr:rowOff>171450</xdr:rowOff>
    </xdr:from>
    <xdr:to>
      <xdr:col>7</xdr:col>
      <xdr:colOff>9525</xdr:colOff>
      <xdr:row>29</xdr:row>
      <xdr:rowOff>47625</xdr:rowOff>
    </xdr:to>
    <xdr:sp macro="" textlink="">
      <xdr:nvSpPr>
        <xdr:cNvPr id="10827714" name="Line 33">
          <a:extLst>
            <a:ext uri="{FF2B5EF4-FFF2-40B4-BE49-F238E27FC236}">
              <a16:creationId xmlns:a16="http://schemas.microsoft.com/office/drawing/2014/main" id="{00000000-0008-0000-0E00-0000C237A500}"/>
            </a:ext>
          </a:extLst>
        </xdr:cNvPr>
        <xdr:cNvSpPr>
          <a:spLocks noChangeShapeType="1"/>
        </xdr:cNvSpPr>
      </xdr:nvSpPr>
      <xdr:spPr bwMode="auto">
        <a:xfrm flipH="1">
          <a:off x="4581525" y="4800600"/>
          <a:ext cx="9525" cy="7524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247650</xdr:colOff>
      <xdr:row>11</xdr:row>
      <xdr:rowOff>0</xdr:rowOff>
    </xdr:from>
    <xdr:to>
      <xdr:col>6</xdr:col>
      <xdr:colOff>657225</xdr:colOff>
      <xdr:row>16</xdr:row>
      <xdr:rowOff>57150</xdr:rowOff>
    </xdr:to>
    <xdr:sp macro="" textlink="">
      <xdr:nvSpPr>
        <xdr:cNvPr id="10827715" name="Line 34">
          <a:extLst>
            <a:ext uri="{FF2B5EF4-FFF2-40B4-BE49-F238E27FC236}">
              <a16:creationId xmlns:a16="http://schemas.microsoft.com/office/drawing/2014/main" id="{00000000-0008-0000-0E00-0000C337A500}"/>
            </a:ext>
          </a:extLst>
        </xdr:cNvPr>
        <xdr:cNvSpPr>
          <a:spLocks noChangeShapeType="1"/>
        </xdr:cNvSpPr>
      </xdr:nvSpPr>
      <xdr:spPr bwMode="auto">
        <a:xfrm flipH="1" flipV="1">
          <a:off x="4067175" y="2314575"/>
          <a:ext cx="409575" cy="9715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34</xdr:row>
      <xdr:rowOff>28575</xdr:rowOff>
    </xdr:from>
    <xdr:to>
      <xdr:col>8</xdr:col>
      <xdr:colOff>581025</xdr:colOff>
      <xdr:row>34</xdr:row>
      <xdr:rowOff>28575</xdr:rowOff>
    </xdr:to>
    <xdr:sp macro="" textlink="">
      <xdr:nvSpPr>
        <xdr:cNvPr id="10827716" name="Line 35">
          <a:extLst>
            <a:ext uri="{FF2B5EF4-FFF2-40B4-BE49-F238E27FC236}">
              <a16:creationId xmlns:a16="http://schemas.microsoft.com/office/drawing/2014/main" id="{00000000-0008-0000-0E00-0000C437A500}"/>
            </a:ext>
          </a:extLst>
        </xdr:cNvPr>
        <xdr:cNvSpPr>
          <a:spLocks noChangeShapeType="1"/>
        </xdr:cNvSpPr>
      </xdr:nvSpPr>
      <xdr:spPr bwMode="auto">
        <a:xfrm>
          <a:off x="5343525" y="6438900"/>
          <a:ext cx="5334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495300</xdr:colOff>
      <xdr:row>37</xdr:row>
      <xdr:rowOff>142875</xdr:rowOff>
    </xdr:from>
    <xdr:to>
      <xdr:col>15</xdr:col>
      <xdr:colOff>485775</xdr:colOff>
      <xdr:row>52</xdr:row>
      <xdr:rowOff>95250</xdr:rowOff>
    </xdr:to>
    <xdr:sp macro="" textlink="">
      <xdr:nvSpPr>
        <xdr:cNvPr id="10827717" name="Line 36">
          <a:extLst>
            <a:ext uri="{FF2B5EF4-FFF2-40B4-BE49-F238E27FC236}">
              <a16:creationId xmlns:a16="http://schemas.microsoft.com/office/drawing/2014/main" id="{00000000-0008-0000-0E00-0000C537A500}"/>
            </a:ext>
          </a:extLst>
        </xdr:cNvPr>
        <xdr:cNvSpPr>
          <a:spLocks noChangeShapeType="1"/>
        </xdr:cNvSpPr>
      </xdr:nvSpPr>
      <xdr:spPr bwMode="auto">
        <a:xfrm flipH="1">
          <a:off x="10172700" y="7038975"/>
          <a:ext cx="685800" cy="2457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</xdr:colOff>
      <xdr:row>13</xdr:row>
      <xdr:rowOff>0</xdr:rowOff>
    </xdr:from>
    <xdr:to>
      <xdr:col>6</xdr:col>
      <xdr:colOff>438150</xdr:colOff>
      <xdr:row>17</xdr:row>
      <xdr:rowOff>0</xdr:rowOff>
    </xdr:to>
    <xdr:sp macro="" textlink="">
      <xdr:nvSpPr>
        <xdr:cNvPr id="10827718" name="Line 37">
          <a:extLst>
            <a:ext uri="{FF2B5EF4-FFF2-40B4-BE49-F238E27FC236}">
              <a16:creationId xmlns:a16="http://schemas.microsoft.com/office/drawing/2014/main" id="{00000000-0008-0000-0E00-0000C637A500}"/>
            </a:ext>
          </a:extLst>
        </xdr:cNvPr>
        <xdr:cNvSpPr>
          <a:spLocks noChangeShapeType="1"/>
        </xdr:cNvSpPr>
      </xdr:nvSpPr>
      <xdr:spPr bwMode="auto">
        <a:xfrm>
          <a:off x="3124200" y="2705100"/>
          <a:ext cx="1133475" cy="6858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33</xdr:row>
      <xdr:rowOff>161925</xdr:rowOff>
    </xdr:from>
    <xdr:to>
      <xdr:col>11</xdr:col>
      <xdr:colOff>695325</xdr:colOff>
      <xdr:row>33</xdr:row>
      <xdr:rowOff>161925</xdr:rowOff>
    </xdr:to>
    <xdr:sp macro="" textlink="">
      <xdr:nvSpPr>
        <xdr:cNvPr id="10827719" name="Line 38">
          <a:extLst>
            <a:ext uri="{FF2B5EF4-FFF2-40B4-BE49-F238E27FC236}">
              <a16:creationId xmlns:a16="http://schemas.microsoft.com/office/drawing/2014/main" id="{00000000-0008-0000-0E00-0000C737A500}"/>
            </a:ext>
          </a:extLst>
        </xdr:cNvPr>
        <xdr:cNvSpPr>
          <a:spLocks noChangeShapeType="1"/>
        </xdr:cNvSpPr>
      </xdr:nvSpPr>
      <xdr:spPr bwMode="auto">
        <a:xfrm>
          <a:off x="7400925" y="6391275"/>
          <a:ext cx="6286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25</xdr:row>
      <xdr:rowOff>0</xdr:rowOff>
    </xdr:from>
    <xdr:to>
      <xdr:col>9</xdr:col>
      <xdr:colOff>28575</xdr:colOff>
      <xdr:row>30</xdr:row>
      <xdr:rowOff>114300</xdr:rowOff>
    </xdr:to>
    <xdr:sp macro="" textlink="">
      <xdr:nvSpPr>
        <xdr:cNvPr id="10827720" name="Line 39">
          <a:extLst>
            <a:ext uri="{FF2B5EF4-FFF2-40B4-BE49-F238E27FC236}">
              <a16:creationId xmlns:a16="http://schemas.microsoft.com/office/drawing/2014/main" id="{00000000-0008-0000-0E00-0000C837A500}"/>
            </a:ext>
          </a:extLst>
        </xdr:cNvPr>
        <xdr:cNvSpPr>
          <a:spLocks noChangeShapeType="1"/>
        </xdr:cNvSpPr>
      </xdr:nvSpPr>
      <xdr:spPr bwMode="auto">
        <a:xfrm flipH="1">
          <a:off x="5114925" y="4800600"/>
          <a:ext cx="876300" cy="9810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114300</xdr:colOff>
      <xdr:row>25</xdr:row>
      <xdr:rowOff>9525</xdr:rowOff>
    </xdr:from>
    <xdr:to>
      <xdr:col>12</xdr:col>
      <xdr:colOff>142875</xdr:colOff>
      <xdr:row>30</xdr:row>
      <xdr:rowOff>76200</xdr:rowOff>
    </xdr:to>
    <xdr:sp macro="" textlink="">
      <xdr:nvSpPr>
        <xdr:cNvPr id="10827721" name="Line 40">
          <a:extLst>
            <a:ext uri="{FF2B5EF4-FFF2-40B4-BE49-F238E27FC236}">
              <a16:creationId xmlns:a16="http://schemas.microsoft.com/office/drawing/2014/main" id="{00000000-0008-0000-0E00-0000C937A500}"/>
            </a:ext>
          </a:extLst>
        </xdr:cNvPr>
        <xdr:cNvSpPr>
          <a:spLocks noChangeShapeType="1"/>
        </xdr:cNvSpPr>
      </xdr:nvSpPr>
      <xdr:spPr bwMode="auto">
        <a:xfrm>
          <a:off x="7448550" y="4810125"/>
          <a:ext cx="809625" cy="933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52</xdr:row>
      <xdr:rowOff>104775</xdr:rowOff>
    </xdr:from>
    <xdr:to>
      <xdr:col>12</xdr:col>
      <xdr:colOff>561975</xdr:colOff>
      <xdr:row>52</xdr:row>
      <xdr:rowOff>114300</xdr:rowOff>
    </xdr:to>
    <xdr:sp macro="" textlink="">
      <xdr:nvSpPr>
        <xdr:cNvPr id="10827722" name="Arc 41">
          <a:extLst>
            <a:ext uri="{FF2B5EF4-FFF2-40B4-BE49-F238E27FC236}">
              <a16:creationId xmlns:a16="http://schemas.microsoft.com/office/drawing/2014/main" id="{00000000-0008-0000-0E00-0000CA37A500}"/>
            </a:ext>
          </a:extLst>
        </xdr:cNvPr>
        <xdr:cNvSpPr>
          <a:spLocks/>
        </xdr:cNvSpPr>
      </xdr:nvSpPr>
      <xdr:spPr bwMode="auto">
        <a:xfrm flipV="1">
          <a:off x="8620125" y="9505950"/>
          <a:ext cx="57150" cy="95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85725</xdr:rowOff>
    </xdr:from>
    <xdr:to>
      <xdr:col>13</xdr:col>
      <xdr:colOff>152400</xdr:colOff>
      <xdr:row>52</xdr:row>
      <xdr:rowOff>85725</xdr:rowOff>
    </xdr:to>
    <xdr:sp macro="" textlink="">
      <xdr:nvSpPr>
        <xdr:cNvPr id="10827723" name="Arc 42">
          <a:extLst>
            <a:ext uri="{FF2B5EF4-FFF2-40B4-BE49-F238E27FC236}">
              <a16:creationId xmlns:a16="http://schemas.microsoft.com/office/drawing/2014/main" id="{00000000-0008-0000-0E00-0000CB37A500}"/>
            </a:ext>
          </a:extLst>
        </xdr:cNvPr>
        <xdr:cNvSpPr>
          <a:spLocks/>
        </xdr:cNvSpPr>
      </xdr:nvSpPr>
      <xdr:spPr bwMode="auto">
        <a:xfrm flipH="1">
          <a:off x="8934450" y="948690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66675</xdr:rowOff>
    </xdr:from>
    <xdr:to>
      <xdr:col>13</xdr:col>
      <xdr:colOff>152400</xdr:colOff>
      <xdr:row>52</xdr:row>
      <xdr:rowOff>85725</xdr:rowOff>
    </xdr:to>
    <xdr:sp macro="" textlink="">
      <xdr:nvSpPr>
        <xdr:cNvPr id="10827724" name="Arc 43">
          <a:extLst>
            <a:ext uri="{FF2B5EF4-FFF2-40B4-BE49-F238E27FC236}">
              <a16:creationId xmlns:a16="http://schemas.microsoft.com/office/drawing/2014/main" id="{00000000-0008-0000-0E00-0000CC37A500}"/>
            </a:ext>
          </a:extLst>
        </xdr:cNvPr>
        <xdr:cNvSpPr>
          <a:spLocks/>
        </xdr:cNvSpPr>
      </xdr:nvSpPr>
      <xdr:spPr bwMode="auto">
        <a:xfrm>
          <a:off x="8934450" y="9467850"/>
          <a:ext cx="28575" cy="190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4 h 21600"/>
            <a:gd name="T4" fmla="*/ 0 w 21600"/>
            <a:gd name="T5" fmla="*/ 4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104775</xdr:colOff>
      <xdr:row>52</xdr:row>
      <xdr:rowOff>66675</xdr:rowOff>
    </xdr:from>
    <xdr:to>
      <xdr:col>13</xdr:col>
      <xdr:colOff>161925</xdr:colOff>
      <xdr:row>58</xdr:row>
      <xdr:rowOff>0</xdr:rowOff>
    </xdr:to>
    <xdr:sp macro="" textlink="">
      <xdr:nvSpPr>
        <xdr:cNvPr id="10827725" name="Arc 44">
          <a:extLst>
            <a:ext uri="{FF2B5EF4-FFF2-40B4-BE49-F238E27FC236}">
              <a16:creationId xmlns:a16="http://schemas.microsoft.com/office/drawing/2014/main" id="{00000000-0008-0000-0E00-0000CD37A500}"/>
            </a:ext>
          </a:extLst>
        </xdr:cNvPr>
        <xdr:cNvSpPr>
          <a:spLocks/>
        </xdr:cNvSpPr>
      </xdr:nvSpPr>
      <xdr:spPr bwMode="auto">
        <a:xfrm flipV="1">
          <a:off x="6772275" y="9467850"/>
          <a:ext cx="2200275" cy="110490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657225</xdr:colOff>
      <xdr:row>38</xdr:row>
      <xdr:rowOff>28575</xdr:rowOff>
    </xdr:from>
    <xdr:to>
      <xdr:col>13</xdr:col>
      <xdr:colOff>0</xdr:colOff>
      <xdr:row>52</xdr:row>
      <xdr:rowOff>114300</xdr:rowOff>
    </xdr:to>
    <xdr:sp macro="" textlink="">
      <xdr:nvSpPr>
        <xdr:cNvPr id="10827726" name="Line 45">
          <a:extLst>
            <a:ext uri="{FF2B5EF4-FFF2-40B4-BE49-F238E27FC236}">
              <a16:creationId xmlns:a16="http://schemas.microsoft.com/office/drawing/2014/main" id="{00000000-0008-0000-0E00-0000CE37A500}"/>
            </a:ext>
          </a:extLst>
        </xdr:cNvPr>
        <xdr:cNvSpPr>
          <a:spLocks noChangeShapeType="1"/>
        </xdr:cNvSpPr>
      </xdr:nvSpPr>
      <xdr:spPr bwMode="auto">
        <a:xfrm flipH="1">
          <a:off x="8772525" y="7086600"/>
          <a:ext cx="38100" cy="24288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161925</xdr:colOff>
      <xdr:row>34</xdr:row>
      <xdr:rowOff>0</xdr:rowOff>
    </xdr:from>
    <xdr:to>
      <xdr:col>3</xdr:col>
      <xdr:colOff>142875</xdr:colOff>
      <xdr:row>34</xdr:row>
      <xdr:rowOff>0</xdr:rowOff>
    </xdr:to>
    <xdr:sp macro="" textlink="">
      <xdr:nvSpPr>
        <xdr:cNvPr id="10827727" name="Line 46">
          <a:extLst>
            <a:ext uri="{FF2B5EF4-FFF2-40B4-BE49-F238E27FC236}">
              <a16:creationId xmlns:a16="http://schemas.microsoft.com/office/drawing/2014/main" id="{00000000-0008-0000-0E00-0000CF37A500}"/>
            </a:ext>
          </a:extLst>
        </xdr:cNvPr>
        <xdr:cNvSpPr>
          <a:spLocks noChangeShapeType="1"/>
        </xdr:cNvSpPr>
      </xdr:nvSpPr>
      <xdr:spPr bwMode="auto">
        <a:xfrm flipH="1">
          <a:off x="1047750" y="6410325"/>
          <a:ext cx="8191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28575</xdr:colOff>
      <xdr:row>61</xdr:row>
      <xdr:rowOff>95250</xdr:rowOff>
    </xdr:from>
    <xdr:to>
      <xdr:col>6</xdr:col>
      <xdr:colOff>209550</xdr:colOff>
      <xdr:row>66</xdr:row>
      <xdr:rowOff>123825</xdr:rowOff>
    </xdr:to>
    <xdr:sp macro="" textlink="">
      <xdr:nvSpPr>
        <xdr:cNvPr id="10827728" name="Oval 47">
          <a:extLst>
            <a:ext uri="{FF2B5EF4-FFF2-40B4-BE49-F238E27FC236}">
              <a16:creationId xmlns:a16="http://schemas.microsoft.com/office/drawing/2014/main" id="{00000000-0008-0000-0E00-0000D037A500}"/>
            </a:ext>
          </a:extLst>
        </xdr:cNvPr>
        <xdr:cNvSpPr>
          <a:spLocks noChangeArrowheads="1"/>
        </xdr:cNvSpPr>
      </xdr:nvSpPr>
      <xdr:spPr bwMode="auto">
        <a:xfrm>
          <a:off x="3086100" y="11172825"/>
          <a:ext cx="942975" cy="8858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581025</xdr:colOff>
      <xdr:row>61</xdr:row>
      <xdr:rowOff>28575</xdr:rowOff>
    </xdr:from>
    <xdr:to>
      <xdr:col>9</xdr:col>
      <xdr:colOff>180975</xdr:colOff>
      <xdr:row>66</xdr:row>
      <xdr:rowOff>101600</xdr:rowOff>
    </xdr:to>
    <xdr:sp macro="" textlink="">
      <xdr:nvSpPr>
        <xdr:cNvPr id="10827729" name="Oval 48">
          <a:extLst>
            <a:ext uri="{FF2B5EF4-FFF2-40B4-BE49-F238E27FC236}">
              <a16:creationId xmlns:a16="http://schemas.microsoft.com/office/drawing/2014/main" id="{00000000-0008-0000-0E00-0000D137A500}"/>
            </a:ext>
          </a:extLst>
        </xdr:cNvPr>
        <xdr:cNvSpPr>
          <a:spLocks noChangeArrowheads="1"/>
        </xdr:cNvSpPr>
      </xdr:nvSpPr>
      <xdr:spPr bwMode="auto">
        <a:xfrm>
          <a:off x="5165725" y="11255375"/>
          <a:ext cx="984250" cy="9112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152400</xdr:colOff>
      <xdr:row>38</xdr:row>
      <xdr:rowOff>19050</xdr:rowOff>
    </xdr:from>
    <xdr:to>
      <xdr:col>13</xdr:col>
      <xdr:colOff>342900</xdr:colOff>
      <xdr:row>52</xdr:row>
      <xdr:rowOff>76200</xdr:rowOff>
    </xdr:to>
    <xdr:sp macro="" textlink="">
      <xdr:nvSpPr>
        <xdr:cNvPr id="10827730" name="Line 49">
          <a:extLst>
            <a:ext uri="{FF2B5EF4-FFF2-40B4-BE49-F238E27FC236}">
              <a16:creationId xmlns:a16="http://schemas.microsoft.com/office/drawing/2014/main" id="{00000000-0008-0000-0E00-0000D237A500}"/>
            </a:ext>
          </a:extLst>
        </xdr:cNvPr>
        <xdr:cNvSpPr>
          <a:spLocks noChangeShapeType="1"/>
        </xdr:cNvSpPr>
      </xdr:nvSpPr>
      <xdr:spPr bwMode="auto">
        <a:xfrm flipH="1" flipV="1">
          <a:off x="8963025" y="7077075"/>
          <a:ext cx="190500" cy="2400300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638175</xdr:colOff>
      <xdr:row>37</xdr:row>
      <xdr:rowOff>142875</xdr:rowOff>
    </xdr:from>
    <xdr:to>
      <xdr:col>15</xdr:col>
      <xdr:colOff>619125</xdr:colOff>
      <xdr:row>52</xdr:row>
      <xdr:rowOff>104775</xdr:rowOff>
    </xdr:to>
    <xdr:sp macro="" textlink="">
      <xdr:nvSpPr>
        <xdr:cNvPr id="10827731" name="Line 50">
          <a:extLst>
            <a:ext uri="{FF2B5EF4-FFF2-40B4-BE49-F238E27FC236}">
              <a16:creationId xmlns:a16="http://schemas.microsoft.com/office/drawing/2014/main" id="{00000000-0008-0000-0E00-0000D337A500}"/>
            </a:ext>
          </a:extLst>
        </xdr:cNvPr>
        <xdr:cNvSpPr>
          <a:spLocks noChangeShapeType="1"/>
        </xdr:cNvSpPr>
      </xdr:nvSpPr>
      <xdr:spPr bwMode="auto">
        <a:xfrm flipH="1">
          <a:off x="10315575" y="7038975"/>
          <a:ext cx="676275" cy="2466975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18</xdr:row>
      <xdr:rowOff>104775</xdr:rowOff>
    </xdr:from>
    <xdr:to>
      <xdr:col>6</xdr:col>
      <xdr:colOff>0</xdr:colOff>
      <xdr:row>26</xdr:row>
      <xdr:rowOff>0</xdr:rowOff>
    </xdr:to>
    <xdr:sp macro="" textlink="">
      <xdr:nvSpPr>
        <xdr:cNvPr id="10827732" name="Oval 51">
          <a:extLst>
            <a:ext uri="{FF2B5EF4-FFF2-40B4-BE49-F238E27FC236}">
              <a16:creationId xmlns:a16="http://schemas.microsoft.com/office/drawing/2014/main" id="{00000000-0008-0000-0E00-0000D437A500}"/>
            </a:ext>
          </a:extLst>
        </xdr:cNvPr>
        <xdr:cNvSpPr>
          <a:spLocks noChangeArrowheads="1"/>
        </xdr:cNvSpPr>
      </xdr:nvSpPr>
      <xdr:spPr bwMode="auto">
        <a:xfrm>
          <a:off x="2428875" y="3657600"/>
          <a:ext cx="1390650" cy="13335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28575</xdr:colOff>
      <xdr:row>16</xdr:row>
      <xdr:rowOff>66675</xdr:rowOff>
    </xdr:from>
    <xdr:to>
      <xdr:col>4</xdr:col>
      <xdr:colOff>200025</xdr:colOff>
      <xdr:row>19</xdr:row>
      <xdr:rowOff>123825</xdr:rowOff>
    </xdr:to>
    <xdr:sp macro="" textlink="">
      <xdr:nvSpPr>
        <xdr:cNvPr id="10827733" name="Line 52">
          <a:extLst>
            <a:ext uri="{FF2B5EF4-FFF2-40B4-BE49-F238E27FC236}">
              <a16:creationId xmlns:a16="http://schemas.microsoft.com/office/drawing/2014/main" id="{00000000-0008-0000-0E00-0000D537A500}"/>
            </a:ext>
          </a:extLst>
        </xdr:cNvPr>
        <xdr:cNvSpPr>
          <a:spLocks noChangeShapeType="1"/>
        </xdr:cNvSpPr>
      </xdr:nvSpPr>
      <xdr:spPr bwMode="auto">
        <a:xfrm flipH="1" flipV="1">
          <a:off x="2447925" y="3295650"/>
          <a:ext cx="171450" cy="5619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15</xdr:row>
      <xdr:rowOff>123825</xdr:rowOff>
    </xdr:from>
    <xdr:to>
      <xdr:col>3</xdr:col>
      <xdr:colOff>533400</xdr:colOff>
      <xdr:row>30</xdr:row>
      <xdr:rowOff>104775</xdr:rowOff>
    </xdr:to>
    <xdr:sp macro="" textlink="">
      <xdr:nvSpPr>
        <xdr:cNvPr id="10827734" name="Line 53">
          <a:extLst>
            <a:ext uri="{FF2B5EF4-FFF2-40B4-BE49-F238E27FC236}">
              <a16:creationId xmlns:a16="http://schemas.microsoft.com/office/drawing/2014/main" id="{00000000-0008-0000-0E00-0000D637A500}"/>
            </a:ext>
          </a:extLst>
        </xdr:cNvPr>
        <xdr:cNvSpPr>
          <a:spLocks noChangeShapeType="1"/>
        </xdr:cNvSpPr>
      </xdr:nvSpPr>
      <xdr:spPr bwMode="auto">
        <a:xfrm flipV="1">
          <a:off x="2209800" y="3190875"/>
          <a:ext cx="47625" cy="25812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485775</xdr:colOff>
      <xdr:row>41</xdr:row>
      <xdr:rowOff>9525</xdr:rowOff>
    </xdr:from>
    <xdr:to>
      <xdr:col>8</xdr:col>
      <xdr:colOff>200025</xdr:colOff>
      <xdr:row>47</xdr:row>
      <xdr:rowOff>76200</xdr:rowOff>
    </xdr:to>
    <xdr:sp macro="" textlink="">
      <xdr:nvSpPr>
        <xdr:cNvPr id="10827735" name="Oval 54">
          <a:extLst>
            <a:ext uri="{FF2B5EF4-FFF2-40B4-BE49-F238E27FC236}">
              <a16:creationId xmlns:a16="http://schemas.microsoft.com/office/drawing/2014/main" id="{00000000-0008-0000-0E00-0000D737A500}"/>
            </a:ext>
          </a:extLst>
        </xdr:cNvPr>
        <xdr:cNvSpPr>
          <a:spLocks noChangeArrowheads="1"/>
        </xdr:cNvSpPr>
      </xdr:nvSpPr>
      <xdr:spPr bwMode="auto">
        <a:xfrm>
          <a:off x="3543300" y="7553325"/>
          <a:ext cx="1952625" cy="10572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695325</xdr:colOff>
      <xdr:row>36</xdr:row>
      <xdr:rowOff>104775</xdr:rowOff>
    </xdr:from>
    <xdr:to>
      <xdr:col>9</xdr:col>
      <xdr:colOff>95250</xdr:colOff>
      <xdr:row>42</xdr:row>
      <xdr:rowOff>38100</xdr:rowOff>
    </xdr:to>
    <xdr:sp macro="" textlink="">
      <xdr:nvSpPr>
        <xdr:cNvPr id="10827736" name="Line 55">
          <a:extLst>
            <a:ext uri="{FF2B5EF4-FFF2-40B4-BE49-F238E27FC236}">
              <a16:creationId xmlns:a16="http://schemas.microsoft.com/office/drawing/2014/main" id="{00000000-0008-0000-0E00-0000D837A500}"/>
            </a:ext>
          </a:extLst>
        </xdr:cNvPr>
        <xdr:cNvSpPr>
          <a:spLocks noChangeShapeType="1"/>
        </xdr:cNvSpPr>
      </xdr:nvSpPr>
      <xdr:spPr bwMode="auto">
        <a:xfrm flipH="1">
          <a:off x="5276850" y="6838950"/>
          <a:ext cx="781050" cy="9048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466725</xdr:colOff>
      <xdr:row>41</xdr:row>
      <xdr:rowOff>0</xdr:rowOff>
    </xdr:from>
    <xdr:to>
      <xdr:col>8</xdr:col>
      <xdr:colOff>190500</xdr:colOff>
      <xdr:row>59</xdr:row>
      <xdr:rowOff>28575</xdr:rowOff>
    </xdr:to>
    <xdr:sp macro="" textlink="">
      <xdr:nvSpPr>
        <xdr:cNvPr id="10827737" name="Rectangle 56">
          <a:extLst>
            <a:ext uri="{FF2B5EF4-FFF2-40B4-BE49-F238E27FC236}">
              <a16:creationId xmlns:a16="http://schemas.microsoft.com/office/drawing/2014/main" id="{00000000-0008-0000-0E00-0000D937A500}"/>
            </a:ext>
          </a:extLst>
        </xdr:cNvPr>
        <xdr:cNvSpPr>
          <a:spLocks noChangeArrowheads="1"/>
        </xdr:cNvSpPr>
      </xdr:nvSpPr>
      <xdr:spPr bwMode="auto">
        <a:xfrm>
          <a:off x="3524250" y="7543800"/>
          <a:ext cx="1962150" cy="32385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438150</xdr:colOff>
      <xdr:row>45</xdr:row>
      <xdr:rowOff>85725</xdr:rowOff>
    </xdr:from>
    <xdr:to>
      <xdr:col>5</xdr:col>
      <xdr:colOff>561975</xdr:colOff>
      <xdr:row>47</xdr:row>
      <xdr:rowOff>104775</xdr:rowOff>
    </xdr:to>
    <xdr:sp macro="" textlink="">
      <xdr:nvSpPr>
        <xdr:cNvPr id="10827738" name="Line 57">
          <a:extLst>
            <a:ext uri="{FF2B5EF4-FFF2-40B4-BE49-F238E27FC236}">
              <a16:creationId xmlns:a16="http://schemas.microsoft.com/office/drawing/2014/main" id="{00000000-0008-0000-0E00-0000DA37A500}"/>
            </a:ext>
          </a:extLst>
        </xdr:cNvPr>
        <xdr:cNvSpPr>
          <a:spLocks noChangeShapeType="1"/>
        </xdr:cNvSpPr>
      </xdr:nvSpPr>
      <xdr:spPr bwMode="auto">
        <a:xfrm flipH="1">
          <a:off x="2857500" y="8277225"/>
          <a:ext cx="762000" cy="3619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</xdr:row>
      <xdr:rowOff>76200</xdr:rowOff>
    </xdr:from>
    <xdr:to>
      <xdr:col>7</xdr:col>
      <xdr:colOff>0</xdr:colOff>
      <xdr:row>41</xdr:row>
      <xdr:rowOff>9525</xdr:rowOff>
    </xdr:to>
    <xdr:sp macro="" textlink="">
      <xdr:nvSpPr>
        <xdr:cNvPr id="10827739" name="Line 58">
          <a:extLst>
            <a:ext uri="{FF2B5EF4-FFF2-40B4-BE49-F238E27FC236}">
              <a16:creationId xmlns:a16="http://schemas.microsoft.com/office/drawing/2014/main" id="{00000000-0008-0000-0E00-0000DB37A500}"/>
            </a:ext>
          </a:extLst>
        </xdr:cNvPr>
        <xdr:cNvSpPr>
          <a:spLocks noChangeShapeType="1"/>
        </xdr:cNvSpPr>
      </xdr:nvSpPr>
      <xdr:spPr bwMode="auto">
        <a:xfrm>
          <a:off x="4581525" y="7134225"/>
          <a:ext cx="0" cy="4191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827740" name="Line 59">
          <a:extLst>
            <a:ext uri="{FF2B5EF4-FFF2-40B4-BE49-F238E27FC236}">
              <a16:creationId xmlns:a16="http://schemas.microsoft.com/office/drawing/2014/main" id="{00000000-0008-0000-0E00-0000DC37A500}"/>
            </a:ext>
          </a:extLst>
        </xdr:cNvPr>
        <xdr:cNvSpPr>
          <a:spLocks noChangeShapeType="1"/>
        </xdr:cNvSpPr>
      </xdr:nvSpPr>
      <xdr:spPr bwMode="auto">
        <a:xfrm flipH="1">
          <a:off x="1323975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0</xdr:row>
      <xdr:rowOff>0</xdr:rowOff>
    </xdr:from>
    <xdr:to>
      <xdr:col>4</xdr:col>
      <xdr:colOff>371475</xdr:colOff>
      <xdr:row>0</xdr:row>
      <xdr:rowOff>0</xdr:rowOff>
    </xdr:to>
    <xdr:sp macro="" textlink="">
      <xdr:nvSpPr>
        <xdr:cNvPr id="10827741" name="Arc 60">
          <a:extLst>
            <a:ext uri="{FF2B5EF4-FFF2-40B4-BE49-F238E27FC236}">
              <a16:creationId xmlns:a16="http://schemas.microsoft.com/office/drawing/2014/main" id="{00000000-0008-0000-0E00-0000DD37A500}"/>
            </a:ext>
          </a:extLst>
        </xdr:cNvPr>
        <xdr:cNvSpPr>
          <a:spLocks/>
        </xdr:cNvSpPr>
      </xdr:nvSpPr>
      <xdr:spPr bwMode="auto">
        <a:xfrm flipH="1" flipV="1">
          <a:off x="2781300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27742" name="Line 61">
          <a:extLst>
            <a:ext uri="{FF2B5EF4-FFF2-40B4-BE49-F238E27FC236}">
              <a16:creationId xmlns:a16="http://schemas.microsoft.com/office/drawing/2014/main" id="{00000000-0008-0000-0E00-0000DE37A500}"/>
            </a:ext>
          </a:extLst>
        </xdr:cNvPr>
        <xdr:cNvSpPr>
          <a:spLocks noChangeShapeType="1"/>
        </xdr:cNvSpPr>
      </xdr:nvSpPr>
      <xdr:spPr bwMode="auto">
        <a:xfrm flipV="1">
          <a:off x="4581525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0</xdr:row>
      <xdr:rowOff>0</xdr:rowOff>
    </xdr:from>
    <xdr:to>
      <xdr:col>12</xdr:col>
      <xdr:colOff>561975</xdr:colOff>
      <xdr:row>0</xdr:row>
      <xdr:rowOff>0</xdr:rowOff>
    </xdr:to>
    <xdr:sp macro="" textlink="">
      <xdr:nvSpPr>
        <xdr:cNvPr id="10827743" name="Arc 62">
          <a:extLst>
            <a:ext uri="{FF2B5EF4-FFF2-40B4-BE49-F238E27FC236}">
              <a16:creationId xmlns:a16="http://schemas.microsoft.com/office/drawing/2014/main" id="{00000000-0008-0000-0E00-0000DF37A500}"/>
            </a:ext>
          </a:extLst>
        </xdr:cNvPr>
        <xdr:cNvSpPr>
          <a:spLocks/>
        </xdr:cNvSpPr>
      </xdr:nvSpPr>
      <xdr:spPr bwMode="auto">
        <a:xfrm flipV="1">
          <a:off x="8620125" y="0"/>
          <a:ext cx="57150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27744" name="Arc 63">
          <a:extLst>
            <a:ext uri="{FF2B5EF4-FFF2-40B4-BE49-F238E27FC236}">
              <a16:creationId xmlns:a16="http://schemas.microsoft.com/office/drawing/2014/main" id="{00000000-0008-0000-0E00-0000E037A500}"/>
            </a:ext>
          </a:extLst>
        </xdr:cNvPr>
        <xdr:cNvSpPr>
          <a:spLocks/>
        </xdr:cNvSpPr>
      </xdr:nvSpPr>
      <xdr:spPr bwMode="auto">
        <a:xfrm flipH="1">
          <a:off x="8934450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27745" name="Arc 64">
          <a:extLst>
            <a:ext uri="{FF2B5EF4-FFF2-40B4-BE49-F238E27FC236}">
              <a16:creationId xmlns:a16="http://schemas.microsoft.com/office/drawing/2014/main" id="{00000000-0008-0000-0E00-0000E137A500}"/>
            </a:ext>
          </a:extLst>
        </xdr:cNvPr>
        <xdr:cNvSpPr>
          <a:spLocks/>
        </xdr:cNvSpPr>
      </xdr:nvSpPr>
      <xdr:spPr bwMode="auto">
        <a:xfrm>
          <a:off x="8934450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27746" name="Line 65">
          <a:extLst>
            <a:ext uri="{FF2B5EF4-FFF2-40B4-BE49-F238E27FC236}">
              <a16:creationId xmlns:a16="http://schemas.microsoft.com/office/drawing/2014/main" id="{00000000-0008-0000-0E00-0000E237A500}"/>
            </a:ext>
          </a:extLst>
        </xdr:cNvPr>
        <xdr:cNvSpPr>
          <a:spLocks noChangeShapeType="1"/>
        </xdr:cNvSpPr>
      </xdr:nvSpPr>
      <xdr:spPr bwMode="auto">
        <a:xfrm>
          <a:off x="4581525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7747" name="Line 66">
          <a:extLst>
            <a:ext uri="{FF2B5EF4-FFF2-40B4-BE49-F238E27FC236}">
              <a16:creationId xmlns:a16="http://schemas.microsoft.com/office/drawing/2014/main" id="{00000000-0008-0000-0E00-0000E337A500}"/>
            </a:ext>
          </a:extLst>
        </xdr:cNvPr>
        <xdr:cNvSpPr>
          <a:spLocks noChangeShapeType="1"/>
        </xdr:cNvSpPr>
      </xdr:nvSpPr>
      <xdr:spPr bwMode="auto">
        <a:xfrm flipH="1">
          <a:off x="132397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7748" name="Line 67">
          <a:extLst>
            <a:ext uri="{FF2B5EF4-FFF2-40B4-BE49-F238E27FC236}">
              <a16:creationId xmlns:a16="http://schemas.microsoft.com/office/drawing/2014/main" id="{00000000-0008-0000-0E00-0000E437A500}"/>
            </a:ext>
          </a:extLst>
        </xdr:cNvPr>
        <xdr:cNvSpPr>
          <a:spLocks noChangeShapeType="1"/>
        </xdr:cNvSpPr>
      </xdr:nvSpPr>
      <xdr:spPr bwMode="auto">
        <a:xfrm flipH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27749" name="Arc 68">
          <a:extLst>
            <a:ext uri="{FF2B5EF4-FFF2-40B4-BE49-F238E27FC236}">
              <a16:creationId xmlns:a16="http://schemas.microsoft.com/office/drawing/2014/main" id="{00000000-0008-0000-0E00-0000E537A500}"/>
            </a:ext>
          </a:extLst>
        </xdr:cNvPr>
        <xdr:cNvSpPr>
          <a:spLocks/>
        </xdr:cNvSpPr>
      </xdr:nvSpPr>
      <xdr:spPr bwMode="auto">
        <a:xfrm flipH="1" flipV="1">
          <a:off x="2781300" y="12315825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7750" name="Line 69">
          <a:extLst>
            <a:ext uri="{FF2B5EF4-FFF2-40B4-BE49-F238E27FC236}">
              <a16:creationId xmlns:a16="http://schemas.microsoft.com/office/drawing/2014/main" id="{00000000-0008-0000-0E00-0000E637A500}"/>
            </a:ext>
          </a:extLst>
        </xdr:cNvPr>
        <xdr:cNvSpPr>
          <a:spLocks noChangeShapeType="1"/>
        </xdr:cNvSpPr>
      </xdr:nvSpPr>
      <xdr:spPr bwMode="auto">
        <a:xfrm flipV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7751" name="Line 70">
          <a:extLst>
            <a:ext uri="{FF2B5EF4-FFF2-40B4-BE49-F238E27FC236}">
              <a16:creationId xmlns:a16="http://schemas.microsoft.com/office/drawing/2014/main" id="{00000000-0008-0000-0E00-0000E737A500}"/>
            </a:ext>
          </a:extLst>
        </xdr:cNvPr>
        <xdr:cNvSpPr>
          <a:spLocks noChangeShapeType="1"/>
        </xdr:cNvSpPr>
      </xdr:nvSpPr>
      <xdr:spPr bwMode="auto">
        <a:xfrm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7752" name="Line 71">
          <a:extLst>
            <a:ext uri="{FF2B5EF4-FFF2-40B4-BE49-F238E27FC236}">
              <a16:creationId xmlns:a16="http://schemas.microsoft.com/office/drawing/2014/main" id="{00000000-0008-0000-0E00-0000E837A500}"/>
            </a:ext>
          </a:extLst>
        </xdr:cNvPr>
        <xdr:cNvSpPr>
          <a:spLocks noChangeShapeType="1"/>
        </xdr:cNvSpPr>
      </xdr:nvSpPr>
      <xdr:spPr bwMode="auto">
        <a:xfrm flipH="1">
          <a:off x="132397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7753" name="Line 72">
          <a:extLst>
            <a:ext uri="{FF2B5EF4-FFF2-40B4-BE49-F238E27FC236}">
              <a16:creationId xmlns:a16="http://schemas.microsoft.com/office/drawing/2014/main" id="{00000000-0008-0000-0E00-0000E937A500}"/>
            </a:ext>
          </a:extLst>
        </xdr:cNvPr>
        <xdr:cNvSpPr>
          <a:spLocks noChangeShapeType="1"/>
        </xdr:cNvSpPr>
      </xdr:nvSpPr>
      <xdr:spPr bwMode="auto">
        <a:xfrm flipH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27754" name="Arc 73">
          <a:extLst>
            <a:ext uri="{FF2B5EF4-FFF2-40B4-BE49-F238E27FC236}">
              <a16:creationId xmlns:a16="http://schemas.microsoft.com/office/drawing/2014/main" id="{00000000-0008-0000-0E00-0000EA37A500}"/>
            </a:ext>
          </a:extLst>
        </xdr:cNvPr>
        <xdr:cNvSpPr>
          <a:spLocks/>
        </xdr:cNvSpPr>
      </xdr:nvSpPr>
      <xdr:spPr bwMode="auto">
        <a:xfrm flipH="1" flipV="1">
          <a:off x="2781300" y="12315825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7755" name="Line 74">
          <a:extLst>
            <a:ext uri="{FF2B5EF4-FFF2-40B4-BE49-F238E27FC236}">
              <a16:creationId xmlns:a16="http://schemas.microsoft.com/office/drawing/2014/main" id="{00000000-0008-0000-0E00-0000EB37A500}"/>
            </a:ext>
          </a:extLst>
        </xdr:cNvPr>
        <xdr:cNvSpPr>
          <a:spLocks noChangeShapeType="1"/>
        </xdr:cNvSpPr>
      </xdr:nvSpPr>
      <xdr:spPr bwMode="auto">
        <a:xfrm flipV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7756" name="Line 75">
          <a:extLst>
            <a:ext uri="{FF2B5EF4-FFF2-40B4-BE49-F238E27FC236}">
              <a16:creationId xmlns:a16="http://schemas.microsoft.com/office/drawing/2014/main" id="{00000000-0008-0000-0E00-0000EC37A500}"/>
            </a:ext>
          </a:extLst>
        </xdr:cNvPr>
        <xdr:cNvSpPr>
          <a:spLocks noChangeShapeType="1"/>
        </xdr:cNvSpPr>
      </xdr:nvSpPr>
      <xdr:spPr bwMode="auto">
        <a:xfrm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7757" name="Line 76">
          <a:extLst>
            <a:ext uri="{FF2B5EF4-FFF2-40B4-BE49-F238E27FC236}">
              <a16:creationId xmlns:a16="http://schemas.microsoft.com/office/drawing/2014/main" id="{00000000-0008-0000-0E00-0000ED37A500}"/>
            </a:ext>
          </a:extLst>
        </xdr:cNvPr>
        <xdr:cNvSpPr>
          <a:spLocks noChangeShapeType="1"/>
        </xdr:cNvSpPr>
      </xdr:nvSpPr>
      <xdr:spPr bwMode="auto">
        <a:xfrm flipH="1">
          <a:off x="132397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7758" name="Line 77">
          <a:extLst>
            <a:ext uri="{FF2B5EF4-FFF2-40B4-BE49-F238E27FC236}">
              <a16:creationId xmlns:a16="http://schemas.microsoft.com/office/drawing/2014/main" id="{00000000-0008-0000-0E00-0000EE37A500}"/>
            </a:ext>
          </a:extLst>
        </xdr:cNvPr>
        <xdr:cNvSpPr>
          <a:spLocks noChangeShapeType="1"/>
        </xdr:cNvSpPr>
      </xdr:nvSpPr>
      <xdr:spPr bwMode="auto">
        <a:xfrm flipH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7759" name="Line 78">
          <a:extLst>
            <a:ext uri="{FF2B5EF4-FFF2-40B4-BE49-F238E27FC236}">
              <a16:creationId xmlns:a16="http://schemas.microsoft.com/office/drawing/2014/main" id="{00000000-0008-0000-0E00-0000EF37A500}"/>
            </a:ext>
          </a:extLst>
        </xdr:cNvPr>
        <xdr:cNvSpPr>
          <a:spLocks noChangeShapeType="1"/>
        </xdr:cNvSpPr>
      </xdr:nvSpPr>
      <xdr:spPr bwMode="auto">
        <a:xfrm flipV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7760" name="Line 79">
          <a:extLst>
            <a:ext uri="{FF2B5EF4-FFF2-40B4-BE49-F238E27FC236}">
              <a16:creationId xmlns:a16="http://schemas.microsoft.com/office/drawing/2014/main" id="{00000000-0008-0000-0E00-0000F037A500}"/>
            </a:ext>
          </a:extLst>
        </xdr:cNvPr>
        <xdr:cNvSpPr>
          <a:spLocks noChangeShapeType="1"/>
        </xdr:cNvSpPr>
      </xdr:nvSpPr>
      <xdr:spPr bwMode="auto">
        <a:xfrm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7761" name="Line 80">
          <a:extLst>
            <a:ext uri="{FF2B5EF4-FFF2-40B4-BE49-F238E27FC236}">
              <a16:creationId xmlns:a16="http://schemas.microsoft.com/office/drawing/2014/main" id="{00000000-0008-0000-0E00-0000F137A500}"/>
            </a:ext>
          </a:extLst>
        </xdr:cNvPr>
        <xdr:cNvSpPr>
          <a:spLocks noChangeShapeType="1"/>
        </xdr:cNvSpPr>
      </xdr:nvSpPr>
      <xdr:spPr bwMode="auto">
        <a:xfrm flipH="1">
          <a:off x="132397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7762" name="Line 81">
          <a:extLst>
            <a:ext uri="{FF2B5EF4-FFF2-40B4-BE49-F238E27FC236}">
              <a16:creationId xmlns:a16="http://schemas.microsoft.com/office/drawing/2014/main" id="{00000000-0008-0000-0E00-0000F237A500}"/>
            </a:ext>
          </a:extLst>
        </xdr:cNvPr>
        <xdr:cNvSpPr>
          <a:spLocks noChangeShapeType="1"/>
        </xdr:cNvSpPr>
      </xdr:nvSpPr>
      <xdr:spPr bwMode="auto">
        <a:xfrm flipH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7763" name="Line 82">
          <a:extLst>
            <a:ext uri="{FF2B5EF4-FFF2-40B4-BE49-F238E27FC236}">
              <a16:creationId xmlns:a16="http://schemas.microsoft.com/office/drawing/2014/main" id="{00000000-0008-0000-0E00-0000F337A500}"/>
            </a:ext>
          </a:extLst>
        </xdr:cNvPr>
        <xdr:cNvSpPr>
          <a:spLocks noChangeShapeType="1"/>
        </xdr:cNvSpPr>
      </xdr:nvSpPr>
      <xdr:spPr bwMode="auto">
        <a:xfrm flipV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7764" name="Line 83">
          <a:extLst>
            <a:ext uri="{FF2B5EF4-FFF2-40B4-BE49-F238E27FC236}">
              <a16:creationId xmlns:a16="http://schemas.microsoft.com/office/drawing/2014/main" id="{00000000-0008-0000-0E00-0000F437A500}"/>
            </a:ext>
          </a:extLst>
        </xdr:cNvPr>
        <xdr:cNvSpPr>
          <a:spLocks noChangeShapeType="1"/>
        </xdr:cNvSpPr>
      </xdr:nvSpPr>
      <xdr:spPr bwMode="auto">
        <a:xfrm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7765" name="Line 84">
          <a:extLst>
            <a:ext uri="{FF2B5EF4-FFF2-40B4-BE49-F238E27FC236}">
              <a16:creationId xmlns:a16="http://schemas.microsoft.com/office/drawing/2014/main" id="{00000000-0008-0000-0E00-0000F537A500}"/>
            </a:ext>
          </a:extLst>
        </xdr:cNvPr>
        <xdr:cNvSpPr>
          <a:spLocks noChangeShapeType="1"/>
        </xdr:cNvSpPr>
      </xdr:nvSpPr>
      <xdr:spPr bwMode="auto">
        <a:xfrm flipH="1">
          <a:off x="132397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7766" name="Line 85">
          <a:extLst>
            <a:ext uri="{FF2B5EF4-FFF2-40B4-BE49-F238E27FC236}">
              <a16:creationId xmlns:a16="http://schemas.microsoft.com/office/drawing/2014/main" id="{00000000-0008-0000-0E00-0000F637A500}"/>
            </a:ext>
          </a:extLst>
        </xdr:cNvPr>
        <xdr:cNvSpPr>
          <a:spLocks noChangeShapeType="1"/>
        </xdr:cNvSpPr>
      </xdr:nvSpPr>
      <xdr:spPr bwMode="auto">
        <a:xfrm flipH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7767" name="Line 86">
          <a:extLst>
            <a:ext uri="{FF2B5EF4-FFF2-40B4-BE49-F238E27FC236}">
              <a16:creationId xmlns:a16="http://schemas.microsoft.com/office/drawing/2014/main" id="{00000000-0008-0000-0E00-0000F737A500}"/>
            </a:ext>
          </a:extLst>
        </xdr:cNvPr>
        <xdr:cNvSpPr>
          <a:spLocks noChangeShapeType="1"/>
        </xdr:cNvSpPr>
      </xdr:nvSpPr>
      <xdr:spPr bwMode="auto">
        <a:xfrm flipV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7768" name="Line 87">
          <a:extLst>
            <a:ext uri="{FF2B5EF4-FFF2-40B4-BE49-F238E27FC236}">
              <a16:creationId xmlns:a16="http://schemas.microsoft.com/office/drawing/2014/main" id="{00000000-0008-0000-0E00-0000F837A500}"/>
            </a:ext>
          </a:extLst>
        </xdr:cNvPr>
        <xdr:cNvSpPr>
          <a:spLocks noChangeShapeType="1"/>
        </xdr:cNvSpPr>
      </xdr:nvSpPr>
      <xdr:spPr bwMode="auto">
        <a:xfrm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7769" name="Line 88">
          <a:extLst>
            <a:ext uri="{FF2B5EF4-FFF2-40B4-BE49-F238E27FC236}">
              <a16:creationId xmlns:a16="http://schemas.microsoft.com/office/drawing/2014/main" id="{00000000-0008-0000-0E00-0000F937A500}"/>
            </a:ext>
          </a:extLst>
        </xdr:cNvPr>
        <xdr:cNvSpPr>
          <a:spLocks noChangeShapeType="1"/>
        </xdr:cNvSpPr>
      </xdr:nvSpPr>
      <xdr:spPr bwMode="auto">
        <a:xfrm flipH="1">
          <a:off x="132397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7770" name="Line 89">
          <a:extLst>
            <a:ext uri="{FF2B5EF4-FFF2-40B4-BE49-F238E27FC236}">
              <a16:creationId xmlns:a16="http://schemas.microsoft.com/office/drawing/2014/main" id="{00000000-0008-0000-0E00-0000FA37A500}"/>
            </a:ext>
          </a:extLst>
        </xdr:cNvPr>
        <xdr:cNvSpPr>
          <a:spLocks noChangeShapeType="1"/>
        </xdr:cNvSpPr>
      </xdr:nvSpPr>
      <xdr:spPr bwMode="auto">
        <a:xfrm flipH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7771" name="Line 90">
          <a:extLst>
            <a:ext uri="{FF2B5EF4-FFF2-40B4-BE49-F238E27FC236}">
              <a16:creationId xmlns:a16="http://schemas.microsoft.com/office/drawing/2014/main" id="{00000000-0008-0000-0E00-0000FB37A500}"/>
            </a:ext>
          </a:extLst>
        </xdr:cNvPr>
        <xdr:cNvSpPr>
          <a:spLocks noChangeShapeType="1"/>
        </xdr:cNvSpPr>
      </xdr:nvSpPr>
      <xdr:spPr bwMode="auto">
        <a:xfrm flipV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7772" name="Line 91">
          <a:extLst>
            <a:ext uri="{FF2B5EF4-FFF2-40B4-BE49-F238E27FC236}">
              <a16:creationId xmlns:a16="http://schemas.microsoft.com/office/drawing/2014/main" id="{00000000-0008-0000-0E00-0000FC37A500}"/>
            </a:ext>
          </a:extLst>
        </xdr:cNvPr>
        <xdr:cNvSpPr>
          <a:spLocks noChangeShapeType="1"/>
        </xdr:cNvSpPr>
      </xdr:nvSpPr>
      <xdr:spPr bwMode="auto">
        <a:xfrm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7773" name="Line 92">
          <a:extLst>
            <a:ext uri="{FF2B5EF4-FFF2-40B4-BE49-F238E27FC236}">
              <a16:creationId xmlns:a16="http://schemas.microsoft.com/office/drawing/2014/main" id="{00000000-0008-0000-0E00-0000FD37A500}"/>
            </a:ext>
          </a:extLst>
        </xdr:cNvPr>
        <xdr:cNvSpPr>
          <a:spLocks noChangeShapeType="1"/>
        </xdr:cNvSpPr>
      </xdr:nvSpPr>
      <xdr:spPr bwMode="auto">
        <a:xfrm flipH="1">
          <a:off x="132397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7774" name="Line 93">
          <a:extLst>
            <a:ext uri="{FF2B5EF4-FFF2-40B4-BE49-F238E27FC236}">
              <a16:creationId xmlns:a16="http://schemas.microsoft.com/office/drawing/2014/main" id="{00000000-0008-0000-0E00-0000FE37A500}"/>
            </a:ext>
          </a:extLst>
        </xdr:cNvPr>
        <xdr:cNvSpPr>
          <a:spLocks noChangeShapeType="1"/>
        </xdr:cNvSpPr>
      </xdr:nvSpPr>
      <xdr:spPr bwMode="auto">
        <a:xfrm flipH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7775" name="Line 94">
          <a:extLst>
            <a:ext uri="{FF2B5EF4-FFF2-40B4-BE49-F238E27FC236}">
              <a16:creationId xmlns:a16="http://schemas.microsoft.com/office/drawing/2014/main" id="{00000000-0008-0000-0E00-0000FF37A500}"/>
            </a:ext>
          </a:extLst>
        </xdr:cNvPr>
        <xdr:cNvSpPr>
          <a:spLocks noChangeShapeType="1"/>
        </xdr:cNvSpPr>
      </xdr:nvSpPr>
      <xdr:spPr bwMode="auto">
        <a:xfrm flipV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088" name="Line 95">
          <a:extLst>
            <a:ext uri="{FF2B5EF4-FFF2-40B4-BE49-F238E27FC236}">
              <a16:creationId xmlns:a16="http://schemas.microsoft.com/office/drawing/2014/main" id="{00000000-0008-0000-0E00-0000006CA500}"/>
            </a:ext>
          </a:extLst>
        </xdr:cNvPr>
        <xdr:cNvSpPr>
          <a:spLocks noChangeShapeType="1"/>
        </xdr:cNvSpPr>
      </xdr:nvSpPr>
      <xdr:spPr bwMode="auto">
        <a:xfrm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41089" name="Line 96">
          <a:extLst>
            <a:ext uri="{FF2B5EF4-FFF2-40B4-BE49-F238E27FC236}">
              <a16:creationId xmlns:a16="http://schemas.microsoft.com/office/drawing/2014/main" id="{00000000-0008-0000-0E00-0000016CA500}"/>
            </a:ext>
          </a:extLst>
        </xdr:cNvPr>
        <xdr:cNvSpPr>
          <a:spLocks noChangeShapeType="1"/>
        </xdr:cNvSpPr>
      </xdr:nvSpPr>
      <xdr:spPr bwMode="auto">
        <a:xfrm flipH="1">
          <a:off x="132397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090" name="Line 97">
          <a:extLst>
            <a:ext uri="{FF2B5EF4-FFF2-40B4-BE49-F238E27FC236}">
              <a16:creationId xmlns:a16="http://schemas.microsoft.com/office/drawing/2014/main" id="{00000000-0008-0000-0E00-0000026CA500}"/>
            </a:ext>
          </a:extLst>
        </xdr:cNvPr>
        <xdr:cNvSpPr>
          <a:spLocks noChangeShapeType="1"/>
        </xdr:cNvSpPr>
      </xdr:nvSpPr>
      <xdr:spPr bwMode="auto">
        <a:xfrm flipH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091" name="Line 98">
          <a:extLst>
            <a:ext uri="{FF2B5EF4-FFF2-40B4-BE49-F238E27FC236}">
              <a16:creationId xmlns:a16="http://schemas.microsoft.com/office/drawing/2014/main" id="{00000000-0008-0000-0E00-0000036CA500}"/>
            </a:ext>
          </a:extLst>
        </xdr:cNvPr>
        <xdr:cNvSpPr>
          <a:spLocks noChangeShapeType="1"/>
        </xdr:cNvSpPr>
      </xdr:nvSpPr>
      <xdr:spPr bwMode="auto">
        <a:xfrm flipV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092" name="Line 99">
          <a:extLst>
            <a:ext uri="{FF2B5EF4-FFF2-40B4-BE49-F238E27FC236}">
              <a16:creationId xmlns:a16="http://schemas.microsoft.com/office/drawing/2014/main" id="{00000000-0008-0000-0E00-0000046CA500}"/>
            </a:ext>
          </a:extLst>
        </xdr:cNvPr>
        <xdr:cNvSpPr>
          <a:spLocks noChangeShapeType="1"/>
        </xdr:cNvSpPr>
      </xdr:nvSpPr>
      <xdr:spPr bwMode="auto">
        <a:xfrm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41093" name="Line 100">
          <a:extLst>
            <a:ext uri="{FF2B5EF4-FFF2-40B4-BE49-F238E27FC236}">
              <a16:creationId xmlns:a16="http://schemas.microsoft.com/office/drawing/2014/main" id="{00000000-0008-0000-0E00-0000056CA500}"/>
            </a:ext>
          </a:extLst>
        </xdr:cNvPr>
        <xdr:cNvSpPr>
          <a:spLocks noChangeShapeType="1"/>
        </xdr:cNvSpPr>
      </xdr:nvSpPr>
      <xdr:spPr bwMode="auto">
        <a:xfrm flipH="1">
          <a:off x="132397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094" name="Line 101">
          <a:extLst>
            <a:ext uri="{FF2B5EF4-FFF2-40B4-BE49-F238E27FC236}">
              <a16:creationId xmlns:a16="http://schemas.microsoft.com/office/drawing/2014/main" id="{00000000-0008-0000-0E00-0000066CA500}"/>
            </a:ext>
          </a:extLst>
        </xdr:cNvPr>
        <xdr:cNvSpPr>
          <a:spLocks noChangeShapeType="1"/>
        </xdr:cNvSpPr>
      </xdr:nvSpPr>
      <xdr:spPr bwMode="auto">
        <a:xfrm flipH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095" name="Line 102">
          <a:extLst>
            <a:ext uri="{FF2B5EF4-FFF2-40B4-BE49-F238E27FC236}">
              <a16:creationId xmlns:a16="http://schemas.microsoft.com/office/drawing/2014/main" id="{00000000-0008-0000-0E00-0000076CA500}"/>
            </a:ext>
          </a:extLst>
        </xdr:cNvPr>
        <xdr:cNvSpPr>
          <a:spLocks noChangeShapeType="1"/>
        </xdr:cNvSpPr>
      </xdr:nvSpPr>
      <xdr:spPr bwMode="auto">
        <a:xfrm flipV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096" name="Line 103">
          <a:extLst>
            <a:ext uri="{FF2B5EF4-FFF2-40B4-BE49-F238E27FC236}">
              <a16:creationId xmlns:a16="http://schemas.microsoft.com/office/drawing/2014/main" id="{00000000-0008-0000-0E00-0000086CA500}"/>
            </a:ext>
          </a:extLst>
        </xdr:cNvPr>
        <xdr:cNvSpPr>
          <a:spLocks noChangeShapeType="1"/>
        </xdr:cNvSpPr>
      </xdr:nvSpPr>
      <xdr:spPr bwMode="auto">
        <a:xfrm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41097" name="Line 104">
          <a:extLst>
            <a:ext uri="{FF2B5EF4-FFF2-40B4-BE49-F238E27FC236}">
              <a16:creationId xmlns:a16="http://schemas.microsoft.com/office/drawing/2014/main" id="{00000000-0008-0000-0E00-0000096CA500}"/>
            </a:ext>
          </a:extLst>
        </xdr:cNvPr>
        <xdr:cNvSpPr>
          <a:spLocks noChangeShapeType="1"/>
        </xdr:cNvSpPr>
      </xdr:nvSpPr>
      <xdr:spPr bwMode="auto">
        <a:xfrm flipH="1">
          <a:off x="132397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098" name="Line 105">
          <a:extLst>
            <a:ext uri="{FF2B5EF4-FFF2-40B4-BE49-F238E27FC236}">
              <a16:creationId xmlns:a16="http://schemas.microsoft.com/office/drawing/2014/main" id="{00000000-0008-0000-0E00-00000A6CA500}"/>
            </a:ext>
          </a:extLst>
        </xdr:cNvPr>
        <xdr:cNvSpPr>
          <a:spLocks noChangeShapeType="1"/>
        </xdr:cNvSpPr>
      </xdr:nvSpPr>
      <xdr:spPr bwMode="auto">
        <a:xfrm flipH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099" name="Line 106">
          <a:extLst>
            <a:ext uri="{FF2B5EF4-FFF2-40B4-BE49-F238E27FC236}">
              <a16:creationId xmlns:a16="http://schemas.microsoft.com/office/drawing/2014/main" id="{00000000-0008-0000-0E00-00000B6CA500}"/>
            </a:ext>
          </a:extLst>
        </xdr:cNvPr>
        <xdr:cNvSpPr>
          <a:spLocks noChangeShapeType="1"/>
        </xdr:cNvSpPr>
      </xdr:nvSpPr>
      <xdr:spPr bwMode="auto">
        <a:xfrm flipV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00" name="Line 107">
          <a:extLst>
            <a:ext uri="{FF2B5EF4-FFF2-40B4-BE49-F238E27FC236}">
              <a16:creationId xmlns:a16="http://schemas.microsoft.com/office/drawing/2014/main" id="{00000000-0008-0000-0E00-00000C6CA500}"/>
            </a:ext>
          </a:extLst>
        </xdr:cNvPr>
        <xdr:cNvSpPr>
          <a:spLocks noChangeShapeType="1"/>
        </xdr:cNvSpPr>
      </xdr:nvSpPr>
      <xdr:spPr bwMode="auto">
        <a:xfrm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41101" name="Line 108">
          <a:extLst>
            <a:ext uri="{FF2B5EF4-FFF2-40B4-BE49-F238E27FC236}">
              <a16:creationId xmlns:a16="http://schemas.microsoft.com/office/drawing/2014/main" id="{00000000-0008-0000-0E00-00000D6CA500}"/>
            </a:ext>
          </a:extLst>
        </xdr:cNvPr>
        <xdr:cNvSpPr>
          <a:spLocks noChangeShapeType="1"/>
        </xdr:cNvSpPr>
      </xdr:nvSpPr>
      <xdr:spPr bwMode="auto">
        <a:xfrm flipH="1">
          <a:off x="132397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02" name="Line 109">
          <a:extLst>
            <a:ext uri="{FF2B5EF4-FFF2-40B4-BE49-F238E27FC236}">
              <a16:creationId xmlns:a16="http://schemas.microsoft.com/office/drawing/2014/main" id="{00000000-0008-0000-0E00-00000E6CA500}"/>
            </a:ext>
          </a:extLst>
        </xdr:cNvPr>
        <xdr:cNvSpPr>
          <a:spLocks noChangeShapeType="1"/>
        </xdr:cNvSpPr>
      </xdr:nvSpPr>
      <xdr:spPr bwMode="auto">
        <a:xfrm flipH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03" name="Line 110">
          <a:extLst>
            <a:ext uri="{FF2B5EF4-FFF2-40B4-BE49-F238E27FC236}">
              <a16:creationId xmlns:a16="http://schemas.microsoft.com/office/drawing/2014/main" id="{00000000-0008-0000-0E00-00000F6CA500}"/>
            </a:ext>
          </a:extLst>
        </xdr:cNvPr>
        <xdr:cNvSpPr>
          <a:spLocks noChangeShapeType="1"/>
        </xdr:cNvSpPr>
      </xdr:nvSpPr>
      <xdr:spPr bwMode="auto">
        <a:xfrm flipV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04" name="Line 111">
          <a:extLst>
            <a:ext uri="{FF2B5EF4-FFF2-40B4-BE49-F238E27FC236}">
              <a16:creationId xmlns:a16="http://schemas.microsoft.com/office/drawing/2014/main" id="{00000000-0008-0000-0E00-0000106CA500}"/>
            </a:ext>
          </a:extLst>
        </xdr:cNvPr>
        <xdr:cNvSpPr>
          <a:spLocks noChangeShapeType="1"/>
        </xdr:cNvSpPr>
      </xdr:nvSpPr>
      <xdr:spPr bwMode="auto">
        <a:xfrm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41105" name="Line 112">
          <a:extLst>
            <a:ext uri="{FF2B5EF4-FFF2-40B4-BE49-F238E27FC236}">
              <a16:creationId xmlns:a16="http://schemas.microsoft.com/office/drawing/2014/main" id="{00000000-0008-0000-0E00-0000116CA500}"/>
            </a:ext>
          </a:extLst>
        </xdr:cNvPr>
        <xdr:cNvSpPr>
          <a:spLocks noChangeShapeType="1"/>
        </xdr:cNvSpPr>
      </xdr:nvSpPr>
      <xdr:spPr bwMode="auto">
        <a:xfrm flipH="1">
          <a:off x="132397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06" name="Line 113">
          <a:extLst>
            <a:ext uri="{FF2B5EF4-FFF2-40B4-BE49-F238E27FC236}">
              <a16:creationId xmlns:a16="http://schemas.microsoft.com/office/drawing/2014/main" id="{00000000-0008-0000-0E00-0000126CA500}"/>
            </a:ext>
          </a:extLst>
        </xdr:cNvPr>
        <xdr:cNvSpPr>
          <a:spLocks noChangeShapeType="1"/>
        </xdr:cNvSpPr>
      </xdr:nvSpPr>
      <xdr:spPr bwMode="auto">
        <a:xfrm flipH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07" name="Line 114">
          <a:extLst>
            <a:ext uri="{FF2B5EF4-FFF2-40B4-BE49-F238E27FC236}">
              <a16:creationId xmlns:a16="http://schemas.microsoft.com/office/drawing/2014/main" id="{00000000-0008-0000-0E00-0000136CA500}"/>
            </a:ext>
          </a:extLst>
        </xdr:cNvPr>
        <xdr:cNvSpPr>
          <a:spLocks noChangeShapeType="1"/>
        </xdr:cNvSpPr>
      </xdr:nvSpPr>
      <xdr:spPr bwMode="auto">
        <a:xfrm flipV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08" name="Line 115">
          <a:extLst>
            <a:ext uri="{FF2B5EF4-FFF2-40B4-BE49-F238E27FC236}">
              <a16:creationId xmlns:a16="http://schemas.microsoft.com/office/drawing/2014/main" id="{00000000-0008-0000-0E00-0000146CA500}"/>
            </a:ext>
          </a:extLst>
        </xdr:cNvPr>
        <xdr:cNvSpPr>
          <a:spLocks noChangeShapeType="1"/>
        </xdr:cNvSpPr>
      </xdr:nvSpPr>
      <xdr:spPr bwMode="auto">
        <a:xfrm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41109" name="Line 116">
          <a:extLst>
            <a:ext uri="{FF2B5EF4-FFF2-40B4-BE49-F238E27FC236}">
              <a16:creationId xmlns:a16="http://schemas.microsoft.com/office/drawing/2014/main" id="{00000000-0008-0000-0E00-0000156CA500}"/>
            </a:ext>
          </a:extLst>
        </xdr:cNvPr>
        <xdr:cNvSpPr>
          <a:spLocks noChangeShapeType="1"/>
        </xdr:cNvSpPr>
      </xdr:nvSpPr>
      <xdr:spPr bwMode="auto">
        <a:xfrm flipH="1">
          <a:off x="132397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10" name="Line 117">
          <a:extLst>
            <a:ext uri="{FF2B5EF4-FFF2-40B4-BE49-F238E27FC236}">
              <a16:creationId xmlns:a16="http://schemas.microsoft.com/office/drawing/2014/main" id="{00000000-0008-0000-0E00-0000166CA500}"/>
            </a:ext>
          </a:extLst>
        </xdr:cNvPr>
        <xdr:cNvSpPr>
          <a:spLocks noChangeShapeType="1"/>
        </xdr:cNvSpPr>
      </xdr:nvSpPr>
      <xdr:spPr bwMode="auto">
        <a:xfrm flipH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11" name="Line 118">
          <a:extLst>
            <a:ext uri="{FF2B5EF4-FFF2-40B4-BE49-F238E27FC236}">
              <a16:creationId xmlns:a16="http://schemas.microsoft.com/office/drawing/2014/main" id="{00000000-0008-0000-0E00-0000176CA500}"/>
            </a:ext>
          </a:extLst>
        </xdr:cNvPr>
        <xdr:cNvSpPr>
          <a:spLocks noChangeShapeType="1"/>
        </xdr:cNvSpPr>
      </xdr:nvSpPr>
      <xdr:spPr bwMode="auto">
        <a:xfrm flipV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12" name="Line 119">
          <a:extLst>
            <a:ext uri="{FF2B5EF4-FFF2-40B4-BE49-F238E27FC236}">
              <a16:creationId xmlns:a16="http://schemas.microsoft.com/office/drawing/2014/main" id="{00000000-0008-0000-0E00-0000186CA500}"/>
            </a:ext>
          </a:extLst>
        </xdr:cNvPr>
        <xdr:cNvSpPr>
          <a:spLocks noChangeShapeType="1"/>
        </xdr:cNvSpPr>
      </xdr:nvSpPr>
      <xdr:spPr bwMode="auto">
        <a:xfrm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41113" name="Line 120">
          <a:extLst>
            <a:ext uri="{FF2B5EF4-FFF2-40B4-BE49-F238E27FC236}">
              <a16:creationId xmlns:a16="http://schemas.microsoft.com/office/drawing/2014/main" id="{00000000-0008-0000-0E00-0000196CA500}"/>
            </a:ext>
          </a:extLst>
        </xdr:cNvPr>
        <xdr:cNvSpPr>
          <a:spLocks noChangeShapeType="1"/>
        </xdr:cNvSpPr>
      </xdr:nvSpPr>
      <xdr:spPr bwMode="auto">
        <a:xfrm flipH="1">
          <a:off x="132397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14" name="Line 121">
          <a:extLst>
            <a:ext uri="{FF2B5EF4-FFF2-40B4-BE49-F238E27FC236}">
              <a16:creationId xmlns:a16="http://schemas.microsoft.com/office/drawing/2014/main" id="{00000000-0008-0000-0E00-00001A6CA500}"/>
            </a:ext>
          </a:extLst>
        </xdr:cNvPr>
        <xdr:cNvSpPr>
          <a:spLocks noChangeShapeType="1"/>
        </xdr:cNvSpPr>
      </xdr:nvSpPr>
      <xdr:spPr bwMode="auto">
        <a:xfrm flipH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15" name="Line 122">
          <a:extLst>
            <a:ext uri="{FF2B5EF4-FFF2-40B4-BE49-F238E27FC236}">
              <a16:creationId xmlns:a16="http://schemas.microsoft.com/office/drawing/2014/main" id="{00000000-0008-0000-0E00-00001B6CA500}"/>
            </a:ext>
          </a:extLst>
        </xdr:cNvPr>
        <xdr:cNvSpPr>
          <a:spLocks noChangeShapeType="1"/>
        </xdr:cNvSpPr>
      </xdr:nvSpPr>
      <xdr:spPr bwMode="auto">
        <a:xfrm flipV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16" name="Line 123">
          <a:extLst>
            <a:ext uri="{FF2B5EF4-FFF2-40B4-BE49-F238E27FC236}">
              <a16:creationId xmlns:a16="http://schemas.microsoft.com/office/drawing/2014/main" id="{00000000-0008-0000-0E00-00001C6CA500}"/>
            </a:ext>
          </a:extLst>
        </xdr:cNvPr>
        <xdr:cNvSpPr>
          <a:spLocks noChangeShapeType="1"/>
        </xdr:cNvSpPr>
      </xdr:nvSpPr>
      <xdr:spPr bwMode="auto">
        <a:xfrm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41117" name="Line 124">
          <a:extLst>
            <a:ext uri="{FF2B5EF4-FFF2-40B4-BE49-F238E27FC236}">
              <a16:creationId xmlns:a16="http://schemas.microsoft.com/office/drawing/2014/main" id="{00000000-0008-0000-0E00-00001D6CA500}"/>
            </a:ext>
          </a:extLst>
        </xdr:cNvPr>
        <xdr:cNvSpPr>
          <a:spLocks noChangeShapeType="1"/>
        </xdr:cNvSpPr>
      </xdr:nvSpPr>
      <xdr:spPr bwMode="auto">
        <a:xfrm flipH="1">
          <a:off x="132397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18" name="Line 125">
          <a:extLst>
            <a:ext uri="{FF2B5EF4-FFF2-40B4-BE49-F238E27FC236}">
              <a16:creationId xmlns:a16="http://schemas.microsoft.com/office/drawing/2014/main" id="{00000000-0008-0000-0E00-00001E6CA500}"/>
            </a:ext>
          </a:extLst>
        </xdr:cNvPr>
        <xdr:cNvSpPr>
          <a:spLocks noChangeShapeType="1"/>
        </xdr:cNvSpPr>
      </xdr:nvSpPr>
      <xdr:spPr bwMode="auto">
        <a:xfrm flipH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19" name="Line 126">
          <a:extLst>
            <a:ext uri="{FF2B5EF4-FFF2-40B4-BE49-F238E27FC236}">
              <a16:creationId xmlns:a16="http://schemas.microsoft.com/office/drawing/2014/main" id="{00000000-0008-0000-0E00-00001F6CA500}"/>
            </a:ext>
          </a:extLst>
        </xdr:cNvPr>
        <xdr:cNvSpPr>
          <a:spLocks noChangeShapeType="1"/>
        </xdr:cNvSpPr>
      </xdr:nvSpPr>
      <xdr:spPr bwMode="auto">
        <a:xfrm flipV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20" name="Line 127">
          <a:extLst>
            <a:ext uri="{FF2B5EF4-FFF2-40B4-BE49-F238E27FC236}">
              <a16:creationId xmlns:a16="http://schemas.microsoft.com/office/drawing/2014/main" id="{00000000-0008-0000-0E00-0000206CA500}"/>
            </a:ext>
          </a:extLst>
        </xdr:cNvPr>
        <xdr:cNvSpPr>
          <a:spLocks noChangeShapeType="1"/>
        </xdr:cNvSpPr>
      </xdr:nvSpPr>
      <xdr:spPr bwMode="auto">
        <a:xfrm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41121" name="Line 128">
          <a:extLst>
            <a:ext uri="{FF2B5EF4-FFF2-40B4-BE49-F238E27FC236}">
              <a16:creationId xmlns:a16="http://schemas.microsoft.com/office/drawing/2014/main" id="{00000000-0008-0000-0E00-0000216CA500}"/>
            </a:ext>
          </a:extLst>
        </xdr:cNvPr>
        <xdr:cNvSpPr>
          <a:spLocks noChangeShapeType="1"/>
        </xdr:cNvSpPr>
      </xdr:nvSpPr>
      <xdr:spPr bwMode="auto">
        <a:xfrm flipH="1">
          <a:off x="132397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22" name="Line 129">
          <a:extLst>
            <a:ext uri="{FF2B5EF4-FFF2-40B4-BE49-F238E27FC236}">
              <a16:creationId xmlns:a16="http://schemas.microsoft.com/office/drawing/2014/main" id="{00000000-0008-0000-0E00-0000226CA500}"/>
            </a:ext>
          </a:extLst>
        </xdr:cNvPr>
        <xdr:cNvSpPr>
          <a:spLocks noChangeShapeType="1"/>
        </xdr:cNvSpPr>
      </xdr:nvSpPr>
      <xdr:spPr bwMode="auto">
        <a:xfrm flipH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23" name="Line 130">
          <a:extLst>
            <a:ext uri="{FF2B5EF4-FFF2-40B4-BE49-F238E27FC236}">
              <a16:creationId xmlns:a16="http://schemas.microsoft.com/office/drawing/2014/main" id="{00000000-0008-0000-0E00-0000236CA500}"/>
            </a:ext>
          </a:extLst>
        </xdr:cNvPr>
        <xdr:cNvSpPr>
          <a:spLocks noChangeShapeType="1"/>
        </xdr:cNvSpPr>
      </xdr:nvSpPr>
      <xdr:spPr bwMode="auto">
        <a:xfrm flipV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24" name="Line 131">
          <a:extLst>
            <a:ext uri="{FF2B5EF4-FFF2-40B4-BE49-F238E27FC236}">
              <a16:creationId xmlns:a16="http://schemas.microsoft.com/office/drawing/2014/main" id="{00000000-0008-0000-0E00-0000246CA500}"/>
            </a:ext>
          </a:extLst>
        </xdr:cNvPr>
        <xdr:cNvSpPr>
          <a:spLocks noChangeShapeType="1"/>
        </xdr:cNvSpPr>
      </xdr:nvSpPr>
      <xdr:spPr bwMode="auto">
        <a:xfrm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41125" name="Line 132">
          <a:extLst>
            <a:ext uri="{FF2B5EF4-FFF2-40B4-BE49-F238E27FC236}">
              <a16:creationId xmlns:a16="http://schemas.microsoft.com/office/drawing/2014/main" id="{00000000-0008-0000-0E00-0000256CA500}"/>
            </a:ext>
          </a:extLst>
        </xdr:cNvPr>
        <xdr:cNvSpPr>
          <a:spLocks noChangeShapeType="1"/>
        </xdr:cNvSpPr>
      </xdr:nvSpPr>
      <xdr:spPr bwMode="auto">
        <a:xfrm flipH="1">
          <a:off x="132397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26" name="Line 133">
          <a:extLst>
            <a:ext uri="{FF2B5EF4-FFF2-40B4-BE49-F238E27FC236}">
              <a16:creationId xmlns:a16="http://schemas.microsoft.com/office/drawing/2014/main" id="{00000000-0008-0000-0E00-0000266CA500}"/>
            </a:ext>
          </a:extLst>
        </xdr:cNvPr>
        <xdr:cNvSpPr>
          <a:spLocks noChangeShapeType="1"/>
        </xdr:cNvSpPr>
      </xdr:nvSpPr>
      <xdr:spPr bwMode="auto">
        <a:xfrm flipH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27" name="Line 134">
          <a:extLst>
            <a:ext uri="{FF2B5EF4-FFF2-40B4-BE49-F238E27FC236}">
              <a16:creationId xmlns:a16="http://schemas.microsoft.com/office/drawing/2014/main" id="{00000000-0008-0000-0E00-0000276CA500}"/>
            </a:ext>
          </a:extLst>
        </xdr:cNvPr>
        <xdr:cNvSpPr>
          <a:spLocks noChangeShapeType="1"/>
        </xdr:cNvSpPr>
      </xdr:nvSpPr>
      <xdr:spPr bwMode="auto">
        <a:xfrm flipV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28" name="Line 135">
          <a:extLst>
            <a:ext uri="{FF2B5EF4-FFF2-40B4-BE49-F238E27FC236}">
              <a16:creationId xmlns:a16="http://schemas.microsoft.com/office/drawing/2014/main" id="{00000000-0008-0000-0E00-0000286CA500}"/>
            </a:ext>
          </a:extLst>
        </xdr:cNvPr>
        <xdr:cNvSpPr>
          <a:spLocks noChangeShapeType="1"/>
        </xdr:cNvSpPr>
      </xdr:nvSpPr>
      <xdr:spPr bwMode="auto">
        <a:xfrm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41129" name="Line 136">
          <a:extLst>
            <a:ext uri="{FF2B5EF4-FFF2-40B4-BE49-F238E27FC236}">
              <a16:creationId xmlns:a16="http://schemas.microsoft.com/office/drawing/2014/main" id="{00000000-0008-0000-0E00-0000296CA500}"/>
            </a:ext>
          </a:extLst>
        </xdr:cNvPr>
        <xdr:cNvSpPr>
          <a:spLocks noChangeShapeType="1"/>
        </xdr:cNvSpPr>
      </xdr:nvSpPr>
      <xdr:spPr bwMode="auto">
        <a:xfrm flipH="1">
          <a:off x="132397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30" name="Line 137">
          <a:extLst>
            <a:ext uri="{FF2B5EF4-FFF2-40B4-BE49-F238E27FC236}">
              <a16:creationId xmlns:a16="http://schemas.microsoft.com/office/drawing/2014/main" id="{00000000-0008-0000-0E00-00002A6CA500}"/>
            </a:ext>
          </a:extLst>
        </xdr:cNvPr>
        <xdr:cNvSpPr>
          <a:spLocks noChangeShapeType="1"/>
        </xdr:cNvSpPr>
      </xdr:nvSpPr>
      <xdr:spPr bwMode="auto">
        <a:xfrm flipH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31" name="Line 138">
          <a:extLst>
            <a:ext uri="{FF2B5EF4-FFF2-40B4-BE49-F238E27FC236}">
              <a16:creationId xmlns:a16="http://schemas.microsoft.com/office/drawing/2014/main" id="{00000000-0008-0000-0E00-00002B6CA500}"/>
            </a:ext>
          </a:extLst>
        </xdr:cNvPr>
        <xdr:cNvSpPr>
          <a:spLocks noChangeShapeType="1"/>
        </xdr:cNvSpPr>
      </xdr:nvSpPr>
      <xdr:spPr bwMode="auto">
        <a:xfrm flipV="1"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1132" name="Line 139">
          <a:extLst>
            <a:ext uri="{FF2B5EF4-FFF2-40B4-BE49-F238E27FC236}">
              <a16:creationId xmlns:a16="http://schemas.microsoft.com/office/drawing/2014/main" id="{00000000-0008-0000-0E00-00002C6CA500}"/>
            </a:ext>
          </a:extLst>
        </xdr:cNvPr>
        <xdr:cNvSpPr>
          <a:spLocks noChangeShapeType="1"/>
        </xdr:cNvSpPr>
      </xdr:nvSpPr>
      <xdr:spPr bwMode="auto">
        <a:xfrm>
          <a:off x="45815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809625</xdr:colOff>
      <xdr:row>75</xdr:row>
      <xdr:rowOff>9525</xdr:rowOff>
    </xdr:from>
    <xdr:to>
      <xdr:col>19</xdr:col>
      <xdr:colOff>9525</xdr:colOff>
      <xdr:row>75</xdr:row>
      <xdr:rowOff>9525</xdr:rowOff>
    </xdr:to>
    <xdr:sp macro="" textlink="">
      <xdr:nvSpPr>
        <xdr:cNvPr id="10841133" name="Line 140">
          <a:extLst>
            <a:ext uri="{FF2B5EF4-FFF2-40B4-BE49-F238E27FC236}">
              <a16:creationId xmlns:a16="http://schemas.microsoft.com/office/drawing/2014/main" id="{00000000-0008-0000-0E00-00002D6CA500}"/>
            </a:ext>
          </a:extLst>
        </xdr:cNvPr>
        <xdr:cNvSpPr>
          <a:spLocks noChangeShapeType="1"/>
        </xdr:cNvSpPr>
      </xdr:nvSpPr>
      <xdr:spPr bwMode="auto">
        <a:xfrm flipH="1">
          <a:off x="12620625" y="12487275"/>
          <a:ext cx="628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75</xdr:row>
      <xdr:rowOff>9525</xdr:rowOff>
    </xdr:from>
    <xdr:to>
      <xdr:col>16</xdr:col>
      <xdr:colOff>0</xdr:colOff>
      <xdr:row>75</xdr:row>
      <xdr:rowOff>9525</xdr:rowOff>
    </xdr:to>
    <xdr:sp macro="" textlink="">
      <xdr:nvSpPr>
        <xdr:cNvPr id="10841134" name="Line 141">
          <a:extLst>
            <a:ext uri="{FF2B5EF4-FFF2-40B4-BE49-F238E27FC236}">
              <a16:creationId xmlns:a16="http://schemas.microsoft.com/office/drawing/2014/main" id="{00000000-0008-0000-0E00-00002E6CA500}"/>
            </a:ext>
          </a:extLst>
        </xdr:cNvPr>
        <xdr:cNvSpPr>
          <a:spLocks noChangeShapeType="1"/>
        </xdr:cNvSpPr>
      </xdr:nvSpPr>
      <xdr:spPr bwMode="auto">
        <a:xfrm>
          <a:off x="10372725" y="12487275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75</xdr:row>
      <xdr:rowOff>9525</xdr:rowOff>
    </xdr:from>
    <xdr:to>
      <xdr:col>13</xdr:col>
      <xdr:colOff>0</xdr:colOff>
      <xdr:row>75</xdr:row>
      <xdr:rowOff>9525</xdr:rowOff>
    </xdr:to>
    <xdr:sp macro="" textlink="">
      <xdr:nvSpPr>
        <xdr:cNvPr id="10841135" name="Line 142">
          <a:extLst>
            <a:ext uri="{FF2B5EF4-FFF2-40B4-BE49-F238E27FC236}">
              <a16:creationId xmlns:a16="http://schemas.microsoft.com/office/drawing/2014/main" id="{00000000-0008-0000-0E00-00002F6CA500}"/>
            </a:ext>
          </a:extLst>
        </xdr:cNvPr>
        <xdr:cNvSpPr>
          <a:spLocks noChangeShapeType="1"/>
        </xdr:cNvSpPr>
      </xdr:nvSpPr>
      <xdr:spPr bwMode="auto">
        <a:xfrm>
          <a:off x="8115300" y="12487275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75</xdr:row>
      <xdr:rowOff>9525</xdr:rowOff>
    </xdr:from>
    <xdr:to>
      <xdr:col>9</xdr:col>
      <xdr:colOff>695325</xdr:colOff>
      <xdr:row>75</xdr:row>
      <xdr:rowOff>9525</xdr:rowOff>
    </xdr:to>
    <xdr:sp macro="" textlink="">
      <xdr:nvSpPr>
        <xdr:cNvPr id="10841136" name="Line 143">
          <a:extLst>
            <a:ext uri="{FF2B5EF4-FFF2-40B4-BE49-F238E27FC236}">
              <a16:creationId xmlns:a16="http://schemas.microsoft.com/office/drawing/2014/main" id="{00000000-0008-0000-0E00-0000306CA500}"/>
            </a:ext>
          </a:extLst>
        </xdr:cNvPr>
        <xdr:cNvSpPr>
          <a:spLocks noChangeShapeType="1"/>
        </xdr:cNvSpPr>
      </xdr:nvSpPr>
      <xdr:spPr bwMode="auto">
        <a:xfrm flipH="1">
          <a:off x="5962650" y="12487275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8</xdr:row>
      <xdr:rowOff>114300</xdr:rowOff>
    </xdr:from>
    <xdr:to>
      <xdr:col>10</xdr:col>
      <xdr:colOff>333375</xdr:colOff>
      <xdr:row>15</xdr:row>
      <xdr:rowOff>9525</xdr:rowOff>
    </xdr:to>
    <xdr:sp macro="" textlink="">
      <xdr:nvSpPr>
        <xdr:cNvPr id="10841137" name="Rectangle 56">
          <a:extLst>
            <a:ext uri="{FF2B5EF4-FFF2-40B4-BE49-F238E27FC236}">
              <a16:creationId xmlns:a16="http://schemas.microsoft.com/office/drawing/2014/main" id="{00000000-0008-0000-0E00-0000316CA500}"/>
            </a:ext>
          </a:extLst>
        </xdr:cNvPr>
        <xdr:cNvSpPr>
          <a:spLocks noChangeArrowheads="1"/>
        </xdr:cNvSpPr>
      </xdr:nvSpPr>
      <xdr:spPr bwMode="auto">
        <a:xfrm>
          <a:off x="5295900" y="1866900"/>
          <a:ext cx="1704975" cy="120967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76200</xdr:colOff>
      <xdr:row>11</xdr:row>
      <xdr:rowOff>0</xdr:rowOff>
    </xdr:from>
    <xdr:to>
      <xdr:col>8</xdr:col>
      <xdr:colOff>352425</xdr:colOff>
      <xdr:row>16</xdr:row>
      <xdr:rowOff>76200</xdr:rowOff>
    </xdr:to>
    <xdr:sp macro="" textlink="">
      <xdr:nvSpPr>
        <xdr:cNvPr id="10841138" name="Line 34">
          <a:extLst>
            <a:ext uri="{FF2B5EF4-FFF2-40B4-BE49-F238E27FC236}">
              <a16:creationId xmlns:a16="http://schemas.microsoft.com/office/drawing/2014/main" id="{00000000-0008-0000-0E00-0000326CA500}"/>
            </a:ext>
          </a:extLst>
        </xdr:cNvPr>
        <xdr:cNvSpPr>
          <a:spLocks noChangeShapeType="1"/>
        </xdr:cNvSpPr>
      </xdr:nvSpPr>
      <xdr:spPr bwMode="auto">
        <a:xfrm flipV="1">
          <a:off x="4657725" y="2314575"/>
          <a:ext cx="990600" cy="9906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</xdr:colOff>
      <xdr:row>12</xdr:row>
      <xdr:rowOff>85725</xdr:rowOff>
    </xdr:from>
    <xdr:to>
      <xdr:col>9</xdr:col>
      <xdr:colOff>9525</xdr:colOff>
      <xdr:row>16</xdr:row>
      <xdr:rowOff>85725</xdr:rowOff>
    </xdr:to>
    <xdr:sp macro="" textlink="">
      <xdr:nvSpPr>
        <xdr:cNvPr id="10841139" name="Line 34">
          <a:extLst>
            <a:ext uri="{FF2B5EF4-FFF2-40B4-BE49-F238E27FC236}">
              <a16:creationId xmlns:a16="http://schemas.microsoft.com/office/drawing/2014/main" id="{00000000-0008-0000-0E00-0000336CA500}"/>
            </a:ext>
          </a:extLst>
        </xdr:cNvPr>
        <xdr:cNvSpPr>
          <a:spLocks noChangeShapeType="1"/>
        </xdr:cNvSpPr>
      </xdr:nvSpPr>
      <xdr:spPr bwMode="auto">
        <a:xfrm flipV="1">
          <a:off x="4810125" y="2600325"/>
          <a:ext cx="1162050" cy="7143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419100</xdr:colOff>
      <xdr:row>14</xdr:row>
      <xdr:rowOff>76200</xdr:rowOff>
    </xdr:from>
    <xdr:to>
      <xdr:col>9</xdr:col>
      <xdr:colOff>9525</xdr:colOff>
      <xdr:row>16</xdr:row>
      <xdr:rowOff>123825</xdr:rowOff>
    </xdr:to>
    <xdr:sp macro="" textlink="">
      <xdr:nvSpPr>
        <xdr:cNvPr id="10841140" name="Line 34">
          <a:extLst>
            <a:ext uri="{FF2B5EF4-FFF2-40B4-BE49-F238E27FC236}">
              <a16:creationId xmlns:a16="http://schemas.microsoft.com/office/drawing/2014/main" id="{00000000-0008-0000-0E00-0000346CA500}"/>
            </a:ext>
          </a:extLst>
        </xdr:cNvPr>
        <xdr:cNvSpPr>
          <a:spLocks noChangeShapeType="1"/>
        </xdr:cNvSpPr>
      </xdr:nvSpPr>
      <xdr:spPr bwMode="auto">
        <a:xfrm flipV="1">
          <a:off x="5000625" y="2981325"/>
          <a:ext cx="971550" cy="3714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771525</xdr:colOff>
      <xdr:row>54</xdr:row>
      <xdr:rowOff>9525</xdr:rowOff>
    </xdr:from>
    <xdr:to>
      <xdr:col>4</xdr:col>
      <xdr:colOff>180975</xdr:colOff>
      <xdr:row>58</xdr:row>
      <xdr:rowOff>85725</xdr:rowOff>
    </xdr:to>
    <xdr:sp macro="" textlink="">
      <xdr:nvSpPr>
        <xdr:cNvPr id="10841141" name="Oval 14">
          <a:extLst>
            <a:ext uri="{FF2B5EF4-FFF2-40B4-BE49-F238E27FC236}">
              <a16:creationId xmlns:a16="http://schemas.microsoft.com/office/drawing/2014/main" id="{00000000-0008-0000-0E00-0000356CA500}"/>
            </a:ext>
          </a:extLst>
        </xdr:cNvPr>
        <xdr:cNvSpPr>
          <a:spLocks noChangeArrowheads="1"/>
        </xdr:cNvSpPr>
      </xdr:nvSpPr>
      <xdr:spPr bwMode="auto">
        <a:xfrm>
          <a:off x="1657350" y="9763125"/>
          <a:ext cx="942975" cy="895350"/>
        </a:xfrm>
        <a:prstGeom prst="ellips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619125</xdr:colOff>
      <xdr:row>52</xdr:row>
      <xdr:rowOff>114300</xdr:rowOff>
    </xdr:from>
    <xdr:to>
      <xdr:col>4</xdr:col>
      <xdr:colOff>0</xdr:colOff>
      <xdr:row>54</xdr:row>
      <xdr:rowOff>38100</xdr:rowOff>
    </xdr:to>
    <xdr:sp macro="" textlink="">
      <xdr:nvSpPr>
        <xdr:cNvPr id="10841142" name="Line 19">
          <a:extLst>
            <a:ext uri="{FF2B5EF4-FFF2-40B4-BE49-F238E27FC236}">
              <a16:creationId xmlns:a16="http://schemas.microsoft.com/office/drawing/2014/main" id="{00000000-0008-0000-0E00-0000366CA500}"/>
            </a:ext>
          </a:extLst>
        </xdr:cNvPr>
        <xdr:cNvSpPr>
          <a:spLocks noChangeShapeType="1"/>
        </xdr:cNvSpPr>
      </xdr:nvSpPr>
      <xdr:spPr bwMode="auto">
        <a:xfrm flipH="1">
          <a:off x="2343150" y="9515475"/>
          <a:ext cx="76200" cy="2762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190500</xdr:colOff>
      <xdr:row>56</xdr:row>
      <xdr:rowOff>9525</xdr:rowOff>
    </xdr:from>
    <xdr:to>
      <xdr:col>5</xdr:col>
      <xdr:colOff>619125</xdr:colOff>
      <xdr:row>56</xdr:row>
      <xdr:rowOff>9525</xdr:rowOff>
    </xdr:to>
    <xdr:sp macro="" textlink="">
      <xdr:nvSpPr>
        <xdr:cNvPr id="10841143" name="Line 19">
          <a:extLst>
            <a:ext uri="{FF2B5EF4-FFF2-40B4-BE49-F238E27FC236}">
              <a16:creationId xmlns:a16="http://schemas.microsoft.com/office/drawing/2014/main" id="{00000000-0008-0000-0E00-0000376CA500}"/>
            </a:ext>
          </a:extLst>
        </xdr:cNvPr>
        <xdr:cNvSpPr>
          <a:spLocks noChangeShapeType="1"/>
        </xdr:cNvSpPr>
      </xdr:nvSpPr>
      <xdr:spPr bwMode="auto">
        <a:xfrm flipH="1">
          <a:off x="2609850" y="10163175"/>
          <a:ext cx="10668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698500</xdr:colOff>
      <xdr:row>53</xdr:row>
      <xdr:rowOff>1</xdr:rowOff>
    </xdr:from>
    <xdr:to>
      <xdr:col>5</xdr:col>
      <xdr:colOff>469901</xdr:colOff>
      <xdr:row>59</xdr:row>
      <xdr:rowOff>25401</xdr:rowOff>
    </xdr:to>
    <xdr:sp macro="" textlink="">
      <xdr:nvSpPr>
        <xdr:cNvPr id="152" name="Rectangle 56">
          <a:extLst>
            <a:ext uri="{FF2B5EF4-FFF2-40B4-BE49-F238E27FC236}">
              <a16:creationId xmlns:a16="http://schemas.microsoft.com/office/drawing/2014/main" id="{00000000-0008-0000-0E00-000098000000}"/>
            </a:ext>
          </a:extLst>
        </xdr:cNvPr>
        <xdr:cNvSpPr>
          <a:spLocks noChangeArrowheads="1"/>
        </xdr:cNvSpPr>
      </xdr:nvSpPr>
      <xdr:spPr bwMode="auto">
        <a:xfrm>
          <a:off x="1587500" y="9753601"/>
          <a:ext cx="1943101" cy="11938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66675</xdr:rowOff>
    </xdr:from>
    <xdr:to>
      <xdr:col>8</xdr:col>
      <xdr:colOff>180975</xdr:colOff>
      <xdr:row>25</xdr:row>
      <xdr:rowOff>0</xdr:rowOff>
    </xdr:to>
    <xdr:sp macro="" textlink="">
      <xdr:nvSpPr>
        <xdr:cNvPr id="10838186" name="Oval 1">
          <a:extLst>
            <a:ext uri="{FF2B5EF4-FFF2-40B4-BE49-F238E27FC236}">
              <a16:creationId xmlns:a16="http://schemas.microsoft.com/office/drawing/2014/main" id="{00000000-0008-0000-0F00-0000AA60A500}"/>
            </a:ext>
          </a:extLst>
        </xdr:cNvPr>
        <xdr:cNvSpPr>
          <a:spLocks noChangeArrowheads="1"/>
        </xdr:cNvSpPr>
      </xdr:nvSpPr>
      <xdr:spPr bwMode="auto">
        <a:xfrm>
          <a:off x="3895725" y="3295650"/>
          <a:ext cx="16573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552450</xdr:colOff>
      <xdr:row>29</xdr:row>
      <xdr:rowOff>38100</xdr:rowOff>
    </xdr:from>
    <xdr:to>
      <xdr:col>8</xdr:col>
      <xdr:colOff>66675</xdr:colOff>
      <xdr:row>37</xdr:row>
      <xdr:rowOff>152400</xdr:rowOff>
    </xdr:to>
    <xdr:sp macro="" textlink="">
      <xdr:nvSpPr>
        <xdr:cNvPr id="10838187" name="Oval 2">
          <a:extLst>
            <a:ext uri="{FF2B5EF4-FFF2-40B4-BE49-F238E27FC236}">
              <a16:creationId xmlns:a16="http://schemas.microsoft.com/office/drawing/2014/main" id="{00000000-0008-0000-0F00-0000AB60A500}"/>
            </a:ext>
          </a:extLst>
        </xdr:cNvPr>
        <xdr:cNvSpPr>
          <a:spLocks noChangeArrowheads="1"/>
        </xdr:cNvSpPr>
      </xdr:nvSpPr>
      <xdr:spPr bwMode="auto">
        <a:xfrm>
          <a:off x="3686175" y="5543550"/>
          <a:ext cx="175260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609600</xdr:colOff>
      <xdr:row>50</xdr:row>
      <xdr:rowOff>152400</xdr:rowOff>
    </xdr:from>
    <xdr:to>
      <xdr:col>8</xdr:col>
      <xdr:colOff>123825</xdr:colOff>
      <xdr:row>59</xdr:row>
      <xdr:rowOff>28575</xdr:rowOff>
    </xdr:to>
    <xdr:sp macro="" textlink="">
      <xdr:nvSpPr>
        <xdr:cNvPr id="10838188" name="Oval 3">
          <a:extLst>
            <a:ext uri="{FF2B5EF4-FFF2-40B4-BE49-F238E27FC236}">
              <a16:creationId xmlns:a16="http://schemas.microsoft.com/office/drawing/2014/main" id="{00000000-0008-0000-0F00-0000AC60A500}"/>
            </a:ext>
          </a:extLst>
        </xdr:cNvPr>
        <xdr:cNvSpPr>
          <a:spLocks noChangeArrowheads="1"/>
        </xdr:cNvSpPr>
      </xdr:nvSpPr>
      <xdr:spPr bwMode="auto">
        <a:xfrm>
          <a:off x="3743325" y="9210675"/>
          <a:ext cx="1752600" cy="15716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552450</xdr:colOff>
      <xdr:row>29</xdr:row>
      <xdr:rowOff>38100</xdr:rowOff>
    </xdr:from>
    <xdr:to>
      <xdr:col>11</xdr:col>
      <xdr:colOff>76200</xdr:colOff>
      <xdr:row>38</xdr:row>
      <xdr:rowOff>28575</xdr:rowOff>
    </xdr:to>
    <xdr:sp macro="" textlink="">
      <xdr:nvSpPr>
        <xdr:cNvPr id="10838189" name="Oval 4">
          <a:extLst>
            <a:ext uri="{FF2B5EF4-FFF2-40B4-BE49-F238E27FC236}">
              <a16:creationId xmlns:a16="http://schemas.microsoft.com/office/drawing/2014/main" id="{00000000-0008-0000-0F00-0000AD60A500}"/>
            </a:ext>
          </a:extLst>
        </xdr:cNvPr>
        <xdr:cNvSpPr>
          <a:spLocks noChangeArrowheads="1"/>
        </xdr:cNvSpPr>
      </xdr:nvSpPr>
      <xdr:spPr bwMode="auto">
        <a:xfrm>
          <a:off x="5924550" y="5543550"/>
          <a:ext cx="1562100" cy="15430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685800</xdr:colOff>
      <xdr:row>29</xdr:row>
      <xdr:rowOff>66675</xdr:rowOff>
    </xdr:from>
    <xdr:to>
      <xdr:col>14</xdr:col>
      <xdr:colOff>28575</xdr:colOff>
      <xdr:row>38</xdr:row>
      <xdr:rowOff>19050</xdr:rowOff>
    </xdr:to>
    <xdr:sp macro="" textlink="">
      <xdr:nvSpPr>
        <xdr:cNvPr id="10838190" name="Oval 5">
          <a:extLst>
            <a:ext uri="{FF2B5EF4-FFF2-40B4-BE49-F238E27FC236}">
              <a16:creationId xmlns:a16="http://schemas.microsoft.com/office/drawing/2014/main" id="{00000000-0008-0000-0F00-0000AE60A500}"/>
            </a:ext>
          </a:extLst>
        </xdr:cNvPr>
        <xdr:cNvSpPr>
          <a:spLocks noChangeArrowheads="1"/>
        </xdr:cNvSpPr>
      </xdr:nvSpPr>
      <xdr:spPr bwMode="auto">
        <a:xfrm>
          <a:off x="8096250" y="5572125"/>
          <a:ext cx="168592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552450</xdr:colOff>
      <xdr:row>29</xdr:row>
      <xdr:rowOff>38100</xdr:rowOff>
    </xdr:from>
    <xdr:to>
      <xdr:col>17</xdr:col>
      <xdr:colOff>66675</xdr:colOff>
      <xdr:row>37</xdr:row>
      <xdr:rowOff>152400</xdr:rowOff>
    </xdr:to>
    <xdr:sp macro="" textlink="">
      <xdr:nvSpPr>
        <xdr:cNvPr id="10838191" name="Oval 6">
          <a:extLst>
            <a:ext uri="{FF2B5EF4-FFF2-40B4-BE49-F238E27FC236}">
              <a16:creationId xmlns:a16="http://schemas.microsoft.com/office/drawing/2014/main" id="{00000000-0008-0000-0F00-0000AF60A500}"/>
            </a:ext>
          </a:extLst>
        </xdr:cNvPr>
        <xdr:cNvSpPr>
          <a:spLocks noChangeArrowheads="1"/>
        </xdr:cNvSpPr>
      </xdr:nvSpPr>
      <xdr:spPr bwMode="auto">
        <a:xfrm>
          <a:off x="10306050" y="5543550"/>
          <a:ext cx="16954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552450</xdr:colOff>
      <xdr:row>29</xdr:row>
      <xdr:rowOff>38100</xdr:rowOff>
    </xdr:from>
    <xdr:to>
      <xdr:col>20</xdr:col>
      <xdr:colOff>66675</xdr:colOff>
      <xdr:row>37</xdr:row>
      <xdr:rowOff>152400</xdr:rowOff>
    </xdr:to>
    <xdr:sp macro="" textlink="">
      <xdr:nvSpPr>
        <xdr:cNvPr id="10838192" name="Oval 7">
          <a:extLst>
            <a:ext uri="{FF2B5EF4-FFF2-40B4-BE49-F238E27FC236}">
              <a16:creationId xmlns:a16="http://schemas.microsoft.com/office/drawing/2014/main" id="{00000000-0008-0000-0F00-0000B060A500}"/>
            </a:ext>
          </a:extLst>
        </xdr:cNvPr>
        <xdr:cNvSpPr>
          <a:spLocks noChangeArrowheads="1"/>
        </xdr:cNvSpPr>
      </xdr:nvSpPr>
      <xdr:spPr bwMode="auto">
        <a:xfrm>
          <a:off x="12487275" y="5543550"/>
          <a:ext cx="16573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38</xdr:row>
      <xdr:rowOff>28575</xdr:rowOff>
    </xdr:from>
    <xdr:to>
      <xdr:col>19</xdr:col>
      <xdr:colOff>0</xdr:colOff>
      <xdr:row>45</xdr:row>
      <xdr:rowOff>152400</xdr:rowOff>
    </xdr:to>
    <xdr:sp macro="" textlink="">
      <xdr:nvSpPr>
        <xdr:cNvPr id="10838193" name="Line 8">
          <a:extLst>
            <a:ext uri="{FF2B5EF4-FFF2-40B4-BE49-F238E27FC236}">
              <a16:creationId xmlns:a16="http://schemas.microsoft.com/office/drawing/2014/main" id="{00000000-0008-0000-0F00-0000B160A500}"/>
            </a:ext>
          </a:extLst>
        </xdr:cNvPr>
        <xdr:cNvSpPr>
          <a:spLocks noChangeShapeType="1"/>
        </xdr:cNvSpPr>
      </xdr:nvSpPr>
      <xdr:spPr bwMode="auto">
        <a:xfrm flipH="1">
          <a:off x="13315950" y="7086600"/>
          <a:ext cx="0" cy="12573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66675</xdr:colOff>
      <xdr:row>33</xdr:row>
      <xdr:rowOff>152400</xdr:rowOff>
    </xdr:from>
    <xdr:to>
      <xdr:col>17</xdr:col>
      <xdr:colOff>542925</xdr:colOff>
      <xdr:row>33</xdr:row>
      <xdr:rowOff>152400</xdr:rowOff>
    </xdr:to>
    <xdr:sp macro="" textlink="">
      <xdr:nvSpPr>
        <xdr:cNvPr id="10838194" name="Line 9">
          <a:extLst>
            <a:ext uri="{FF2B5EF4-FFF2-40B4-BE49-F238E27FC236}">
              <a16:creationId xmlns:a16="http://schemas.microsoft.com/office/drawing/2014/main" id="{00000000-0008-0000-0F00-0000B260A500}"/>
            </a:ext>
          </a:extLst>
        </xdr:cNvPr>
        <xdr:cNvSpPr>
          <a:spLocks noChangeShapeType="1"/>
        </xdr:cNvSpPr>
      </xdr:nvSpPr>
      <xdr:spPr bwMode="auto">
        <a:xfrm flipH="1">
          <a:off x="12001500" y="6381750"/>
          <a:ext cx="4762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</xdr:colOff>
      <xdr:row>34</xdr:row>
      <xdr:rowOff>0</xdr:rowOff>
    </xdr:from>
    <xdr:to>
      <xdr:col>14</xdr:col>
      <xdr:colOff>561975</xdr:colOff>
      <xdr:row>34</xdr:row>
      <xdr:rowOff>0</xdr:rowOff>
    </xdr:to>
    <xdr:sp macro="" textlink="">
      <xdr:nvSpPr>
        <xdr:cNvPr id="10838195" name="Line 10">
          <a:extLst>
            <a:ext uri="{FF2B5EF4-FFF2-40B4-BE49-F238E27FC236}">
              <a16:creationId xmlns:a16="http://schemas.microsoft.com/office/drawing/2014/main" id="{00000000-0008-0000-0F00-0000B360A500}"/>
            </a:ext>
          </a:extLst>
        </xdr:cNvPr>
        <xdr:cNvSpPr>
          <a:spLocks noChangeShapeType="1"/>
        </xdr:cNvSpPr>
      </xdr:nvSpPr>
      <xdr:spPr bwMode="auto">
        <a:xfrm>
          <a:off x="9782175" y="6410325"/>
          <a:ext cx="5334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47</xdr:row>
      <xdr:rowOff>85725</xdr:rowOff>
    </xdr:from>
    <xdr:to>
      <xdr:col>7</xdr:col>
      <xdr:colOff>0</xdr:colOff>
      <xdr:row>50</xdr:row>
      <xdr:rowOff>142875</xdr:rowOff>
    </xdr:to>
    <xdr:sp macro="" textlink="">
      <xdr:nvSpPr>
        <xdr:cNvPr id="10838196" name="Line 11">
          <a:extLst>
            <a:ext uri="{FF2B5EF4-FFF2-40B4-BE49-F238E27FC236}">
              <a16:creationId xmlns:a16="http://schemas.microsoft.com/office/drawing/2014/main" id="{00000000-0008-0000-0F00-0000B460A500}"/>
            </a:ext>
          </a:extLst>
        </xdr:cNvPr>
        <xdr:cNvSpPr>
          <a:spLocks noChangeShapeType="1"/>
        </xdr:cNvSpPr>
      </xdr:nvSpPr>
      <xdr:spPr bwMode="auto">
        <a:xfrm flipH="1">
          <a:off x="4657725" y="8620125"/>
          <a:ext cx="0" cy="581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30</xdr:row>
      <xdr:rowOff>66675</xdr:rowOff>
    </xdr:from>
    <xdr:to>
      <xdr:col>4</xdr:col>
      <xdr:colOff>571500</xdr:colOff>
      <xdr:row>37</xdr:row>
      <xdr:rowOff>9525</xdr:rowOff>
    </xdr:to>
    <xdr:sp macro="" textlink="">
      <xdr:nvSpPr>
        <xdr:cNvPr id="10838197" name="Oval 12">
          <a:extLst>
            <a:ext uri="{FF2B5EF4-FFF2-40B4-BE49-F238E27FC236}">
              <a16:creationId xmlns:a16="http://schemas.microsoft.com/office/drawing/2014/main" id="{00000000-0008-0000-0F00-0000B560A500}"/>
            </a:ext>
          </a:extLst>
        </xdr:cNvPr>
        <xdr:cNvSpPr>
          <a:spLocks noChangeArrowheads="1"/>
        </xdr:cNvSpPr>
      </xdr:nvSpPr>
      <xdr:spPr bwMode="auto">
        <a:xfrm>
          <a:off x="1943100" y="5734050"/>
          <a:ext cx="1123950" cy="11715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571500</xdr:colOff>
      <xdr:row>34</xdr:row>
      <xdr:rowOff>0</xdr:rowOff>
    </xdr:from>
    <xdr:to>
      <xdr:col>5</xdr:col>
      <xdr:colOff>542925</xdr:colOff>
      <xdr:row>34</xdr:row>
      <xdr:rowOff>0</xdr:rowOff>
    </xdr:to>
    <xdr:sp macro="" textlink="">
      <xdr:nvSpPr>
        <xdr:cNvPr id="10838198" name="Line 13">
          <a:extLst>
            <a:ext uri="{FF2B5EF4-FFF2-40B4-BE49-F238E27FC236}">
              <a16:creationId xmlns:a16="http://schemas.microsoft.com/office/drawing/2014/main" id="{00000000-0008-0000-0F00-0000B660A500}"/>
            </a:ext>
          </a:extLst>
        </xdr:cNvPr>
        <xdr:cNvSpPr>
          <a:spLocks noChangeShapeType="1"/>
        </xdr:cNvSpPr>
      </xdr:nvSpPr>
      <xdr:spPr bwMode="auto">
        <a:xfrm flipH="1">
          <a:off x="3067050" y="6410325"/>
          <a:ext cx="6096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</xdr:colOff>
      <xdr:row>46</xdr:row>
      <xdr:rowOff>47625</xdr:rowOff>
    </xdr:from>
    <xdr:to>
      <xdr:col>4</xdr:col>
      <xdr:colOff>571500</xdr:colOff>
      <xdr:row>52</xdr:row>
      <xdr:rowOff>104775</xdr:rowOff>
    </xdr:to>
    <xdr:sp macro="" textlink="">
      <xdr:nvSpPr>
        <xdr:cNvPr id="10838199" name="Oval 14">
          <a:extLst>
            <a:ext uri="{FF2B5EF4-FFF2-40B4-BE49-F238E27FC236}">
              <a16:creationId xmlns:a16="http://schemas.microsoft.com/office/drawing/2014/main" id="{00000000-0008-0000-0F00-0000B760A500}"/>
            </a:ext>
          </a:extLst>
        </xdr:cNvPr>
        <xdr:cNvSpPr>
          <a:spLocks noChangeArrowheads="1"/>
        </xdr:cNvSpPr>
      </xdr:nvSpPr>
      <xdr:spPr bwMode="auto">
        <a:xfrm>
          <a:off x="1962150" y="8420100"/>
          <a:ext cx="1104900" cy="10858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381000</xdr:colOff>
      <xdr:row>36</xdr:row>
      <xdr:rowOff>104775</xdr:rowOff>
    </xdr:from>
    <xdr:to>
      <xdr:col>6</xdr:col>
      <xdr:colOff>123825</xdr:colOff>
      <xdr:row>46</xdr:row>
      <xdr:rowOff>152400</xdr:rowOff>
    </xdr:to>
    <xdr:sp macro="" textlink="">
      <xdr:nvSpPr>
        <xdr:cNvPr id="10838200" name="Line 15">
          <a:extLst>
            <a:ext uri="{FF2B5EF4-FFF2-40B4-BE49-F238E27FC236}">
              <a16:creationId xmlns:a16="http://schemas.microsoft.com/office/drawing/2014/main" id="{00000000-0008-0000-0F00-0000B860A500}"/>
            </a:ext>
          </a:extLst>
        </xdr:cNvPr>
        <xdr:cNvSpPr>
          <a:spLocks noChangeShapeType="1"/>
        </xdr:cNvSpPr>
      </xdr:nvSpPr>
      <xdr:spPr bwMode="auto">
        <a:xfrm flipH="1">
          <a:off x="2876550" y="6838950"/>
          <a:ext cx="1143000" cy="16859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542925</xdr:colOff>
      <xdr:row>50</xdr:row>
      <xdr:rowOff>9525</xdr:rowOff>
    </xdr:from>
    <xdr:to>
      <xdr:col>5</xdr:col>
      <xdr:colOff>733425</xdr:colOff>
      <xdr:row>53</xdr:row>
      <xdr:rowOff>9525</xdr:rowOff>
    </xdr:to>
    <xdr:sp macro="" textlink="">
      <xdr:nvSpPr>
        <xdr:cNvPr id="10838201" name="Line 16">
          <a:extLst>
            <a:ext uri="{FF2B5EF4-FFF2-40B4-BE49-F238E27FC236}">
              <a16:creationId xmlns:a16="http://schemas.microsoft.com/office/drawing/2014/main" id="{00000000-0008-0000-0F00-0000B960A500}"/>
            </a:ext>
          </a:extLst>
        </xdr:cNvPr>
        <xdr:cNvSpPr>
          <a:spLocks noChangeShapeType="1"/>
        </xdr:cNvSpPr>
      </xdr:nvSpPr>
      <xdr:spPr bwMode="auto">
        <a:xfrm flipH="1" flipV="1">
          <a:off x="3038475" y="9067800"/>
          <a:ext cx="828675" cy="5334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47</xdr:row>
      <xdr:rowOff>9525</xdr:rowOff>
    </xdr:from>
    <xdr:to>
      <xdr:col>4</xdr:col>
      <xdr:colOff>371475</xdr:colOff>
      <xdr:row>47</xdr:row>
      <xdr:rowOff>19050</xdr:rowOff>
    </xdr:to>
    <xdr:sp macro="" textlink="">
      <xdr:nvSpPr>
        <xdr:cNvPr id="10838202" name="Arc 17">
          <a:extLst>
            <a:ext uri="{FF2B5EF4-FFF2-40B4-BE49-F238E27FC236}">
              <a16:creationId xmlns:a16="http://schemas.microsoft.com/office/drawing/2014/main" id="{00000000-0008-0000-0F00-0000BA60A500}"/>
            </a:ext>
          </a:extLst>
        </xdr:cNvPr>
        <xdr:cNvSpPr>
          <a:spLocks/>
        </xdr:cNvSpPr>
      </xdr:nvSpPr>
      <xdr:spPr bwMode="auto">
        <a:xfrm flipH="1" flipV="1">
          <a:off x="2857500" y="8543925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171450</xdr:colOff>
      <xdr:row>47</xdr:row>
      <xdr:rowOff>9525</xdr:rowOff>
    </xdr:from>
    <xdr:to>
      <xdr:col>4</xdr:col>
      <xdr:colOff>352425</xdr:colOff>
      <xdr:row>49</xdr:row>
      <xdr:rowOff>152400</xdr:rowOff>
    </xdr:to>
    <xdr:sp macro="" textlink="">
      <xdr:nvSpPr>
        <xdr:cNvPr id="10838203" name="Line 18">
          <a:extLst>
            <a:ext uri="{FF2B5EF4-FFF2-40B4-BE49-F238E27FC236}">
              <a16:creationId xmlns:a16="http://schemas.microsoft.com/office/drawing/2014/main" id="{00000000-0008-0000-0F00-0000BB60A500}"/>
            </a:ext>
          </a:extLst>
        </xdr:cNvPr>
        <xdr:cNvSpPr>
          <a:spLocks noChangeShapeType="1"/>
        </xdr:cNvSpPr>
      </xdr:nvSpPr>
      <xdr:spPr bwMode="auto">
        <a:xfrm flipH="1">
          <a:off x="1971675" y="8543925"/>
          <a:ext cx="876300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50</xdr:row>
      <xdr:rowOff>0</xdr:rowOff>
    </xdr:from>
    <xdr:to>
      <xdr:col>3</xdr:col>
      <xdr:colOff>171450</xdr:colOff>
      <xdr:row>50</xdr:row>
      <xdr:rowOff>0</xdr:rowOff>
    </xdr:to>
    <xdr:sp macro="" textlink="">
      <xdr:nvSpPr>
        <xdr:cNvPr id="10838204" name="Line 19">
          <a:extLst>
            <a:ext uri="{FF2B5EF4-FFF2-40B4-BE49-F238E27FC236}">
              <a16:creationId xmlns:a16="http://schemas.microsoft.com/office/drawing/2014/main" id="{00000000-0008-0000-0F00-0000BC60A500}"/>
            </a:ext>
          </a:extLst>
        </xdr:cNvPr>
        <xdr:cNvSpPr>
          <a:spLocks noChangeShapeType="1"/>
        </xdr:cNvSpPr>
      </xdr:nvSpPr>
      <xdr:spPr bwMode="auto">
        <a:xfrm flipH="1">
          <a:off x="1257300" y="9058275"/>
          <a:ext cx="71437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352425</xdr:colOff>
      <xdr:row>47</xdr:row>
      <xdr:rowOff>19050</xdr:rowOff>
    </xdr:from>
    <xdr:to>
      <xdr:col>4</xdr:col>
      <xdr:colOff>581025</xdr:colOff>
      <xdr:row>50</xdr:row>
      <xdr:rowOff>0</xdr:rowOff>
    </xdr:to>
    <xdr:sp macro="" textlink="">
      <xdr:nvSpPr>
        <xdr:cNvPr id="10838205" name="Arc 20">
          <a:extLst>
            <a:ext uri="{FF2B5EF4-FFF2-40B4-BE49-F238E27FC236}">
              <a16:creationId xmlns:a16="http://schemas.microsoft.com/office/drawing/2014/main" id="{00000000-0008-0000-0F00-0000BD60A500}"/>
            </a:ext>
          </a:extLst>
        </xdr:cNvPr>
        <xdr:cNvSpPr>
          <a:spLocks/>
        </xdr:cNvSpPr>
      </xdr:nvSpPr>
      <xdr:spPr bwMode="auto">
        <a:xfrm flipH="1" flipV="1">
          <a:off x="2847975" y="8553450"/>
          <a:ext cx="228600" cy="5048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228600</xdr:colOff>
      <xdr:row>10</xdr:row>
      <xdr:rowOff>66675</xdr:rowOff>
    </xdr:from>
    <xdr:to>
      <xdr:col>5</xdr:col>
      <xdr:colOff>57150</xdr:colOff>
      <xdr:row>16</xdr:row>
      <xdr:rowOff>57150</xdr:rowOff>
    </xdr:to>
    <xdr:sp macro="" textlink="">
      <xdr:nvSpPr>
        <xdr:cNvPr id="10838206" name="Oval 21">
          <a:extLst>
            <a:ext uri="{FF2B5EF4-FFF2-40B4-BE49-F238E27FC236}">
              <a16:creationId xmlns:a16="http://schemas.microsoft.com/office/drawing/2014/main" id="{00000000-0008-0000-0F00-0000BE60A500}"/>
            </a:ext>
          </a:extLst>
        </xdr:cNvPr>
        <xdr:cNvSpPr>
          <a:spLocks noChangeArrowheads="1"/>
        </xdr:cNvSpPr>
      </xdr:nvSpPr>
      <xdr:spPr bwMode="auto">
        <a:xfrm>
          <a:off x="2028825" y="2181225"/>
          <a:ext cx="1162050" cy="11049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381000</xdr:colOff>
      <xdr:row>23</xdr:row>
      <xdr:rowOff>123825</xdr:rowOff>
    </xdr:from>
    <xdr:to>
      <xdr:col>6</xdr:col>
      <xdr:colOff>257175</xdr:colOff>
      <xdr:row>31</xdr:row>
      <xdr:rowOff>38100</xdr:rowOff>
    </xdr:to>
    <xdr:sp macro="" textlink="">
      <xdr:nvSpPr>
        <xdr:cNvPr id="10838207" name="Line 22">
          <a:extLst>
            <a:ext uri="{FF2B5EF4-FFF2-40B4-BE49-F238E27FC236}">
              <a16:creationId xmlns:a16="http://schemas.microsoft.com/office/drawing/2014/main" id="{00000000-0008-0000-0F00-0000BF60A500}"/>
            </a:ext>
          </a:extLst>
        </xdr:cNvPr>
        <xdr:cNvSpPr>
          <a:spLocks noChangeShapeType="1"/>
        </xdr:cNvSpPr>
      </xdr:nvSpPr>
      <xdr:spPr bwMode="auto">
        <a:xfrm flipH="1">
          <a:off x="2876550" y="4591050"/>
          <a:ext cx="1276350" cy="13049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52</xdr:row>
      <xdr:rowOff>38100</xdr:rowOff>
    </xdr:from>
    <xdr:to>
      <xdr:col>14</xdr:col>
      <xdr:colOff>9525</xdr:colOff>
      <xdr:row>60</xdr:row>
      <xdr:rowOff>28575</xdr:rowOff>
    </xdr:to>
    <xdr:sp macro="" textlink="">
      <xdr:nvSpPr>
        <xdr:cNvPr id="10838208" name="Arc 23">
          <a:extLst>
            <a:ext uri="{FF2B5EF4-FFF2-40B4-BE49-F238E27FC236}">
              <a16:creationId xmlns:a16="http://schemas.microsoft.com/office/drawing/2014/main" id="{00000000-0008-0000-0F00-0000C060A500}"/>
            </a:ext>
          </a:extLst>
        </xdr:cNvPr>
        <xdr:cNvSpPr>
          <a:spLocks/>
        </xdr:cNvSpPr>
      </xdr:nvSpPr>
      <xdr:spPr bwMode="auto">
        <a:xfrm flipH="1">
          <a:off x="6743700" y="9439275"/>
          <a:ext cx="3019425" cy="15049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600075</xdr:colOff>
      <xdr:row>52</xdr:row>
      <xdr:rowOff>38100</xdr:rowOff>
    </xdr:from>
    <xdr:to>
      <xdr:col>17</xdr:col>
      <xdr:colOff>571500</xdr:colOff>
      <xdr:row>60</xdr:row>
      <xdr:rowOff>38100</xdr:rowOff>
    </xdr:to>
    <xdr:sp macro="" textlink="">
      <xdr:nvSpPr>
        <xdr:cNvPr id="10838209" name="Arc 24">
          <a:extLst>
            <a:ext uri="{FF2B5EF4-FFF2-40B4-BE49-F238E27FC236}">
              <a16:creationId xmlns:a16="http://schemas.microsoft.com/office/drawing/2014/main" id="{00000000-0008-0000-0F00-0000C160A500}"/>
            </a:ext>
          </a:extLst>
        </xdr:cNvPr>
        <xdr:cNvSpPr>
          <a:spLocks/>
        </xdr:cNvSpPr>
      </xdr:nvSpPr>
      <xdr:spPr bwMode="auto">
        <a:xfrm>
          <a:off x="9486900" y="9439275"/>
          <a:ext cx="3019425" cy="151447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657225</xdr:colOff>
      <xdr:row>58</xdr:row>
      <xdr:rowOff>76200</xdr:rowOff>
    </xdr:from>
    <xdr:to>
      <xdr:col>6</xdr:col>
      <xdr:colOff>228600</xdr:colOff>
      <xdr:row>61</xdr:row>
      <xdr:rowOff>161925</xdr:rowOff>
    </xdr:to>
    <xdr:sp macro="" textlink="">
      <xdr:nvSpPr>
        <xdr:cNvPr id="10838210" name="Line 25">
          <a:extLst>
            <a:ext uri="{FF2B5EF4-FFF2-40B4-BE49-F238E27FC236}">
              <a16:creationId xmlns:a16="http://schemas.microsoft.com/office/drawing/2014/main" id="{00000000-0008-0000-0F00-0000C260A500}"/>
            </a:ext>
          </a:extLst>
        </xdr:cNvPr>
        <xdr:cNvSpPr>
          <a:spLocks noChangeShapeType="1"/>
        </xdr:cNvSpPr>
      </xdr:nvSpPr>
      <xdr:spPr bwMode="auto">
        <a:xfrm flipH="1">
          <a:off x="3790950" y="10648950"/>
          <a:ext cx="333375" cy="5905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180975</xdr:colOff>
      <xdr:row>37</xdr:row>
      <xdr:rowOff>76200</xdr:rowOff>
    </xdr:from>
    <xdr:to>
      <xdr:col>17</xdr:col>
      <xdr:colOff>152400</xdr:colOff>
      <xdr:row>45</xdr:row>
      <xdr:rowOff>152400</xdr:rowOff>
    </xdr:to>
    <xdr:sp macro="" textlink="">
      <xdr:nvSpPr>
        <xdr:cNvPr id="10838211" name="Line 26">
          <a:extLst>
            <a:ext uri="{FF2B5EF4-FFF2-40B4-BE49-F238E27FC236}">
              <a16:creationId xmlns:a16="http://schemas.microsoft.com/office/drawing/2014/main" id="{00000000-0008-0000-0F00-0000C360A500}"/>
            </a:ext>
          </a:extLst>
        </xdr:cNvPr>
        <xdr:cNvSpPr>
          <a:spLocks noChangeShapeType="1"/>
        </xdr:cNvSpPr>
      </xdr:nvSpPr>
      <xdr:spPr bwMode="auto">
        <a:xfrm>
          <a:off x="11430000" y="6972300"/>
          <a:ext cx="657225" cy="13716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200025</xdr:colOff>
      <xdr:row>37</xdr:row>
      <xdr:rowOff>152400</xdr:rowOff>
    </xdr:from>
    <xdr:to>
      <xdr:col>11</xdr:col>
      <xdr:colOff>638175</xdr:colOff>
      <xdr:row>53</xdr:row>
      <xdr:rowOff>123825</xdr:rowOff>
    </xdr:to>
    <xdr:sp macro="" textlink="">
      <xdr:nvSpPr>
        <xdr:cNvPr id="10838212" name="Line 27">
          <a:extLst>
            <a:ext uri="{FF2B5EF4-FFF2-40B4-BE49-F238E27FC236}">
              <a16:creationId xmlns:a16="http://schemas.microsoft.com/office/drawing/2014/main" id="{00000000-0008-0000-0F00-0000C460A500}"/>
            </a:ext>
          </a:extLst>
        </xdr:cNvPr>
        <xdr:cNvSpPr>
          <a:spLocks noChangeShapeType="1"/>
        </xdr:cNvSpPr>
      </xdr:nvSpPr>
      <xdr:spPr bwMode="auto">
        <a:xfrm>
          <a:off x="6943725" y="7048500"/>
          <a:ext cx="1104900" cy="26670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152400</xdr:colOff>
      <xdr:row>45</xdr:row>
      <xdr:rowOff>47625</xdr:rowOff>
    </xdr:from>
    <xdr:to>
      <xdr:col>11</xdr:col>
      <xdr:colOff>400050</xdr:colOff>
      <xdr:row>54</xdr:row>
      <xdr:rowOff>0</xdr:rowOff>
    </xdr:to>
    <xdr:sp macro="" textlink="">
      <xdr:nvSpPr>
        <xdr:cNvPr id="10838213" name="Line 28">
          <a:extLst>
            <a:ext uri="{FF2B5EF4-FFF2-40B4-BE49-F238E27FC236}">
              <a16:creationId xmlns:a16="http://schemas.microsoft.com/office/drawing/2014/main" id="{00000000-0008-0000-0F00-0000C560A500}"/>
            </a:ext>
          </a:extLst>
        </xdr:cNvPr>
        <xdr:cNvSpPr>
          <a:spLocks noChangeShapeType="1"/>
        </xdr:cNvSpPr>
      </xdr:nvSpPr>
      <xdr:spPr bwMode="auto">
        <a:xfrm>
          <a:off x="5524500" y="8239125"/>
          <a:ext cx="2286000" cy="15144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25</xdr:row>
      <xdr:rowOff>0</xdr:rowOff>
    </xdr:from>
    <xdr:to>
      <xdr:col>11</xdr:col>
      <xdr:colOff>123825</xdr:colOff>
      <xdr:row>25</xdr:row>
      <xdr:rowOff>0</xdr:rowOff>
    </xdr:to>
    <xdr:sp macro="" textlink="">
      <xdr:nvSpPr>
        <xdr:cNvPr id="10838214" name="Line 29">
          <a:extLst>
            <a:ext uri="{FF2B5EF4-FFF2-40B4-BE49-F238E27FC236}">
              <a16:creationId xmlns:a16="http://schemas.microsoft.com/office/drawing/2014/main" id="{00000000-0008-0000-0F00-0000C660A500}"/>
            </a:ext>
          </a:extLst>
        </xdr:cNvPr>
        <xdr:cNvSpPr>
          <a:spLocks noChangeShapeType="1"/>
        </xdr:cNvSpPr>
      </xdr:nvSpPr>
      <xdr:spPr bwMode="auto">
        <a:xfrm>
          <a:off x="6048375" y="4800600"/>
          <a:ext cx="14859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600075</xdr:colOff>
      <xdr:row>20</xdr:row>
      <xdr:rowOff>0</xdr:rowOff>
    </xdr:from>
    <xdr:to>
      <xdr:col>13</xdr:col>
      <xdr:colOff>9525</xdr:colOff>
      <xdr:row>29</xdr:row>
      <xdr:rowOff>47625</xdr:rowOff>
    </xdr:to>
    <xdr:sp macro="" textlink="">
      <xdr:nvSpPr>
        <xdr:cNvPr id="10838215" name="Line 30">
          <a:extLst>
            <a:ext uri="{FF2B5EF4-FFF2-40B4-BE49-F238E27FC236}">
              <a16:creationId xmlns:a16="http://schemas.microsoft.com/office/drawing/2014/main" id="{00000000-0008-0000-0F00-0000C760A500}"/>
            </a:ext>
          </a:extLst>
        </xdr:cNvPr>
        <xdr:cNvSpPr>
          <a:spLocks noChangeShapeType="1"/>
        </xdr:cNvSpPr>
      </xdr:nvSpPr>
      <xdr:spPr bwMode="auto">
        <a:xfrm>
          <a:off x="8010525" y="3924300"/>
          <a:ext cx="885825" cy="16287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171450</xdr:colOff>
      <xdr:row>19</xdr:row>
      <xdr:rowOff>171450</xdr:rowOff>
    </xdr:from>
    <xdr:to>
      <xdr:col>11</xdr:col>
      <xdr:colOff>619125</xdr:colOff>
      <xdr:row>19</xdr:row>
      <xdr:rowOff>171450</xdr:rowOff>
    </xdr:to>
    <xdr:sp macro="" textlink="">
      <xdr:nvSpPr>
        <xdr:cNvPr id="10838216" name="Line 31">
          <a:extLst>
            <a:ext uri="{FF2B5EF4-FFF2-40B4-BE49-F238E27FC236}">
              <a16:creationId xmlns:a16="http://schemas.microsoft.com/office/drawing/2014/main" id="{00000000-0008-0000-0F00-0000C860A500}"/>
            </a:ext>
          </a:extLst>
        </xdr:cNvPr>
        <xdr:cNvSpPr>
          <a:spLocks noChangeShapeType="1"/>
        </xdr:cNvSpPr>
      </xdr:nvSpPr>
      <xdr:spPr bwMode="auto">
        <a:xfrm flipH="1">
          <a:off x="5543550" y="3905250"/>
          <a:ext cx="248602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561975</xdr:colOff>
      <xdr:row>58</xdr:row>
      <xdr:rowOff>28575</xdr:rowOff>
    </xdr:from>
    <xdr:to>
      <xdr:col>8</xdr:col>
      <xdr:colOff>266700</xdr:colOff>
      <xdr:row>61</xdr:row>
      <xdr:rowOff>57150</xdr:rowOff>
    </xdr:to>
    <xdr:sp macro="" textlink="">
      <xdr:nvSpPr>
        <xdr:cNvPr id="10838217" name="Line 32">
          <a:extLst>
            <a:ext uri="{FF2B5EF4-FFF2-40B4-BE49-F238E27FC236}">
              <a16:creationId xmlns:a16="http://schemas.microsoft.com/office/drawing/2014/main" id="{00000000-0008-0000-0F00-0000C960A500}"/>
            </a:ext>
          </a:extLst>
        </xdr:cNvPr>
        <xdr:cNvSpPr>
          <a:spLocks noChangeShapeType="1"/>
        </xdr:cNvSpPr>
      </xdr:nvSpPr>
      <xdr:spPr bwMode="auto">
        <a:xfrm flipH="1" flipV="1">
          <a:off x="5219700" y="10601325"/>
          <a:ext cx="419100" cy="533400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25</xdr:row>
      <xdr:rowOff>0</xdr:rowOff>
    </xdr:from>
    <xdr:to>
      <xdr:col>7</xdr:col>
      <xdr:colOff>0</xdr:colOff>
      <xdr:row>29</xdr:row>
      <xdr:rowOff>9525</xdr:rowOff>
    </xdr:to>
    <xdr:sp macro="" textlink="">
      <xdr:nvSpPr>
        <xdr:cNvPr id="10838218" name="Line 33">
          <a:extLst>
            <a:ext uri="{FF2B5EF4-FFF2-40B4-BE49-F238E27FC236}">
              <a16:creationId xmlns:a16="http://schemas.microsoft.com/office/drawing/2014/main" id="{00000000-0008-0000-0F00-0000CA60A500}"/>
            </a:ext>
          </a:extLst>
        </xdr:cNvPr>
        <xdr:cNvSpPr>
          <a:spLocks noChangeShapeType="1"/>
        </xdr:cNvSpPr>
      </xdr:nvSpPr>
      <xdr:spPr bwMode="auto">
        <a:xfrm flipV="1">
          <a:off x="4657725" y="4800600"/>
          <a:ext cx="0" cy="714375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247650</xdr:colOff>
      <xdr:row>11</xdr:row>
      <xdr:rowOff>0</xdr:rowOff>
    </xdr:from>
    <xdr:to>
      <xdr:col>6</xdr:col>
      <xdr:colOff>657225</xdr:colOff>
      <xdr:row>16</xdr:row>
      <xdr:rowOff>57150</xdr:rowOff>
    </xdr:to>
    <xdr:sp macro="" textlink="">
      <xdr:nvSpPr>
        <xdr:cNvPr id="10838219" name="Line 34">
          <a:extLst>
            <a:ext uri="{FF2B5EF4-FFF2-40B4-BE49-F238E27FC236}">
              <a16:creationId xmlns:a16="http://schemas.microsoft.com/office/drawing/2014/main" id="{00000000-0008-0000-0F00-0000CB60A500}"/>
            </a:ext>
          </a:extLst>
        </xdr:cNvPr>
        <xdr:cNvSpPr>
          <a:spLocks noChangeShapeType="1"/>
        </xdr:cNvSpPr>
      </xdr:nvSpPr>
      <xdr:spPr bwMode="auto">
        <a:xfrm flipH="1" flipV="1">
          <a:off x="4143375" y="2314575"/>
          <a:ext cx="409575" cy="9715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85725</xdr:colOff>
      <xdr:row>33</xdr:row>
      <xdr:rowOff>142875</xdr:rowOff>
    </xdr:from>
    <xdr:to>
      <xdr:col>8</xdr:col>
      <xdr:colOff>542925</xdr:colOff>
      <xdr:row>33</xdr:row>
      <xdr:rowOff>142875</xdr:rowOff>
    </xdr:to>
    <xdr:sp macro="" textlink="">
      <xdr:nvSpPr>
        <xdr:cNvPr id="10838220" name="Line 35">
          <a:extLst>
            <a:ext uri="{FF2B5EF4-FFF2-40B4-BE49-F238E27FC236}">
              <a16:creationId xmlns:a16="http://schemas.microsoft.com/office/drawing/2014/main" id="{00000000-0008-0000-0F00-0000CC60A500}"/>
            </a:ext>
          </a:extLst>
        </xdr:cNvPr>
        <xdr:cNvSpPr>
          <a:spLocks noChangeShapeType="1"/>
        </xdr:cNvSpPr>
      </xdr:nvSpPr>
      <xdr:spPr bwMode="auto">
        <a:xfrm flipH="1">
          <a:off x="5457825" y="6372225"/>
          <a:ext cx="4572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485775</xdr:colOff>
      <xdr:row>37</xdr:row>
      <xdr:rowOff>123825</xdr:rowOff>
    </xdr:from>
    <xdr:to>
      <xdr:col>15</xdr:col>
      <xdr:colOff>466725</xdr:colOff>
      <xdr:row>52</xdr:row>
      <xdr:rowOff>85725</xdr:rowOff>
    </xdr:to>
    <xdr:sp macro="" textlink="">
      <xdr:nvSpPr>
        <xdr:cNvPr id="10838221" name="Line 36">
          <a:extLst>
            <a:ext uri="{FF2B5EF4-FFF2-40B4-BE49-F238E27FC236}">
              <a16:creationId xmlns:a16="http://schemas.microsoft.com/office/drawing/2014/main" id="{00000000-0008-0000-0F00-0000CD60A500}"/>
            </a:ext>
          </a:extLst>
        </xdr:cNvPr>
        <xdr:cNvSpPr>
          <a:spLocks noChangeShapeType="1"/>
        </xdr:cNvSpPr>
      </xdr:nvSpPr>
      <xdr:spPr bwMode="auto">
        <a:xfrm flipH="1">
          <a:off x="10239375" y="7019925"/>
          <a:ext cx="676275" cy="24669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</xdr:colOff>
      <xdr:row>13</xdr:row>
      <xdr:rowOff>0</xdr:rowOff>
    </xdr:from>
    <xdr:to>
      <xdr:col>6</xdr:col>
      <xdr:colOff>438150</xdr:colOff>
      <xdr:row>17</xdr:row>
      <xdr:rowOff>0</xdr:rowOff>
    </xdr:to>
    <xdr:sp macro="" textlink="">
      <xdr:nvSpPr>
        <xdr:cNvPr id="10838222" name="Line 37">
          <a:extLst>
            <a:ext uri="{FF2B5EF4-FFF2-40B4-BE49-F238E27FC236}">
              <a16:creationId xmlns:a16="http://schemas.microsoft.com/office/drawing/2014/main" id="{00000000-0008-0000-0F00-0000CE60A500}"/>
            </a:ext>
          </a:extLst>
        </xdr:cNvPr>
        <xdr:cNvSpPr>
          <a:spLocks noChangeShapeType="1"/>
        </xdr:cNvSpPr>
      </xdr:nvSpPr>
      <xdr:spPr bwMode="auto">
        <a:xfrm>
          <a:off x="3200400" y="2705100"/>
          <a:ext cx="1133475" cy="6858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33</xdr:row>
      <xdr:rowOff>161925</xdr:rowOff>
    </xdr:from>
    <xdr:to>
      <xdr:col>11</xdr:col>
      <xdr:colOff>695325</xdr:colOff>
      <xdr:row>33</xdr:row>
      <xdr:rowOff>161925</xdr:rowOff>
    </xdr:to>
    <xdr:sp macro="" textlink="">
      <xdr:nvSpPr>
        <xdr:cNvPr id="10838223" name="Line 38">
          <a:extLst>
            <a:ext uri="{FF2B5EF4-FFF2-40B4-BE49-F238E27FC236}">
              <a16:creationId xmlns:a16="http://schemas.microsoft.com/office/drawing/2014/main" id="{00000000-0008-0000-0F00-0000CF60A500}"/>
            </a:ext>
          </a:extLst>
        </xdr:cNvPr>
        <xdr:cNvSpPr>
          <a:spLocks noChangeShapeType="1"/>
        </xdr:cNvSpPr>
      </xdr:nvSpPr>
      <xdr:spPr bwMode="auto">
        <a:xfrm>
          <a:off x="7477125" y="6391275"/>
          <a:ext cx="6286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25</xdr:row>
      <xdr:rowOff>0</xdr:rowOff>
    </xdr:from>
    <xdr:to>
      <xdr:col>9</xdr:col>
      <xdr:colOff>28575</xdr:colOff>
      <xdr:row>30</xdr:row>
      <xdr:rowOff>114300</xdr:rowOff>
    </xdr:to>
    <xdr:sp macro="" textlink="">
      <xdr:nvSpPr>
        <xdr:cNvPr id="10838224" name="Line 39">
          <a:extLst>
            <a:ext uri="{FF2B5EF4-FFF2-40B4-BE49-F238E27FC236}">
              <a16:creationId xmlns:a16="http://schemas.microsoft.com/office/drawing/2014/main" id="{00000000-0008-0000-0F00-0000D060A500}"/>
            </a:ext>
          </a:extLst>
        </xdr:cNvPr>
        <xdr:cNvSpPr>
          <a:spLocks noChangeShapeType="1"/>
        </xdr:cNvSpPr>
      </xdr:nvSpPr>
      <xdr:spPr bwMode="auto">
        <a:xfrm flipH="1">
          <a:off x="5191125" y="4800600"/>
          <a:ext cx="876300" cy="9810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114300</xdr:colOff>
      <xdr:row>25</xdr:row>
      <xdr:rowOff>9525</xdr:rowOff>
    </xdr:from>
    <xdr:to>
      <xdr:col>12</xdr:col>
      <xdr:colOff>142875</xdr:colOff>
      <xdr:row>30</xdr:row>
      <xdr:rowOff>76200</xdr:rowOff>
    </xdr:to>
    <xdr:sp macro="" textlink="">
      <xdr:nvSpPr>
        <xdr:cNvPr id="10838225" name="Line 40">
          <a:extLst>
            <a:ext uri="{FF2B5EF4-FFF2-40B4-BE49-F238E27FC236}">
              <a16:creationId xmlns:a16="http://schemas.microsoft.com/office/drawing/2014/main" id="{00000000-0008-0000-0F00-0000D160A500}"/>
            </a:ext>
          </a:extLst>
        </xdr:cNvPr>
        <xdr:cNvSpPr>
          <a:spLocks noChangeShapeType="1"/>
        </xdr:cNvSpPr>
      </xdr:nvSpPr>
      <xdr:spPr bwMode="auto">
        <a:xfrm>
          <a:off x="7524750" y="4810125"/>
          <a:ext cx="809625" cy="933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52</xdr:row>
      <xdr:rowOff>104775</xdr:rowOff>
    </xdr:from>
    <xdr:to>
      <xdr:col>12</xdr:col>
      <xdr:colOff>561975</xdr:colOff>
      <xdr:row>52</xdr:row>
      <xdr:rowOff>114300</xdr:rowOff>
    </xdr:to>
    <xdr:sp macro="" textlink="">
      <xdr:nvSpPr>
        <xdr:cNvPr id="10838226" name="Arc 41">
          <a:extLst>
            <a:ext uri="{FF2B5EF4-FFF2-40B4-BE49-F238E27FC236}">
              <a16:creationId xmlns:a16="http://schemas.microsoft.com/office/drawing/2014/main" id="{00000000-0008-0000-0F00-0000D260A500}"/>
            </a:ext>
          </a:extLst>
        </xdr:cNvPr>
        <xdr:cNvSpPr>
          <a:spLocks/>
        </xdr:cNvSpPr>
      </xdr:nvSpPr>
      <xdr:spPr bwMode="auto">
        <a:xfrm flipV="1">
          <a:off x="8696325" y="9505950"/>
          <a:ext cx="57150" cy="95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85725</xdr:rowOff>
    </xdr:from>
    <xdr:to>
      <xdr:col>13</xdr:col>
      <xdr:colOff>152400</xdr:colOff>
      <xdr:row>52</xdr:row>
      <xdr:rowOff>85725</xdr:rowOff>
    </xdr:to>
    <xdr:sp macro="" textlink="">
      <xdr:nvSpPr>
        <xdr:cNvPr id="10838227" name="Arc 42">
          <a:extLst>
            <a:ext uri="{FF2B5EF4-FFF2-40B4-BE49-F238E27FC236}">
              <a16:creationId xmlns:a16="http://schemas.microsoft.com/office/drawing/2014/main" id="{00000000-0008-0000-0F00-0000D360A500}"/>
            </a:ext>
          </a:extLst>
        </xdr:cNvPr>
        <xdr:cNvSpPr>
          <a:spLocks/>
        </xdr:cNvSpPr>
      </xdr:nvSpPr>
      <xdr:spPr bwMode="auto">
        <a:xfrm flipH="1">
          <a:off x="9010650" y="948690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66675</xdr:rowOff>
    </xdr:from>
    <xdr:to>
      <xdr:col>13</xdr:col>
      <xdr:colOff>152400</xdr:colOff>
      <xdr:row>52</xdr:row>
      <xdr:rowOff>85725</xdr:rowOff>
    </xdr:to>
    <xdr:sp macro="" textlink="">
      <xdr:nvSpPr>
        <xdr:cNvPr id="10838228" name="Arc 43">
          <a:extLst>
            <a:ext uri="{FF2B5EF4-FFF2-40B4-BE49-F238E27FC236}">
              <a16:creationId xmlns:a16="http://schemas.microsoft.com/office/drawing/2014/main" id="{00000000-0008-0000-0F00-0000D460A500}"/>
            </a:ext>
          </a:extLst>
        </xdr:cNvPr>
        <xdr:cNvSpPr>
          <a:spLocks/>
        </xdr:cNvSpPr>
      </xdr:nvSpPr>
      <xdr:spPr bwMode="auto">
        <a:xfrm>
          <a:off x="9010650" y="9467850"/>
          <a:ext cx="28575" cy="190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4 h 21600"/>
            <a:gd name="T4" fmla="*/ 0 w 21600"/>
            <a:gd name="T5" fmla="*/ 4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66675</xdr:colOff>
      <xdr:row>52</xdr:row>
      <xdr:rowOff>104775</xdr:rowOff>
    </xdr:from>
    <xdr:to>
      <xdr:col>13</xdr:col>
      <xdr:colOff>123825</xdr:colOff>
      <xdr:row>58</xdr:row>
      <xdr:rowOff>38100</xdr:rowOff>
    </xdr:to>
    <xdr:sp macro="" textlink="">
      <xdr:nvSpPr>
        <xdr:cNvPr id="10838229" name="Arc 44">
          <a:extLst>
            <a:ext uri="{FF2B5EF4-FFF2-40B4-BE49-F238E27FC236}">
              <a16:creationId xmlns:a16="http://schemas.microsoft.com/office/drawing/2014/main" id="{00000000-0008-0000-0F00-0000D560A500}"/>
            </a:ext>
          </a:extLst>
        </xdr:cNvPr>
        <xdr:cNvSpPr>
          <a:spLocks/>
        </xdr:cNvSpPr>
      </xdr:nvSpPr>
      <xdr:spPr bwMode="auto">
        <a:xfrm flipV="1">
          <a:off x="6810375" y="9505950"/>
          <a:ext cx="2200275" cy="110490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161925</xdr:colOff>
      <xdr:row>34</xdr:row>
      <xdr:rowOff>0</xdr:rowOff>
    </xdr:from>
    <xdr:to>
      <xdr:col>3</xdr:col>
      <xdr:colOff>142875</xdr:colOff>
      <xdr:row>34</xdr:row>
      <xdr:rowOff>0</xdr:rowOff>
    </xdr:to>
    <xdr:sp macro="" textlink="">
      <xdr:nvSpPr>
        <xdr:cNvPr id="10838231" name="Line 46">
          <a:extLst>
            <a:ext uri="{FF2B5EF4-FFF2-40B4-BE49-F238E27FC236}">
              <a16:creationId xmlns:a16="http://schemas.microsoft.com/office/drawing/2014/main" id="{00000000-0008-0000-0F00-0000D760A500}"/>
            </a:ext>
          </a:extLst>
        </xdr:cNvPr>
        <xdr:cNvSpPr>
          <a:spLocks noChangeShapeType="1"/>
        </xdr:cNvSpPr>
      </xdr:nvSpPr>
      <xdr:spPr bwMode="auto">
        <a:xfrm flipH="1">
          <a:off x="1123950" y="6410325"/>
          <a:ext cx="8191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628650</xdr:colOff>
      <xdr:row>61</xdr:row>
      <xdr:rowOff>133350</xdr:rowOff>
    </xdr:from>
    <xdr:to>
      <xdr:col>6</xdr:col>
      <xdr:colOff>171450</xdr:colOff>
      <xdr:row>66</xdr:row>
      <xdr:rowOff>161925</xdr:rowOff>
    </xdr:to>
    <xdr:sp macro="" textlink="">
      <xdr:nvSpPr>
        <xdr:cNvPr id="10838232" name="Oval 47">
          <a:extLst>
            <a:ext uri="{FF2B5EF4-FFF2-40B4-BE49-F238E27FC236}">
              <a16:creationId xmlns:a16="http://schemas.microsoft.com/office/drawing/2014/main" id="{00000000-0008-0000-0F00-0000D860A500}"/>
            </a:ext>
          </a:extLst>
        </xdr:cNvPr>
        <xdr:cNvSpPr>
          <a:spLocks noChangeArrowheads="1"/>
        </xdr:cNvSpPr>
      </xdr:nvSpPr>
      <xdr:spPr bwMode="auto">
        <a:xfrm>
          <a:off x="3124200" y="11210925"/>
          <a:ext cx="942975" cy="8858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581025</xdr:colOff>
      <xdr:row>61</xdr:row>
      <xdr:rowOff>28575</xdr:rowOff>
    </xdr:from>
    <xdr:to>
      <xdr:col>9</xdr:col>
      <xdr:colOff>180975</xdr:colOff>
      <xdr:row>66</xdr:row>
      <xdr:rowOff>101600</xdr:rowOff>
    </xdr:to>
    <xdr:sp macro="" textlink="">
      <xdr:nvSpPr>
        <xdr:cNvPr id="10838233" name="Oval 48">
          <a:extLst>
            <a:ext uri="{FF2B5EF4-FFF2-40B4-BE49-F238E27FC236}">
              <a16:creationId xmlns:a16="http://schemas.microsoft.com/office/drawing/2014/main" id="{00000000-0008-0000-0F00-0000D960A500}"/>
            </a:ext>
          </a:extLst>
        </xdr:cNvPr>
        <xdr:cNvSpPr>
          <a:spLocks noChangeArrowheads="1"/>
        </xdr:cNvSpPr>
      </xdr:nvSpPr>
      <xdr:spPr bwMode="auto">
        <a:xfrm>
          <a:off x="5241925" y="11255375"/>
          <a:ext cx="984250" cy="9112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152400</xdr:colOff>
      <xdr:row>38</xdr:row>
      <xdr:rowOff>38100</xdr:rowOff>
    </xdr:from>
    <xdr:to>
      <xdr:col>13</xdr:col>
      <xdr:colOff>314325</xdr:colOff>
      <xdr:row>52</xdr:row>
      <xdr:rowOff>66675</xdr:rowOff>
    </xdr:to>
    <xdr:sp macro="" textlink="">
      <xdr:nvSpPr>
        <xdr:cNvPr id="10838234" name="Line 49">
          <a:extLst>
            <a:ext uri="{FF2B5EF4-FFF2-40B4-BE49-F238E27FC236}">
              <a16:creationId xmlns:a16="http://schemas.microsoft.com/office/drawing/2014/main" id="{00000000-0008-0000-0F00-0000DA60A500}"/>
            </a:ext>
          </a:extLst>
        </xdr:cNvPr>
        <xdr:cNvSpPr>
          <a:spLocks noChangeShapeType="1"/>
        </xdr:cNvSpPr>
      </xdr:nvSpPr>
      <xdr:spPr bwMode="auto">
        <a:xfrm flipH="1" flipV="1">
          <a:off x="9039225" y="7096125"/>
          <a:ext cx="161925" cy="2371725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647700</xdr:colOff>
      <xdr:row>38</xdr:row>
      <xdr:rowOff>0</xdr:rowOff>
    </xdr:from>
    <xdr:to>
      <xdr:col>15</xdr:col>
      <xdr:colOff>638175</xdr:colOff>
      <xdr:row>52</xdr:row>
      <xdr:rowOff>104775</xdr:rowOff>
    </xdr:to>
    <xdr:sp macro="" textlink="">
      <xdr:nvSpPr>
        <xdr:cNvPr id="10838235" name="Line 50">
          <a:extLst>
            <a:ext uri="{FF2B5EF4-FFF2-40B4-BE49-F238E27FC236}">
              <a16:creationId xmlns:a16="http://schemas.microsoft.com/office/drawing/2014/main" id="{00000000-0008-0000-0F00-0000DB60A500}"/>
            </a:ext>
          </a:extLst>
        </xdr:cNvPr>
        <xdr:cNvSpPr>
          <a:spLocks noChangeShapeType="1"/>
        </xdr:cNvSpPr>
      </xdr:nvSpPr>
      <xdr:spPr bwMode="auto">
        <a:xfrm flipH="1">
          <a:off x="10401300" y="7058025"/>
          <a:ext cx="685800" cy="2447925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18</xdr:row>
      <xdr:rowOff>104775</xdr:rowOff>
    </xdr:from>
    <xdr:to>
      <xdr:col>6</xdr:col>
      <xdr:colOff>0</xdr:colOff>
      <xdr:row>26</xdr:row>
      <xdr:rowOff>0</xdr:rowOff>
    </xdr:to>
    <xdr:sp macro="" textlink="">
      <xdr:nvSpPr>
        <xdr:cNvPr id="10838236" name="Oval 51">
          <a:extLst>
            <a:ext uri="{FF2B5EF4-FFF2-40B4-BE49-F238E27FC236}">
              <a16:creationId xmlns:a16="http://schemas.microsoft.com/office/drawing/2014/main" id="{00000000-0008-0000-0F00-0000DC60A500}"/>
            </a:ext>
          </a:extLst>
        </xdr:cNvPr>
        <xdr:cNvSpPr>
          <a:spLocks noChangeArrowheads="1"/>
        </xdr:cNvSpPr>
      </xdr:nvSpPr>
      <xdr:spPr bwMode="auto">
        <a:xfrm>
          <a:off x="2505075" y="3657600"/>
          <a:ext cx="1390650" cy="13335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85725</xdr:colOff>
      <xdr:row>16</xdr:row>
      <xdr:rowOff>47625</xdr:rowOff>
    </xdr:from>
    <xdr:to>
      <xdr:col>4</xdr:col>
      <xdr:colOff>257175</xdr:colOff>
      <xdr:row>19</xdr:row>
      <xdr:rowOff>104775</xdr:rowOff>
    </xdr:to>
    <xdr:sp macro="" textlink="">
      <xdr:nvSpPr>
        <xdr:cNvPr id="10838237" name="Line 52">
          <a:extLst>
            <a:ext uri="{FF2B5EF4-FFF2-40B4-BE49-F238E27FC236}">
              <a16:creationId xmlns:a16="http://schemas.microsoft.com/office/drawing/2014/main" id="{00000000-0008-0000-0F00-0000DD60A500}"/>
            </a:ext>
          </a:extLst>
        </xdr:cNvPr>
        <xdr:cNvSpPr>
          <a:spLocks noChangeShapeType="1"/>
        </xdr:cNvSpPr>
      </xdr:nvSpPr>
      <xdr:spPr bwMode="auto">
        <a:xfrm flipH="1" flipV="1">
          <a:off x="2581275" y="3276600"/>
          <a:ext cx="171450" cy="5619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15</xdr:row>
      <xdr:rowOff>123825</xdr:rowOff>
    </xdr:from>
    <xdr:to>
      <xdr:col>3</xdr:col>
      <xdr:colOff>533400</xdr:colOff>
      <xdr:row>30</xdr:row>
      <xdr:rowOff>104775</xdr:rowOff>
    </xdr:to>
    <xdr:sp macro="" textlink="">
      <xdr:nvSpPr>
        <xdr:cNvPr id="10838238" name="Line 53">
          <a:extLst>
            <a:ext uri="{FF2B5EF4-FFF2-40B4-BE49-F238E27FC236}">
              <a16:creationId xmlns:a16="http://schemas.microsoft.com/office/drawing/2014/main" id="{00000000-0008-0000-0F00-0000DE60A500}"/>
            </a:ext>
          </a:extLst>
        </xdr:cNvPr>
        <xdr:cNvSpPr>
          <a:spLocks noChangeShapeType="1"/>
        </xdr:cNvSpPr>
      </xdr:nvSpPr>
      <xdr:spPr bwMode="auto">
        <a:xfrm flipV="1">
          <a:off x="2286000" y="3190875"/>
          <a:ext cx="47625" cy="25812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485775</xdr:colOff>
      <xdr:row>41</xdr:row>
      <xdr:rowOff>9525</xdr:rowOff>
    </xdr:from>
    <xdr:to>
      <xdr:col>8</xdr:col>
      <xdr:colOff>200025</xdr:colOff>
      <xdr:row>47</xdr:row>
      <xdr:rowOff>76200</xdr:rowOff>
    </xdr:to>
    <xdr:sp macro="" textlink="">
      <xdr:nvSpPr>
        <xdr:cNvPr id="10838239" name="Oval 54">
          <a:extLst>
            <a:ext uri="{FF2B5EF4-FFF2-40B4-BE49-F238E27FC236}">
              <a16:creationId xmlns:a16="http://schemas.microsoft.com/office/drawing/2014/main" id="{00000000-0008-0000-0F00-0000DF60A500}"/>
            </a:ext>
          </a:extLst>
        </xdr:cNvPr>
        <xdr:cNvSpPr>
          <a:spLocks noChangeArrowheads="1"/>
        </xdr:cNvSpPr>
      </xdr:nvSpPr>
      <xdr:spPr bwMode="auto">
        <a:xfrm>
          <a:off x="3619500" y="7553325"/>
          <a:ext cx="1952625" cy="10572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695325</xdr:colOff>
      <xdr:row>36</xdr:row>
      <xdr:rowOff>104775</xdr:rowOff>
    </xdr:from>
    <xdr:to>
      <xdr:col>9</xdr:col>
      <xdr:colOff>95250</xdr:colOff>
      <xdr:row>42</xdr:row>
      <xdr:rowOff>38100</xdr:rowOff>
    </xdr:to>
    <xdr:sp macro="" textlink="">
      <xdr:nvSpPr>
        <xdr:cNvPr id="10838240" name="Line 55">
          <a:extLst>
            <a:ext uri="{FF2B5EF4-FFF2-40B4-BE49-F238E27FC236}">
              <a16:creationId xmlns:a16="http://schemas.microsoft.com/office/drawing/2014/main" id="{00000000-0008-0000-0F00-0000E060A500}"/>
            </a:ext>
          </a:extLst>
        </xdr:cNvPr>
        <xdr:cNvSpPr>
          <a:spLocks noChangeShapeType="1"/>
        </xdr:cNvSpPr>
      </xdr:nvSpPr>
      <xdr:spPr bwMode="auto">
        <a:xfrm flipH="1">
          <a:off x="5353050" y="6838950"/>
          <a:ext cx="781050" cy="9048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466725</xdr:colOff>
      <xdr:row>41</xdr:row>
      <xdr:rowOff>0</xdr:rowOff>
    </xdr:from>
    <xdr:to>
      <xdr:col>8</xdr:col>
      <xdr:colOff>190500</xdr:colOff>
      <xdr:row>59</xdr:row>
      <xdr:rowOff>28575</xdr:rowOff>
    </xdr:to>
    <xdr:sp macro="" textlink="">
      <xdr:nvSpPr>
        <xdr:cNvPr id="10838241" name="Rectangle 56">
          <a:extLst>
            <a:ext uri="{FF2B5EF4-FFF2-40B4-BE49-F238E27FC236}">
              <a16:creationId xmlns:a16="http://schemas.microsoft.com/office/drawing/2014/main" id="{00000000-0008-0000-0F00-0000E160A500}"/>
            </a:ext>
          </a:extLst>
        </xdr:cNvPr>
        <xdr:cNvSpPr>
          <a:spLocks noChangeArrowheads="1"/>
        </xdr:cNvSpPr>
      </xdr:nvSpPr>
      <xdr:spPr bwMode="auto">
        <a:xfrm>
          <a:off x="3600450" y="7543800"/>
          <a:ext cx="1962150" cy="32385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428625</xdr:colOff>
      <xdr:row>45</xdr:row>
      <xdr:rowOff>85725</xdr:rowOff>
    </xdr:from>
    <xdr:to>
      <xdr:col>5</xdr:col>
      <xdr:colOff>561975</xdr:colOff>
      <xdr:row>47</xdr:row>
      <xdr:rowOff>9525</xdr:rowOff>
    </xdr:to>
    <xdr:sp macro="" textlink="">
      <xdr:nvSpPr>
        <xdr:cNvPr id="10838242" name="Line 57">
          <a:extLst>
            <a:ext uri="{FF2B5EF4-FFF2-40B4-BE49-F238E27FC236}">
              <a16:creationId xmlns:a16="http://schemas.microsoft.com/office/drawing/2014/main" id="{00000000-0008-0000-0F00-0000E260A500}"/>
            </a:ext>
          </a:extLst>
        </xdr:cNvPr>
        <xdr:cNvSpPr>
          <a:spLocks noChangeShapeType="1"/>
        </xdr:cNvSpPr>
      </xdr:nvSpPr>
      <xdr:spPr bwMode="auto">
        <a:xfrm flipH="1">
          <a:off x="2924175" y="8277225"/>
          <a:ext cx="771525" cy="2667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</xdr:row>
      <xdr:rowOff>0</xdr:rowOff>
    </xdr:from>
    <xdr:to>
      <xdr:col>7</xdr:col>
      <xdr:colOff>0</xdr:colOff>
      <xdr:row>41</xdr:row>
      <xdr:rowOff>9525</xdr:rowOff>
    </xdr:to>
    <xdr:sp macro="" textlink="">
      <xdr:nvSpPr>
        <xdr:cNvPr id="10838243" name="Line 58">
          <a:extLst>
            <a:ext uri="{FF2B5EF4-FFF2-40B4-BE49-F238E27FC236}">
              <a16:creationId xmlns:a16="http://schemas.microsoft.com/office/drawing/2014/main" id="{00000000-0008-0000-0F00-0000E360A500}"/>
            </a:ext>
          </a:extLst>
        </xdr:cNvPr>
        <xdr:cNvSpPr>
          <a:spLocks noChangeShapeType="1"/>
        </xdr:cNvSpPr>
      </xdr:nvSpPr>
      <xdr:spPr bwMode="auto">
        <a:xfrm>
          <a:off x="4657725" y="7058025"/>
          <a:ext cx="0" cy="4953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838244" name="Line 59">
          <a:extLst>
            <a:ext uri="{FF2B5EF4-FFF2-40B4-BE49-F238E27FC236}">
              <a16:creationId xmlns:a16="http://schemas.microsoft.com/office/drawing/2014/main" id="{00000000-0008-0000-0F00-0000E460A500}"/>
            </a:ext>
          </a:extLst>
        </xdr:cNvPr>
        <xdr:cNvSpPr>
          <a:spLocks noChangeShapeType="1"/>
        </xdr:cNvSpPr>
      </xdr:nvSpPr>
      <xdr:spPr bwMode="auto">
        <a:xfrm flipH="1">
          <a:off x="1331595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0</xdr:row>
      <xdr:rowOff>0</xdr:rowOff>
    </xdr:from>
    <xdr:to>
      <xdr:col>4</xdr:col>
      <xdr:colOff>371475</xdr:colOff>
      <xdr:row>0</xdr:row>
      <xdr:rowOff>0</xdr:rowOff>
    </xdr:to>
    <xdr:sp macro="" textlink="">
      <xdr:nvSpPr>
        <xdr:cNvPr id="10838245" name="Arc 60">
          <a:extLst>
            <a:ext uri="{FF2B5EF4-FFF2-40B4-BE49-F238E27FC236}">
              <a16:creationId xmlns:a16="http://schemas.microsoft.com/office/drawing/2014/main" id="{00000000-0008-0000-0F00-0000E560A500}"/>
            </a:ext>
          </a:extLst>
        </xdr:cNvPr>
        <xdr:cNvSpPr>
          <a:spLocks/>
        </xdr:cNvSpPr>
      </xdr:nvSpPr>
      <xdr:spPr bwMode="auto">
        <a:xfrm flipH="1" flipV="1">
          <a:off x="2857500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38246" name="Line 61">
          <a:extLst>
            <a:ext uri="{FF2B5EF4-FFF2-40B4-BE49-F238E27FC236}">
              <a16:creationId xmlns:a16="http://schemas.microsoft.com/office/drawing/2014/main" id="{00000000-0008-0000-0F00-0000E660A500}"/>
            </a:ext>
          </a:extLst>
        </xdr:cNvPr>
        <xdr:cNvSpPr>
          <a:spLocks noChangeShapeType="1"/>
        </xdr:cNvSpPr>
      </xdr:nvSpPr>
      <xdr:spPr bwMode="auto">
        <a:xfrm flipV="1">
          <a:off x="4657725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0</xdr:row>
      <xdr:rowOff>0</xdr:rowOff>
    </xdr:from>
    <xdr:to>
      <xdr:col>12</xdr:col>
      <xdr:colOff>561975</xdr:colOff>
      <xdr:row>0</xdr:row>
      <xdr:rowOff>0</xdr:rowOff>
    </xdr:to>
    <xdr:sp macro="" textlink="">
      <xdr:nvSpPr>
        <xdr:cNvPr id="10838247" name="Arc 62">
          <a:extLst>
            <a:ext uri="{FF2B5EF4-FFF2-40B4-BE49-F238E27FC236}">
              <a16:creationId xmlns:a16="http://schemas.microsoft.com/office/drawing/2014/main" id="{00000000-0008-0000-0F00-0000E760A500}"/>
            </a:ext>
          </a:extLst>
        </xdr:cNvPr>
        <xdr:cNvSpPr>
          <a:spLocks/>
        </xdr:cNvSpPr>
      </xdr:nvSpPr>
      <xdr:spPr bwMode="auto">
        <a:xfrm flipV="1">
          <a:off x="8696325" y="0"/>
          <a:ext cx="57150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38248" name="Arc 63">
          <a:extLst>
            <a:ext uri="{FF2B5EF4-FFF2-40B4-BE49-F238E27FC236}">
              <a16:creationId xmlns:a16="http://schemas.microsoft.com/office/drawing/2014/main" id="{00000000-0008-0000-0F00-0000E860A500}"/>
            </a:ext>
          </a:extLst>
        </xdr:cNvPr>
        <xdr:cNvSpPr>
          <a:spLocks/>
        </xdr:cNvSpPr>
      </xdr:nvSpPr>
      <xdr:spPr bwMode="auto">
        <a:xfrm flipH="1">
          <a:off x="9010650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38249" name="Arc 64">
          <a:extLst>
            <a:ext uri="{FF2B5EF4-FFF2-40B4-BE49-F238E27FC236}">
              <a16:creationId xmlns:a16="http://schemas.microsoft.com/office/drawing/2014/main" id="{00000000-0008-0000-0F00-0000E960A500}"/>
            </a:ext>
          </a:extLst>
        </xdr:cNvPr>
        <xdr:cNvSpPr>
          <a:spLocks/>
        </xdr:cNvSpPr>
      </xdr:nvSpPr>
      <xdr:spPr bwMode="auto">
        <a:xfrm>
          <a:off x="9010650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38250" name="Line 65">
          <a:extLst>
            <a:ext uri="{FF2B5EF4-FFF2-40B4-BE49-F238E27FC236}">
              <a16:creationId xmlns:a16="http://schemas.microsoft.com/office/drawing/2014/main" id="{00000000-0008-0000-0F00-0000EA60A500}"/>
            </a:ext>
          </a:extLst>
        </xdr:cNvPr>
        <xdr:cNvSpPr>
          <a:spLocks noChangeShapeType="1"/>
        </xdr:cNvSpPr>
      </xdr:nvSpPr>
      <xdr:spPr bwMode="auto">
        <a:xfrm>
          <a:off x="4657725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8251" name="Line 66">
          <a:extLst>
            <a:ext uri="{FF2B5EF4-FFF2-40B4-BE49-F238E27FC236}">
              <a16:creationId xmlns:a16="http://schemas.microsoft.com/office/drawing/2014/main" id="{00000000-0008-0000-0F00-0000EB60A500}"/>
            </a:ext>
          </a:extLst>
        </xdr:cNvPr>
        <xdr:cNvSpPr>
          <a:spLocks noChangeShapeType="1"/>
        </xdr:cNvSpPr>
      </xdr:nvSpPr>
      <xdr:spPr bwMode="auto">
        <a:xfrm flipH="1">
          <a:off x="133159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52" name="Line 67">
          <a:extLst>
            <a:ext uri="{FF2B5EF4-FFF2-40B4-BE49-F238E27FC236}">
              <a16:creationId xmlns:a16="http://schemas.microsoft.com/office/drawing/2014/main" id="{00000000-0008-0000-0F00-0000EC60A500}"/>
            </a:ext>
          </a:extLst>
        </xdr:cNvPr>
        <xdr:cNvSpPr>
          <a:spLocks noChangeShapeType="1"/>
        </xdr:cNvSpPr>
      </xdr:nvSpPr>
      <xdr:spPr bwMode="auto">
        <a:xfrm flipH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38253" name="Arc 68">
          <a:extLst>
            <a:ext uri="{FF2B5EF4-FFF2-40B4-BE49-F238E27FC236}">
              <a16:creationId xmlns:a16="http://schemas.microsoft.com/office/drawing/2014/main" id="{00000000-0008-0000-0F00-0000ED60A500}"/>
            </a:ext>
          </a:extLst>
        </xdr:cNvPr>
        <xdr:cNvSpPr>
          <a:spLocks/>
        </xdr:cNvSpPr>
      </xdr:nvSpPr>
      <xdr:spPr bwMode="auto">
        <a:xfrm flipH="1" flipV="1">
          <a:off x="2857500" y="12315825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54" name="Line 69">
          <a:extLst>
            <a:ext uri="{FF2B5EF4-FFF2-40B4-BE49-F238E27FC236}">
              <a16:creationId xmlns:a16="http://schemas.microsoft.com/office/drawing/2014/main" id="{00000000-0008-0000-0F00-0000EE60A500}"/>
            </a:ext>
          </a:extLst>
        </xdr:cNvPr>
        <xdr:cNvSpPr>
          <a:spLocks noChangeShapeType="1"/>
        </xdr:cNvSpPr>
      </xdr:nvSpPr>
      <xdr:spPr bwMode="auto">
        <a:xfrm flipV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55" name="Line 70">
          <a:extLst>
            <a:ext uri="{FF2B5EF4-FFF2-40B4-BE49-F238E27FC236}">
              <a16:creationId xmlns:a16="http://schemas.microsoft.com/office/drawing/2014/main" id="{00000000-0008-0000-0F00-0000EF60A500}"/>
            </a:ext>
          </a:extLst>
        </xdr:cNvPr>
        <xdr:cNvSpPr>
          <a:spLocks noChangeShapeType="1"/>
        </xdr:cNvSpPr>
      </xdr:nvSpPr>
      <xdr:spPr bwMode="auto">
        <a:xfrm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8256" name="Line 71">
          <a:extLst>
            <a:ext uri="{FF2B5EF4-FFF2-40B4-BE49-F238E27FC236}">
              <a16:creationId xmlns:a16="http://schemas.microsoft.com/office/drawing/2014/main" id="{00000000-0008-0000-0F00-0000F060A500}"/>
            </a:ext>
          </a:extLst>
        </xdr:cNvPr>
        <xdr:cNvSpPr>
          <a:spLocks noChangeShapeType="1"/>
        </xdr:cNvSpPr>
      </xdr:nvSpPr>
      <xdr:spPr bwMode="auto">
        <a:xfrm flipH="1">
          <a:off x="133159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57" name="Line 72">
          <a:extLst>
            <a:ext uri="{FF2B5EF4-FFF2-40B4-BE49-F238E27FC236}">
              <a16:creationId xmlns:a16="http://schemas.microsoft.com/office/drawing/2014/main" id="{00000000-0008-0000-0F00-0000F160A500}"/>
            </a:ext>
          </a:extLst>
        </xdr:cNvPr>
        <xdr:cNvSpPr>
          <a:spLocks noChangeShapeType="1"/>
        </xdr:cNvSpPr>
      </xdr:nvSpPr>
      <xdr:spPr bwMode="auto">
        <a:xfrm flipH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38258" name="Arc 73">
          <a:extLst>
            <a:ext uri="{FF2B5EF4-FFF2-40B4-BE49-F238E27FC236}">
              <a16:creationId xmlns:a16="http://schemas.microsoft.com/office/drawing/2014/main" id="{00000000-0008-0000-0F00-0000F260A500}"/>
            </a:ext>
          </a:extLst>
        </xdr:cNvPr>
        <xdr:cNvSpPr>
          <a:spLocks/>
        </xdr:cNvSpPr>
      </xdr:nvSpPr>
      <xdr:spPr bwMode="auto">
        <a:xfrm flipH="1" flipV="1">
          <a:off x="2857500" y="12315825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59" name="Line 74">
          <a:extLst>
            <a:ext uri="{FF2B5EF4-FFF2-40B4-BE49-F238E27FC236}">
              <a16:creationId xmlns:a16="http://schemas.microsoft.com/office/drawing/2014/main" id="{00000000-0008-0000-0F00-0000F360A500}"/>
            </a:ext>
          </a:extLst>
        </xdr:cNvPr>
        <xdr:cNvSpPr>
          <a:spLocks noChangeShapeType="1"/>
        </xdr:cNvSpPr>
      </xdr:nvSpPr>
      <xdr:spPr bwMode="auto">
        <a:xfrm flipV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60" name="Line 75">
          <a:extLst>
            <a:ext uri="{FF2B5EF4-FFF2-40B4-BE49-F238E27FC236}">
              <a16:creationId xmlns:a16="http://schemas.microsoft.com/office/drawing/2014/main" id="{00000000-0008-0000-0F00-0000F460A500}"/>
            </a:ext>
          </a:extLst>
        </xdr:cNvPr>
        <xdr:cNvSpPr>
          <a:spLocks noChangeShapeType="1"/>
        </xdr:cNvSpPr>
      </xdr:nvSpPr>
      <xdr:spPr bwMode="auto">
        <a:xfrm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8261" name="Line 76">
          <a:extLst>
            <a:ext uri="{FF2B5EF4-FFF2-40B4-BE49-F238E27FC236}">
              <a16:creationId xmlns:a16="http://schemas.microsoft.com/office/drawing/2014/main" id="{00000000-0008-0000-0F00-0000F560A500}"/>
            </a:ext>
          </a:extLst>
        </xdr:cNvPr>
        <xdr:cNvSpPr>
          <a:spLocks noChangeShapeType="1"/>
        </xdr:cNvSpPr>
      </xdr:nvSpPr>
      <xdr:spPr bwMode="auto">
        <a:xfrm flipH="1">
          <a:off x="133159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62" name="Line 77">
          <a:extLst>
            <a:ext uri="{FF2B5EF4-FFF2-40B4-BE49-F238E27FC236}">
              <a16:creationId xmlns:a16="http://schemas.microsoft.com/office/drawing/2014/main" id="{00000000-0008-0000-0F00-0000F660A500}"/>
            </a:ext>
          </a:extLst>
        </xdr:cNvPr>
        <xdr:cNvSpPr>
          <a:spLocks noChangeShapeType="1"/>
        </xdr:cNvSpPr>
      </xdr:nvSpPr>
      <xdr:spPr bwMode="auto">
        <a:xfrm flipH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63" name="Line 78">
          <a:extLst>
            <a:ext uri="{FF2B5EF4-FFF2-40B4-BE49-F238E27FC236}">
              <a16:creationId xmlns:a16="http://schemas.microsoft.com/office/drawing/2014/main" id="{00000000-0008-0000-0F00-0000F760A500}"/>
            </a:ext>
          </a:extLst>
        </xdr:cNvPr>
        <xdr:cNvSpPr>
          <a:spLocks noChangeShapeType="1"/>
        </xdr:cNvSpPr>
      </xdr:nvSpPr>
      <xdr:spPr bwMode="auto">
        <a:xfrm flipV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64" name="Line 79">
          <a:extLst>
            <a:ext uri="{FF2B5EF4-FFF2-40B4-BE49-F238E27FC236}">
              <a16:creationId xmlns:a16="http://schemas.microsoft.com/office/drawing/2014/main" id="{00000000-0008-0000-0F00-0000F860A500}"/>
            </a:ext>
          </a:extLst>
        </xdr:cNvPr>
        <xdr:cNvSpPr>
          <a:spLocks noChangeShapeType="1"/>
        </xdr:cNvSpPr>
      </xdr:nvSpPr>
      <xdr:spPr bwMode="auto">
        <a:xfrm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8265" name="Line 80">
          <a:extLst>
            <a:ext uri="{FF2B5EF4-FFF2-40B4-BE49-F238E27FC236}">
              <a16:creationId xmlns:a16="http://schemas.microsoft.com/office/drawing/2014/main" id="{00000000-0008-0000-0F00-0000F960A500}"/>
            </a:ext>
          </a:extLst>
        </xdr:cNvPr>
        <xdr:cNvSpPr>
          <a:spLocks noChangeShapeType="1"/>
        </xdr:cNvSpPr>
      </xdr:nvSpPr>
      <xdr:spPr bwMode="auto">
        <a:xfrm flipH="1">
          <a:off x="133159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66" name="Line 81">
          <a:extLst>
            <a:ext uri="{FF2B5EF4-FFF2-40B4-BE49-F238E27FC236}">
              <a16:creationId xmlns:a16="http://schemas.microsoft.com/office/drawing/2014/main" id="{00000000-0008-0000-0F00-0000FA60A500}"/>
            </a:ext>
          </a:extLst>
        </xdr:cNvPr>
        <xdr:cNvSpPr>
          <a:spLocks noChangeShapeType="1"/>
        </xdr:cNvSpPr>
      </xdr:nvSpPr>
      <xdr:spPr bwMode="auto">
        <a:xfrm flipH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67" name="Line 82">
          <a:extLst>
            <a:ext uri="{FF2B5EF4-FFF2-40B4-BE49-F238E27FC236}">
              <a16:creationId xmlns:a16="http://schemas.microsoft.com/office/drawing/2014/main" id="{00000000-0008-0000-0F00-0000FB60A500}"/>
            </a:ext>
          </a:extLst>
        </xdr:cNvPr>
        <xdr:cNvSpPr>
          <a:spLocks noChangeShapeType="1"/>
        </xdr:cNvSpPr>
      </xdr:nvSpPr>
      <xdr:spPr bwMode="auto">
        <a:xfrm flipV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68" name="Line 83">
          <a:extLst>
            <a:ext uri="{FF2B5EF4-FFF2-40B4-BE49-F238E27FC236}">
              <a16:creationId xmlns:a16="http://schemas.microsoft.com/office/drawing/2014/main" id="{00000000-0008-0000-0F00-0000FC60A500}"/>
            </a:ext>
          </a:extLst>
        </xdr:cNvPr>
        <xdr:cNvSpPr>
          <a:spLocks noChangeShapeType="1"/>
        </xdr:cNvSpPr>
      </xdr:nvSpPr>
      <xdr:spPr bwMode="auto">
        <a:xfrm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8269" name="Line 84">
          <a:extLst>
            <a:ext uri="{FF2B5EF4-FFF2-40B4-BE49-F238E27FC236}">
              <a16:creationId xmlns:a16="http://schemas.microsoft.com/office/drawing/2014/main" id="{00000000-0008-0000-0F00-0000FD60A500}"/>
            </a:ext>
          </a:extLst>
        </xdr:cNvPr>
        <xdr:cNvSpPr>
          <a:spLocks noChangeShapeType="1"/>
        </xdr:cNvSpPr>
      </xdr:nvSpPr>
      <xdr:spPr bwMode="auto">
        <a:xfrm flipH="1">
          <a:off x="133159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70" name="Line 85">
          <a:extLst>
            <a:ext uri="{FF2B5EF4-FFF2-40B4-BE49-F238E27FC236}">
              <a16:creationId xmlns:a16="http://schemas.microsoft.com/office/drawing/2014/main" id="{00000000-0008-0000-0F00-0000FE60A500}"/>
            </a:ext>
          </a:extLst>
        </xdr:cNvPr>
        <xdr:cNvSpPr>
          <a:spLocks noChangeShapeType="1"/>
        </xdr:cNvSpPr>
      </xdr:nvSpPr>
      <xdr:spPr bwMode="auto">
        <a:xfrm flipH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71" name="Line 86">
          <a:extLst>
            <a:ext uri="{FF2B5EF4-FFF2-40B4-BE49-F238E27FC236}">
              <a16:creationId xmlns:a16="http://schemas.microsoft.com/office/drawing/2014/main" id="{00000000-0008-0000-0F00-0000FF60A500}"/>
            </a:ext>
          </a:extLst>
        </xdr:cNvPr>
        <xdr:cNvSpPr>
          <a:spLocks noChangeShapeType="1"/>
        </xdr:cNvSpPr>
      </xdr:nvSpPr>
      <xdr:spPr bwMode="auto">
        <a:xfrm flipV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72" name="Line 87">
          <a:extLst>
            <a:ext uri="{FF2B5EF4-FFF2-40B4-BE49-F238E27FC236}">
              <a16:creationId xmlns:a16="http://schemas.microsoft.com/office/drawing/2014/main" id="{00000000-0008-0000-0F00-00000061A500}"/>
            </a:ext>
          </a:extLst>
        </xdr:cNvPr>
        <xdr:cNvSpPr>
          <a:spLocks noChangeShapeType="1"/>
        </xdr:cNvSpPr>
      </xdr:nvSpPr>
      <xdr:spPr bwMode="auto">
        <a:xfrm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8273" name="Line 88">
          <a:extLst>
            <a:ext uri="{FF2B5EF4-FFF2-40B4-BE49-F238E27FC236}">
              <a16:creationId xmlns:a16="http://schemas.microsoft.com/office/drawing/2014/main" id="{00000000-0008-0000-0F00-00000161A500}"/>
            </a:ext>
          </a:extLst>
        </xdr:cNvPr>
        <xdr:cNvSpPr>
          <a:spLocks noChangeShapeType="1"/>
        </xdr:cNvSpPr>
      </xdr:nvSpPr>
      <xdr:spPr bwMode="auto">
        <a:xfrm flipH="1">
          <a:off x="133159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74" name="Line 89">
          <a:extLst>
            <a:ext uri="{FF2B5EF4-FFF2-40B4-BE49-F238E27FC236}">
              <a16:creationId xmlns:a16="http://schemas.microsoft.com/office/drawing/2014/main" id="{00000000-0008-0000-0F00-00000261A500}"/>
            </a:ext>
          </a:extLst>
        </xdr:cNvPr>
        <xdr:cNvSpPr>
          <a:spLocks noChangeShapeType="1"/>
        </xdr:cNvSpPr>
      </xdr:nvSpPr>
      <xdr:spPr bwMode="auto">
        <a:xfrm flipH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75" name="Line 90">
          <a:extLst>
            <a:ext uri="{FF2B5EF4-FFF2-40B4-BE49-F238E27FC236}">
              <a16:creationId xmlns:a16="http://schemas.microsoft.com/office/drawing/2014/main" id="{00000000-0008-0000-0F00-00000361A500}"/>
            </a:ext>
          </a:extLst>
        </xdr:cNvPr>
        <xdr:cNvSpPr>
          <a:spLocks noChangeShapeType="1"/>
        </xdr:cNvSpPr>
      </xdr:nvSpPr>
      <xdr:spPr bwMode="auto">
        <a:xfrm flipV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76" name="Line 91">
          <a:extLst>
            <a:ext uri="{FF2B5EF4-FFF2-40B4-BE49-F238E27FC236}">
              <a16:creationId xmlns:a16="http://schemas.microsoft.com/office/drawing/2014/main" id="{00000000-0008-0000-0F00-00000461A500}"/>
            </a:ext>
          </a:extLst>
        </xdr:cNvPr>
        <xdr:cNvSpPr>
          <a:spLocks noChangeShapeType="1"/>
        </xdr:cNvSpPr>
      </xdr:nvSpPr>
      <xdr:spPr bwMode="auto">
        <a:xfrm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8277" name="Line 92">
          <a:extLst>
            <a:ext uri="{FF2B5EF4-FFF2-40B4-BE49-F238E27FC236}">
              <a16:creationId xmlns:a16="http://schemas.microsoft.com/office/drawing/2014/main" id="{00000000-0008-0000-0F00-00000561A500}"/>
            </a:ext>
          </a:extLst>
        </xdr:cNvPr>
        <xdr:cNvSpPr>
          <a:spLocks noChangeShapeType="1"/>
        </xdr:cNvSpPr>
      </xdr:nvSpPr>
      <xdr:spPr bwMode="auto">
        <a:xfrm flipH="1">
          <a:off x="133159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78" name="Line 93">
          <a:extLst>
            <a:ext uri="{FF2B5EF4-FFF2-40B4-BE49-F238E27FC236}">
              <a16:creationId xmlns:a16="http://schemas.microsoft.com/office/drawing/2014/main" id="{00000000-0008-0000-0F00-00000661A500}"/>
            </a:ext>
          </a:extLst>
        </xdr:cNvPr>
        <xdr:cNvSpPr>
          <a:spLocks noChangeShapeType="1"/>
        </xdr:cNvSpPr>
      </xdr:nvSpPr>
      <xdr:spPr bwMode="auto">
        <a:xfrm flipH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79" name="Line 94">
          <a:extLst>
            <a:ext uri="{FF2B5EF4-FFF2-40B4-BE49-F238E27FC236}">
              <a16:creationId xmlns:a16="http://schemas.microsoft.com/office/drawing/2014/main" id="{00000000-0008-0000-0F00-00000761A500}"/>
            </a:ext>
          </a:extLst>
        </xdr:cNvPr>
        <xdr:cNvSpPr>
          <a:spLocks noChangeShapeType="1"/>
        </xdr:cNvSpPr>
      </xdr:nvSpPr>
      <xdr:spPr bwMode="auto">
        <a:xfrm flipV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80" name="Line 95">
          <a:extLst>
            <a:ext uri="{FF2B5EF4-FFF2-40B4-BE49-F238E27FC236}">
              <a16:creationId xmlns:a16="http://schemas.microsoft.com/office/drawing/2014/main" id="{00000000-0008-0000-0F00-00000861A500}"/>
            </a:ext>
          </a:extLst>
        </xdr:cNvPr>
        <xdr:cNvSpPr>
          <a:spLocks noChangeShapeType="1"/>
        </xdr:cNvSpPr>
      </xdr:nvSpPr>
      <xdr:spPr bwMode="auto">
        <a:xfrm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8281" name="Line 96">
          <a:extLst>
            <a:ext uri="{FF2B5EF4-FFF2-40B4-BE49-F238E27FC236}">
              <a16:creationId xmlns:a16="http://schemas.microsoft.com/office/drawing/2014/main" id="{00000000-0008-0000-0F00-00000961A500}"/>
            </a:ext>
          </a:extLst>
        </xdr:cNvPr>
        <xdr:cNvSpPr>
          <a:spLocks noChangeShapeType="1"/>
        </xdr:cNvSpPr>
      </xdr:nvSpPr>
      <xdr:spPr bwMode="auto">
        <a:xfrm flipH="1">
          <a:off x="133159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82" name="Line 97">
          <a:extLst>
            <a:ext uri="{FF2B5EF4-FFF2-40B4-BE49-F238E27FC236}">
              <a16:creationId xmlns:a16="http://schemas.microsoft.com/office/drawing/2014/main" id="{00000000-0008-0000-0F00-00000A61A500}"/>
            </a:ext>
          </a:extLst>
        </xdr:cNvPr>
        <xdr:cNvSpPr>
          <a:spLocks noChangeShapeType="1"/>
        </xdr:cNvSpPr>
      </xdr:nvSpPr>
      <xdr:spPr bwMode="auto">
        <a:xfrm flipH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83" name="Line 98">
          <a:extLst>
            <a:ext uri="{FF2B5EF4-FFF2-40B4-BE49-F238E27FC236}">
              <a16:creationId xmlns:a16="http://schemas.microsoft.com/office/drawing/2014/main" id="{00000000-0008-0000-0F00-00000B61A500}"/>
            </a:ext>
          </a:extLst>
        </xdr:cNvPr>
        <xdr:cNvSpPr>
          <a:spLocks noChangeShapeType="1"/>
        </xdr:cNvSpPr>
      </xdr:nvSpPr>
      <xdr:spPr bwMode="auto">
        <a:xfrm flipV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84" name="Line 99">
          <a:extLst>
            <a:ext uri="{FF2B5EF4-FFF2-40B4-BE49-F238E27FC236}">
              <a16:creationId xmlns:a16="http://schemas.microsoft.com/office/drawing/2014/main" id="{00000000-0008-0000-0F00-00000C61A500}"/>
            </a:ext>
          </a:extLst>
        </xdr:cNvPr>
        <xdr:cNvSpPr>
          <a:spLocks noChangeShapeType="1"/>
        </xdr:cNvSpPr>
      </xdr:nvSpPr>
      <xdr:spPr bwMode="auto">
        <a:xfrm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8285" name="Line 100">
          <a:extLst>
            <a:ext uri="{FF2B5EF4-FFF2-40B4-BE49-F238E27FC236}">
              <a16:creationId xmlns:a16="http://schemas.microsoft.com/office/drawing/2014/main" id="{00000000-0008-0000-0F00-00000D61A500}"/>
            </a:ext>
          </a:extLst>
        </xdr:cNvPr>
        <xdr:cNvSpPr>
          <a:spLocks noChangeShapeType="1"/>
        </xdr:cNvSpPr>
      </xdr:nvSpPr>
      <xdr:spPr bwMode="auto">
        <a:xfrm flipH="1">
          <a:off x="133159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86" name="Line 101">
          <a:extLst>
            <a:ext uri="{FF2B5EF4-FFF2-40B4-BE49-F238E27FC236}">
              <a16:creationId xmlns:a16="http://schemas.microsoft.com/office/drawing/2014/main" id="{00000000-0008-0000-0F00-00000E61A500}"/>
            </a:ext>
          </a:extLst>
        </xdr:cNvPr>
        <xdr:cNvSpPr>
          <a:spLocks noChangeShapeType="1"/>
        </xdr:cNvSpPr>
      </xdr:nvSpPr>
      <xdr:spPr bwMode="auto">
        <a:xfrm flipH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87" name="Line 102">
          <a:extLst>
            <a:ext uri="{FF2B5EF4-FFF2-40B4-BE49-F238E27FC236}">
              <a16:creationId xmlns:a16="http://schemas.microsoft.com/office/drawing/2014/main" id="{00000000-0008-0000-0F00-00000F61A500}"/>
            </a:ext>
          </a:extLst>
        </xdr:cNvPr>
        <xdr:cNvSpPr>
          <a:spLocks noChangeShapeType="1"/>
        </xdr:cNvSpPr>
      </xdr:nvSpPr>
      <xdr:spPr bwMode="auto">
        <a:xfrm flipV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88" name="Line 103">
          <a:extLst>
            <a:ext uri="{FF2B5EF4-FFF2-40B4-BE49-F238E27FC236}">
              <a16:creationId xmlns:a16="http://schemas.microsoft.com/office/drawing/2014/main" id="{00000000-0008-0000-0F00-00001061A500}"/>
            </a:ext>
          </a:extLst>
        </xdr:cNvPr>
        <xdr:cNvSpPr>
          <a:spLocks noChangeShapeType="1"/>
        </xdr:cNvSpPr>
      </xdr:nvSpPr>
      <xdr:spPr bwMode="auto">
        <a:xfrm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8289" name="Line 104">
          <a:extLst>
            <a:ext uri="{FF2B5EF4-FFF2-40B4-BE49-F238E27FC236}">
              <a16:creationId xmlns:a16="http://schemas.microsoft.com/office/drawing/2014/main" id="{00000000-0008-0000-0F00-00001161A500}"/>
            </a:ext>
          </a:extLst>
        </xdr:cNvPr>
        <xdr:cNvSpPr>
          <a:spLocks noChangeShapeType="1"/>
        </xdr:cNvSpPr>
      </xdr:nvSpPr>
      <xdr:spPr bwMode="auto">
        <a:xfrm flipH="1">
          <a:off x="133159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90" name="Line 105">
          <a:extLst>
            <a:ext uri="{FF2B5EF4-FFF2-40B4-BE49-F238E27FC236}">
              <a16:creationId xmlns:a16="http://schemas.microsoft.com/office/drawing/2014/main" id="{00000000-0008-0000-0F00-00001261A500}"/>
            </a:ext>
          </a:extLst>
        </xdr:cNvPr>
        <xdr:cNvSpPr>
          <a:spLocks noChangeShapeType="1"/>
        </xdr:cNvSpPr>
      </xdr:nvSpPr>
      <xdr:spPr bwMode="auto">
        <a:xfrm flipH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91" name="Line 106">
          <a:extLst>
            <a:ext uri="{FF2B5EF4-FFF2-40B4-BE49-F238E27FC236}">
              <a16:creationId xmlns:a16="http://schemas.microsoft.com/office/drawing/2014/main" id="{00000000-0008-0000-0F00-00001361A500}"/>
            </a:ext>
          </a:extLst>
        </xdr:cNvPr>
        <xdr:cNvSpPr>
          <a:spLocks noChangeShapeType="1"/>
        </xdr:cNvSpPr>
      </xdr:nvSpPr>
      <xdr:spPr bwMode="auto">
        <a:xfrm flipV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92" name="Line 107">
          <a:extLst>
            <a:ext uri="{FF2B5EF4-FFF2-40B4-BE49-F238E27FC236}">
              <a16:creationId xmlns:a16="http://schemas.microsoft.com/office/drawing/2014/main" id="{00000000-0008-0000-0F00-00001461A500}"/>
            </a:ext>
          </a:extLst>
        </xdr:cNvPr>
        <xdr:cNvSpPr>
          <a:spLocks noChangeShapeType="1"/>
        </xdr:cNvSpPr>
      </xdr:nvSpPr>
      <xdr:spPr bwMode="auto">
        <a:xfrm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8293" name="Line 108">
          <a:extLst>
            <a:ext uri="{FF2B5EF4-FFF2-40B4-BE49-F238E27FC236}">
              <a16:creationId xmlns:a16="http://schemas.microsoft.com/office/drawing/2014/main" id="{00000000-0008-0000-0F00-00001561A500}"/>
            </a:ext>
          </a:extLst>
        </xdr:cNvPr>
        <xdr:cNvSpPr>
          <a:spLocks noChangeShapeType="1"/>
        </xdr:cNvSpPr>
      </xdr:nvSpPr>
      <xdr:spPr bwMode="auto">
        <a:xfrm flipH="1">
          <a:off x="133159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94" name="Line 109">
          <a:extLst>
            <a:ext uri="{FF2B5EF4-FFF2-40B4-BE49-F238E27FC236}">
              <a16:creationId xmlns:a16="http://schemas.microsoft.com/office/drawing/2014/main" id="{00000000-0008-0000-0F00-00001661A500}"/>
            </a:ext>
          </a:extLst>
        </xdr:cNvPr>
        <xdr:cNvSpPr>
          <a:spLocks noChangeShapeType="1"/>
        </xdr:cNvSpPr>
      </xdr:nvSpPr>
      <xdr:spPr bwMode="auto">
        <a:xfrm flipH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95" name="Line 110">
          <a:extLst>
            <a:ext uri="{FF2B5EF4-FFF2-40B4-BE49-F238E27FC236}">
              <a16:creationId xmlns:a16="http://schemas.microsoft.com/office/drawing/2014/main" id="{00000000-0008-0000-0F00-00001761A500}"/>
            </a:ext>
          </a:extLst>
        </xdr:cNvPr>
        <xdr:cNvSpPr>
          <a:spLocks noChangeShapeType="1"/>
        </xdr:cNvSpPr>
      </xdr:nvSpPr>
      <xdr:spPr bwMode="auto">
        <a:xfrm flipV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96" name="Line 111">
          <a:extLst>
            <a:ext uri="{FF2B5EF4-FFF2-40B4-BE49-F238E27FC236}">
              <a16:creationId xmlns:a16="http://schemas.microsoft.com/office/drawing/2014/main" id="{00000000-0008-0000-0F00-00001861A500}"/>
            </a:ext>
          </a:extLst>
        </xdr:cNvPr>
        <xdr:cNvSpPr>
          <a:spLocks noChangeShapeType="1"/>
        </xdr:cNvSpPr>
      </xdr:nvSpPr>
      <xdr:spPr bwMode="auto">
        <a:xfrm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8297" name="Line 112">
          <a:extLst>
            <a:ext uri="{FF2B5EF4-FFF2-40B4-BE49-F238E27FC236}">
              <a16:creationId xmlns:a16="http://schemas.microsoft.com/office/drawing/2014/main" id="{00000000-0008-0000-0F00-00001961A500}"/>
            </a:ext>
          </a:extLst>
        </xdr:cNvPr>
        <xdr:cNvSpPr>
          <a:spLocks noChangeShapeType="1"/>
        </xdr:cNvSpPr>
      </xdr:nvSpPr>
      <xdr:spPr bwMode="auto">
        <a:xfrm flipH="1">
          <a:off x="133159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98" name="Line 113">
          <a:extLst>
            <a:ext uri="{FF2B5EF4-FFF2-40B4-BE49-F238E27FC236}">
              <a16:creationId xmlns:a16="http://schemas.microsoft.com/office/drawing/2014/main" id="{00000000-0008-0000-0F00-00001A61A500}"/>
            </a:ext>
          </a:extLst>
        </xdr:cNvPr>
        <xdr:cNvSpPr>
          <a:spLocks noChangeShapeType="1"/>
        </xdr:cNvSpPr>
      </xdr:nvSpPr>
      <xdr:spPr bwMode="auto">
        <a:xfrm flipH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299" name="Line 114">
          <a:extLst>
            <a:ext uri="{FF2B5EF4-FFF2-40B4-BE49-F238E27FC236}">
              <a16:creationId xmlns:a16="http://schemas.microsoft.com/office/drawing/2014/main" id="{00000000-0008-0000-0F00-00001B61A500}"/>
            </a:ext>
          </a:extLst>
        </xdr:cNvPr>
        <xdr:cNvSpPr>
          <a:spLocks noChangeShapeType="1"/>
        </xdr:cNvSpPr>
      </xdr:nvSpPr>
      <xdr:spPr bwMode="auto">
        <a:xfrm flipV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00" name="Line 115">
          <a:extLst>
            <a:ext uri="{FF2B5EF4-FFF2-40B4-BE49-F238E27FC236}">
              <a16:creationId xmlns:a16="http://schemas.microsoft.com/office/drawing/2014/main" id="{00000000-0008-0000-0F00-00001C61A500}"/>
            </a:ext>
          </a:extLst>
        </xdr:cNvPr>
        <xdr:cNvSpPr>
          <a:spLocks noChangeShapeType="1"/>
        </xdr:cNvSpPr>
      </xdr:nvSpPr>
      <xdr:spPr bwMode="auto">
        <a:xfrm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8301" name="Line 116">
          <a:extLst>
            <a:ext uri="{FF2B5EF4-FFF2-40B4-BE49-F238E27FC236}">
              <a16:creationId xmlns:a16="http://schemas.microsoft.com/office/drawing/2014/main" id="{00000000-0008-0000-0F00-00001D61A500}"/>
            </a:ext>
          </a:extLst>
        </xdr:cNvPr>
        <xdr:cNvSpPr>
          <a:spLocks noChangeShapeType="1"/>
        </xdr:cNvSpPr>
      </xdr:nvSpPr>
      <xdr:spPr bwMode="auto">
        <a:xfrm flipH="1">
          <a:off x="133159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02" name="Line 117">
          <a:extLst>
            <a:ext uri="{FF2B5EF4-FFF2-40B4-BE49-F238E27FC236}">
              <a16:creationId xmlns:a16="http://schemas.microsoft.com/office/drawing/2014/main" id="{00000000-0008-0000-0F00-00001E61A500}"/>
            </a:ext>
          </a:extLst>
        </xdr:cNvPr>
        <xdr:cNvSpPr>
          <a:spLocks noChangeShapeType="1"/>
        </xdr:cNvSpPr>
      </xdr:nvSpPr>
      <xdr:spPr bwMode="auto">
        <a:xfrm flipH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03" name="Line 118">
          <a:extLst>
            <a:ext uri="{FF2B5EF4-FFF2-40B4-BE49-F238E27FC236}">
              <a16:creationId xmlns:a16="http://schemas.microsoft.com/office/drawing/2014/main" id="{00000000-0008-0000-0F00-00001F61A500}"/>
            </a:ext>
          </a:extLst>
        </xdr:cNvPr>
        <xdr:cNvSpPr>
          <a:spLocks noChangeShapeType="1"/>
        </xdr:cNvSpPr>
      </xdr:nvSpPr>
      <xdr:spPr bwMode="auto">
        <a:xfrm flipV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04" name="Line 119">
          <a:extLst>
            <a:ext uri="{FF2B5EF4-FFF2-40B4-BE49-F238E27FC236}">
              <a16:creationId xmlns:a16="http://schemas.microsoft.com/office/drawing/2014/main" id="{00000000-0008-0000-0F00-00002061A500}"/>
            </a:ext>
          </a:extLst>
        </xdr:cNvPr>
        <xdr:cNvSpPr>
          <a:spLocks noChangeShapeType="1"/>
        </xdr:cNvSpPr>
      </xdr:nvSpPr>
      <xdr:spPr bwMode="auto">
        <a:xfrm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8305" name="Line 120">
          <a:extLst>
            <a:ext uri="{FF2B5EF4-FFF2-40B4-BE49-F238E27FC236}">
              <a16:creationId xmlns:a16="http://schemas.microsoft.com/office/drawing/2014/main" id="{00000000-0008-0000-0F00-00002161A500}"/>
            </a:ext>
          </a:extLst>
        </xdr:cNvPr>
        <xdr:cNvSpPr>
          <a:spLocks noChangeShapeType="1"/>
        </xdr:cNvSpPr>
      </xdr:nvSpPr>
      <xdr:spPr bwMode="auto">
        <a:xfrm flipH="1">
          <a:off x="133159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06" name="Line 121">
          <a:extLst>
            <a:ext uri="{FF2B5EF4-FFF2-40B4-BE49-F238E27FC236}">
              <a16:creationId xmlns:a16="http://schemas.microsoft.com/office/drawing/2014/main" id="{00000000-0008-0000-0F00-00002261A500}"/>
            </a:ext>
          </a:extLst>
        </xdr:cNvPr>
        <xdr:cNvSpPr>
          <a:spLocks noChangeShapeType="1"/>
        </xdr:cNvSpPr>
      </xdr:nvSpPr>
      <xdr:spPr bwMode="auto">
        <a:xfrm flipH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07" name="Line 122">
          <a:extLst>
            <a:ext uri="{FF2B5EF4-FFF2-40B4-BE49-F238E27FC236}">
              <a16:creationId xmlns:a16="http://schemas.microsoft.com/office/drawing/2014/main" id="{00000000-0008-0000-0F00-00002361A500}"/>
            </a:ext>
          </a:extLst>
        </xdr:cNvPr>
        <xdr:cNvSpPr>
          <a:spLocks noChangeShapeType="1"/>
        </xdr:cNvSpPr>
      </xdr:nvSpPr>
      <xdr:spPr bwMode="auto">
        <a:xfrm flipV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08" name="Line 123">
          <a:extLst>
            <a:ext uri="{FF2B5EF4-FFF2-40B4-BE49-F238E27FC236}">
              <a16:creationId xmlns:a16="http://schemas.microsoft.com/office/drawing/2014/main" id="{00000000-0008-0000-0F00-00002461A500}"/>
            </a:ext>
          </a:extLst>
        </xdr:cNvPr>
        <xdr:cNvSpPr>
          <a:spLocks noChangeShapeType="1"/>
        </xdr:cNvSpPr>
      </xdr:nvSpPr>
      <xdr:spPr bwMode="auto">
        <a:xfrm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8309" name="Line 124">
          <a:extLst>
            <a:ext uri="{FF2B5EF4-FFF2-40B4-BE49-F238E27FC236}">
              <a16:creationId xmlns:a16="http://schemas.microsoft.com/office/drawing/2014/main" id="{00000000-0008-0000-0F00-00002561A500}"/>
            </a:ext>
          </a:extLst>
        </xdr:cNvPr>
        <xdr:cNvSpPr>
          <a:spLocks noChangeShapeType="1"/>
        </xdr:cNvSpPr>
      </xdr:nvSpPr>
      <xdr:spPr bwMode="auto">
        <a:xfrm flipH="1">
          <a:off x="133159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10" name="Line 125">
          <a:extLst>
            <a:ext uri="{FF2B5EF4-FFF2-40B4-BE49-F238E27FC236}">
              <a16:creationId xmlns:a16="http://schemas.microsoft.com/office/drawing/2014/main" id="{00000000-0008-0000-0F00-00002661A500}"/>
            </a:ext>
          </a:extLst>
        </xdr:cNvPr>
        <xdr:cNvSpPr>
          <a:spLocks noChangeShapeType="1"/>
        </xdr:cNvSpPr>
      </xdr:nvSpPr>
      <xdr:spPr bwMode="auto">
        <a:xfrm flipH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11" name="Line 126">
          <a:extLst>
            <a:ext uri="{FF2B5EF4-FFF2-40B4-BE49-F238E27FC236}">
              <a16:creationId xmlns:a16="http://schemas.microsoft.com/office/drawing/2014/main" id="{00000000-0008-0000-0F00-00002761A500}"/>
            </a:ext>
          </a:extLst>
        </xdr:cNvPr>
        <xdr:cNvSpPr>
          <a:spLocks noChangeShapeType="1"/>
        </xdr:cNvSpPr>
      </xdr:nvSpPr>
      <xdr:spPr bwMode="auto">
        <a:xfrm flipV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12" name="Line 127">
          <a:extLst>
            <a:ext uri="{FF2B5EF4-FFF2-40B4-BE49-F238E27FC236}">
              <a16:creationId xmlns:a16="http://schemas.microsoft.com/office/drawing/2014/main" id="{00000000-0008-0000-0F00-00002861A500}"/>
            </a:ext>
          </a:extLst>
        </xdr:cNvPr>
        <xdr:cNvSpPr>
          <a:spLocks noChangeShapeType="1"/>
        </xdr:cNvSpPr>
      </xdr:nvSpPr>
      <xdr:spPr bwMode="auto">
        <a:xfrm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8313" name="Line 128">
          <a:extLst>
            <a:ext uri="{FF2B5EF4-FFF2-40B4-BE49-F238E27FC236}">
              <a16:creationId xmlns:a16="http://schemas.microsoft.com/office/drawing/2014/main" id="{00000000-0008-0000-0F00-00002961A500}"/>
            </a:ext>
          </a:extLst>
        </xdr:cNvPr>
        <xdr:cNvSpPr>
          <a:spLocks noChangeShapeType="1"/>
        </xdr:cNvSpPr>
      </xdr:nvSpPr>
      <xdr:spPr bwMode="auto">
        <a:xfrm flipH="1">
          <a:off x="133159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14" name="Line 129">
          <a:extLst>
            <a:ext uri="{FF2B5EF4-FFF2-40B4-BE49-F238E27FC236}">
              <a16:creationId xmlns:a16="http://schemas.microsoft.com/office/drawing/2014/main" id="{00000000-0008-0000-0F00-00002A61A500}"/>
            </a:ext>
          </a:extLst>
        </xdr:cNvPr>
        <xdr:cNvSpPr>
          <a:spLocks noChangeShapeType="1"/>
        </xdr:cNvSpPr>
      </xdr:nvSpPr>
      <xdr:spPr bwMode="auto">
        <a:xfrm flipH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15" name="Line 130">
          <a:extLst>
            <a:ext uri="{FF2B5EF4-FFF2-40B4-BE49-F238E27FC236}">
              <a16:creationId xmlns:a16="http://schemas.microsoft.com/office/drawing/2014/main" id="{00000000-0008-0000-0F00-00002B61A500}"/>
            </a:ext>
          </a:extLst>
        </xdr:cNvPr>
        <xdr:cNvSpPr>
          <a:spLocks noChangeShapeType="1"/>
        </xdr:cNvSpPr>
      </xdr:nvSpPr>
      <xdr:spPr bwMode="auto">
        <a:xfrm flipV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16" name="Line 131">
          <a:extLst>
            <a:ext uri="{FF2B5EF4-FFF2-40B4-BE49-F238E27FC236}">
              <a16:creationId xmlns:a16="http://schemas.microsoft.com/office/drawing/2014/main" id="{00000000-0008-0000-0F00-00002C61A500}"/>
            </a:ext>
          </a:extLst>
        </xdr:cNvPr>
        <xdr:cNvSpPr>
          <a:spLocks noChangeShapeType="1"/>
        </xdr:cNvSpPr>
      </xdr:nvSpPr>
      <xdr:spPr bwMode="auto">
        <a:xfrm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8317" name="Line 132">
          <a:extLst>
            <a:ext uri="{FF2B5EF4-FFF2-40B4-BE49-F238E27FC236}">
              <a16:creationId xmlns:a16="http://schemas.microsoft.com/office/drawing/2014/main" id="{00000000-0008-0000-0F00-00002D61A500}"/>
            </a:ext>
          </a:extLst>
        </xdr:cNvPr>
        <xdr:cNvSpPr>
          <a:spLocks noChangeShapeType="1"/>
        </xdr:cNvSpPr>
      </xdr:nvSpPr>
      <xdr:spPr bwMode="auto">
        <a:xfrm flipH="1">
          <a:off x="133159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18" name="Line 133">
          <a:extLst>
            <a:ext uri="{FF2B5EF4-FFF2-40B4-BE49-F238E27FC236}">
              <a16:creationId xmlns:a16="http://schemas.microsoft.com/office/drawing/2014/main" id="{00000000-0008-0000-0F00-00002E61A500}"/>
            </a:ext>
          </a:extLst>
        </xdr:cNvPr>
        <xdr:cNvSpPr>
          <a:spLocks noChangeShapeType="1"/>
        </xdr:cNvSpPr>
      </xdr:nvSpPr>
      <xdr:spPr bwMode="auto">
        <a:xfrm flipH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19" name="Line 134">
          <a:extLst>
            <a:ext uri="{FF2B5EF4-FFF2-40B4-BE49-F238E27FC236}">
              <a16:creationId xmlns:a16="http://schemas.microsoft.com/office/drawing/2014/main" id="{00000000-0008-0000-0F00-00002F61A500}"/>
            </a:ext>
          </a:extLst>
        </xdr:cNvPr>
        <xdr:cNvSpPr>
          <a:spLocks noChangeShapeType="1"/>
        </xdr:cNvSpPr>
      </xdr:nvSpPr>
      <xdr:spPr bwMode="auto">
        <a:xfrm flipV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20" name="Line 135">
          <a:extLst>
            <a:ext uri="{FF2B5EF4-FFF2-40B4-BE49-F238E27FC236}">
              <a16:creationId xmlns:a16="http://schemas.microsoft.com/office/drawing/2014/main" id="{00000000-0008-0000-0F00-00003061A500}"/>
            </a:ext>
          </a:extLst>
        </xdr:cNvPr>
        <xdr:cNvSpPr>
          <a:spLocks noChangeShapeType="1"/>
        </xdr:cNvSpPr>
      </xdr:nvSpPr>
      <xdr:spPr bwMode="auto">
        <a:xfrm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8321" name="Line 136">
          <a:extLst>
            <a:ext uri="{FF2B5EF4-FFF2-40B4-BE49-F238E27FC236}">
              <a16:creationId xmlns:a16="http://schemas.microsoft.com/office/drawing/2014/main" id="{00000000-0008-0000-0F00-00003161A500}"/>
            </a:ext>
          </a:extLst>
        </xdr:cNvPr>
        <xdr:cNvSpPr>
          <a:spLocks noChangeShapeType="1"/>
        </xdr:cNvSpPr>
      </xdr:nvSpPr>
      <xdr:spPr bwMode="auto">
        <a:xfrm flipH="1">
          <a:off x="133159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22" name="Line 137">
          <a:extLst>
            <a:ext uri="{FF2B5EF4-FFF2-40B4-BE49-F238E27FC236}">
              <a16:creationId xmlns:a16="http://schemas.microsoft.com/office/drawing/2014/main" id="{00000000-0008-0000-0F00-00003261A500}"/>
            </a:ext>
          </a:extLst>
        </xdr:cNvPr>
        <xdr:cNvSpPr>
          <a:spLocks noChangeShapeType="1"/>
        </xdr:cNvSpPr>
      </xdr:nvSpPr>
      <xdr:spPr bwMode="auto">
        <a:xfrm flipH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23" name="Line 138">
          <a:extLst>
            <a:ext uri="{FF2B5EF4-FFF2-40B4-BE49-F238E27FC236}">
              <a16:creationId xmlns:a16="http://schemas.microsoft.com/office/drawing/2014/main" id="{00000000-0008-0000-0F00-00003361A500}"/>
            </a:ext>
          </a:extLst>
        </xdr:cNvPr>
        <xdr:cNvSpPr>
          <a:spLocks noChangeShapeType="1"/>
        </xdr:cNvSpPr>
      </xdr:nvSpPr>
      <xdr:spPr bwMode="auto">
        <a:xfrm flipV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24" name="Line 139">
          <a:extLst>
            <a:ext uri="{FF2B5EF4-FFF2-40B4-BE49-F238E27FC236}">
              <a16:creationId xmlns:a16="http://schemas.microsoft.com/office/drawing/2014/main" id="{00000000-0008-0000-0F00-00003461A500}"/>
            </a:ext>
          </a:extLst>
        </xdr:cNvPr>
        <xdr:cNvSpPr>
          <a:spLocks noChangeShapeType="1"/>
        </xdr:cNvSpPr>
      </xdr:nvSpPr>
      <xdr:spPr bwMode="auto">
        <a:xfrm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8325" name="Line 140">
          <a:extLst>
            <a:ext uri="{FF2B5EF4-FFF2-40B4-BE49-F238E27FC236}">
              <a16:creationId xmlns:a16="http://schemas.microsoft.com/office/drawing/2014/main" id="{00000000-0008-0000-0F00-00003561A500}"/>
            </a:ext>
          </a:extLst>
        </xdr:cNvPr>
        <xdr:cNvSpPr>
          <a:spLocks noChangeShapeType="1"/>
        </xdr:cNvSpPr>
      </xdr:nvSpPr>
      <xdr:spPr bwMode="auto">
        <a:xfrm flipH="1">
          <a:off x="133159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26" name="Line 141">
          <a:extLst>
            <a:ext uri="{FF2B5EF4-FFF2-40B4-BE49-F238E27FC236}">
              <a16:creationId xmlns:a16="http://schemas.microsoft.com/office/drawing/2014/main" id="{00000000-0008-0000-0F00-00003661A500}"/>
            </a:ext>
          </a:extLst>
        </xdr:cNvPr>
        <xdr:cNvSpPr>
          <a:spLocks noChangeShapeType="1"/>
        </xdr:cNvSpPr>
      </xdr:nvSpPr>
      <xdr:spPr bwMode="auto">
        <a:xfrm flipH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27" name="Line 142">
          <a:extLst>
            <a:ext uri="{FF2B5EF4-FFF2-40B4-BE49-F238E27FC236}">
              <a16:creationId xmlns:a16="http://schemas.microsoft.com/office/drawing/2014/main" id="{00000000-0008-0000-0F00-00003761A500}"/>
            </a:ext>
          </a:extLst>
        </xdr:cNvPr>
        <xdr:cNvSpPr>
          <a:spLocks noChangeShapeType="1"/>
        </xdr:cNvSpPr>
      </xdr:nvSpPr>
      <xdr:spPr bwMode="auto">
        <a:xfrm flipV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28" name="Line 143">
          <a:extLst>
            <a:ext uri="{FF2B5EF4-FFF2-40B4-BE49-F238E27FC236}">
              <a16:creationId xmlns:a16="http://schemas.microsoft.com/office/drawing/2014/main" id="{00000000-0008-0000-0F00-00003861A500}"/>
            </a:ext>
          </a:extLst>
        </xdr:cNvPr>
        <xdr:cNvSpPr>
          <a:spLocks noChangeShapeType="1"/>
        </xdr:cNvSpPr>
      </xdr:nvSpPr>
      <xdr:spPr bwMode="auto">
        <a:xfrm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8329" name="Line 144">
          <a:extLst>
            <a:ext uri="{FF2B5EF4-FFF2-40B4-BE49-F238E27FC236}">
              <a16:creationId xmlns:a16="http://schemas.microsoft.com/office/drawing/2014/main" id="{00000000-0008-0000-0F00-00003961A500}"/>
            </a:ext>
          </a:extLst>
        </xdr:cNvPr>
        <xdr:cNvSpPr>
          <a:spLocks noChangeShapeType="1"/>
        </xdr:cNvSpPr>
      </xdr:nvSpPr>
      <xdr:spPr bwMode="auto">
        <a:xfrm flipH="1">
          <a:off x="133159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30" name="Line 145">
          <a:extLst>
            <a:ext uri="{FF2B5EF4-FFF2-40B4-BE49-F238E27FC236}">
              <a16:creationId xmlns:a16="http://schemas.microsoft.com/office/drawing/2014/main" id="{00000000-0008-0000-0F00-00003A61A500}"/>
            </a:ext>
          </a:extLst>
        </xdr:cNvPr>
        <xdr:cNvSpPr>
          <a:spLocks noChangeShapeType="1"/>
        </xdr:cNvSpPr>
      </xdr:nvSpPr>
      <xdr:spPr bwMode="auto">
        <a:xfrm flipH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31" name="Line 146">
          <a:extLst>
            <a:ext uri="{FF2B5EF4-FFF2-40B4-BE49-F238E27FC236}">
              <a16:creationId xmlns:a16="http://schemas.microsoft.com/office/drawing/2014/main" id="{00000000-0008-0000-0F00-00003B61A500}"/>
            </a:ext>
          </a:extLst>
        </xdr:cNvPr>
        <xdr:cNvSpPr>
          <a:spLocks noChangeShapeType="1"/>
        </xdr:cNvSpPr>
      </xdr:nvSpPr>
      <xdr:spPr bwMode="auto">
        <a:xfrm flipV="1"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8332" name="Line 147">
          <a:extLst>
            <a:ext uri="{FF2B5EF4-FFF2-40B4-BE49-F238E27FC236}">
              <a16:creationId xmlns:a16="http://schemas.microsoft.com/office/drawing/2014/main" id="{00000000-0008-0000-0F00-00003C61A500}"/>
            </a:ext>
          </a:extLst>
        </xdr:cNvPr>
        <xdr:cNvSpPr>
          <a:spLocks noChangeShapeType="1"/>
        </xdr:cNvSpPr>
      </xdr:nvSpPr>
      <xdr:spPr bwMode="auto">
        <a:xfrm>
          <a:off x="465772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809625</xdr:colOff>
      <xdr:row>75</xdr:row>
      <xdr:rowOff>9525</xdr:rowOff>
    </xdr:from>
    <xdr:to>
      <xdr:col>19</xdr:col>
      <xdr:colOff>9525</xdr:colOff>
      <xdr:row>75</xdr:row>
      <xdr:rowOff>9525</xdr:rowOff>
    </xdr:to>
    <xdr:sp macro="" textlink="">
      <xdr:nvSpPr>
        <xdr:cNvPr id="10838333" name="Line 148">
          <a:extLst>
            <a:ext uri="{FF2B5EF4-FFF2-40B4-BE49-F238E27FC236}">
              <a16:creationId xmlns:a16="http://schemas.microsoft.com/office/drawing/2014/main" id="{00000000-0008-0000-0F00-00003D61A500}"/>
            </a:ext>
          </a:extLst>
        </xdr:cNvPr>
        <xdr:cNvSpPr>
          <a:spLocks noChangeShapeType="1"/>
        </xdr:cNvSpPr>
      </xdr:nvSpPr>
      <xdr:spPr bwMode="auto">
        <a:xfrm flipH="1">
          <a:off x="12696825" y="12487275"/>
          <a:ext cx="628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75</xdr:row>
      <xdr:rowOff>9525</xdr:rowOff>
    </xdr:from>
    <xdr:to>
      <xdr:col>16</xdr:col>
      <xdr:colOff>0</xdr:colOff>
      <xdr:row>75</xdr:row>
      <xdr:rowOff>9525</xdr:rowOff>
    </xdr:to>
    <xdr:sp macro="" textlink="">
      <xdr:nvSpPr>
        <xdr:cNvPr id="10838334" name="Line 149">
          <a:extLst>
            <a:ext uri="{FF2B5EF4-FFF2-40B4-BE49-F238E27FC236}">
              <a16:creationId xmlns:a16="http://schemas.microsoft.com/office/drawing/2014/main" id="{00000000-0008-0000-0F00-00003E61A500}"/>
            </a:ext>
          </a:extLst>
        </xdr:cNvPr>
        <xdr:cNvSpPr>
          <a:spLocks noChangeShapeType="1"/>
        </xdr:cNvSpPr>
      </xdr:nvSpPr>
      <xdr:spPr bwMode="auto">
        <a:xfrm>
          <a:off x="10448925" y="12487275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75</xdr:row>
      <xdr:rowOff>9525</xdr:rowOff>
    </xdr:from>
    <xdr:to>
      <xdr:col>13</xdr:col>
      <xdr:colOff>0</xdr:colOff>
      <xdr:row>75</xdr:row>
      <xdr:rowOff>9525</xdr:rowOff>
    </xdr:to>
    <xdr:sp macro="" textlink="">
      <xdr:nvSpPr>
        <xdr:cNvPr id="10838335" name="Line 150">
          <a:extLst>
            <a:ext uri="{FF2B5EF4-FFF2-40B4-BE49-F238E27FC236}">
              <a16:creationId xmlns:a16="http://schemas.microsoft.com/office/drawing/2014/main" id="{00000000-0008-0000-0F00-00003F61A500}"/>
            </a:ext>
          </a:extLst>
        </xdr:cNvPr>
        <xdr:cNvSpPr>
          <a:spLocks noChangeShapeType="1"/>
        </xdr:cNvSpPr>
      </xdr:nvSpPr>
      <xdr:spPr bwMode="auto">
        <a:xfrm>
          <a:off x="8191500" y="12487275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75</xdr:row>
      <xdr:rowOff>9525</xdr:rowOff>
    </xdr:from>
    <xdr:to>
      <xdr:col>9</xdr:col>
      <xdr:colOff>695325</xdr:colOff>
      <xdr:row>75</xdr:row>
      <xdr:rowOff>9525</xdr:rowOff>
    </xdr:to>
    <xdr:sp macro="" textlink="">
      <xdr:nvSpPr>
        <xdr:cNvPr id="10838336" name="Line 151">
          <a:extLst>
            <a:ext uri="{FF2B5EF4-FFF2-40B4-BE49-F238E27FC236}">
              <a16:creationId xmlns:a16="http://schemas.microsoft.com/office/drawing/2014/main" id="{00000000-0008-0000-0F00-00004061A500}"/>
            </a:ext>
          </a:extLst>
        </xdr:cNvPr>
        <xdr:cNvSpPr>
          <a:spLocks noChangeShapeType="1"/>
        </xdr:cNvSpPr>
      </xdr:nvSpPr>
      <xdr:spPr bwMode="auto">
        <a:xfrm flipH="1">
          <a:off x="6038850" y="12487275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8</xdr:row>
      <xdr:rowOff>114300</xdr:rowOff>
    </xdr:from>
    <xdr:to>
      <xdr:col>10</xdr:col>
      <xdr:colOff>333375</xdr:colOff>
      <xdr:row>15</xdr:row>
      <xdr:rowOff>9525</xdr:rowOff>
    </xdr:to>
    <xdr:sp macro="" textlink="">
      <xdr:nvSpPr>
        <xdr:cNvPr id="10838337" name="Rectangle 56">
          <a:extLst>
            <a:ext uri="{FF2B5EF4-FFF2-40B4-BE49-F238E27FC236}">
              <a16:creationId xmlns:a16="http://schemas.microsoft.com/office/drawing/2014/main" id="{00000000-0008-0000-0F00-00004161A500}"/>
            </a:ext>
          </a:extLst>
        </xdr:cNvPr>
        <xdr:cNvSpPr>
          <a:spLocks noChangeArrowheads="1"/>
        </xdr:cNvSpPr>
      </xdr:nvSpPr>
      <xdr:spPr bwMode="auto">
        <a:xfrm>
          <a:off x="5372100" y="1866900"/>
          <a:ext cx="1704975" cy="120967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104775</xdr:colOff>
      <xdr:row>10</xdr:row>
      <xdr:rowOff>190500</xdr:rowOff>
    </xdr:from>
    <xdr:to>
      <xdr:col>8</xdr:col>
      <xdr:colOff>352425</xdr:colOff>
      <xdr:row>16</xdr:row>
      <xdr:rowOff>66675</xdr:rowOff>
    </xdr:to>
    <xdr:sp macro="" textlink="">
      <xdr:nvSpPr>
        <xdr:cNvPr id="10838338" name="Line 34">
          <a:extLst>
            <a:ext uri="{FF2B5EF4-FFF2-40B4-BE49-F238E27FC236}">
              <a16:creationId xmlns:a16="http://schemas.microsoft.com/office/drawing/2014/main" id="{00000000-0008-0000-0F00-00004261A500}"/>
            </a:ext>
          </a:extLst>
        </xdr:cNvPr>
        <xdr:cNvSpPr>
          <a:spLocks noChangeShapeType="1"/>
        </xdr:cNvSpPr>
      </xdr:nvSpPr>
      <xdr:spPr bwMode="auto">
        <a:xfrm flipV="1">
          <a:off x="4762500" y="2305050"/>
          <a:ext cx="962025" cy="9906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266700</xdr:colOff>
      <xdr:row>12</xdr:row>
      <xdr:rowOff>85725</xdr:rowOff>
    </xdr:from>
    <xdr:to>
      <xdr:col>9</xdr:col>
      <xdr:colOff>28575</xdr:colOff>
      <xdr:row>16</xdr:row>
      <xdr:rowOff>85725</xdr:rowOff>
    </xdr:to>
    <xdr:sp macro="" textlink="">
      <xdr:nvSpPr>
        <xdr:cNvPr id="10838339" name="Line 34">
          <a:extLst>
            <a:ext uri="{FF2B5EF4-FFF2-40B4-BE49-F238E27FC236}">
              <a16:creationId xmlns:a16="http://schemas.microsoft.com/office/drawing/2014/main" id="{00000000-0008-0000-0F00-00004361A500}"/>
            </a:ext>
          </a:extLst>
        </xdr:cNvPr>
        <xdr:cNvSpPr>
          <a:spLocks noChangeShapeType="1"/>
        </xdr:cNvSpPr>
      </xdr:nvSpPr>
      <xdr:spPr bwMode="auto">
        <a:xfrm flipV="1">
          <a:off x="4924425" y="2600325"/>
          <a:ext cx="1143000" cy="7143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381000</xdr:colOff>
      <xdr:row>14</xdr:row>
      <xdr:rowOff>85725</xdr:rowOff>
    </xdr:from>
    <xdr:to>
      <xdr:col>9</xdr:col>
      <xdr:colOff>9525</xdr:colOff>
      <xdr:row>16</xdr:row>
      <xdr:rowOff>123825</xdr:rowOff>
    </xdr:to>
    <xdr:sp macro="" textlink="">
      <xdr:nvSpPr>
        <xdr:cNvPr id="10838340" name="Line 34">
          <a:extLst>
            <a:ext uri="{FF2B5EF4-FFF2-40B4-BE49-F238E27FC236}">
              <a16:creationId xmlns:a16="http://schemas.microsoft.com/office/drawing/2014/main" id="{00000000-0008-0000-0F00-00004461A500}"/>
            </a:ext>
          </a:extLst>
        </xdr:cNvPr>
        <xdr:cNvSpPr>
          <a:spLocks noChangeShapeType="1"/>
        </xdr:cNvSpPr>
      </xdr:nvSpPr>
      <xdr:spPr bwMode="auto">
        <a:xfrm flipV="1">
          <a:off x="5038725" y="2990850"/>
          <a:ext cx="1009650" cy="3619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790575</xdr:colOff>
      <xdr:row>54</xdr:row>
      <xdr:rowOff>9525</xdr:rowOff>
    </xdr:from>
    <xdr:to>
      <xdr:col>4</xdr:col>
      <xdr:colOff>165100</xdr:colOff>
      <xdr:row>58</xdr:row>
      <xdr:rowOff>85725</xdr:rowOff>
    </xdr:to>
    <xdr:sp macro="" textlink="">
      <xdr:nvSpPr>
        <xdr:cNvPr id="10838341" name="Oval 14">
          <a:extLst>
            <a:ext uri="{FF2B5EF4-FFF2-40B4-BE49-F238E27FC236}">
              <a16:creationId xmlns:a16="http://schemas.microsoft.com/office/drawing/2014/main" id="{00000000-0008-0000-0F00-00004561A500}"/>
            </a:ext>
          </a:extLst>
        </xdr:cNvPr>
        <xdr:cNvSpPr>
          <a:spLocks noChangeArrowheads="1"/>
        </xdr:cNvSpPr>
      </xdr:nvSpPr>
      <xdr:spPr bwMode="auto">
        <a:xfrm>
          <a:off x="1755775" y="9928225"/>
          <a:ext cx="911225" cy="901700"/>
        </a:xfrm>
        <a:prstGeom prst="ellips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609600</xdr:colOff>
      <xdr:row>52</xdr:row>
      <xdr:rowOff>114300</xdr:rowOff>
    </xdr:from>
    <xdr:to>
      <xdr:col>3</xdr:col>
      <xdr:colOff>685800</xdr:colOff>
      <xdr:row>54</xdr:row>
      <xdr:rowOff>38100</xdr:rowOff>
    </xdr:to>
    <xdr:sp macro="" textlink="">
      <xdr:nvSpPr>
        <xdr:cNvPr id="10838342" name="Line 19">
          <a:extLst>
            <a:ext uri="{FF2B5EF4-FFF2-40B4-BE49-F238E27FC236}">
              <a16:creationId xmlns:a16="http://schemas.microsoft.com/office/drawing/2014/main" id="{00000000-0008-0000-0F00-00004661A500}"/>
            </a:ext>
          </a:extLst>
        </xdr:cNvPr>
        <xdr:cNvSpPr>
          <a:spLocks noChangeShapeType="1"/>
        </xdr:cNvSpPr>
      </xdr:nvSpPr>
      <xdr:spPr bwMode="auto">
        <a:xfrm flipH="1">
          <a:off x="2409825" y="9515475"/>
          <a:ext cx="76200" cy="2762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200025</xdr:colOff>
      <xdr:row>56</xdr:row>
      <xdr:rowOff>28575</xdr:rowOff>
    </xdr:from>
    <xdr:to>
      <xdr:col>5</xdr:col>
      <xdr:colOff>628650</xdr:colOff>
      <xdr:row>56</xdr:row>
      <xdr:rowOff>28575</xdr:rowOff>
    </xdr:to>
    <xdr:sp macro="" textlink="">
      <xdr:nvSpPr>
        <xdr:cNvPr id="10838343" name="Line 19">
          <a:extLst>
            <a:ext uri="{FF2B5EF4-FFF2-40B4-BE49-F238E27FC236}">
              <a16:creationId xmlns:a16="http://schemas.microsoft.com/office/drawing/2014/main" id="{00000000-0008-0000-0F00-00004761A500}"/>
            </a:ext>
          </a:extLst>
        </xdr:cNvPr>
        <xdr:cNvSpPr>
          <a:spLocks noChangeShapeType="1"/>
        </xdr:cNvSpPr>
      </xdr:nvSpPr>
      <xdr:spPr bwMode="auto">
        <a:xfrm flipH="1">
          <a:off x="2695575" y="10182225"/>
          <a:ext cx="10668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736600</xdr:colOff>
      <xdr:row>53</xdr:row>
      <xdr:rowOff>1</xdr:rowOff>
    </xdr:from>
    <xdr:to>
      <xdr:col>5</xdr:col>
      <xdr:colOff>469901</xdr:colOff>
      <xdr:row>59</xdr:row>
      <xdr:rowOff>25401</xdr:rowOff>
    </xdr:to>
    <xdr:sp macro="" textlink="">
      <xdr:nvSpPr>
        <xdr:cNvPr id="160" name="Rectangle 56">
          <a:extLst>
            <a:ext uri="{FF2B5EF4-FFF2-40B4-BE49-F238E27FC236}">
              <a16:creationId xmlns:a16="http://schemas.microsoft.com/office/drawing/2014/main" id="{00000000-0008-0000-0F00-0000A0000000}"/>
            </a:ext>
          </a:extLst>
        </xdr:cNvPr>
        <xdr:cNvSpPr>
          <a:spLocks noChangeArrowheads="1"/>
        </xdr:cNvSpPr>
      </xdr:nvSpPr>
      <xdr:spPr bwMode="auto">
        <a:xfrm>
          <a:off x="1701800" y="9753601"/>
          <a:ext cx="1905001" cy="11938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66675</xdr:rowOff>
    </xdr:from>
    <xdr:to>
      <xdr:col>8</xdr:col>
      <xdr:colOff>180975</xdr:colOff>
      <xdr:row>25</xdr:row>
      <xdr:rowOff>0</xdr:rowOff>
    </xdr:to>
    <xdr:sp macro="" textlink="">
      <xdr:nvSpPr>
        <xdr:cNvPr id="10836429" name="Oval 1">
          <a:extLst>
            <a:ext uri="{FF2B5EF4-FFF2-40B4-BE49-F238E27FC236}">
              <a16:creationId xmlns:a16="http://schemas.microsoft.com/office/drawing/2014/main" id="{00000000-0008-0000-1000-0000CD59A500}"/>
            </a:ext>
          </a:extLst>
        </xdr:cNvPr>
        <xdr:cNvSpPr>
          <a:spLocks noChangeArrowheads="1"/>
        </xdr:cNvSpPr>
      </xdr:nvSpPr>
      <xdr:spPr bwMode="auto">
        <a:xfrm>
          <a:off x="3867150" y="3295650"/>
          <a:ext cx="16573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552450</xdr:colOff>
      <xdr:row>29</xdr:row>
      <xdr:rowOff>38100</xdr:rowOff>
    </xdr:from>
    <xdr:to>
      <xdr:col>8</xdr:col>
      <xdr:colOff>66675</xdr:colOff>
      <xdr:row>37</xdr:row>
      <xdr:rowOff>152400</xdr:rowOff>
    </xdr:to>
    <xdr:sp macro="" textlink="">
      <xdr:nvSpPr>
        <xdr:cNvPr id="10836430" name="Oval 2">
          <a:extLst>
            <a:ext uri="{FF2B5EF4-FFF2-40B4-BE49-F238E27FC236}">
              <a16:creationId xmlns:a16="http://schemas.microsoft.com/office/drawing/2014/main" id="{00000000-0008-0000-1000-0000CE59A500}"/>
            </a:ext>
          </a:extLst>
        </xdr:cNvPr>
        <xdr:cNvSpPr>
          <a:spLocks noChangeArrowheads="1"/>
        </xdr:cNvSpPr>
      </xdr:nvSpPr>
      <xdr:spPr bwMode="auto">
        <a:xfrm>
          <a:off x="3657600" y="5543550"/>
          <a:ext cx="175260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609600</xdr:colOff>
      <xdr:row>50</xdr:row>
      <xdr:rowOff>152400</xdr:rowOff>
    </xdr:from>
    <xdr:to>
      <xdr:col>8</xdr:col>
      <xdr:colOff>123825</xdr:colOff>
      <xdr:row>59</xdr:row>
      <xdr:rowOff>28575</xdr:rowOff>
    </xdr:to>
    <xdr:sp macro="" textlink="">
      <xdr:nvSpPr>
        <xdr:cNvPr id="10836431" name="Oval 3">
          <a:extLst>
            <a:ext uri="{FF2B5EF4-FFF2-40B4-BE49-F238E27FC236}">
              <a16:creationId xmlns:a16="http://schemas.microsoft.com/office/drawing/2014/main" id="{00000000-0008-0000-1000-0000CF59A500}"/>
            </a:ext>
          </a:extLst>
        </xdr:cNvPr>
        <xdr:cNvSpPr>
          <a:spLocks noChangeArrowheads="1"/>
        </xdr:cNvSpPr>
      </xdr:nvSpPr>
      <xdr:spPr bwMode="auto">
        <a:xfrm>
          <a:off x="3714750" y="9210675"/>
          <a:ext cx="1752600" cy="15716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552450</xdr:colOff>
      <xdr:row>29</xdr:row>
      <xdr:rowOff>38100</xdr:rowOff>
    </xdr:from>
    <xdr:to>
      <xdr:col>11</xdr:col>
      <xdr:colOff>76200</xdr:colOff>
      <xdr:row>38</xdr:row>
      <xdr:rowOff>28575</xdr:rowOff>
    </xdr:to>
    <xdr:sp macro="" textlink="">
      <xdr:nvSpPr>
        <xdr:cNvPr id="10836432" name="Oval 4">
          <a:extLst>
            <a:ext uri="{FF2B5EF4-FFF2-40B4-BE49-F238E27FC236}">
              <a16:creationId xmlns:a16="http://schemas.microsoft.com/office/drawing/2014/main" id="{00000000-0008-0000-1000-0000D059A500}"/>
            </a:ext>
          </a:extLst>
        </xdr:cNvPr>
        <xdr:cNvSpPr>
          <a:spLocks noChangeArrowheads="1"/>
        </xdr:cNvSpPr>
      </xdr:nvSpPr>
      <xdr:spPr bwMode="auto">
        <a:xfrm>
          <a:off x="5895975" y="5543550"/>
          <a:ext cx="1562100" cy="15430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685800</xdr:colOff>
      <xdr:row>29</xdr:row>
      <xdr:rowOff>66675</xdr:rowOff>
    </xdr:from>
    <xdr:to>
      <xdr:col>14</xdr:col>
      <xdr:colOff>28575</xdr:colOff>
      <xdr:row>38</xdr:row>
      <xdr:rowOff>19050</xdr:rowOff>
    </xdr:to>
    <xdr:sp macro="" textlink="">
      <xdr:nvSpPr>
        <xdr:cNvPr id="10836433" name="Oval 5">
          <a:extLst>
            <a:ext uri="{FF2B5EF4-FFF2-40B4-BE49-F238E27FC236}">
              <a16:creationId xmlns:a16="http://schemas.microsoft.com/office/drawing/2014/main" id="{00000000-0008-0000-1000-0000D159A500}"/>
            </a:ext>
          </a:extLst>
        </xdr:cNvPr>
        <xdr:cNvSpPr>
          <a:spLocks noChangeArrowheads="1"/>
        </xdr:cNvSpPr>
      </xdr:nvSpPr>
      <xdr:spPr bwMode="auto">
        <a:xfrm>
          <a:off x="8067675" y="5572125"/>
          <a:ext cx="168592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552450</xdr:colOff>
      <xdr:row>29</xdr:row>
      <xdr:rowOff>38100</xdr:rowOff>
    </xdr:from>
    <xdr:to>
      <xdr:col>17</xdr:col>
      <xdr:colOff>66675</xdr:colOff>
      <xdr:row>37</xdr:row>
      <xdr:rowOff>152400</xdr:rowOff>
    </xdr:to>
    <xdr:sp macro="" textlink="">
      <xdr:nvSpPr>
        <xdr:cNvPr id="10836434" name="Oval 6">
          <a:extLst>
            <a:ext uri="{FF2B5EF4-FFF2-40B4-BE49-F238E27FC236}">
              <a16:creationId xmlns:a16="http://schemas.microsoft.com/office/drawing/2014/main" id="{00000000-0008-0000-1000-0000D259A500}"/>
            </a:ext>
          </a:extLst>
        </xdr:cNvPr>
        <xdr:cNvSpPr>
          <a:spLocks noChangeArrowheads="1"/>
        </xdr:cNvSpPr>
      </xdr:nvSpPr>
      <xdr:spPr bwMode="auto">
        <a:xfrm>
          <a:off x="10277475" y="5543550"/>
          <a:ext cx="16954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552450</xdr:colOff>
      <xdr:row>29</xdr:row>
      <xdr:rowOff>38100</xdr:rowOff>
    </xdr:from>
    <xdr:to>
      <xdr:col>20</xdr:col>
      <xdr:colOff>66675</xdr:colOff>
      <xdr:row>37</xdr:row>
      <xdr:rowOff>152400</xdr:rowOff>
    </xdr:to>
    <xdr:sp macro="" textlink="">
      <xdr:nvSpPr>
        <xdr:cNvPr id="10836435" name="Oval 7">
          <a:extLst>
            <a:ext uri="{FF2B5EF4-FFF2-40B4-BE49-F238E27FC236}">
              <a16:creationId xmlns:a16="http://schemas.microsoft.com/office/drawing/2014/main" id="{00000000-0008-0000-1000-0000D359A500}"/>
            </a:ext>
          </a:extLst>
        </xdr:cNvPr>
        <xdr:cNvSpPr>
          <a:spLocks noChangeArrowheads="1"/>
        </xdr:cNvSpPr>
      </xdr:nvSpPr>
      <xdr:spPr bwMode="auto">
        <a:xfrm>
          <a:off x="12458700" y="5543550"/>
          <a:ext cx="16573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37</xdr:row>
      <xdr:rowOff>142875</xdr:rowOff>
    </xdr:from>
    <xdr:to>
      <xdr:col>19</xdr:col>
      <xdr:colOff>0</xdr:colOff>
      <xdr:row>45</xdr:row>
      <xdr:rowOff>152400</xdr:rowOff>
    </xdr:to>
    <xdr:sp macro="" textlink="">
      <xdr:nvSpPr>
        <xdr:cNvPr id="10836436" name="Line 8">
          <a:extLst>
            <a:ext uri="{FF2B5EF4-FFF2-40B4-BE49-F238E27FC236}">
              <a16:creationId xmlns:a16="http://schemas.microsoft.com/office/drawing/2014/main" id="{00000000-0008-0000-1000-0000D459A500}"/>
            </a:ext>
          </a:extLst>
        </xdr:cNvPr>
        <xdr:cNvSpPr>
          <a:spLocks noChangeShapeType="1"/>
        </xdr:cNvSpPr>
      </xdr:nvSpPr>
      <xdr:spPr bwMode="auto">
        <a:xfrm flipH="1">
          <a:off x="13287375" y="7038975"/>
          <a:ext cx="0" cy="13049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66675</xdr:colOff>
      <xdr:row>33</xdr:row>
      <xdr:rowOff>152400</xdr:rowOff>
    </xdr:from>
    <xdr:to>
      <xdr:col>17</xdr:col>
      <xdr:colOff>542925</xdr:colOff>
      <xdr:row>33</xdr:row>
      <xdr:rowOff>152400</xdr:rowOff>
    </xdr:to>
    <xdr:sp macro="" textlink="">
      <xdr:nvSpPr>
        <xdr:cNvPr id="10836437" name="Line 9">
          <a:extLst>
            <a:ext uri="{FF2B5EF4-FFF2-40B4-BE49-F238E27FC236}">
              <a16:creationId xmlns:a16="http://schemas.microsoft.com/office/drawing/2014/main" id="{00000000-0008-0000-1000-0000D559A500}"/>
            </a:ext>
          </a:extLst>
        </xdr:cNvPr>
        <xdr:cNvSpPr>
          <a:spLocks noChangeShapeType="1"/>
        </xdr:cNvSpPr>
      </xdr:nvSpPr>
      <xdr:spPr bwMode="auto">
        <a:xfrm flipH="1">
          <a:off x="11972925" y="6381750"/>
          <a:ext cx="4762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</xdr:colOff>
      <xdr:row>34</xdr:row>
      <xdr:rowOff>0</xdr:rowOff>
    </xdr:from>
    <xdr:to>
      <xdr:col>14</xdr:col>
      <xdr:colOff>561975</xdr:colOff>
      <xdr:row>34</xdr:row>
      <xdr:rowOff>0</xdr:rowOff>
    </xdr:to>
    <xdr:sp macro="" textlink="">
      <xdr:nvSpPr>
        <xdr:cNvPr id="10836438" name="Line 10">
          <a:extLst>
            <a:ext uri="{FF2B5EF4-FFF2-40B4-BE49-F238E27FC236}">
              <a16:creationId xmlns:a16="http://schemas.microsoft.com/office/drawing/2014/main" id="{00000000-0008-0000-1000-0000D659A500}"/>
            </a:ext>
          </a:extLst>
        </xdr:cNvPr>
        <xdr:cNvSpPr>
          <a:spLocks noChangeShapeType="1"/>
        </xdr:cNvSpPr>
      </xdr:nvSpPr>
      <xdr:spPr bwMode="auto">
        <a:xfrm>
          <a:off x="9753600" y="6410325"/>
          <a:ext cx="5334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47</xdr:row>
      <xdr:rowOff>85725</xdr:rowOff>
    </xdr:from>
    <xdr:to>
      <xdr:col>7</xdr:col>
      <xdr:colOff>0</xdr:colOff>
      <xdr:row>50</xdr:row>
      <xdr:rowOff>142875</xdr:rowOff>
    </xdr:to>
    <xdr:sp macro="" textlink="">
      <xdr:nvSpPr>
        <xdr:cNvPr id="10836439" name="Line 11">
          <a:extLst>
            <a:ext uri="{FF2B5EF4-FFF2-40B4-BE49-F238E27FC236}">
              <a16:creationId xmlns:a16="http://schemas.microsoft.com/office/drawing/2014/main" id="{00000000-0008-0000-1000-0000D759A500}"/>
            </a:ext>
          </a:extLst>
        </xdr:cNvPr>
        <xdr:cNvSpPr>
          <a:spLocks noChangeShapeType="1"/>
        </xdr:cNvSpPr>
      </xdr:nvSpPr>
      <xdr:spPr bwMode="auto">
        <a:xfrm flipH="1">
          <a:off x="4629150" y="8620125"/>
          <a:ext cx="0" cy="581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30</xdr:row>
      <xdr:rowOff>66675</xdr:rowOff>
    </xdr:from>
    <xdr:to>
      <xdr:col>4</xdr:col>
      <xdr:colOff>571500</xdr:colOff>
      <xdr:row>37</xdr:row>
      <xdr:rowOff>9525</xdr:rowOff>
    </xdr:to>
    <xdr:sp macro="" textlink="">
      <xdr:nvSpPr>
        <xdr:cNvPr id="10836440" name="Oval 12">
          <a:extLst>
            <a:ext uri="{FF2B5EF4-FFF2-40B4-BE49-F238E27FC236}">
              <a16:creationId xmlns:a16="http://schemas.microsoft.com/office/drawing/2014/main" id="{00000000-0008-0000-1000-0000D859A500}"/>
            </a:ext>
          </a:extLst>
        </xdr:cNvPr>
        <xdr:cNvSpPr>
          <a:spLocks noChangeArrowheads="1"/>
        </xdr:cNvSpPr>
      </xdr:nvSpPr>
      <xdr:spPr bwMode="auto">
        <a:xfrm>
          <a:off x="1914525" y="5734050"/>
          <a:ext cx="1123950" cy="11715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571500</xdr:colOff>
      <xdr:row>34</xdr:row>
      <xdr:rowOff>0</xdr:rowOff>
    </xdr:from>
    <xdr:to>
      <xdr:col>5</xdr:col>
      <xdr:colOff>542925</xdr:colOff>
      <xdr:row>34</xdr:row>
      <xdr:rowOff>0</xdr:rowOff>
    </xdr:to>
    <xdr:sp macro="" textlink="">
      <xdr:nvSpPr>
        <xdr:cNvPr id="10836441" name="Line 13">
          <a:extLst>
            <a:ext uri="{FF2B5EF4-FFF2-40B4-BE49-F238E27FC236}">
              <a16:creationId xmlns:a16="http://schemas.microsoft.com/office/drawing/2014/main" id="{00000000-0008-0000-1000-0000D959A500}"/>
            </a:ext>
          </a:extLst>
        </xdr:cNvPr>
        <xdr:cNvSpPr>
          <a:spLocks noChangeShapeType="1"/>
        </xdr:cNvSpPr>
      </xdr:nvSpPr>
      <xdr:spPr bwMode="auto">
        <a:xfrm flipH="1">
          <a:off x="3038475" y="6410325"/>
          <a:ext cx="6096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</xdr:colOff>
      <xdr:row>46</xdr:row>
      <xdr:rowOff>47625</xdr:rowOff>
    </xdr:from>
    <xdr:to>
      <xdr:col>4</xdr:col>
      <xdr:colOff>571500</xdr:colOff>
      <xdr:row>52</xdr:row>
      <xdr:rowOff>76200</xdr:rowOff>
    </xdr:to>
    <xdr:sp macro="" textlink="">
      <xdr:nvSpPr>
        <xdr:cNvPr id="10836442" name="Oval 14">
          <a:extLst>
            <a:ext uri="{FF2B5EF4-FFF2-40B4-BE49-F238E27FC236}">
              <a16:creationId xmlns:a16="http://schemas.microsoft.com/office/drawing/2014/main" id="{00000000-0008-0000-1000-0000DA59A500}"/>
            </a:ext>
          </a:extLst>
        </xdr:cNvPr>
        <xdr:cNvSpPr>
          <a:spLocks noChangeArrowheads="1"/>
        </xdr:cNvSpPr>
      </xdr:nvSpPr>
      <xdr:spPr bwMode="auto">
        <a:xfrm>
          <a:off x="1933575" y="8420100"/>
          <a:ext cx="1104900" cy="10572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381000</xdr:colOff>
      <xdr:row>36</xdr:row>
      <xdr:rowOff>123825</xdr:rowOff>
    </xdr:from>
    <xdr:to>
      <xdr:col>6</xdr:col>
      <xdr:colOff>104775</xdr:colOff>
      <xdr:row>46</xdr:row>
      <xdr:rowOff>152400</xdr:rowOff>
    </xdr:to>
    <xdr:sp macro="" textlink="">
      <xdr:nvSpPr>
        <xdr:cNvPr id="10836443" name="Line 15">
          <a:extLst>
            <a:ext uri="{FF2B5EF4-FFF2-40B4-BE49-F238E27FC236}">
              <a16:creationId xmlns:a16="http://schemas.microsoft.com/office/drawing/2014/main" id="{00000000-0008-0000-1000-0000DB59A500}"/>
            </a:ext>
          </a:extLst>
        </xdr:cNvPr>
        <xdr:cNvSpPr>
          <a:spLocks noChangeShapeType="1"/>
        </xdr:cNvSpPr>
      </xdr:nvSpPr>
      <xdr:spPr bwMode="auto">
        <a:xfrm flipH="1">
          <a:off x="2847975" y="6858000"/>
          <a:ext cx="1123950" cy="16668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581025</xdr:colOff>
      <xdr:row>50</xdr:row>
      <xdr:rowOff>9525</xdr:rowOff>
    </xdr:from>
    <xdr:to>
      <xdr:col>5</xdr:col>
      <xdr:colOff>752475</xdr:colOff>
      <xdr:row>53</xdr:row>
      <xdr:rowOff>0</xdr:rowOff>
    </xdr:to>
    <xdr:sp macro="" textlink="">
      <xdr:nvSpPr>
        <xdr:cNvPr id="10836444" name="Line 16">
          <a:extLst>
            <a:ext uri="{FF2B5EF4-FFF2-40B4-BE49-F238E27FC236}">
              <a16:creationId xmlns:a16="http://schemas.microsoft.com/office/drawing/2014/main" id="{00000000-0008-0000-1000-0000DC59A500}"/>
            </a:ext>
          </a:extLst>
        </xdr:cNvPr>
        <xdr:cNvSpPr>
          <a:spLocks noChangeShapeType="1"/>
        </xdr:cNvSpPr>
      </xdr:nvSpPr>
      <xdr:spPr bwMode="auto">
        <a:xfrm flipH="1" flipV="1">
          <a:off x="3048000" y="9067800"/>
          <a:ext cx="809625" cy="5238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47</xdr:row>
      <xdr:rowOff>9525</xdr:rowOff>
    </xdr:from>
    <xdr:to>
      <xdr:col>4</xdr:col>
      <xdr:colOff>371475</xdr:colOff>
      <xdr:row>47</xdr:row>
      <xdr:rowOff>19050</xdr:rowOff>
    </xdr:to>
    <xdr:sp macro="" textlink="">
      <xdr:nvSpPr>
        <xdr:cNvPr id="10836445" name="Arc 17">
          <a:extLst>
            <a:ext uri="{FF2B5EF4-FFF2-40B4-BE49-F238E27FC236}">
              <a16:creationId xmlns:a16="http://schemas.microsoft.com/office/drawing/2014/main" id="{00000000-0008-0000-1000-0000DD59A500}"/>
            </a:ext>
          </a:extLst>
        </xdr:cNvPr>
        <xdr:cNvSpPr>
          <a:spLocks/>
        </xdr:cNvSpPr>
      </xdr:nvSpPr>
      <xdr:spPr bwMode="auto">
        <a:xfrm flipH="1" flipV="1">
          <a:off x="2828925" y="8543925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171450</xdr:colOff>
      <xdr:row>47</xdr:row>
      <xdr:rowOff>9525</xdr:rowOff>
    </xdr:from>
    <xdr:to>
      <xdr:col>4</xdr:col>
      <xdr:colOff>352425</xdr:colOff>
      <xdr:row>49</xdr:row>
      <xdr:rowOff>152400</xdr:rowOff>
    </xdr:to>
    <xdr:sp macro="" textlink="">
      <xdr:nvSpPr>
        <xdr:cNvPr id="10836446" name="Line 18">
          <a:extLst>
            <a:ext uri="{FF2B5EF4-FFF2-40B4-BE49-F238E27FC236}">
              <a16:creationId xmlns:a16="http://schemas.microsoft.com/office/drawing/2014/main" id="{00000000-0008-0000-1000-0000DE59A500}"/>
            </a:ext>
          </a:extLst>
        </xdr:cNvPr>
        <xdr:cNvSpPr>
          <a:spLocks noChangeShapeType="1"/>
        </xdr:cNvSpPr>
      </xdr:nvSpPr>
      <xdr:spPr bwMode="auto">
        <a:xfrm flipH="1">
          <a:off x="1943100" y="8543925"/>
          <a:ext cx="876300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50</xdr:row>
      <xdr:rowOff>0</xdr:rowOff>
    </xdr:from>
    <xdr:to>
      <xdr:col>3</xdr:col>
      <xdr:colOff>171450</xdr:colOff>
      <xdr:row>50</xdr:row>
      <xdr:rowOff>0</xdr:rowOff>
    </xdr:to>
    <xdr:sp macro="" textlink="">
      <xdr:nvSpPr>
        <xdr:cNvPr id="10836447" name="Line 19">
          <a:extLst>
            <a:ext uri="{FF2B5EF4-FFF2-40B4-BE49-F238E27FC236}">
              <a16:creationId xmlns:a16="http://schemas.microsoft.com/office/drawing/2014/main" id="{00000000-0008-0000-1000-0000DF59A500}"/>
            </a:ext>
          </a:extLst>
        </xdr:cNvPr>
        <xdr:cNvSpPr>
          <a:spLocks noChangeShapeType="1"/>
        </xdr:cNvSpPr>
      </xdr:nvSpPr>
      <xdr:spPr bwMode="auto">
        <a:xfrm flipH="1">
          <a:off x="1228725" y="9058275"/>
          <a:ext cx="71437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352425</xdr:colOff>
      <xdr:row>47</xdr:row>
      <xdr:rowOff>19050</xdr:rowOff>
    </xdr:from>
    <xdr:to>
      <xdr:col>4</xdr:col>
      <xdr:colOff>581025</xdr:colOff>
      <xdr:row>50</xdr:row>
      <xdr:rowOff>0</xdr:rowOff>
    </xdr:to>
    <xdr:sp macro="" textlink="">
      <xdr:nvSpPr>
        <xdr:cNvPr id="10836448" name="Arc 20">
          <a:extLst>
            <a:ext uri="{FF2B5EF4-FFF2-40B4-BE49-F238E27FC236}">
              <a16:creationId xmlns:a16="http://schemas.microsoft.com/office/drawing/2014/main" id="{00000000-0008-0000-1000-0000E059A500}"/>
            </a:ext>
          </a:extLst>
        </xdr:cNvPr>
        <xdr:cNvSpPr>
          <a:spLocks/>
        </xdr:cNvSpPr>
      </xdr:nvSpPr>
      <xdr:spPr bwMode="auto">
        <a:xfrm flipH="1" flipV="1">
          <a:off x="2819400" y="8553450"/>
          <a:ext cx="228600" cy="5048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228600</xdr:colOff>
      <xdr:row>10</xdr:row>
      <xdr:rowOff>66675</xdr:rowOff>
    </xdr:from>
    <xdr:to>
      <xdr:col>5</xdr:col>
      <xdr:colOff>57150</xdr:colOff>
      <xdr:row>16</xdr:row>
      <xdr:rowOff>57150</xdr:rowOff>
    </xdr:to>
    <xdr:sp macro="" textlink="">
      <xdr:nvSpPr>
        <xdr:cNvPr id="10836449" name="Oval 21">
          <a:extLst>
            <a:ext uri="{FF2B5EF4-FFF2-40B4-BE49-F238E27FC236}">
              <a16:creationId xmlns:a16="http://schemas.microsoft.com/office/drawing/2014/main" id="{00000000-0008-0000-1000-0000E159A500}"/>
            </a:ext>
          </a:extLst>
        </xdr:cNvPr>
        <xdr:cNvSpPr>
          <a:spLocks noChangeArrowheads="1"/>
        </xdr:cNvSpPr>
      </xdr:nvSpPr>
      <xdr:spPr bwMode="auto">
        <a:xfrm>
          <a:off x="2000250" y="2181225"/>
          <a:ext cx="1162050" cy="11049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419100</xdr:colOff>
      <xdr:row>23</xdr:row>
      <xdr:rowOff>123825</xdr:rowOff>
    </xdr:from>
    <xdr:to>
      <xdr:col>6</xdr:col>
      <xdr:colOff>228600</xdr:colOff>
      <xdr:row>31</xdr:row>
      <xdr:rowOff>85725</xdr:rowOff>
    </xdr:to>
    <xdr:sp macro="" textlink="">
      <xdr:nvSpPr>
        <xdr:cNvPr id="10836450" name="Line 22">
          <a:extLst>
            <a:ext uri="{FF2B5EF4-FFF2-40B4-BE49-F238E27FC236}">
              <a16:creationId xmlns:a16="http://schemas.microsoft.com/office/drawing/2014/main" id="{00000000-0008-0000-1000-0000E259A500}"/>
            </a:ext>
          </a:extLst>
        </xdr:cNvPr>
        <xdr:cNvSpPr>
          <a:spLocks noChangeShapeType="1"/>
        </xdr:cNvSpPr>
      </xdr:nvSpPr>
      <xdr:spPr bwMode="auto">
        <a:xfrm flipH="1">
          <a:off x="2886075" y="4591050"/>
          <a:ext cx="1209675" cy="13525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52</xdr:row>
      <xdr:rowOff>38100</xdr:rowOff>
    </xdr:from>
    <xdr:to>
      <xdr:col>14</xdr:col>
      <xdr:colOff>9525</xdr:colOff>
      <xdr:row>60</xdr:row>
      <xdr:rowOff>28575</xdr:rowOff>
    </xdr:to>
    <xdr:sp macro="" textlink="">
      <xdr:nvSpPr>
        <xdr:cNvPr id="10836451" name="Arc 23">
          <a:extLst>
            <a:ext uri="{FF2B5EF4-FFF2-40B4-BE49-F238E27FC236}">
              <a16:creationId xmlns:a16="http://schemas.microsoft.com/office/drawing/2014/main" id="{00000000-0008-0000-1000-0000E359A500}"/>
            </a:ext>
          </a:extLst>
        </xdr:cNvPr>
        <xdr:cNvSpPr>
          <a:spLocks/>
        </xdr:cNvSpPr>
      </xdr:nvSpPr>
      <xdr:spPr bwMode="auto">
        <a:xfrm flipH="1">
          <a:off x="6715125" y="9439275"/>
          <a:ext cx="3019425" cy="15049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600075</xdr:colOff>
      <xdr:row>52</xdr:row>
      <xdr:rowOff>38100</xdr:rowOff>
    </xdr:from>
    <xdr:to>
      <xdr:col>17</xdr:col>
      <xdr:colOff>571500</xdr:colOff>
      <xdr:row>60</xdr:row>
      <xdr:rowOff>38100</xdr:rowOff>
    </xdr:to>
    <xdr:sp macro="" textlink="">
      <xdr:nvSpPr>
        <xdr:cNvPr id="10836452" name="Arc 24">
          <a:extLst>
            <a:ext uri="{FF2B5EF4-FFF2-40B4-BE49-F238E27FC236}">
              <a16:creationId xmlns:a16="http://schemas.microsoft.com/office/drawing/2014/main" id="{00000000-0008-0000-1000-0000E459A500}"/>
            </a:ext>
          </a:extLst>
        </xdr:cNvPr>
        <xdr:cNvSpPr>
          <a:spLocks/>
        </xdr:cNvSpPr>
      </xdr:nvSpPr>
      <xdr:spPr bwMode="auto">
        <a:xfrm>
          <a:off x="9458325" y="9439275"/>
          <a:ext cx="3019425" cy="151447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657225</xdr:colOff>
      <xdr:row>58</xdr:row>
      <xdr:rowOff>76200</xdr:rowOff>
    </xdr:from>
    <xdr:to>
      <xdr:col>6</xdr:col>
      <xdr:colOff>219075</xdr:colOff>
      <xdr:row>62</xdr:row>
      <xdr:rowOff>38100</xdr:rowOff>
    </xdr:to>
    <xdr:sp macro="" textlink="">
      <xdr:nvSpPr>
        <xdr:cNvPr id="10836453" name="Line 25">
          <a:extLst>
            <a:ext uri="{FF2B5EF4-FFF2-40B4-BE49-F238E27FC236}">
              <a16:creationId xmlns:a16="http://schemas.microsoft.com/office/drawing/2014/main" id="{00000000-0008-0000-1000-0000E559A500}"/>
            </a:ext>
          </a:extLst>
        </xdr:cNvPr>
        <xdr:cNvSpPr>
          <a:spLocks noChangeShapeType="1"/>
        </xdr:cNvSpPr>
      </xdr:nvSpPr>
      <xdr:spPr bwMode="auto">
        <a:xfrm flipH="1">
          <a:off x="3762375" y="10648950"/>
          <a:ext cx="323850" cy="6477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219075</xdr:colOff>
      <xdr:row>37</xdr:row>
      <xdr:rowOff>114300</xdr:rowOff>
    </xdr:from>
    <xdr:to>
      <xdr:col>17</xdr:col>
      <xdr:colOff>152400</xdr:colOff>
      <xdr:row>45</xdr:row>
      <xdr:rowOff>152400</xdr:rowOff>
    </xdr:to>
    <xdr:sp macro="" textlink="">
      <xdr:nvSpPr>
        <xdr:cNvPr id="10836454" name="Line 26">
          <a:extLst>
            <a:ext uri="{FF2B5EF4-FFF2-40B4-BE49-F238E27FC236}">
              <a16:creationId xmlns:a16="http://schemas.microsoft.com/office/drawing/2014/main" id="{00000000-0008-0000-1000-0000E659A500}"/>
            </a:ext>
          </a:extLst>
        </xdr:cNvPr>
        <xdr:cNvSpPr>
          <a:spLocks noChangeShapeType="1"/>
        </xdr:cNvSpPr>
      </xdr:nvSpPr>
      <xdr:spPr bwMode="auto">
        <a:xfrm>
          <a:off x="11439525" y="7010400"/>
          <a:ext cx="619125" cy="13335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47625</xdr:colOff>
      <xdr:row>38</xdr:row>
      <xdr:rowOff>28575</xdr:rowOff>
    </xdr:from>
    <xdr:to>
      <xdr:col>11</xdr:col>
      <xdr:colOff>619125</xdr:colOff>
      <xdr:row>53</xdr:row>
      <xdr:rowOff>123825</xdr:rowOff>
    </xdr:to>
    <xdr:sp macro="" textlink="">
      <xdr:nvSpPr>
        <xdr:cNvPr id="10836455" name="Line 27">
          <a:extLst>
            <a:ext uri="{FF2B5EF4-FFF2-40B4-BE49-F238E27FC236}">
              <a16:creationId xmlns:a16="http://schemas.microsoft.com/office/drawing/2014/main" id="{00000000-0008-0000-1000-0000E759A500}"/>
            </a:ext>
          </a:extLst>
        </xdr:cNvPr>
        <xdr:cNvSpPr>
          <a:spLocks noChangeShapeType="1"/>
        </xdr:cNvSpPr>
      </xdr:nvSpPr>
      <xdr:spPr bwMode="auto">
        <a:xfrm>
          <a:off x="6762750" y="7086600"/>
          <a:ext cx="1238250" cy="26289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152400</xdr:colOff>
      <xdr:row>45</xdr:row>
      <xdr:rowOff>47625</xdr:rowOff>
    </xdr:from>
    <xdr:to>
      <xdr:col>11</xdr:col>
      <xdr:colOff>295275</xdr:colOff>
      <xdr:row>54</xdr:row>
      <xdr:rowOff>76200</xdr:rowOff>
    </xdr:to>
    <xdr:sp macro="" textlink="">
      <xdr:nvSpPr>
        <xdr:cNvPr id="10836456" name="Line 28">
          <a:extLst>
            <a:ext uri="{FF2B5EF4-FFF2-40B4-BE49-F238E27FC236}">
              <a16:creationId xmlns:a16="http://schemas.microsoft.com/office/drawing/2014/main" id="{00000000-0008-0000-1000-0000E859A500}"/>
            </a:ext>
          </a:extLst>
        </xdr:cNvPr>
        <xdr:cNvSpPr>
          <a:spLocks noChangeShapeType="1"/>
        </xdr:cNvSpPr>
      </xdr:nvSpPr>
      <xdr:spPr bwMode="auto">
        <a:xfrm>
          <a:off x="5495925" y="8239125"/>
          <a:ext cx="2181225" cy="15906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25</xdr:row>
      <xdr:rowOff>0</xdr:rowOff>
    </xdr:from>
    <xdr:to>
      <xdr:col>11</xdr:col>
      <xdr:colOff>123825</xdr:colOff>
      <xdr:row>25</xdr:row>
      <xdr:rowOff>0</xdr:rowOff>
    </xdr:to>
    <xdr:sp macro="" textlink="">
      <xdr:nvSpPr>
        <xdr:cNvPr id="10836457" name="Line 29">
          <a:extLst>
            <a:ext uri="{FF2B5EF4-FFF2-40B4-BE49-F238E27FC236}">
              <a16:creationId xmlns:a16="http://schemas.microsoft.com/office/drawing/2014/main" id="{00000000-0008-0000-1000-0000E959A500}"/>
            </a:ext>
          </a:extLst>
        </xdr:cNvPr>
        <xdr:cNvSpPr>
          <a:spLocks noChangeShapeType="1"/>
        </xdr:cNvSpPr>
      </xdr:nvSpPr>
      <xdr:spPr bwMode="auto">
        <a:xfrm>
          <a:off x="6019800" y="4800600"/>
          <a:ext cx="14859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600075</xdr:colOff>
      <xdr:row>20</xdr:row>
      <xdr:rowOff>0</xdr:rowOff>
    </xdr:from>
    <xdr:to>
      <xdr:col>13</xdr:col>
      <xdr:colOff>9525</xdr:colOff>
      <xdr:row>29</xdr:row>
      <xdr:rowOff>47625</xdr:rowOff>
    </xdr:to>
    <xdr:sp macro="" textlink="">
      <xdr:nvSpPr>
        <xdr:cNvPr id="10836458" name="Line 30">
          <a:extLst>
            <a:ext uri="{FF2B5EF4-FFF2-40B4-BE49-F238E27FC236}">
              <a16:creationId xmlns:a16="http://schemas.microsoft.com/office/drawing/2014/main" id="{00000000-0008-0000-1000-0000EA59A500}"/>
            </a:ext>
          </a:extLst>
        </xdr:cNvPr>
        <xdr:cNvSpPr>
          <a:spLocks noChangeShapeType="1"/>
        </xdr:cNvSpPr>
      </xdr:nvSpPr>
      <xdr:spPr bwMode="auto">
        <a:xfrm>
          <a:off x="7981950" y="3924300"/>
          <a:ext cx="885825" cy="16287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161925</xdr:colOff>
      <xdr:row>19</xdr:row>
      <xdr:rowOff>180975</xdr:rowOff>
    </xdr:from>
    <xdr:to>
      <xdr:col>11</xdr:col>
      <xdr:colOff>609600</xdr:colOff>
      <xdr:row>19</xdr:row>
      <xdr:rowOff>180975</xdr:rowOff>
    </xdr:to>
    <xdr:sp macro="" textlink="">
      <xdr:nvSpPr>
        <xdr:cNvPr id="10836459" name="Line 31">
          <a:extLst>
            <a:ext uri="{FF2B5EF4-FFF2-40B4-BE49-F238E27FC236}">
              <a16:creationId xmlns:a16="http://schemas.microsoft.com/office/drawing/2014/main" id="{00000000-0008-0000-1000-0000EB59A500}"/>
            </a:ext>
          </a:extLst>
        </xdr:cNvPr>
        <xdr:cNvSpPr>
          <a:spLocks noChangeShapeType="1"/>
        </xdr:cNvSpPr>
      </xdr:nvSpPr>
      <xdr:spPr bwMode="auto">
        <a:xfrm flipH="1">
          <a:off x="5505450" y="3914775"/>
          <a:ext cx="248602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523875</xdr:colOff>
      <xdr:row>58</xdr:row>
      <xdr:rowOff>47625</xdr:rowOff>
    </xdr:from>
    <xdr:to>
      <xdr:col>8</xdr:col>
      <xdr:colOff>257175</xdr:colOff>
      <xdr:row>61</xdr:row>
      <xdr:rowOff>28575</xdr:rowOff>
    </xdr:to>
    <xdr:sp macro="" textlink="">
      <xdr:nvSpPr>
        <xdr:cNvPr id="10836460" name="Line 32">
          <a:extLst>
            <a:ext uri="{FF2B5EF4-FFF2-40B4-BE49-F238E27FC236}">
              <a16:creationId xmlns:a16="http://schemas.microsoft.com/office/drawing/2014/main" id="{00000000-0008-0000-1000-0000EC59A500}"/>
            </a:ext>
          </a:extLst>
        </xdr:cNvPr>
        <xdr:cNvSpPr>
          <a:spLocks noChangeShapeType="1"/>
        </xdr:cNvSpPr>
      </xdr:nvSpPr>
      <xdr:spPr bwMode="auto">
        <a:xfrm flipH="1" flipV="1">
          <a:off x="5153025" y="10620375"/>
          <a:ext cx="447675" cy="485775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25</xdr:row>
      <xdr:rowOff>0</xdr:rowOff>
    </xdr:from>
    <xdr:to>
      <xdr:col>7</xdr:col>
      <xdr:colOff>0</xdr:colOff>
      <xdr:row>29</xdr:row>
      <xdr:rowOff>9525</xdr:rowOff>
    </xdr:to>
    <xdr:sp macro="" textlink="">
      <xdr:nvSpPr>
        <xdr:cNvPr id="10836461" name="Line 33">
          <a:extLst>
            <a:ext uri="{FF2B5EF4-FFF2-40B4-BE49-F238E27FC236}">
              <a16:creationId xmlns:a16="http://schemas.microsoft.com/office/drawing/2014/main" id="{00000000-0008-0000-1000-0000ED59A500}"/>
            </a:ext>
          </a:extLst>
        </xdr:cNvPr>
        <xdr:cNvSpPr>
          <a:spLocks noChangeShapeType="1"/>
        </xdr:cNvSpPr>
      </xdr:nvSpPr>
      <xdr:spPr bwMode="auto">
        <a:xfrm flipV="1">
          <a:off x="4629150" y="4800600"/>
          <a:ext cx="0" cy="714375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247650</xdr:colOff>
      <xdr:row>11</xdr:row>
      <xdr:rowOff>0</xdr:rowOff>
    </xdr:from>
    <xdr:to>
      <xdr:col>6</xdr:col>
      <xdr:colOff>657225</xdr:colOff>
      <xdr:row>16</xdr:row>
      <xdr:rowOff>57150</xdr:rowOff>
    </xdr:to>
    <xdr:sp macro="" textlink="">
      <xdr:nvSpPr>
        <xdr:cNvPr id="10836462" name="Line 34">
          <a:extLst>
            <a:ext uri="{FF2B5EF4-FFF2-40B4-BE49-F238E27FC236}">
              <a16:creationId xmlns:a16="http://schemas.microsoft.com/office/drawing/2014/main" id="{00000000-0008-0000-1000-0000EE59A500}"/>
            </a:ext>
          </a:extLst>
        </xdr:cNvPr>
        <xdr:cNvSpPr>
          <a:spLocks noChangeShapeType="1"/>
        </xdr:cNvSpPr>
      </xdr:nvSpPr>
      <xdr:spPr bwMode="auto">
        <a:xfrm flipH="1" flipV="1">
          <a:off x="4114800" y="2314575"/>
          <a:ext cx="409575" cy="9715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85725</xdr:colOff>
      <xdr:row>33</xdr:row>
      <xdr:rowOff>142875</xdr:rowOff>
    </xdr:from>
    <xdr:to>
      <xdr:col>8</xdr:col>
      <xdr:colOff>542925</xdr:colOff>
      <xdr:row>33</xdr:row>
      <xdr:rowOff>142875</xdr:rowOff>
    </xdr:to>
    <xdr:sp macro="" textlink="">
      <xdr:nvSpPr>
        <xdr:cNvPr id="10836463" name="Line 35">
          <a:extLst>
            <a:ext uri="{FF2B5EF4-FFF2-40B4-BE49-F238E27FC236}">
              <a16:creationId xmlns:a16="http://schemas.microsoft.com/office/drawing/2014/main" id="{00000000-0008-0000-1000-0000EF59A500}"/>
            </a:ext>
          </a:extLst>
        </xdr:cNvPr>
        <xdr:cNvSpPr>
          <a:spLocks noChangeShapeType="1"/>
        </xdr:cNvSpPr>
      </xdr:nvSpPr>
      <xdr:spPr bwMode="auto">
        <a:xfrm flipH="1">
          <a:off x="5429250" y="6372225"/>
          <a:ext cx="4572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466725</xdr:colOff>
      <xdr:row>37</xdr:row>
      <xdr:rowOff>104775</xdr:rowOff>
    </xdr:from>
    <xdr:to>
      <xdr:col>15</xdr:col>
      <xdr:colOff>466725</xdr:colOff>
      <xdr:row>52</xdr:row>
      <xdr:rowOff>66675</xdr:rowOff>
    </xdr:to>
    <xdr:sp macro="" textlink="">
      <xdr:nvSpPr>
        <xdr:cNvPr id="10836464" name="Line 36">
          <a:extLst>
            <a:ext uri="{FF2B5EF4-FFF2-40B4-BE49-F238E27FC236}">
              <a16:creationId xmlns:a16="http://schemas.microsoft.com/office/drawing/2014/main" id="{00000000-0008-0000-1000-0000F059A500}"/>
            </a:ext>
          </a:extLst>
        </xdr:cNvPr>
        <xdr:cNvSpPr>
          <a:spLocks noChangeShapeType="1"/>
        </xdr:cNvSpPr>
      </xdr:nvSpPr>
      <xdr:spPr bwMode="auto">
        <a:xfrm flipH="1">
          <a:off x="10191750" y="7000875"/>
          <a:ext cx="695325" cy="24669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</xdr:colOff>
      <xdr:row>13</xdr:row>
      <xdr:rowOff>0</xdr:rowOff>
    </xdr:from>
    <xdr:to>
      <xdr:col>6</xdr:col>
      <xdr:colOff>438150</xdr:colOff>
      <xdr:row>17</xdr:row>
      <xdr:rowOff>0</xdr:rowOff>
    </xdr:to>
    <xdr:sp macro="" textlink="">
      <xdr:nvSpPr>
        <xdr:cNvPr id="10836465" name="Line 37">
          <a:extLst>
            <a:ext uri="{FF2B5EF4-FFF2-40B4-BE49-F238E27FC236}">
              <a16:creationId xmlns:a16="http://schemas.microsoft.com/office/drawing/2014/main" id="{00000000-0008-0000-1000-0000F159A500}"/>
            </a:ext>
          </a:extLst>
        </xdr:cNvPr>
        <xdr:cNvSpPr>
          <a:spLocks noChangeShapeType="1"/>
        </xdr:cNvSpPr>
      </xdr:nvSpPr>
      <xdr:spPr bwMode="auto">
        <a:xfrm>
          <a:off x="3171825" y="2705100"/>
          <a:ext cx="1133475" cy="6858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33</xdr:row>
      <xdr:rowOff>161925</xdr:rowOff>
    </xdr:from>
    <xdr:to>
      <xdr:col>11</xdr:col>
      <xdr:colOff>695325</xdr:colOff>
      <xdr:row>33</xdr:row>
      <xdr:rowOff>161925</xdr:rowOff>
    </xdr:to>
    <xdr:sp macro="" textlink="">
      <xdr:nvSpPr>
        <xdr:cNvPr id="10836466" name="Line 38">
          <a:extLst>
            <a:ext uri="{FF2B5EF4-FFF2-40B4-BE49-F238E27FC236}">
              <a16:creationId xmlns:a16="http://schemas.microsoft.com/office/drawing/2014/main" id="{00000000-0008-0000-1000-0000F259A500}"/>
            </a:ext>
          </a:extLst>
        </xdr:cNvPr>
        <xdr:cNvSpPr>
          <a:spLocks noChangeShapeType="1"/>
        </xdr:cNvSpPr>
      </xdr:nvSpPr>
      <xdr:spPr bwMode="auto">
        <a:xfrm>
          <a:off x="7448550" y="6391275"/>
          <a:ext cx="6286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25</xdr:row>
      <xdr:rowOff>0</xdr:rowOff>
    </xdr:from>
    <xdr:to>
      <xdr:col>9</xdr:col>
      <xdr:colOff>28575</xdr:colOff>
      <xdr:row>30</xdr:row>
      <xdr:rowOff>114300</xdr:rowOff>
    </xdr:to>
    <xdr:sp macro="" textlink="">
      <xdr:nvSpPr>
        <xdr:cNvPr id="10836467" name="Line 39">
          <a:extLst>
            <a:ext uri="{FF2B5EF4-FFF2-40B4-BE49-F238E27FC236}">
              <a16:creationId xmlns:a16="http://schemas.microsoft.com/office/drawing/2014/main" id="{00000000-0008-0000-1000-0000F359A500}"/>
            </a:ext>
          </a:extLst>
        </xdr:cNvPr>
        <xdr:cNvSpPr>
          <a:spLocks noChangeShapeType="1"/>
        </xdr:cNvSpPr>
      </xdr:nvSpPr>
      <xdr:spPr bwMode="auto">
        <a:xfrm flipH="1">
          <a:off x="5162550" y="4800600"/>
          <a:ext cx="876300" cy="9810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114300</xdr:colOff>
      <xdr:row>25</xdr:row>
      <xdr:rowOff>9525</xdr:rowOff>
    </xdr:from>
    <xdr:to>
      <xdr:col>12</xdr:col>
      <xdr:colOff>142875</xdr:colOff>
      <xdr:row>30</xdr:row>
      <xdr:rowOff>76200</xdr:rowOff>
    </xdr:to>
    <xdr:sp macro="" textlink="">
      <xdr:nvSpPr>
        <xdr:cNvPr id="10836468" name="Line 40">
          <a:extLst>
            <a:ext uri="{FF2B5EF4-FFF2-40B4-BE49-F238E27FC236}">
              <a16:creationId xmlns:a16="http://schemas.microsoft.com/office/drawing/2014/main" id="{00000000-0008-0000-1000-0000F459A500}"/>
            </a:ext>
          </a:extLst>
        </xdr:cNvPr>
        <xdr:cNvSpPr>
          <a:spLocks noChangeShapeType="1"/>
        </xdr:cNvSpPr>
      </xdr:nvSpPr>
      <xdr:spPr bwMode="auto">
        <a:xfrm>
          <a:off x="7496175" y="4810125"/>
          <a:ext cx="809625" cy="933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52</xdr:row>
      <xdr:rowOff>104775</xdr:rowOff>
    </xdr:from>
    <xdr:to>
      <xdr:col>12</xdr:col>
      <xdr:colOff>561975</xdr:colOff>
      <xdr:row>52</xdr:row>
      <xdr:rowOff>114300</xdr:rowOff>
    </xdr:to>
    <xdr:sp macro="" textlink="">
      <xdr:nvSpPr>
        <xdr:cNvPr id="10836469" name="Arc 41">
          <a:extLst>
            <a:ext uri="{FF2B5EF4-FFF2-40B4-BE49-F238E27FC236}">
              <a16:creationId xmlns:a16="http://schemas.microsoft.com/office/drawing/2014/main" id="{00000000-0008-0000-1000-0000F559A500}"/>
            </a:ext>
          </a:extLst>
        </xdr:cNvPr>
        <xdr:cNvSpPr>
          <a:spLocks/>
        </xdr:cNvSpPr>
      </xdr:nvSpPr>
      <xdr:spPr bwMode="auto">
        <a:xfrm flipV="1">
          <a:off x="8667750" y="9505950"/>
          <a:ext cx="57150" cy="95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85725</xdr:rowOff>
    </xdr:from>
    <xdr:to>
      <xdr:col>13</xdr:col>
      <xdr:colOff>152400</xdr:colOff>
      <xdr:row>52</xdr:row>
      <xdr:rowOff>85725</xdr:rowOff>
    </xdr:to>
    <xdr:sp macro="" textlink="">
      <xdr:nvSpPr>
        <xdr:cNvPr id="10836470" name="Arc 42">
          <a:extLst>
            <a:ext uri="{FF2B5EF4-FFF2-40B4-BE49-F238E27FC236}">
              <a16:creationId xmlns:a16="http://schemas.microsoft.com/office/drawing/2014/main" id="{00000000-0008-0000-1000-0000F659A500}"/>
            </a:ext>
          </a:extLst>
        </xdr:cNvPr>
        <xdr:cNvSpPr>
          <a:spLocks/>
        </xdr:cNvSpPr>
      </xdr:nvSpPr>
      <xdr:spPr bwMode="auto">
        <a:xfrm flipH="1">
          <a:off x="8982075" y="948690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66675</xdr:rowOff>
    </xdr:from>
    <xdr:to>
      <xdr:col>13</xdr:col>
      <xdr:colOff>152400</xdr:colOff>
      <xdr:row>52</xdr:row>
      <xdr:rowOff>85725</xdr:rowOff>
    </xdr:to>
    <xdr:sp macro="" textlink="">
      <xdr:nvSpPr>
        <xdr:cNvPr id="10836471" name="Arc 43">
          <a:extLst>
            <a:ext uri="{FF2B5EF4-FFF2-40B4-BE49-F238E27FC236}">
              <a16:creationId xmlns:a16="http://schemas.microsoft.com/office/drawing/2014/main" id="{00000000-0008-0000-1000-0000F759A500}"/>
            </a:ext>
          </a:extLst>
        </xdr:cNvPr>
        <xdr:cNvSpPr>
          <a:spLocks/>
        </xdr:cNvSpPr>
      </xdr:nvSpPr>
      <xdr:spPr bwMode="auto">
        <a:xfrm>
          <a:off x="8982075" y="9467850"/>
          <a:ext cx="28575" cy="190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4 h 21600"/>
            <a:gd name="T4" fmla="*/ 0 w 21600"/>
            <a:gd name="T5" fmla="*/ 4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</xdr:colOff>
      <xdr:row>52</xdr:row>
      <xdr:rowOff>104775</xdr:rowOff>
    </xdr:from>
    <xdr:to>
      <xdr:col>13</xdr:col>
      <xdr:colOff>95250</xdr:colOff>
      <xdr:row>58</xdr:row>
      <xdr:rowOff>38100</xdr:rowOff>
    </xdr:to>
    <xdr:sp macro="" textlink="">
      <xdr:nvSpPr>
        <xdr:cNvPr id="10836472" name="Arc 44">
          <a:extLst>
            <a:ext uri="{FF2B5EF4-FFF2-40B4-BE49-F238E27FC236}">
              <a16:creationId xmlns:a16="http://schemas.microsoft.com/office/drawing/2014/main" id="{00000000-0008-0000-1000-0000F859A500}"/>
            </a:ext>
          </a:extLst>
        </xdr:cNvPr>
        <xdr:cNvSpPr>
          <a:spLocks/>
        </xdr:cNvSpPr>
      </xdr:nvSpPr>
      <xdr:spPr bwMode="auto">
        <a:xfrm flipV="1">
          <a:off x="6753225" y="9505950"/>
          <a:ext cx="2200275" cy="110490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676275</xdr:colOff>
      <xdr:row>38</xdr:row>
      <xdr:rowOff>28575</xdr:rowOff>
    </xdr:from>
    <xdr:to>
      <xdr:col>13</xdr:col>
      <xdr:colOff>9525</xdr:colOff>
      <xdr:row>52</xdr:row>
      <xdr:rowOff>114300</xdr:rowOff>
    </xdr:to>
    <xdr:sp macro="" textlink="">
      <xdr:nvSpPr>
        <xdr:cNvPr id="10836473" name="Line 45">
          <a:extLst>
            <a:ext uri="{FF2B5EF4-FFF2-40B4-BE49-F238E27FC236}">
              <a16:creationId xmlns:a16="http://schemas.microsoft.com/office/drawing/2014/main" id="{00000000-0008-0000-1000-0000F959A500}"/>
            </a:ext>
          </a:extLst>
        </xdr:cNvPr>
        <xdr:cNvSpPr>
          <a:spLocks noChangeShapeType="1"/>
        </xdr:cNvSpPr>
      </xdr:nvSpPr>
      <xdr:spPr bwMode="auto">
        <a:xfrm flipH="1">
          <a:off x="8839200" y="7086600"/>
          <a:ext cx="28575" cy="24288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161925</xdr:colOff>
      <xdr:row>34</xdr:row>
      <xdr:rowOff>0</xdr:rowOff>
    </xdr:from>
    <xdr:to>
      <xdr:col>3</xdr:col>
      <xdr:colOff>142875</xdr:colOff>
      <xdr:row>34</xdr:row>
      <xdr:rowOff>0</xdr:rowOff>
    </xdr:to>
    <xdr:sp macro="" textlink="">
      <xdr:nvSpPr>
        <xdr:cNvPr id="10836474" name="Line 46">
          <a:extLst>
            <a:ext uri="{FF2B5EF4-FFF2-40B4-BE49-F238E27FC236}">
              <a16:creationId xmlns:a16="http://schemas.microsoft.com/office/drawing/2014/main" id="{00000000-0008-0000-1000-0000FA59A500}"/>
            </a:ext>
          </a:extLst>
        </xdr:cNvPr>
        <xdr:cNvSpPr>
          <a:spLocks noChangeShapeType="1"/>
        </xdr:cNvSpPr>
      </xdr:nvSpPr>
      <xdr:spPr bwMode="auto">
        <a:xfrm flipH="1">
          <a:off x="1095375" y="6410325"/>
          <a:ext cx="8191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62</xdr:row>
      <xdr:rowOff>9525</xdr:rowOff>
    </xdr:from>
    <xdr:to>
      <xdr:col>6</xdr:col>
      <xdr:colOff>190500</xdr:colOff>
      <xdr:row>67</xdr:row>
      <xdr:rowOff>38100</xdr:rowOff>
    </xdr:to>
    <xdr:sp macro="" textlink="">
      <xdr:nvSpPr>
        <xdr:cNvPr id="10836475" name="Oval 47">
          <a:extLst>
            <a:ext uri="{FF2B5EF4-FFF2-40B4-BE49-F238E27FC236}">
              <a16:creationId xmlns:a16="http://schemas.microsoft.com/office/drawing/2014/main" id="{00000000-0008-0000-1000-0000FB59A500}"/>
            </a:ext>
          </a:extLst>
        </xdr:cNvPr>
        <xdr:cNvSpPr>
          <a:spLocks noChangeArrowheads="1"/>
        </xdr:cNvSpPr>
      </xdr:nvSpPr>
      <xdr:spPr bwMode="auto">
        <a:xfrm>
          <a:off x="3108325" y="11414125"/>
          <a:ext cx="942975" cy="8794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581025</xdr:colOff>
      <xdr:row>61</xdr:row>
      <xdr:rowOff>28575</xdr:rowOff>
    </xdr:from>
    <xdr:to>
      <xdr:col>9</xdr:col>
      <xdr:colOff>180975</xdr:colOff>
      <xdr:row>66</xdr:row>
      <xdr:rowOff>88900</xdr:rowOff>
    </xdr:to>
    <xdr:sp macro="" textlink="">
      <xdr:nvSpPr>
        <xdr:cNvPr id="10836476" name="Oval 48">
          <a:extLst>
            <a:ext uri="{FF2B5EF4-FFF2-40B4-BE49-F238E27FC236}">
              <a16:creationId xmlns:a16="http://schemas.microsoft.com/office/drawing/2014/main" id="{00000000-0008-0000-1000-0000FC59A500}"/>
            </a:ext>
          </a:extLst>
        </xdr:cNvPr>
        <xdr:cNvSpPr>
          <a:spLocks noChangeArrowheads="1"/>
        </xdr:cNvSpPr>
      </xdr:nvSpPr>
      <xdr:spPr bwMode="auto">
        <a:xfrm>
          <a:off x="5203825" y="11255375"/>
          <a:ext cx="984250" cy="9112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38</xdr:row>
      <xdr:rowOff>0</xdr:rowOff>
    </xdr:from>
    <xdr:to>
      <xdr:col>13</xdr:col>
      <xdr:colOff>304800</xdr:colOff>
      <xdr:row>52</xdr:row>
      <xdr:rowOff>66675</xdr:rowOff>
    </xdr:to>
    <xdr:sp macro="" textlink="">
      <xdr:nvSpPr>
        <xdr:cNvPr id="10836477" name="Line 49">
          <a:extLst>
            <a:ext uri="{FF2B5EF4-FFF2-40B4-BE49-F238E27FC236}">
              <a16:creationId xmlns:a16="http://schemas.microsoft.com/office/drawing/2014/main" id="{00000000-0008-0000-1000-0000FD59A500}"/>
            </a:ext>
          </a:extLst>
        </xdr:cNvPr>
        <xdr:cNvSpPr>
          <a:spLocks noChangeShapeType="1"/>
        </xdr:cNvSpPr>
      </xdr:nvSpPr>
      <xdr:spPr bwMode="auto">
        <a:xfrm flipH="1" flipV="1">
          <a:off x="8982075" y="7058025"/>
          <a:ext cx="180975" cy="2409825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647700</xdr:colOff>
      <xdr:row>37</xdr:row>
      <xdr:rowOff>152400</xdr:rowOff>
    </xdr:from>
    <xdr:to>
      <xdr:col>15</xdr:col>
      <xdr:colOff>619125</xdr:colOff>
      <xdr:row>52</xdr:row>
      <xdr:rowOff>85725</xdr:rowOff>
    </xdr:to>
    <xdr:sp macro="" textlink="">
      <xdr:nvSpPr>
        <xdr:cNvPr id="10836478" name="Line 50">
          <a:extLst>
            <a:ext uri="{FF2B5EF4-FFF2-40B4-BE49-F238E27FC236}">
              <a16:creationId xmlns:a16="http://schemas.microsoft.com/office/drawing/2014/main" id="{00000000-0008-0000-1000-0000FE59A500}"/>
            </a:ext>
          </a:extLst>
        </xdr:cNvPr>
        <xdr:cNvSpPr>
          <a:spLocks noChangeShapeType="1"/>
        </xdr:cNvSpPr>
      </xdr:nvSpPr>
      <xdr:spPr bwMode="auto">
        <a:xfrm flipH="1">
          <a:off x="10372725" y="7048500"/>
          <a:ext cx="666750" cy="2438400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18</xdr:row>
      <xdr:rowOff>104775</xdr:rowOff>
    </xdr:from>
    <xdr:to>
      <xdr:col>6</xdr:col>
      <xdr:colOff>0</xdr:colOff>
      <xdr:row>26</xdr:row>
      <xdr:rowOff>0</xdr:rowOff>
    </xdr:to>
    <xdr:sp macro="" textlink="">
      <xdr:nvSpPr>
        <xdr:cNvPr id="10836479" name="Oval 51">
          <a:extLst>
            <a:ext uri="{FF2B5EF4-FFF2-40B4-BE49-F238E27FC236}">
              <a16:creationId xmlns:a16="http://schemas.microsoft.com/office/drawing/2014/main" id="{00000000-0008-0000-1000-0000FF59A500}"/>
            </a:ext>
          </a:extLst>
        </xdr:cNvPr>
        <xdr:cNvSpPr>
          <a:spLocks noChangeArrowheads="1"/>
        </xdr:cNvSpPr>
      </xdr:nvSpPr>
      <xdr:spPr bwMode="auto">
        <a:xfrm>
          <a:off x="2476500" y="3657600"/>
          <a:ext cx="1390650" cy="13335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66675</xdr:colOff>
      <xdr:row>16</xdr:row>
      <xdr:rowOff>28575</xdr:rowOff>
    </xdr:from>
    <xdr:to>
      <xdr:col>4</xdr:col>
      <xdr:colOff>228600</xdr:colOff>
      <xdr:row>19</xdr:row>
      <xdr:rowOff>104775</xdr:rowOff>
    </xdr:to>
    <xdr:sp macro="" textlink="">
      <xdr:nvSpPr>
        <xdr:cNvPr id="10836480" name="Line 52">
          <a:extLst>
            <a:ext uri="{FF2B5EF4-FFF2-40B4-BE49-F238E27FC236}">
              <a16:creationId xmlns:a16="http://schemas.microsoft.com/office/drawing/2014/main" id="{00000000-0008-0000-1000-0000005AA500}"/>
            </a:ext>
          </a:extLst>
        </xdr:cNvPr>
        <xdr:cNvSpPr>
          <a:spLocks noChangeShapeType="1"/>
        </xdr:cNvSpPr>
      </xdr:nvSpPr>
      <xdr:spPr bwMode="auto">
        <a:xfrm flipH="1" flipV="1">
          <a:off x="2533650" y="3257550"/>
          <a:ext cx="161925" cy="581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15</xdr:row>
      <xdr:rowOff>123825</xdr:rowOff>
    </xdr:from>
    <xdr:to>
      <xdr:col>3</xdr:col>
      <xdr:colOff>533400</xdr:colOff>
      <xdr:row>30</xdr:row>
      <xdr:rowOff>104775</xdr:rowOff>
    </xdr:to>
    <xdr:sp macro="" textlink="">
      <xdr:nvSpPr>
        <xdr:cNvPr id="10836481" name="Line 53">
          <a:extLst>
            <a:ext uri="{FF2B5EF4-FFF2-40B4-BE49-F238E27FC236}">
              <a16:creationId xmlns:a16="http://schemas.microsoft.com/office/drawing/2014/main" id="{00000000-0008-0000-1000-0000015AA500}"/>
            </a:ext>
          </a:extLst>
        </xdr:cNvPr>
        <xdr:cNvSpPr>
          <a:spLocks noChangeShapeType="1"/>
        </xdr:cNvSpPr>
      </xdr:nvSpPr>
      <xdr:spPr bwMode="auto">
        <a:xfrm flipV="1">
          <a:off x="2257425" y="3190875"/>
          <a:ext cx="47625" cy="25812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485775</xdr:colOff>
      <xdr:row>41</xdr:row>
      <xdr:rowOff>9525</xdr:rowOff>
    </xdr:from>
    <xdr:to>
      <xdr:col>8</xdr:col>
      <xdr:colOff>200025</xdr:colOff>
      <xdr:row>47</xdr:row>
      <xdr:rowOff>76200</xdr:rowOff>
    </xdr:to>
    <xdr:sp macro="" textlink="">
      <xdr:nvSpPr>
        <xdr:cNvPr id="10836482" name="Oval 54">
          <a:extLst>
            <a:ext uri="{FF2B5EF4-FFF2-40B4-BE49-F238E27FC236}">
              <a16:creationId xmlns:a16="http://schemas.microsoft.com/office/drawing/2014/main" id="{00000000-0008-0000-1000-0000025AA500}"/>
            </a:ext>
          </a:extLst>
        </xdr:cNvPr>
        <xdr:cNvSpPr>
          <a:spLocks noChangeArrowheads="1"/>
        </xdr:cNvSpPr>
      </xdr:nvSpPr>
      <xdr:spPr bwMode="auto">
        <a:xfrm>
          <a:off x="3590925" y="7553325"/>
          <a:ext cx="1952625" cy="10572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695325</xdr:colOff>
      <xdr:row>36</xdr:row>
      <xdr:rowOff>104775</xdr:rowOff>
    </xdr:from>
    <xdr:to>
      <xdr:col>9</xdr:col>
      <xdr:colOff>95250</xdr:colOff>
      <xdr:row>42</xdr:row>
      <xdr:rowOff>38100</xdr:rowOff>
    </xdr:to>
    <xdr:sp macro="" textlink="">
      <xdr:nvSpPr>
        <xdr:cNvPr id="10836483" name="Line 55">
          <a:extLst>
            <a:ext uri="{FF2B5EF4-FFF2-40B4-BE49-F238E27FC236}">
              <a16:creationId xmlns:a16="http://schemas.microsoft.com/office/drawing/2014/main" id="{00000000-0008-0000-1000-0000035AA500}"/>
            </a:ext>
          </a:extLst>
        </xdr:cNvPr>
        <xdr:cNvSpPr>
          <a:spLocks noChangeShapeType="1"/>
        </xdr:cNvSpPr>
      </xdr:nvSpPr>
      <xdr:spPr bwMode="auto">
        <a:xfrm flipH="1">
          <a:off x="5324475" y="6838950"/>
          <a:ext cx="781050" cy="9048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466725</xdr:colOff>
      <xdr:row>41</xdr:row>
      <xdr:rowOff>0</xdr:rowOff>
    </xdr:from>
    <xdr:to>
      <xdr:col>8</xdr:col>
      <xdr:colOff>190500</xdr:colOff>
      <xdr:row>59</xdr:row>
      <xdr:rowOff>28575</xdr:rowOff>
    </xdr:to>
    <xdr:sp macro="" textlink="">
      <xdr:nvSpPr>
        <xdr:cNvPr id="10836484" name="Rectangle 56">
          <a:extLst>
            <a:ext uri="{FF2B5EF4-FFF2-40B4-BE49-F238E27FC236}">
              <a16:creationId xmlns:a16="http://schemas.microsoft.com/office/drawing/2014/main" id="{00000000-0008-0000-1000-0000045AA500}"/>
            </a:ext>
          </a:extLst>
        </xdr:cNvPr>
        <xdr:cNvSpPr>
          <a:spLocks noChangeArrowheads="1"/>
        </xdr:cNvSpPr>
      </xdr:nvSpPr>
      <xdr:spPr bwMode="auto">
        <a:xfrm>
          <a:off x="3571875" y="7543800"/>
          <a:ext cx="1962150" cy="32385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390525</xdr:colOff>
      <xdr:row>45</xdr:row>
      <xdr:rowOff>85725</xdr:rowOff>
    </xdr:from>
    <xdr:to>
      <xdr:col>5</xdr:col>
      <xdr:colOff>561975</xdr:colOff>
      <xdr:row>47</xdr:row>
      <xdr:rowOff>0</xdr:rowOff>
    </xdr:to>
    <xdr:sp macro="" textlink="">
      <xdr:nvSpPr>
        <xdr:cNvPr id="10836485" name="Line 57">
          <a:extLst>
            <a:ext uri="{FF2B5EF4-FFF2-40B4-BE49-F238E27FC236}">
              <a16:creationId xmlns:a16="http://schemas.microsoft.com/office/drawing/2014/main" id="{00000000-0008-0000-1000-0000055AA500}"/>
            </a:ext>
          </a:extLst>
        </xdr:cNvPr>
        <xdr:cNvSpPr>
          <a:spLocks noChangeShapeType="1"/>
        </xdr:cNvSpPr>
      </xdr:nvSpPr>
      <xdr:spPr bwMode="auto">
        <a:xfrm flipH="1">
          <a:off x="2857500" y="8277225"/>
          <a:ext cx="809625" cy="2571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</xdr:row>
      <xdr:rowOff>0</xdr:rowOff>
    </xdr:from>
    <xdr:to>
      <xdr:col>7</xdr:col>
      <xdr:colOff>0</xdr:colOff>
      <xdr:row>41</xdr:row>
      <xdr:rowOff>9525</xdr:rowOff>
    </xdr:to>
    <xdr:sp macro="" textlink="">
      <xdr:nvSpPr>
        <xdr:cNvPr id="10836486" name="Line 58">
          <a:extLst>
            <a:ext uri="{FF2B5EF4-FFF2-40B4-BE49-F238E27FC236}">
              <a16:creationId xmlns:a16="http://schemas.microsoft.com/office/drawing/2014/main" id="{00000000-0008-0000-1000-0000065AA500}"/>
            </a:ext>
          </a:extLst>
        </xdr:cNvPr>
        <xdr:cNvSpPr>
          <a:spLocks noChangeShapeType="1"/>
        </xdr:cNvSpPr>
      </xdr:nvSpPr>
      <xdr:spPr bwMode="auto">
        <a:xfrm>
          <a:off x="4629150" y="7058025"/>
          <a:ext cx="0" cy="4953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836487" name="Line 59">
          <a:extLst>
            <a:ext uri="{FF2B5EF4-FFF2-40B4-BE49-F238E27FC236}">
              <a16:creationId xmlns:a16="http://schemas.microsoft.com/office/drawing/2014/main" id="{00000000-0008-0000-1000-0000075AA500}"/>
            </a:ext>
          </a:extLst>
        </xdr:cNvPr>
        <xdr:cNvSpPr>
          <a:spLocks noChangeShapeType="1"/>
        </xdr:cNvSpPr>
      </xdr:nvSpPr>
      <xdr:spPr bwMode="auto">
        <a:xfrm flipH="1">
          <a:off x="13287375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0</xdr:row>
      <xdr:rowOff>0</xdr:rowOff>
    </xdr:from>
    <xdr:to>
      <xdr:col>4</xdr:col>
      <xdr:colOff>371475</xdr:colOff>
      <xdr:row>0</xdr:row>
      <xdr:rowOff>0</xdr:rowOff>
    </xdr:to>
    <xdr:sp macro="" textlink="">
      <xdr:nvSpPr>
        <xdr:cNvPr id="10836488" name="Arc 60">
          <a:extLst>
            <a:ext uri="{FF2B5EF4-FFF2-40B4-BE49-F238E27FC236}">
              <a16:creationId xmlns:a16="http://schemas.microsoft.com/office/drawing/2014/main" id="{00000000-0008-0000-1000-0000085AA500}"/>
            </a:ext>
          </a:extLst>
        </xdr:cNvPr>
        <xdr:cNvSpPr>
          <a:spLocks/>
        </xdr:cNvSpPr>
      </xdr:nvSpPr>
      <xdr:spPr bwMode="auto">
        <a:xfrm flipH="1" flipV="1">
          <a:off x="2828925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36489" name="Line 61">
          <a:extLst>
            <a:ext uri="{FF2B5EF4-FFF2-40B4-BE49-F238E27FC236}">
              <a16:creationId xmlns:a16="http://schemas.microsoft.com/office/drawing/2014/main" id="{00000000-0008-0000-1000-0000095AA500}"/>
            </a:ext>
          </a:extLst>
        </xdr:cNvPr>
        <xdr:cNvSpPr>
          <a:spLocks noChangeShapeType="1"/>
        </xdr:cNvSpPr>
      </xdr:nvSpPr>
      <xdr:spPr bwMode="auto">
        <a:xfrm flipV="1">
          <a:off x="462915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0</xdr:row>
      <xdr:rowOff>0</xdr:rowOff>
    </xdr:from>
    <xdr:to>
      <xdr:col>12</xdr:col>
      <xdr:colOff>561975</xdr:colOff>
      <xdr:row>0</xdr:row>
      <xdr:rowOff>0</xdr:rowOff>
    </xdr:to>
    <xdr:sp macro="" textlink="">
      <xdr:nvSpPr>
        <xdr:cNvPr id="10836490" name="Arc 62">
          <a:extLst>
            <a:ext uri="{FF2B5EF4-FFF2-40B4-BE49-F238E27FC236}">
              <a16:creationId xmlns:a16="http://schemas.microsoft.com/office/drawing/2014/main" id="{00000000-0008-0000-1000-00000A5AA500}"/>
            </a:ext>
          </a:extLst>
        </xdr:cNvPr>
        <xdr:cNvSpPr>
          <a:spLocks/>
        </xdr:cNvSpPr>
      </xdr:nvSpPr>
      <xdr:spPr bwMode="auto">
        <a:xfrm flipV="1">
          <a:off x="8667750" y="0"/>
          <a:ext cx="57150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36491" name="Arc 63">
          <a:extLst>
            <a:ext uri="{FF2B5EF4-FFF2-40B4-BE49-F238E27FC236}">
              <a16:creationId xmlns:a16="http://schemas.microsoft.com/office/drawing/2014/main" id="{00000000-0008-0000-1000-00000B5AA500}"/>
            </a:ext>
          </a:extLst>
        </xdr:cNvPr>
        <xdr:cNvSpPr>
          <a:spLocks/>
        </xdr:cNvSpPr>
      </xdr:nvSpPr>
      <xdr:spPr bwMode="auto">
        <a:xfrm flipH="1">
          <a:off x="8982075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36492" name="Arc 64">
          <a:extLst>
            <a:ext uri="{FF2B5EF4-FFF2-40B4-BE49-F238E27FC236}">
              <a16:creationId xmlns:a16="http://schemas.microsoft.com/office/drawing/2014/main" id="{00000000-0008-0000-1000-00000C5AA500}"/>
            </a:ext>
          </a:extLst>
        </xdr:cNvPr>
        <xdr:cNvSpPr>
          <a:spLocks/>
        </xdr:cNvSpPr>
      </xdr:nvSpPr>
      <xdr:spPr bwMode="auto">
        <a:xfrm>
          <a:off x="8982075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36493" name="Line 65">
          <a:extLst>
            <a:ext uri="{FF2B5EF4-FFF2-40B4-BE49-F238E27FC236}">
              <a16:creationId xmlns:a16="http://schemas.microsoft.com/office/drawing/2014/main" id="{00000000-0008-0000-1000-00000D5AA500}"/>
            </a:ext>
          </a:extLst>
        </xdr:cNvPr>
        <xdr:cNvSpPr>
          <a:spLocks noChangeShapeType="1"/>
        </xdr:cNvSpPr>
      </xdr:nvSpPr>
      <xdr:spPr bwMode="auto">
        <a:xfrm>
          <a:off x="462915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6494" name="Line 66">
          <a:extLst>
            <a:ext uri="{FF2B5EF4-FFF2-40B4-BE49-F238E27FC236}">
              <a16:creationId xmlns:a16="http://schemas.microsoft.com/office/drawing/2014/main" id="{00000000-0008-0000-1000-00000E5AA500}"/>
            </a:ext>
          </a:extLst>
        </xdr:cNvPr>
        <xdr:cNvSpPr>
          <a:spLocks noChangeShapeType="1"/>
        </xdr:cNvSpPr>
      </xdr:nvSpPr>
      <xdr:spPr bwMode="auto">
        <a:xfrm flipH="1">
          <a:off x="1328737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495" name="Line 67">
          <a:extLst>
            <a:ext uri="{FF2B5EF4-FFF2-40B4-BE49-F238E27FC236}">
              <a16:creationId xmlns:a16="http://schemas.microsoft.com/office/drawing/2014/main" id="{00000000-0008-0000-1000-00000F5AA500}"/>
            </a:ext>
          </a:extLst>
        </xdr:cNvPr>
        <xdr:cNvSpPr>
          <a:spLocks noChangeShapeType="1"/>
        </xdr:cNvSpPr>
      </xdr:nvSpPr>
      <xdr:spPr bwMode="auto">
        <a:xfrm flipH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36496" name="Arc 68">
          <a:extLst>
            <a:ext uri="{FF2B5EF4-FFF2-40B4-BE49-F238E27FC236}">
              <a16:creationId xmlns:a16="http://schemas.microsoft.com/office/drawing/2014/main" id="{00000000-0008-0000-1000-0000105AA500}"/>
            </a:ext>
          </a:extLst>
        </xdr:cNvPr>
        <xdr:cNvSpPr>
          <a:spLocks/>
        </xdr:cNvSpPr>
      </xdr:nvSpPr>
      <xdr:spPr bwMode="auto">
        <a:xfrm flipH="1" flipV="1">
          <a:off x="2828925" y="12315825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497" name="Line 69">
          <a:extLst>
            <a:ext uri="{FF2B5EF4-FFF2-40B4-BE49-F238E27FC236}">
              <a16:creationId xmlns:a16="http://schemas.microsoft.com/office/drawing/2014/main" id="{00000000-0008-0000-1000-0000115AA500}"/>
            </a:ext>
          </a:extLst>
        </xdr:cNvPr>
        <xdr:cNvSpPr>
          <a:spLocks noChangeShapeType="1"/>
        </xdr:cNvSpPr>
      </xdr:nvSpPr>
      <xdr:spPr bwMode="auto">
        <a:xfrm flipV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498" name="Line 70">
          <a:extLst>
            <a:ext uri="{FF2B5EF4-FFF2-40B4-BE49-F238E27FC236}">
              <a16:creationId xmlns:a16="http://schemas.microsoft.com/office/drawing/2014/main" id="{00000000-0008-0000-1000-0000125AA500}"/>
            </a:ext>
          </a:extLst>
        </xdr:cNvPr>
        <xdr:cNvSpPr>
          <a:spLocks noChangeShapeType="1"/>
        </xdr:cNvSpPr>
      </xdr:nvSpPr>
      <xdr:spPr bwMode="auto">
        <a:xfrm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6499" name="Line 71">
          <a:extLst>
            <a:ext uri="{FF2B5EF4-FFF2-40B4-BE49-F238E27FC236}">
              <a16:creationId xmlns:a16="http://schemas.microsoft.com/office/drawing/2014/main" id="{00000000-0008-0000-1000-0000135AA500}"/>
            </a:ext>
          </a:extLst>
        </xdr:cNvPr>
        <xdr:cNvSpPr>
          <a:spLocks noChangeShapeType="1"/>
        </xdr:cNvSpPr>
      </xdr:nvSpPr>
      <xdr:spPr bwMode="auto">
        <a:xfrm flipH="1">
          <a:off x="1328737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00" name="Line 72">
          <a:extLst>
            <a:ext uri="{FF2B5EF4-FFF2-40B4-BE49-F238E27FC236}">
              <a16:creationId xmlns:a16="http://schemas.microsoft.com/office/drawing/2014/main" id="{00000000-0008-0000-1000-0000145AA500}"/>
            </a:ext>
          </a:extLst>
        </xdr:cNvPr>
        <xdr:cNvSpPr>
          <a:spLocks noChangeShapeType="1"/>
        </xdr:cNvSpPr>
      </xdr:nvSpPr>
      <xdr:spPr bwMode="auto">
        <a:xfrm flipH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36501" name="Arc 73">
          <a:extLst>
            <a:ext uri="{FF2B5EF4-FFF2-40B4-BE49-F238E27FC236}">
              <a16:creationId xmlns:a16="http://schemas.microsoft.com/office/drawing/2014/main" id="{00000000-0008-0000-1000-0000155AA500}"/>
            </a:ext>
          </a:extLst>
        </xdr:cNvPr>
        <xdr:cNvSpPr>
          <a:spLocks/>
        </xdr:cNvSpPr>
      </xdr:nvSpPr>
      <xdr:spPr bwMode="auto">
        <a:xfrm flipH="1" flipV="1">
          <a:off x="2828925" y="12315825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02" name="Line 74">
          <a:extLst>
            <a:ext uri="{FF2B5EF4-FFF2-40B4-BE49-F238E27FC236}">
              <a16:creationId xmlns:a16="http://schemas.microsoft.com/office/drawing/2014/main" id="{00000000-0008-0000-1000-0000165AA500}"/>
            </a:ext>
          </a:extLst>
        </xdr:cNvPr>
        <xdr:cNvSpPr>
          <a:spLocks noChangeShapeType="1"/>
        </xdr:cNvSpPr>
      </xdr:nvSpPr>
      <xdr:spPr bwMode="auto">
        <a:xfrm flipV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03" name="Line 75">
          <a:extLst>
            <a:ext uri="{FF2B5EF4-FFF2-40B4-BE49-F238E27FC236}">
              <a16:creationId xmlns:a16="http://schemas.microsoft.com/office/drawing/2014/main" id="{00000000-0008-0000-1000-0000175AA500}"/>
            </a:ext>
          </a:extLst>
        </xdr:cNvPr>
        <xdr:cNvSpPr>
          <a:spLocks noChangeShapeType="1"/>
        </xdr:cNvSpPr>
      </xdr:nvSpPr>
      <xdr:spPr bwMode="auto">
        <a:xfrm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6504" name="Line 76">
          <a:extLst>
            <a:ext uri="{FF2B5EF4-FFF2-40B4-BE49-F238E27FC236}">
              <a16:creationId xmlns:a16="http://schemas.microsoft.com/office/drawing/2014/main" id="{00000000-0008-0000-1000-0000185AA500}"/>
            </a:ext>
          </a:extLst>
        </xdr:cNvPr>
        <xdr:cNvSpPr>
          <a:spLocks noChangeShapeType="1"/>
        </xdr:cNvSpPr>
      </xdr:nvSpPr>
      <xdr:spPr bwMode="auto">
        <a:xfrm flipH="1">
          <a:off x="1328737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05" name="Line 77">
          <a:extLst>
            <a:ext uri="{FF2B5EF4-FFF2-40B4-BE49-F238E27FC236}">
              <a16:creationId xmlns:a16="http://schemas.microsoft.com/office/drawing/2014/main" id="{00000000-0008-0000-1000-0000195AA500}"/>
            </a:ext>
          </a:extLst>
        </xdr:cNvPr>
        <xdr:cNvSpPr>
          <a:spLocks noChangeShapeType="1"/>
        </xdr:cNvSpPr>
      </xdr:nvSpPr>
      <xdr:spPr bwMode="auto">
        <a:xfrm flipH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06" name="Line 78">
          <a:extLst>
            <a:ext uri="{FF2B5EF4-FFF2-40B4-BE49-F238E27FC236}">
              <a16:creationId xmlns:a16="http://schemas.microsoft.com/office/drawing/2014/main" id="{00000000-0008-0000-1000-00001A5AA500}"/>
            </a:ext>
          </a:extLst>
        </xdr:cNvPr>
        <xdr:cNvSpPr>
          <a:spLocks noChangeShapeType="1"/>
        </xdr:cNvSpPr>
      </xdr:nvSpPr>
      <xdr:spPr bwMode="auto">
        <a:xfrm flipV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07" name="Line 79">
          <a:extLst>
            <a:ext uri="{FF2B5EF4-FFF2-40B4-BE49-F238E27FC236}">
              <a16:creationId xmlns:a16="http://schemas.microsoft.com/office/drawing/2014/main" id="{00000000-0008-0000-1000-00001B5AA500}"/>
            </a:ext>
          </a:extLst>
        </xdr:cNvPr>
        <xdr:cNvSpPr>
          <a:spLocks noChangeShapeType="1"/>
        </xdr:cNvSpPr>
      </xdr:nvSpPr>
      <xdr:spPr bwMode="auto">
        <a:xfrm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6508" name="Line 80">
          <a:extLst>
            <a:ext uri="{FF2B5EF4-FFF2-40B4-BE49-F238E27FC236}">
              <a16:creationId xmlns:a16="http://schemas.microsoft.com/office/drawing/2014/main" id="{00000000-0008-0000-1000-00001C5AA500}"/>
            </a:ext>
          </a:extLst>
        </xdr:cNvPr>
        <xdr:cNvSpPr>
          <a:spLocks noChangeShapeType="1"/>
        </xdr:cNvSpPr>
      </xdr:nvSpPr>
      <xdr:spPr bwMode="auto">
        <a:xfrm flipH="1">
          <a:off x="1328737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09" name="Line 81">
          <a:extLst>
            <a:ext uri="{FF2B5EF4-FFF2-40B4-BE49-F238E27FC236}">
              <a16:creationId xmlns:a16="http://schemas.microsoft.com/office/drawing/2014/main" id="{00000000-0008-0000-1000-00001D5AA500}"/>
            </a:ext>
          </a:extLst>
        </xdr:cNvPr>
        <xdr:cNvSpPr>
          <a:spLocks noChangeShapeType="1"/>
        </xdr:cNvSpPr>
      </xdr:nvSpPr>
      <xdr:spPr bwMode="auto">
        <a:xfrm flipH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10" name="Line 82">
          <a:extLst>
            <a:ext uri="{FF2B5EF4-FFF2-40B4-BE49-F238E27FC236}">
              <a16:creationId xmlns:a16="http://schemas.microsoft.com/office/drawing/2014/main" id="{00000000-0008-0000-1000-00001E5AA500}"/>
            </a:ext>
          </a:extLst>
        </xdr:cNvPr>
        <xdr:cNvSpPr>
          <a:spLocks noChangeShapeType="1"/>
        </xdr:cNvSpPr>
      </xdr:nvSpPr>
      <xdr:spPr bwMode="auto">
        <a:xfrm flipV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11" name="Line 83">
          <a:extLst>
            <a:ext uri="{FF2B5EF4-FFF2-40B4-BE49-F238E27FC236}">
              <a16:creationId xmlns:a16="http://schemas.microsoft.com/office/drawing/2014/main" id="{00000000-0008-0000-1000-00001F5AA500}"/>
            </a:ext>
          </a:extLst>
        </xdr:cNvPr>
        <xdr:cNvSpPr>
          <a:spLocks noChangeShapeType="1"/>
        </xdr:cNvSpPr>
      </xdr:nvSpPr>
      <xdr:spPr bwMode="auto">
        <a:xfrm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6512" name="Line 84">
          <a:extLst>
            <a:ext uri="{FF2B5EF4-FFF2-40B4-BE49-F238E27FC236}">
              <a16:creationId xmlns:a16="http://schemas.microsoft.com/office/drawing/2014/main" id="{00000000-0008-0000-1000-0000205AA500}"/>
            </a:ext>
          </a:extLst>
        </xdr:cNvPr>
        <xdr:cNvSpPr>
          <a:spLocks noChangeShapeType="1"/>
        </xdr:cNvSpPr>
      </xdr:nvSpPr>
      <xdr:spPr bwMode="auto">
        <a:xfrm flipH="1">
          <a:off x="1328737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13" name="Line 85">
          <a:extLst>
            <a:ext uri="{FF2B5EF4-FFF2-40B4-BE49-F238E27FC236}">
              <a16:creationId xmlns:a16="http://schemas.microsoft.com/office/drawing/2014/main" id="{00000000-0008-0000-1000-0000215AA500}"/>
            </a:ext>
          </a:extLst>
        </xdr:cNvPr>
        <xdr:cNvSpPr>
          <a:spLocks noChangeShapeType="1"/>
        </xdr:cNvSpPr>
      </xdr:nvSpPr>
      <xdr:spPr bwMode="auto">
        <a:xfrm flipH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14" name="Line 86">
          <a:extLst>
            <a:ext uri="{FF2B5EF4-FFF2-40B4-BE49-F238E27FC236}">
              <a16:creationId xmlns:a16="http://schemas.microsoft.com/office/drawing/2014/main" id="{00000000-0008-0000-1000-0000225AA500}"/>
            </a:ext>
          </a:extLst>
        </xdr:cNvPr>
        <xdr:cNvSpPr>
          <a:spLocks noChangeShapeType="1"/>
        </xdr:cNvSpPr>
      </xdr:nvSpPr>
      <xdr:spPr bwMode="auto">
        <a:xfrm flipV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15" name="Line 87">
          <a:extLst>
            <a:ext uri="{FF2B5EF4-FFF2-40B4-BE49-F238E27FC236}">
              <a16:creationId xmlns:a16="http://schemas.microsoft.com/office/drawing/2014/main" id="{00000000-0008-0000-1000-0000235AA500}"/>
            </a:ext>
          </a:extLst>
        </xdr:cNvPr>
        <xdr:cNvSpPr>
          <a:spLocks noChangeShapeType="1"/>
        </xdr:cNvSpPr>
      </xdr:nvSpPr>
      <xdr:spPr bwMode="auto">
        <a:xfrm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6516" name="Line 88">
          <a:extLst>
            <a:ext uri="{FF2B5EF4-FFF2-40B4-BE49-F238E27FC236}">
              <a16:creationId xmlns:a16="http://schemas.microsoft.com/office/drawing/2014/main" id="{00000000-0008-0000-1000-0000245AA500}"/>
            </a:ext>
          </a:extLst>
        </xdr:cNvPr>
        <xdr:cNvSpPr>
          <a:spLocks noChangeShapeType="1"/>
        </xdr:cNvSpPr>
      </xdr:nvSpPr>
      <xdr:spPr bwMode="auto">
        <a:xfrm flipH="1">
          <a:off x="1328737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17" name="Line 89">
          <a:extLst>
            <a:ext uri="{FF2B5EF4-FFF2-40B4-BE49-F238E27FC236}">
              <a16:creationId xmlns:a16="http://schemas.microsoft.com/office/drawing/2014/main" id="{00000000-0008-0000-1000-0000255AA500}"/>
            </a:ext>
          </a:extLst>
        </xdr:cNvPr>
        <xdr:cNvSpPr>
          <a:spLocks noChangeShapeType="1"/>
        </xdr:cNvSpPr>
      </xdr:nvSpPr>
      <xdr:spPr bwMode="auto">
        <a:xfrm flipH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18" name="Line 90">
          <a:extLst>
            <a:ext uri="{FF2B5EF4-FFF2-40B4-BE49-F238E27FC236}">
              <a16:creationId xmlns:a16="http://schemas.microsoft.com/office/drawing/2014/main" id="{00000000-0008-0000-1000-0000265AA500}"/>
            </a:ext>
          </a:extLst>
        </xdr:cNvPr>
        <xdr:cNvSpPr>
          <a:spLocks noChangeShapeType="1"/>
        </xdr:cNvSpPr>
      </xdr:nvSpPr>
      <xdr:spPr bwMode="auto">
        <a:xfrm flipV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19" name="Line 91">
          <a:extLst>
            <a:ext uri="{FF2B5EF4-FFF2-40B4-BE49-F238E27FC236}">
              <a16:creationId xmlns:a16="http://schemas.microsoft.com/office/drawing/2014/main" id="{00000000-0008-0000-1000-0000275AA500}"/>
            </a:ext>
          </a:extLst>
        </xdr:cNvPr>
        <xdr:cNvSpPr>
          <a:spLocks noChangeShapeType="1"/>
        </xdr:cNvSpPr>
      </xdr:nvSpPr>
      <xdr:spPr bwMode="auto">
        <a:xfrm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6520" name="Line 92">
          <a:extLst>
            <a:ext uri="{FF2B5EF4-FFF2-40B4-BE49-F238E27FC236}">
              <a16:creationId xmlns:a16="http://schemas.microsoft.com/office/drawing/2014/main" id="{00000000-0008-0000-1000-0000285AA500}"/>
            </a:ext>
          </a:extLst>
        </xdr:cNvPr>
        <xdr:cNvSpPr>
          <a:spLocks noChangeShapeType="1"/>
        </xdr:cNvSpPr>
      </xdr:nvSpPr>
      <xdr:spPr bwMode="auto">
        <a:xfrm flipH="1">
          <a:off x="1328737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21" name="Line 93">
          <a:extLst>
            <a:ext uri="{FF2B5EF4-FFF2-40B4-BE49-F238E27FC236}">
              <a16:creationId xmlns:a16="http://schemas.microsoft.com/office/drawing/2014/main" id="{00000000-0008-0000-1000-0000295AA500}"/>
            </a:ext>
          </a:extLst>
        </xdr:cNvPr>
        <xdr:cNvSpPr>
          <a:spLocks noChangeShapeType="1"/>
        </xdr:cNvSpPr>
      </xdr:nvSpPr>
      <xdr:spPr bwMode="auto">
        <a:xfrm flipH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22" name="Line 94">
          <a:extLst>
            <a:ext uri="{FF2B5EF4-FFF2-40B4-BE49-F238E27FC236}">
              <a16:creationId xmlns:a16="http://schemas.microsoft.com/office/drawing/2014/main" id="{00000000-0008-0000-1000-00002A5AA500}"/>
            </a:ext>
          </a:extLst>
        </xdr:cNvPr>
        <xdr:cNvSpPr>
          <a:spLocks noChangeShapeType="1"/>
        </xdr:cNvSpPr>
      </xdr:nvSpPr>
      <xdr:spPr bwMode="auto">
        <a:xfrm flipV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23" name="Line 95">
          <a:extLst>
            <a:ext uri="{FF2B5EF4-FFF2-40B4-BE49-F238E27FC236}">
              <a16:creationId xmlns:a16="http://schemas.microsoft.com/office/drawing/2014/main" id="{00000000-0008-0000-1000-00002B5AA500}"/>
            </a:ext>
          </a:extLst>
        </xdr:cNvPr>
        <xdr:cNvSpPr>
          <a:spLocks noChangeShapeType="1"/>
        </xdr:cNvSpPr>
      </xdr:nvSpPr>
      <xdr:spPr bwMode="auto">
        <a:xfrm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6524" name="Line 96">
          <a:extLst>
            <a:ext uri="{FF2B5EF4-FFF2-40B4-BE49-F238E27FC236}">
              <a16:creationId xmlns:a16="http://schemas.microsoft.com/office/drawing/2014/main" id="{00000000-0008-0000-1000-00002C5AA500}"/>
            </a:ext>
          </a:extLst>
        </xdr:cNvPr>
        <xdr:cNvSpPr>
          <a:spLocks noChangeShapeType="1"/>
        </xdr:cNvSpPr>
      </xdr:nvSpPr>
      <xdr:spPr bwMode="auto">
        <a:xfrm flipH="1">
          <a:off x="1328737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25" name="Line 97">
          <a:extLst>
            <a:ext uri="{FF2B5EF4-FFF2-40B4-BE49-F238E27FC236}">
              <a16:creationId xmlns:a16="http://schemas.microsoft.com/office/drawing/2014/main" id="{00000000-0008-0000-1000-00002D5AA500}"/>
            </a:ext>
          </a:extLst>
        </xdr:cNvPr>
        <xdr:cNvSpPr>
          <a:spLocks noChangeShapeType="1"/>
        </xdr:cNvSpPr>
      </xdr:nvSpPr>
      <xdr:spPr bwMode="auto">
        <a:xfrm flipH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26" name="Line 98">
          <a:extLst>
            <a:ext uri="{FF2B5EF4-FFF2-40B4-BE49-F238E27FC236}">
              <a16:creationId xmlns:a16="http://schemas.microsoft.com/office/drawing/2014/main" id="{00000000-0008-0000-1000-00002E5AA500}"/>
            </a:ext>
          </a:extLst>
        </xdr:cNvPr>
        <xdr:cNvSpPr>
          <a:spLocks noChangeShapeType="1"/>
        </xdr:cNvSpPr>
      </xdr:nvSpPr>
      <xdr:spPr bwMode="auto">
        <a:xfrm flipV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27" name="Line 99">
          <a:extLst>
            <a:ext uri="{FF2B5EF4-FFF2-40B4-BE49-F238E27FC236}">
              <a16:creationId xmlns:a16="http://schemas.microsoft.com/office/drawing/2014/main" id="{00000000-0008-0000-1000-00002F5AA500}"/>
            </a:ext>
          </a:extLst>
        </xdr:cNvPr>
        <xdr:cNvSpPr>
          <a:spLocks noChangeShapeType="1"/>
        </xdr:cNvSpPr>
      </xdr:nvSpPr>
      <xdr:spPr bwMode="auto">
        <a:xfrm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6528" name="Line 100">
          <a:extLst>
            <a:ext uri="{FF2B5EF4-FFF2-40B4-BE49-F238E27FC236}">
              <a16:creationId xmlns:a16="http://schemas.microsoft.com/office/drawing/2014/main" id="{00000000-0008-0000-1000-0000305AA500}"/>
            </a:ext>
          </a:extLst>
        </xdr:cNvPr>
        <xdr:cNvSpPr>
          <a:spLocks noChangeShapeType="1"/>
        </xdr:cNvSpPr>
      </xdr:nvSpPr>
      <xdr:spPr bwMode="auto">
        <a:xfrm flipH="1">
          <a:off x="1328737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29" name="Line 101">
          <a:extLst>
            <a:ext uri="{FF2B5EF4-FFF2-40B4-BE49-F238E27FC236}">
              <a16:creationId xmlns:a16="http://schemas.microsoft.com/office/drawing/2014/main" id="{00000000-0008-0000-1000-0000315AA500}"/>
            </a:ext>
          </a:extLst>
        </xdr:cNvPr>
        <xdr:cNvSpPr>
          <a:spLocks noChangeShapeType="1"/>
        </xdr:cNvSpPr>
      </xdr:nvSpPr>
      <xdr:spPr bwMode="auto">
        <a:xfrm flipH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30" name="Line 102">
          <a:extLst>
            <a:ext uri="{FF2B5EF4-FFF2-40B4-BE49-F238E27FC236}">
              <a16:creationId xmlns:a16="http://schemas.microsoft.com/office/drawing/2014/main" id="{00000000-0008-0000-1000-0000325AA500}"/>
            </a:ext>
          </a:extLst>
        </xdr:cNvPr>
        <xdr:cNvSpPr>
          <a:spLocks noChangeShapeType="1"/>
        </xdr:cNvSpPr>
      </xdr:nvSpPr>
      <xdr:spPr bwMode="auto">
        <a:xfrm flipV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31" name="Line 103">
          <a:extLst>
            <a:ext uri="{FF2B5EF4-FFF2-40B4-BE49-F238E27FC236}">
              <a16:creationId xmlns:a16="http://schemas.microsoft.com/office/drawing/2014/main" id="{00000000-0008-0000-1000-0000335AA500}"/>
            </a:ext>
          </a:extLst>
        </xdr:cNvPr>
        <xdr:cNvSpPr>
          <a:spLocks noChangeShapeType="1"/>
        </xdr:cNvSpPr>
      </xdr:nvSpPr>
      <xdr:spPr bwMode="auto">
        <a:xfrm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6532" name="Line 104">
          <a:extLst>
            <a:ext uri="{FF2B5EF4-FFF2-40B4-BE49-F238E27FC236}">
              <a16:creationId xmlns:a16="http://schemas.microsoft.com/office/drawing/2014/main" id="{00000000-0008-0000-1000-0000345AA500}"/>
            </a:ext>
          </a:extLst>
        </xdr:cNvPr>
        <xdr:cNvSpPr>
          <a:spLocks noChangeShapeType="1"/>
        </xdr:cNvSpPr>
      </xdr:nvSpPr>
      <xdr:spPr bwMode="auto">
        <a:xfrm flipH="1">
          <a:off x="1328737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33" name="Line 105">
          <a:extLst>
            <a:ext uri="{FF2B5EF4-FFF2-40B4-BE49-F238E27FC236}">
              <a16:creationId xmlns:a16="http://schemas.microsoft.com/office/drawing/2014/main" id="{00000000-0008-0000-1000-0000355AA500}"/>
            </a:ext>
          </a:extLst>
        </xdr:cNvPr>
        <xdr:cNvSpPr>
          <a:spLocks noChangeShapeType="1"/>
        </xdr:cNvSpPr>
      </xdr:nvSpPr>
      <xdr:spPr bwMode="auto">
        <a:xfrm flipH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34" name="Line 106">
          <a:extLst>
            <a:ext uri="{FF2B5EF4-FFF2-40B4-BE49-F238E27FC236}">
              <a16:creationId xmlns:a16="http://schemas.microsoft.com/office/drawing/2014/main" id="{00000000-0008-0000-1000-0000365AA500}"/>
            </a:ext>
          </a:extLst>
        </xdr:cNvPr>
        <xdr:cNvSpPr>
          <a:spLocks noChangeShapeType="1"/>
        </xdr:cNvSpPr>
      </xdr:nvSpPr>
      <xdr:spPr bwMode="auto">
        <a:xfrm flipV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35" name="Line 107">
          <a:extLst>
            <a:ext uri="{FF2B5EF4-FFF2-40B4-BE49-F238E27FC236}">
              <a16:creationId xmlns:a16="http://schemas.microsoft.com/office/drawing/2014/main" id="{00000000-0008-0000-1000-0000375AA500}"/>
            </a:ext>
          </a:extLst>
        </xdr:cNvPr>
        <xdr:cNvSpPr>
          <a:spLocks noChangeShapeType="1"/>
        </xdr:cNvSpPr>
      </xdr:nvSpPr>
      <xdr:spPr bwMode="auto">
        <a:xfrm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6536" name="Line 108">
          <a:extLst>
            <a:ext uri="{FF2B5EF4-FFF2-40B4-BE49-F238E27FC236}">
              <a16:creationId xmlns:a16="http://schemas.microsoft.com/office/drawing/2014/main" id="{00000000-0008-0000-1000-0000385AA500}"/>
            </a:ext>
          </a:extLst>
        </xdr:cNvPr>
        <xdr:cNvSpPr>
          <a:spLocks noChangeShapeType="1"/>
        </xdr:cNvSpPr>
      </xdr:nvSpPr>
      <xdr:spPr bwMode="auto">
        <a:xfrm flipH="1">
          <a:off x="1328737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37" name="Line 109">
          <a:extLst>
            <a:ext uri="{FF2B5EF4-FFF2-40B4-BE49-F238E27FC236}">
              <a16:creationId xmlns:a16="http://schemas.microsoft.com/office/drawing/2014/main" id="{00000000-0008-0000-1000-0000395AA500}"/>
            </a:ext>
          </a:extLst>
        </xdr:cNvPr>
        <xdr:cNvSpPr>
          <a:spLocks noChangeShapeType="1"/>
        </xdr:cNvSpPr>
      </xdr:nvSpPr>
      <xdr:spPr bwMode="auto">
        <a:xfrm flipH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38" name="Line 110">
          <a:extLst>
            <a:ext uri="{FF2B5EF4-FFF2-40B4-BE49-F238E27FC236}">
              <a16:creationId xmlns:a16="http://schemas.microsoft.com/office/drawing/2014/main" id="{00000000-0008-0000-1000-00003A5AA500}"/>
            </a:ext>
          </a:extLst>
        </xdr:cNvPr>
        <xdr:cNvSpPr>
          <a:spLocks noChangeShapeType="1"/>
        </xdr:cNvSpPr>
      </xdr:nvSpPr>
      <xdr:spPr bwMode="auto">
        <a:xfrm flipV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39" name="Line 111">
          <a:extLst>
            <a:ext uri="{FF2B5EF4-FFF2-40B4-BE49-F238E27FC236}">
              <a16:creationId xmlns:a16="http://schemas.microsoft.com/office/drawing/2014/main" id="{00000000-0008-0000-1000-00003B5AA500}"/>
            </a:ext>
          </a:extLst>
        </xdr:cNvPr>
        <xdr:cNvSpPr>
          <a:spLocks noChangeShapeType="1"/>
        </xdr:cNvSpPr>
      </xdr:nvSpPr>
      <xdr:spPr bwMode="auto">
        <a:xfrm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6540" name="Line 112">
          <a:extLst>
            <a:ext uri="{FF2B5EF4-FFF2-40B4-BE49-F238E27FC236}">
              <a16:creationId xmlns:a16="http://schemas.microsoft.com/office/drawing/2014/main" id="{00000000-0008-0000-1000-00003C5AA500}"/>
            </a:ext>
          </a:extLst>
        </xdr:cNvPr>
        <xdr:cNvSpPr>
          <a:spLocks noChangeShapeType="1"/>
        </xdr:cNvSpPr>
      </xdr:nvSpPr>
      <xdr:spPr bwMode="auto">
        <a:xfrm flipH="1">
          <a:off x="1328737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41" name="Line 113">
          <a:extLst>
            <a:ext uri="{FF2B5EF4-FFF2-40B4-BE49-F238E27FC236}">
              <a16:creationId xmlns:a16="http://schemas.microsoft.com/office/drawing/2014/main" id="{00000000-0008-0000-1000-00003D5AA500}"/>
            </a:ext>
          </a:extLst>
        </xdr:cNvPr>
        <xdr:cNvSpPr>
          <a:spLocks noChangeShapeType="1"/>
        </xdr:cNvSpPr>
      </xdr:nvSpPr>
      <xdr:spPr bwMode="auto">
        <a:xfrm flipH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42" name="Line 114">
          <a:extLst>
            <a:ext uri="{FF2B5EF4-FFF2-40B4-BE49-F238E27FC236}">
              <a16:creationId xmlns:a16="http://schemas.microsoft.com/office/drawing/2014/main" id="{00000000-0008-0000-1000-00003E5AA500}"/>
            </a:ext>
          </a:extLst>
        </xdr:cNvPr>
        <xdr:cNvSpPr>
          <a:spLocks noChangeShapeType="1"/>
        </xdr:cNvSpPr>
      </xdr:nvSpPr>
      <xdr:spPr bwMode="auto">
        <a:xfrm flipV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43" name="Line 115">
          <a:extLst>
            <a:ext uri="{FF2B5EF4-FFF2-40B4-BE49-F238E27FC236}">
              <a16:creationId xmlns:a16="http://schemas.microsoft.com/office/drawing/2014/main" id="{00000000-0008-0000-1000-00003F5AA500}"/>
            </a:ext>
          </a:extLst>
        </xdr:cNvPr>
        <xdr:cNvSpPr>
          <a:spLocks noChangeShapeType="1"/>
        </xdr:cNvSpPr>
      </xdr:nvSpPr>
      <xdr:spPr bwMode="auto">
        <a:xfrm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6544" name="Line 116">
          <a:extLst>
            <a:ext uri="{FF2B5EF4-FFF2-40B4-BE49-F238E27FC236}">
              <a16:creationId xmlns:a16="http://schemas.microsoft.com/office/drawing/2014/main" id="{00000000-0008-0000-1000-0000405AA500}"/>
            </a:ext>
          </a:extLst>
        </xdr:cNvPr>
        <xdr:cNvSpPr>
          <a:spLocks noChangeShapeType="1"/>
        </xdr:cNvSpPr>
      </xdr:nvSpPr>
      <xdr:spPr bwMode="auto">
        <a:xfrm flipH="1">
          <a:off x="1328737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45" name="Line 117">
          <a:extLst>
            <a:ext uri="{FF2B5EF4-FFF2-40B4-BE49-F238E27FC236}">
              <a16:creationId xmlns:a16="http://schemas.microsoft.com/office/drawing/2014/main" id="{00000000-0008-0000-1000-0000415AA500}"/>
            </a:ext>
          </a:extLst>
        </xdr:cNvPr>
        <xdr:cNvSpPr>
          <a:spLocks noChangeShapeType="1"/>
        </xdr:cNvSpPr>
      </xdr:nvSpPr>
      <xdr:spPr bwMode="auto">
        <a:xfrm flipH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46" name="Line 118">
          <a:extLst>
            <a:ext uri="{FF2B5EF4-FFF2-40B4-BE49-F238E27FC236}">
              <a16:creationId xmlns:a16="http://schemas.microsoft.com/office/drawing/2014/main" id="{00000000-0008-0000-1000-0000425AA500}"/>
            </a:ext>
          </a:extLst>
        </xdr:cNvPr>
        <xdr:cNvSpPr>
          <a:spLocks noChangeShapeType="1"/>
        </xdr:cNvSpPr>
      </xdr:nvSpPr>
      <xdr:spPr bwMode="auto">
        <a:xfrm flipV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47" name="Line 119">
          <a:extLst>
            <a:ext uri="{FF2B5EF4-FFF2-40B4-BE49-F238E27FC236}">
              <a16:creationId xmlns:a16="http://schemas.microsoft.com/office/drawing/2014/main" id="{00000000-0008-0000-1000-0000435AA500}"/>
            </a:ext>
          </a:extLst>
        </xdr:cNvPr>
        <xdr:cNvSpPr>
          <a:spLocks noChangeShapeType="1"/>
        </xdr:cNvSpPr>
      </xdr:nvSpPr>
      <xdr:spPr bwMode="auto">
        <a:xfrm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6548" name="Line 120">
          <a:extLst>
            <a:ext uri="{FF2B5EF4-FFF2-40B4-BE49-F238E27FC236}">
              <a16:creationId xmlns:a16="http://schemas.microsoft.com/office/drawing/2014/main" id="{00000000-0008-0000-1000-0000445AA500}"/>
            </a:ext>
          </a:extLst>
        </xdr:cNvPr>
        <xdr:cNvSpPr>
          <a:spLocks noChangeShapeType="1"/>
        </xdr:cNvSpPr>
      </xdr:nvSpPr>
      <xdr:spPr bwMode="auto">
        <a:xfrm flipH="1">
          <a:off x="1328737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49" name="Line 121">
          <a:extLst>
            <a:ext uri="{FF2B5EF4-FFF2-40B4-BE49-F238E27FC236}">
              <a16:creationId xmlns:a16="http://schemas.microsoft.com/office/drawing/2014/main" id="{00000000-0008-0000-1000-0000455AA500}"/>
            </a:ext>
          </a:extLst>
        </xdr:cNvPr>
        <xdr:cNvSpPr>
          <a:spLocks noChangeShapeType="1"/>
        </xdr:cNvSpPr>
      </xdr:nvSpPr>
      <xdr:spPr bwMode="auto">
        <a:xfrm flipH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50" name="Line 122">
          <a:extLst>
            <a:ext uri="{FF2B5EF4-FFF2-40B4-BE49-F238E27FC236}">
              <a16:creationId xmlns:a16="http://schemas.microsoft.com/office/drawing/2014/main" id="{00000000-0008-0000-1000-0000465AA500}"/>
            </a:ext>
          </a:extLst>
        </xdr:cNvPr>
        <xdr:cNvSpPr>
          <a:spLocks noChangeShapeType="1"/>
        </xdr:cNvSpPr>
      </xdr:nvSpPr>
      <xdr:spPr bwMode="auto">
        <a:xfrm flipV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51" name="Line 123">
          <a:extLst>
            <a:ext uri="{FF2B5EF4-FFF2-40B4-BE49-F238E27FC236}">
              <a16:creationId xmlns:a16="http://schemas.microsoft.com/office/drawing/2014/main" id="{00000000-0008-0000-1000-0000475AA500}"/>
            </a:ext>
          </a:extLst>
        </xdr:cNvPr>
        <xdr:cNvSpPr>
          <a:spLocks noChangeShapeType="1"/>
        </xdr:cNvSpPr>
      </xdr:nvSpPr>
      <xdr:spPr bwMode="auto">
        <a:xfrm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6552" name="Line 124">
          <a:extLst>
            <a:ext uri="{FF2B5EF4-FFF2-40B4-BE49-F238E27FC236}">
              <a16:creationId xmlns:a16="http://schemas.microsoft.com/office/drawing/2014/main" id="{00000000-0008-0000-1000-0000485AA500}"/>
            </a:ext>
          </a:extLst>
        </xdr:cNvPr>
        <xdr:cNvSpPr>
          <a:spLocks noChangeShapeType="1"/>
        </xdr:cNvSpPr>
      </xdr:nvSpPr>
      <xdr:spPr bwMode="auto">
        <a:xfrm flipH="1">
          <a:off x="1328737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53" name="Line 125">
          <a:extLst>
            <a:ext uri="{FF2B5EF4-FFF2-40B4-BE49-F238E27FC236}">
              <a16:creationId xmlns:a16="http://schemas.microsoft.com/office/drawing/2014/main" id="{00000000-0008-0000-1000-0000495AA500}"/>
            </a:ext>
          </a:extLst>
        </xdr:cNvPr>
        <xdr:cNvSpPr>
          <a:spLocks noChangeShapeType="1"/>
        </xdr:cNvSpPr>
      </xdr:nvSpPr>
      <xdr:spPr bwMode="auto">
        <a:xfrm flipH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54" name="Line 126">
          <a:extLst>
            <a:ext uri="{FF2B5EF4-FFF2-40B4-BE49-F238E27FC236}">
              <a16:creationId xmlns:a16="http://schemas.microsoft.com/office/drawing/2014/main" id="{00000000-0008-0000-1000-00004A5AA500}"/>
            </a:ext>
          </a:extLst>
        </xdr:cNvPr>
        <xdr:cNvSpPr>
          <a:spLocks noChangeShapeType="1"/>
        </xdr:cNvSpPr>
      </xdr:nvSpPr>
      <xdr:spPr bwMode="auto">
        <a:xfrm flipV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55" name="Line 127">
          <a:extLst>
            <a:ext uri="{FF2B5EF4-FFF2-40B4-BE49-F238E27FC236}">
              <a16:creationId xmlns:a16="http://schemas.microsoft.com/office/drawing/2014/main" id="{00000000-0008-0000-1000-00004B5AA500}"/>
            </a:ext>
          </a:extLst>
        </xdr:cNvPr>
        <xdr:cNvSpPr>
          <a:spLocks noChangeShapeType="1"/>
        </xdr:cNvSpPr>
      </xdr:nvSpPr>
      <xdr:spPr bwMode="auto">
        <a:xfrm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6556" name="Line 128">
          <a:extLst>
            <a:ext uri="{FF2B5EF4-FFF2-40B4-BE49-F238E27FC236}">
              <a16:creationId xmlns:a16="http://schemas.microsoft.com/office/drawing/2014/main" id="{00000000-0008-0000-1000-00004C5AA500}"/>
            </a:ext>
          </a:extLst>
        </xdr:cNvPr>
        <xdr:cNvSpPr>
          <a:spLocks noChangeShapeType="1"/>
        </xdr:cNvSpPr>
      </xdr:nvSpPr>
      <xdr:spPr bwMode="auto">
        <a:xfrm flipH="1">
          <a:off x="1328737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57" name="Line 129">
          <a:extLst>
            <a:ext uri="{FF2B5EF4-FFF2-40B4-BE49-F238E27FC236}">
              <a16:creationId xmlns:a16="http://schemas.microsoft.com/office/drawing/2014/main" id="{00000000-0008-0000-1000-00004D5AA500}"/>
            </a:ext>
          </a:extLst>
        </xdr:cNvPr>
        <xdr:cNvSpPr>
          <a:spLocks noChangeShapeType="1"/>
        </xdr:cNvSpPr>
      </xdr:nvSpPr>
      <xdr:spPr bwMode="auto">
        <a:xfrm flipH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58" name="Line 130">
          <a:extLst>
            <a:ext uri="{FF2B5EF4-FFF2-40B4-BE49-F238E27FC236}">
              <a16:creationId xmlns:a16="http://schemas.microsoft.com/office/drawing/2014/main" id="{00000000-0008-0000-1000-00004E5AA500}"/>
            </a:ext>
          </a:extLst>
        </xdr:cNvPr>
        <xdr:cNvSpPr>
          <a:spLocks noChangeShapeType="1"/>
        </xdr:cNvSpPr>
      </xdr:nvSpPr>
      <xdr:spPr bwMode="auto">
        <a:xfrm flipV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59" name="Line 131">
          <a:extLst>
            <a:ext uri="{FF2B5EF4-FFF2-40B4-BE49-F238E27FC236}">
              <a16:creationId xmlns:a16="http://schemas.microsoft.com/office/drawing/2014/main" id="{00000000-0008-0000-1000-00004F5AA500}"/>
            </a:ext>
          </a:extLst>
        </xdr:cNvPr>
        <xdr:cNvSpPr>
          <a:spLocks noChangeShapeType="1"/>
        </xdr:cNvSpPr>
      </xdr:nvSpPr>
      <xdr:spPr bwMode="auto">
        <a:xfrm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6560" name="Line 132">
          <a:extLst>
            <a:ext uri="{FF2B5EF4-FFF2-40B4-BE49-F238E27FC236}">
              <a16:creationId xmlns:a16="http://schemas.microsoft.com/office/drawing/2014/main" id="{00000000-0008-0000-1000-0000505AA500}"/>
            </a:ext>
          </a:extLst>
        </xdr:cNvPr>
        <xdr:cNvSpPr>
          <a:spLocks noChangeShapeType="1"/>
        </xdr:cNvSpPr>
      </xdr:nvSpPr>
      <xdr:spPr bwMode="auto">
        <a:xfrm flipH="1">
          <a:off x="1328737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61" name="Line 133">
          <a:extLst>
            <a:ext uri="{FF2B5EF4-FFF2-40B4-BE49-F238E27FC236}">
              <a16:creationId xmlns:a16="http://schemas.microsoft.com/office/drawing/2014/main" id="{00000000-0008-0000-1000-0000515AA500}"/>
            </a:ext>
          </a:extLst>
        </xdr:cNvPr>
        <xdr:cNvSpPr>
          <a:spLocks noChangeShapeType="1"/>
        </xdr:cNvSpPr>
      </xdr:nvSpPr>
      <xdr:spPr bwMode="auto">
        <a:xfrm flipH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62" name="Line 134">
          <a:extLst>
            <a:ext uri="{FF2B5EF4-FFF2-40B4-BE49-F238E27FC236}">
              <a16:creationId xmlns:a16="http://schemas.microsoft.com/office/drawing/2014/main" id="{00000000-0008-0000-1000-0000525AA500}"/>
            </a:ext>
          </a:extLst>
        </xdr:cNvPr>
        <xdr:cNvSpPr>
          <a:spLocks noChangeShapeType="1"/>
        </xdr:cNvSpPr>
      </xdr:nvSpPr>
      <xdr:spPr bwMode="auto">
        <a:xfrm flipV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63" name="Line 135">
          <a:extLst>
            <a:ext uri="{FF2B5EF4-FFF2-40B4-BE49-F238E27FC236}">
              <a16:creationId xmlns:a16="http://schemas.microsoft.com/office/drawing/2014/main" id="{00000000-0008-0000-1000-0000535AA500}"/>
            </a:ext>
          </a:extLst>
        </xdr:cNvPr>
        <xdr:cNvSpPr>
          <a:spLocks noChangeShapeType="1"/>
        </xdr:cNvSpPr>
      </xdr:nvSpPr>
      <xdr:spPr bwMode="auto">
        <a:xfrm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6564" name="Line 136">
          <a:extLst>
            <a:ext uri="{FF2B5EF4-FFF2-40B4-BE49-F238E27FC236}">
              <a16:creationId xmlns:a16="http://schemas.microsoft.com/office/drawing/2014/main" id="{00000000-0008-0000-1000-0000545AA500}"/>
            </a:ext>
          </a:extLst>
        </xdr:cNvPr>
        <xdr:cNvSpPr>
          <a:spLocks noChangeShapeType="1"/>
        </xdr:cNvSpPr>
      </xdr:nvSpPr>
      <xdr:spPr bwMode="auto">
        <a:xfrm flipH="1">
          <a:off x="1328737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65" name="Line 137">
          <a:extLst>
            <a:ext uri="{FF2B5EF4-FFF2-40B4-BE49-F238E27FC236}">
              <a16:creationId xmlns:a16="http://schemas.microsoft.com/office/drawing/2014/main" id="{00000000-0008-0000-1000-0000555AA500}"/>
            </a:ext>
          </a:extLst>
        </xdr:cNvPr>
        <xdr:cNvSpPr>
          <a:spLocks noChangeShapeType="1"/>
        </xdr:cNvSpPr>
      </xdr:nvSpPr>
      <xdr:spPr bwMode="auto">
        <a:xfrm flipH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66" name="Line 138">
          <a:extLst>
            <a:ext uri="{FF2B5EF4-FFF2-40B4-BE49-F238E27FC236}">
              <a16:creationId xmlns:a16="http://schemas.microsoft.com/office/drawing/2014/main" id="{00000000-0008-0000-1000-0000565AA500}"/>
            </a:ext>
          </a:extLst>
        </xdr:cNvPr>
        <xdr:cNvSpPr>
          <a:spLocks noChangeShapeType="1"/>
        </xdr:cNvSpPr>
      </xdr:nvSpPr>
      <xdr:spPr bwMode="auto">
        <a:xfrm flipV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67" name="Line 139">
          <a:extLst>
            <a:ext uri="{FF2B5EF4-FFF2-40B4-BE49-F238E27FC236}">
              <a16:creationId xmlns:a16="http://schemas.microsoft.com/office/drawing/2014/main" id="{00000000-0008-0000-1000-0000575AA500}"/>
            </a:ext>
          </a:extLst>
        </xdr:cNvPr>
        <xdr:cNvSpPr>
          <a:spLocks noChangeShapeType="1"/>
        </xdr:cNvSpPr>
      </xdr:nvSpPr>
      <xdr:spPr bwMode="auto">
        <a:xfrm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6568" name="Line 140">
          <a:extLst>
            <a:ext uri="{FF2B5EF4-FFF2-40B4-BE49-F238E27FC236}">
              <a16:creationId xmlns:a16="http://schemas.microsoft.com/office/drawing/2014/main" id="{00000000-0008-0000-1000-0000585AA500}"/>
            </a:ext>
          </a:extLst>
        </xdr:cNvPr>
        <xdr:cNvSpPr>
          <a:spLocks noChangeShapeType="1"/>
        </xdr:cNvSpPr>
      </xdr:nvSpPr>
      <xdr:spPr bwMode="auto">
        <a:xfrm flipH="1">
          <a:off x="1328737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69" name="Line 141">
          <a:extLst>
            <a:ext uri="{FF2B5EF4-FFF2-40B4-BE49-F238E27FC236}">
              <a16:creationId xmlns:a16="http://schemas.microsoft.com/office/drawing/2014/main" id="{00000000-0008-0000-1000-0000595AA500}"/>
            </a:ext>
          </a:extLst>
        </xdr:cNvPr>
        <xdr:cNvSpPr>
          <a:spLocks noChangeShapeType="1"/>
        </xdr:cNvSpPr>
      </xdr:nvSpPr>
      <xdr:spPr bwMode="auto">
        <a:xfrm flipH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70" name="Line 142">
          <a:extLst>
            <a:ext uri="{FF2B5EF4-FFF2-40B4-BE49-F238E27FC236}">
              <a16:creationId xmlns:a16="http://schemas.microsoft.com/office/drawing/2014/main" id="{00000000-0008-0000-1000-00005A5AA500}"/>
            </a:ext>
          </a:extLst>
        </xdr:cNvPr>
        <xdr:cNvSpPr>
          <a:spLocks noChangeShapeType="1"/>
        </xdr:cNvSpPr>
      </xdr:nvSpPr>
      <xdr:spPr bwMode="auto">
        <a:xfrm flipV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71" name="Line 143">
          <a:extLst>
            <a:ext uri="{FF2B5EF4-FFF2-40B4-BE49-F238E27FC236}">
              <a16:creationId xmlns:a16="http://schemas.microsoft.com/office/drawing/2014/main" id="{00000000-0008-0000-1000-00005B5AA500}"/>
            </a:ext>
          </a:extLst>
        </xdr:cNvPr>
        <xdr:cNvSpPr>
          <a:spLocks noChangeShapeType="1"/>
        </xdr:cNvSpPr>
      </xdr:nvSpPr>
      <xdr:spPr bwMode="auto">
        <a:xfrm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6572" name="Line 144">
          <a:extLst>
            <a:ext uri="{FF2B5EF4-FFF2-40B4-BE49-F238E27FC236}">
              <a16:creationId xmlns:a16="http://schemas.microsoft.com/office/drawing/2014/main" id="{00000000-0008-0000-1000-00005C5AA500}"/>
            </a:ext>
          </a:extLst>
        </xdr:cNvPr>
        <xdr:cNvSpPr>
          <a:spLocks noChangeShapeType="1"/>
        </xdr:cNvSpPr>
      </xdr:nvSpPr>
      <xdr:spPr bwMode="auto">
        <a:xfrm flipH="1">
          <a:off x="1328737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73" name="Line 145">
          <a:extLst>
            <a:ext uri="{FF2B5EF4-FFF2-40B4-BE49-F238E27FC236}">
              <a16:creationId xmlns:a16="http://schemas.microsoft.com/office/drawing/2014/main" id="{00000000-0008-0000-1000-00005D5AA500}"/>
            </a:ext>
          </a:extLst>
        </xdr:cNvPr>
        <xdr:cNvSpPr>
          <a:spLocks noChangeShapeType="1"/>
        </xdr:cNvSpPr>
      </xdr:nvSpPr>
      <xdr:spPr bwMode="auto">
        <a:xfrm flipH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74" name="Line 146">
          <a:extLst>
            <a:ext uri="{FF2B5EF4-FFF2-40B4-BE49-F238E27FC236}">
              <a16:creationId xmlns:a16="http://schemas.microsoft.com/office/drawing/2014/main" id="{00000000-0008-0000-1000-00005E5AA500}"/>
            </a:ext>
          </a:extLst>
        </xdr:cNvPr>
        <xdr:cNvSpPr>
          <a:spLocks noChangeShapeType="1"/>
        </xdr:cNvSpPr>
      </xdr:nvSpPr>
      <xdr:spPr bwMode="auto">
        <a:xfrm flipV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75" name="Line 147">
          <a:extLst>
            <a:ext uri="{FF2B5EF4-FFF2-40B4-BE49-F238E27FC236}">
              <a16:creationId xmlns:a16="http://schemas.microsoft.com/office/drawing/2014/main" id="{00000000-0008-0000-1000-00005F5AA500}"/>
            </a:ext>
          </a:extLst>
        </xdr:cNvPr>
        <xdr:cNvSpPr>
          <a:spLocks noChangeShapeType="1"/>
        </xdr:cNvSpPr>
      </xdr:nvSpPr>
      <xdr:spPr bwMode="auto">
        <a:xfrm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6576" name="Line 148">
          <a:extLst>
            <a:ext uri="{FF2B5EF4-FFF2-40B4-BE49-F238E27FC236}">
              <a16:creationId xmlns:a16="http://schemas.microsoft.com/office/drawing/2014/main" id="{00000000-0008-0000-1000-0000605AA500}"/>
            </a:ext>
          </a:extLst>
        </xdr:cNvPr>
        <xdr:cNvSpPr>
          <a:spLocks noChangeShapeType="1"/>
        </xdr:cNvSpPr>
      </xdr:nvSpPr>
      <xdr:spPr bwMode="auto">
        <a:xfrm flipH="1">
          <a:off x="1328737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77" name="Line 149">
          <a:extLst>
            <a:ext uri="{FF2B5EF4-FFF2-40B4-BE49-F238E27FC236}">
              <a16:creationId xmlns:a16="http://schemas.microsoft.com/office/drawing/2014/main" id="{00000000-0008-0000-1000-0000615AA500}"/>
            </a:ext>
          </a:extLst>
        </xdr:cNvPr>
        <xdr:cNvSpPr>
          <a:spLocks noChangeShapeType="1"/>
        </xdr:cNvSpPr>
      </xdr:nvSpPr>
      <xdr:spPr bwMode="auto">
        <a:xfrm flipH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78" name="Line 150">
          <a:extLst>
            <a:ext uri="{FF2B5EF4-FFF2-40B4-BE49-F238E27FC236}">
              <a16:creationId xmlns:a16="http://schemas.microsoft.com/office/drawing/2014/main" id="{00000000-0008-0000-1000-0000625AA500}"/>
            </a:ext>
          </a:extLst>
        </xdr:cNvPr>
        <xdr:cNvSpPr>
          <a:spLocks noChangeShapeType="1"/>
        </xdr:cNvSpPr>
      </xdr:nvSpPr>
      <xdr:spPr bwMode="auto">
        <a:xfrm flipV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79" name="Line 151">
          <a:extLst>
            <a:ext uri="{FF2B5EF4-FFF2-40B4-BE49-F238E27FC236}">
              <a16:creationId xmlns:a16="http://schemas.microsoft.com/office/drawing/2014/main" id="{00000000-0008-0000-1000-0000635AA500}"/>
            </a:ext>
          </a:extLst>
        </xdr:cNvPr>
        <xdr:cNvSpPr>
          <a:spLocks noChangeShapeType="1"/>
        </xdr:cNvSpPr>
      </xdr:nvSpPr>
      <xdr:spPr bwMode="auto">
        <a:xfrm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6580" name="Line 152">
          <a:extLst>
            <a:ext uri="{FF2B5EF4-FFF2-40B4-BE49-F238E27FC236}">
              <a16:creationId xmlns:a16="http://schemas.microsoft.com/office/drawing/2014/main" id="{00000000-0008-0000-1000-0000645AA500}"/>
            </a:ext>
          </a:extLst>
        </xdr:cNvPr>
        <xdr:cNvSpPr>
          <a:spLocks noChangeShapeType="1"/>
        </xdr:cNvSpPr>
      </xdr:nvSpPr>
      <xdr:spPr bwMode="auto">
        <a:xfrm flipH="1">
          <a:off x="13287375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81" name="Line 153">
          <a:extLst>
            <a:ext uri="{FF2B5EF4-FFF2-40B4-BE49-F238E27FC236}">
              <a16:creationId xmlns:a16="http://schemas.microsoft.com/office/drawing/2014/main" id="{00000000-0008-0000-1000-0000655AA500}"/>
            </a:ext>
          </a:extLst>
        </xdr:cNvPr>
        <xdr:cNvSpPr>
          <a:spLocks noChangeShapeType="1"/>
        </xdr:cNvSpPr>
      </xdr:nvSpPr>
      <xdr:spPr bwMode="auto">
        <a:xfrm flipH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82" name="Line 154">
          <a:extLst>
            <a:ext uri="{FF2B5EF4-FFF2-40B4-BE49-F238E27FC236}">
              <a16:creationId xmlns:a16="http://schemas.microsoft.com/office/drawing/2014/main" id="{00000000-0008-0000-1000-0000665AA500}"/>
            </a:ext>
          </a:extLst>
        </xdr:cNvPr>
        <xdr:cNvSpPr>
          <a:spLocks noChangeShapeType="1"/>
        </xdr:cNvSpPr>
      </xdr:nvSpPr>
      <xdr:spPr bwMode="auto">
        <a:xfrm flipV="1"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6583" name="Line 155">
          <a:extLst>
            <a:ext uri="{FF2B5EF4-FFF2-40B4-BE49-F238E27FC236}">
              <a16:creationId xmlns:a16="http://schemas.microsoft.com/office/drawing/2014/main" id="{00000000-0008-0000-1000-0000675AA500}"/>
            </a:ext>
          </a:extLst>
        </xdr:cNvPr>
        <xdr:cNvSpPr>
          <a:spLocks noChangeShapeType="1"/>
        </xdr:cNvSpPr>
      </xdr:nvSpPr>
      <xdr:spPr bwMode="auto">
        <a:xfrm>
          <a:off x="4629150" y="123158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809625</xdr:colOff>
      <xdr:row>75</xdr:row>
      <xdr:rowOff>9525</xdr:rowOff>
    </xdr:from>
    <xdr:to>
      <xdr:col>19</xdr:col>
      <xdr:colOff>9525</xdr:colOff>
      <xdr:row>75</xdr:row>
      <xdr:rowOff>9525</xdr:rowOff>
    </xdr:to>
    <xdr:sp macro="" textlink="">
      <xdr:nvSpPr>
        <xdr:cNvPr id="10836584" name="Line 156">
          <a:extLst>
            <a:ext uri="{FF2B5EF4-FFF2-40B4-BE49-F238E27FC236}">
              <a16:creationId xmlns:a16="http://schemas.microsoft.com/office/drawing/2014/main" id="{00000000-0008-0000-1000-0000685AA500}"/>
            </a:ext>
          </a:extLst>
        </xdr:cNvPr>
        <xdr:cNvSpPr>
          <a:spLocks noChangeShapeType="1"/>
        </xdr:cNvSpPr>
      </xdr:nvSpPr>
      <xdr:spPr bwMode="auto">
        <a:xfrm flipH="1">
          <a:off x="12668250" y="12487275"/>
          <a:ext cx="628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75</xdr:row>
      <xdr:rowOff>9525</xdr:rowOff>
    </xdr:from>
    <xdr:to>
      <xdr:col>16</xdr:col>
      <xdr:colOff>0</xdr:colOff>
      <xdr:row>75</xdr:row>
      <xdr:rowOff>9525</xdr:rowOff>
    </xdr:to>
    <xdr:sp macro="" textlink="">
      <xdr:nvSpPr>
        <xdr:cNvPr id="10836585" name="Line 157">
          <a:extLst>
            <a:ext uri="{FF2B5EF4-FFF2-40B4-BE49-F238E27FC236}">
              <a16:creationId xmlns:a16="http://schemas.microsoft.com/office/drawing/2014/main" id="{00000000-0008-0000-1000-0000695AA500}"/>
            </a:ext>
          </a:extLst>
        </xdr:cNvPr>
        <xdr:cNvSpPr>
          <a:spLocks noChangeShapeType="1"/>
        </xdr:cNvSpPr>
      </xdr:nvSpPr>
      <xdr:spPr bwMode="auto">
        <a:xfrm>
          <a:off x="10420350" y="12487275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75</xdr:row>
      <xdr:rowOff>9525</xdr:rowOff>
    </xdr:from>
    <xdr:to>
      <xdr:col>13</xdr:col>
      <xdr:colOff>0</xdr:colOff>
      <xdr:row>75</xdr:row>
      <xdr:rowOff>9525</xdr:rowOff>
    </xdr:to>
    <xdr:sp macro="" textlink="">
      <xdr:nvSpPr>
        <xdr:cNvPr id="10836586" name="Line 158">
          <a:extLst>
            <a:ext uri="{FF2B5EF4-FFF2-40B4-BE49-F238E27FC236}">
              <a16:creationId xmlns:a16="http://schemas.microsoft.com/office/drawing/2014/main" id="{00000000-0008-0000-1000-00006A5AA500}"/>
            </a:ext>
          </a:extLst>
        </xdr:cNvPr>
        <xdr:cNvSpPr>
          <a:spLocks noChangeShapeType="1"/>
        </xdr:cNvSpPr>
      </xdr:nvSpPr>
      <xdr:spPr bwMode="auto">
        <a:xfrm>
          <a:off x="8162925" y="12487275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75</xdr:row>
      <xdr:rowOff>9525</xdr:rowOff>
    </xdr:from>
    <xdr:to>
      <xdr:col>9</xdr:col>
      <xdr:colOff>695325</xdr:colOff>
      <xdr:row>75</xdr:row>
      <xdr:rowOff>9525</xdr:rowOff>
    </xdr:to>
    <xdr:sp macro="" textlink="">
      <xdr:nvSpPr>
        <xdr:cNvPr id="10836587" name="Line 159">
          <a:extLst>
            <a:ext uri="{FF2B5EF4-FFF2-40B4-BE49-F238E27FC236}">
              <a16:creationId xmlns:a16="http://schemas.microsoft.com/office/drawing/2014/main" id="{00000000-0008-0000-1000-00006B5AA500}"/>
            </a:ext>
          </a:extLst>
        </xdr:cNvPr>
        <xdr:cNvSpPr>
          <a:spLocks noChangeShapeType="1"/>
        </xdr:cNvSpPr>
      </xdr:nvSpPr>
      <xdr:spPr bwMode="auto">
        <a:xfrm flipH="1">
          <a:off x="6010275" y="12487275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8</xdr:row>
      <xdr:rowOff>114300</xdr:rowOff>
    </xdr:from>
    <xdr:to>
      <xdr:col>10</xdr:col>
      <xdr:colOff>333375</xdr:colOff>
      <xdr:row>15</xdr:row>
      <xdr:rowOff>9525</xdr:rowOff>
    </xdr:to>
    <xdr:sp macro="" textlink="">
      <xdr:nvSpPr>
        <xdr:cNvPr id="10836588" name="Rectangle 56">
          <a:extLst>
            <a:ext uri="{FF2B5EF4-FFF2-40B4-BE49-F238E27FC236}">
              <a16:creationId xmlns:a16="http://schemas.microsoft.com/office/drawing/2014/main" id="{00000000-0008-0000-1000-00006C5AA500}"/>
            </a:ext>
          </a:extLst>
        </xdr:cNvPr>
        <xdr:cNvSpPr>
          <a:spLocks noChangeArrowheads="1"/>
        </xdr:cNvSpPr>
      </xdr:nvSpPr>
      <xdr:spPr bwMode="auto">
        <a:xfrm>
          <a:off x="5343525" y="1866900"/>
          <a:ext cx="1704975" cy="120967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114300</xdr:colOff>
      <xdr:row>11</xdr:row>
      <xdr:rowOff>0</xdr:rowOff>
    </xdr:from>
    <xdr:to>
      <xdr:col>8</xdr:col>
      <xdr:colOff>371475</xdr:colOff>
      <xdr:row>16</xdr:row>
      <xdr:rowOff>76200</xdr:rowOff>
    </xdr:to>
    <xdr:sp macro="" textlink="">
      <xdr:nvSpPr>
        <xdr:cNvPr id="10836589" name="Line 34">
          <a:extLst>
            <a:ext uri="{FF2B5EF4-FFF2-40B4-BE49-F238E27FC236}">
              <a16:creationId xmlns:a16="http://schemas.microsoft.com/office/drawing/2014/main" id="{00000000-0008-0000-1000-00006D5AA500}"/>
            </a:ext>
          </a:extLst>
        </xdr:cNvPr>
        <xdr:cNvSpPr>
          <a:spLocks noChangeShapeType="1"/>
        </xdr:cNvSpPr>
      </xdr:nvSpPr>
      <xdr:spPr bwMode="auto">
        <a:xfrm flipV="1">
          <a:off x="4743450" y="2314575"/>
          <a:ext cx="971550" cy="9906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295275</xdr:colOff>
      <xdr:row>12</xdr:row>
      <xdr:rowOff>85725</xdr:rowOff>
    </xdr:from>
    <xdr:to>
      <xdr:col>9</xdr:col>
      <xdr:colOff>9525</xdr:colOff>
      <xdr:row>16</xdr:row>
      <xdr:rowOff>104775</xdr:rowOff>
    </xdr:to>
    <xdr:sp macro="" textlink="">
      <xdr:nvSpPr>
        <xdr:cNvPr id="10836590" name="Line 34">
          <a:extLst>
            <a:ext uri="{FF2B5EF4-FFF2-40B4-BE49-F238E27FC236}">
              <a16:creationId xmlns:a16="http://schemas.microsoft.com/office/drawing/2014/main" id="{00000000-0008-0000-1000-00006E5AA500}"/>
            </a:ext>
          </a:extLst>
        </xdr:cNvPr>
        <xdr:cNvSpPr>
          <a:spLocks noChangeShapeType="1"/>
        </xdr:cNvSpPr>
      </xdr:nvSpPr>
      <xdr:spPr bwMode="auto">
        <a:xfrm flipV="1">
          <a:off x="4924425" y="2600325"/>
          <a:ext cx="1095375" cy="7334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447675</xdr:colOff>
      <xdr:row>14</xdr:row>
      <xdr:rowOff>85725</xdr:rowOff>
    </xdr:from>
    <xdr:to>
      <xdr:col>9</xdr:col>
      <xdr:colOff>28575</xdr:colOff>
      <xdr:row>16</xdr:row>
      <xdr:rowOff>152400</xdr:rowOff>
    </xdr:to>
    <xdr:sp macro="" textlink="">
      <xdr:nvSpPr>
        <xdr:cNvPr id="10836591" name="Line 34">
          <a:extLst>
            <a:ext uri="{FF2B5EF4-FFF2-40B4-BE49-F238E27FC236}">
              <a16:creationId xmlns:a16="http://schemas.microsoft.com/office/drawing/2014/main" id="{00000000-0008-0000-1000-00006F5AA500}"/>
            </a:ext>
          </a:extLst>
        </xdr:cNvPr>
        <xdr:cNvSpPr>
          <a:spLocks noChangeShapeType="1"/>
        </xdr:cNvSpPr>
      </xdr:nvSpPr>
      <xdr:spPr bwMode="auto">
        <a:xfrm flipV="1">
          <a:off x="5076825" y="2990850"/>
          <a:ext cx="962025" cy="3905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800100</xdr:colOff>
      <xdr:row>53</xdr:row>
      <xdr:rowOff>142875</xdr:rowOff>
    </xdr:from>
    <xdr:to>
      <xdr:col>4</xdr:col>
      <xdr:colOff>209550</xdr:colOff>
      <xdr:row>58</xdr:row>
      <xdr:rowOff>47625</xdr:rowOff>
    </xdr:to>
    <xdr:sp macro="" textlink="">
      <xdr:nvSpPr>
        <xdr:cNvPr id="10836592" name="Oval 14">
          <a:extLst>
            <a:ext uri="{FF2B5EF4-FFF2-40B4-BE49-F238E27FC236}">
              <a16:creationId xmlns:a16="http://schemas.microsoft.com/office/drawing/2014/main" id="{00000000-0008-0000-1000-0000705AA500}"/>
            </a:ext>
          </a:extLst>
        </xdr:cNvPr>
        <xdr:cNvSpPr>
          <a:spLocks noChangeArrowheads="1"/>
        </xdr:cNvSpPr>
      </xdr:nvSpPr>
      <xdr:spPr bwMode="auto">
        <a:xfrm>
          <a:off x="1733550" y="9734550"/>
          <a:ext cx="942975" cy="885825"/>
        </a:xfrm>
        <a:prstGeom prst="ellips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619125</xdr:colOff>
      <xdr:row>52</xdr:row>
      <xdr:rowOff>85725</xdr:rowOff>
    </xdr:from>
    <xdr:to>
      <xdr:col>4</xdr:col>
      <xdr:colOff>0</xdr:colOff>
      <xdr:row>54</xdr:row>
      <xdr:rowOff>0</xdr:rowOff>
    </xdr:to>
    <xdr:sp macro="" textlink="">
      <xdr:nvSpPr>
        <xdr:cNvPr id="10836593" name="Line 19">
          <a:extLst>
            <a:ext uri="{FF2B5EF4-FFF2-40B4-BE49-F238E27FC236}">
              <a16:creationId xmlns:a16="http://schemas.microsoft.com/office/drawing/2014/main" id="{00000000-0008-0000-1000-0000715AA500}"/>
            </a:ext>
          </a:extLst>
        </xdr:cNvPr>
        <xdr:cNvSpPr>
          <a:spLocks noChangeShapeType="1"/>
        </xdr:cNvSpPr>
      </xdr:nvSpPr>
      <xdr:spPr bwMode="auto">
        <a:xfrm flipH="1">
          <a:off x="2390775" y="9486900"/>
          <a:ext cx="76200" cy="2667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200025</xdr:colOff>
      <xdr:row>56</xdr:row>
      <xdr:rowOff>9525</xdr:rowOff>
    </xdr:from>
    <xdr:to>
      <xdr:col>5</xdr:col>
      <xdr:colOff>628650</xdr:colOff>
      <xdr:row>56</xdr:row>
      <xdr:rowOff>9525</xdr:rowOff>
    </xdr:to>
    <xdr:sp macro="" textlink="">
      <xdr:nvSpPr>
        <xdr:cNvPr id="10836594" name="Line 19">
          <a:extLst>
            <a:ext uri="{FF2B5EF4-FFF2-40B4-BE49-F238E27FC236}">
              <a16:creationId xmlns:a16="http://schemas.microsoft.com/office/drawing/2014/main" id="{00000000-0008-0000-1000-0000725AA500}"/>
            </a:ext>
          </a:extLst>
        </xdr:cNvPr>
        <xdr:cNvSpPr>
          <a:spLocks noChangeShapeType="1"/>
        </xdr:cNvSpPr>
      </xdr:nvSpPr>
      <xdr:spPr bwMode="auto">
        <a:xfrm flipH="1">
          <a:off x="2667000" y="10163175"/>
          <a:ext cx="10668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749300</xdr:colOff>
      <xdr:row>53</xdr:row>
      <xdr:rowOff>1</xdr:rowOff>
    </xdr:from>
    <xdr:to>
      <xdr:col>5</xdr:col>
      <xdr:colOff>469901</xdr:colOff>
      <xdr:row>59</xdr:row>
      <xdr:rowOff>25401</xdr:rowOff>
    </xdr:to>
    <xdr:sp macro="" textlink="">
      <xdr:nvSpPr>
        <xdr:cNvPr id="168" name="Rectangle 56">
          <a:extLst>
            <a:ext uri="{FF2B5EF4-FFF2-40B4-BE49-F238E27FC236}">
              <a16:creationId xmlns:a16="http://schemas.microsoft.com/office/drawing/2014/main" id="{00000000-0008-0000-1000-0000A8000000}"/>
            </a:ext>
          </a:extLst>
        </xdr:cNvPr>
        <xdr:cNvSpPr>
          <a:spLocks noChangeArrowheads="1"/>
        </xdr:cNvSpPr>
      </xdr:nvSpPr>
      <xdr:spPr bwMode="auto">
        <a:xfrm>
          <a:off x="1676400" y="9753601"/>
          <a:ext cx="1892301" cy="11938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66675</xdr:rowOff>
    </xdr:from>
    <xdr:to>
      <xdr:col>8</xdr:col>
      <xdr:colOff>180975</xdr:colOff>
      <xdr:row>25</xdr:row>
      <xdr:rowOff>0</xdr:rowOff>
    </xdr:to>
    <xdr:sp macro="" textlink="">
      <xdr:nvSpPr>
        <xdr:cNvPr id="10831394" name="Oval 1">
          <a:extLst>
            <a:ext uri="{FF2B5EF4-FFF2-40B4-BE49-F238E27FC236}">
              <a16:creationId xmlns:a16="http://schemas.microsoft.com/office/drawing/2014/main" id="{00000000-0008-0000-1100-00002246A500}"/>
            </a:ext>
          </a:extLst>
        </xdr:cNvPr>
        <xdr:cNvSpPr>
          <a:spLocks noChangeArrowheads="1"/>
        </xdr:cNvSpPr>
      </xdr:nvSpPr>
      <xdr:spPr bwMode="auto">
        <a:xfrm>
          <a:off x="3876675" y="3562350"/>
          <a:ext cx="159067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552450</xdr:colOff>
      <xdr:row>29</xdr:row>
      <xdr:rowOff>38100</xdr:rowOff>
    </xdr:from>
    <xdr:to>
      <xdr:col>8</xdr:col>
      <xdr:colOff>66675</xdr:colOff>
      <xdr:row>37</xdr:row>
      <xdr:rowOff>152400</xdr:rowOff>
    </xdr:to>
    <xdr:sp macro="" textlink="">
      <xdr:nvSpPr>
        <xdr:cNvPr id="10831395" name="Oval 2">
          <a:extLst>
            <a:ext uri="{FF2B5EF4-FFF2-40B4-BE49-F238E27FC236}">
              <a16:creationId xmlns:a16="http://schemas.microsoft.com/office/drawing/2014/main" id="{00000000-0008-0000-1100-00002346A500}"/>
            </a:ext>
          </a:extLst>
        </xdr:cNvPr>
        <xdr:cNvSpPr>
          <a:spLocks noChangeArrowheads="1"/>
        </xdr:cNvSpPr>
      </xdr:nvSpPr>
      <xdr:spPr bwMode="auto">
        <a:xfrm>
          <a:off x="3743325" y="5810250"/>
          <a:ext cx="160972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609600</xdr:colOff>
      <xdr:row>50</xdr:row>
      <xdr:rowOff>152400</xdr:rowOff>
    </xdr:from>
    <xdr:to>
      <xdr:col>8</xdr:col>
      <xdr:colOff>123825</xdr:colOff>
      <xdr:row>59</xdr:row>
      <xdr:rowOff>28575</xdr:rowOff>
    </xdr:to>
    <xdr:sp macro="" textlink="">
      <xdr:nvSpPr>
        <xdr:cNvPr id="10831396" name="Oval 3">
          <a:extLst>
            <a:ext uri="{FF2B5EF4-FFF2-40B4-BE49-F238E27FC236}">
              <a16:creationId xmlns:a16="http://schemas.microsoft.com/office/drawing/2014/main" id="{00000000-0008-0000-1100-00002446A500}"/>
            </a:ext>
          </a:extLst>
        </xdr:cNvPr>
        <xdr:cNvSpPr>
          <a:spLocks noChangeArrowheads="1"/>
        </xdr:cNvSpPr>
      </xdr:nvSpPr>
      <xdr:spPr bwMode="auto">
        <a:xfrm>
          <a:off x="3800475" y="9477375"/>
          <a:ext cx="160972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552450</xdr:colOff>
      <xdr:row>29</xdr:row>
      <xdr:rowOff>38100</xdr:rowOff>
    </xdr:from>
    <xdr:to>
      <xdr:col>11</xdr:col>
      <xdr:colOff>76200</xdr:colOff>
      <xdr:row>38</xdr:row>
      <xdr:rowOff>28575</xdr:rowOff>
    </xdr:to>
    <xdr:sp macro="" textlink="">
      <xdr:nvSpPr>
        <xdr:cNvPr id="10831397" name="Oval 4">
          <a:extLst>
            <a:ext uri="{FF2B5EF4-FFF2-40B4-BE49-F238E27FC236}">
              <a16:creationId xmlns:a16="http://schemas.microsoft.com/office/drawing/2014/main" id="{00000000-0008-0000-1100-00002546A500}"/>
            </a:ext>
          </a:extLst>
        </xdr:cNvPr>
        <xdr:cNvSpPr>
          <a:spLocks noChangeArrowheads="1"/>
        </xdr:cNvSpPr>
      </xdr:nvSpPr>
      <xdr:spPr bwMode="auto">
        <a:xfrm>
          <a:off x="5838825" y="5810250"/>
          <a:ext cx="1666875" cy="15430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685800</xdr:colOff>
      <xdr:row>29</xdr:row>
      <xdr:rowOff>66675</xdr:rowOff>
    </xdr:from>
    <xdr:to>
      <xdr:col>14</xdr:col>
      <xdr:colOff>28575</xdr:colOff>
      <xdr:row>38</xdr:row>
      <xdr:rowOff>19050</xdr:rowOff>
    </xdr:to>
    <xdr:sp macro="" textlink="">
      <xdr:nvSpPr>
        <xdr:cNvPr id="10831398" name="Oval 5">
          <a:extLst>
            <a:ext uri="{FF2B5EF4-FFF2-40B4-BE49-F238E27FC236}">
              <a16:creationId xmlns:a16="http://schemas.microsoft.com/office/drawing/2014/main" id="{00000000-0008-0000-1100-00002646A500}"/>
            </a:ext>
          </a:extLst>
        </xdr:cNvPr>
        <xdr:cNvSpPr>
          <a:spLocks noChangeArrowheads="1"/>
        </xdr:cNvSpPr>
      </xdr:nvSpPr>
      <xdr:spPr bwMode="auto">
        <a:xfrm>
          <a:off x="8115300" y="5838825"/>
          <a:ext cx="168592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552450</xdr:colOff>
      <xdr:row>29</xdr:row>
      <xdr:rowOff>38100</xdr:rowOff>
    </xdr:from>
    <xdr:to>
      <xdr:col>17</xdr:col>
      <xdr:colOff>66675</xdr:colOff>
      <xdr:row>37</xdr:row>
      <xdr:rowOff>152400</xdr:rowOff>
    </xdr:to>
    <xdr:sp macro="" textlink="">
      <xdr:nvSpPr>
        <xdr:cNvPr id="10831399" name="Oval 6">
          <a:extLst>
            <a:ext uri="{FF2B5EF4-FFF2-40B4-BE49-F238E27FC236}">
              <a16:creationId xmlns:a16="http://schemas.microsoft.com/office/drawing/2014/main" id="{00000000-0008-0000-1100-00002746A500}"/>
            </a:ext>
          </a:extLst>
        </xdr:cNvPr>
        <xdr:cNvSpPr>
          <a:spLocks noChangeArrowheads="1"/>
        </xdr:cNvSpPr>
      </xdr:nvSpPr>
      <xdr:spPr bwMode="auto">
        <a:xfrm>
          <a:off x="10325100" y="5810250"/>
          <a:ext cx="17335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552450</xdr:colOff>
      <xdr:row>29</xdr:row>
      <xdr:rowOff>38100</xdr:rowOff>
    </xdr:from>
    <xdr:to>
      <xdr:col>20</xdr:col>
      <xdr:colOff>66675</xdr:colOff>
      <xdr:row>37</xdr:row>
      <xdr:rowOff>152400</xdr:rowOff>
    </xdr:to>
    <xdr:sp macro="" textlink="">
      <xdr:nvSpPr>
        <xdr:cNvPr id="10831400" name="Oval 7">
          <a:extLst>
            <a:ext uri="{FF2B5EF4-FFF2-40B4-BE49-F238E27FC236}">
              <a16:creationId xmlns:a16="http://schemas.microsoft.com/office/drawing/2014/main" id="{00000000-0008-0000-1100-00002846A500}"/>
            </a:ext>
          </a:extLst>
        </xdr:cNvPr>
        <xdr:cNvSpPr>
          <a:spLocks noChangeArrowheads="1"/>
        </xdr:cNvSpPr>
      </xdr:nvSpPr>
      <xdr:spPr bwMode="auto">
        <a:xfrm>
          <a:off x="12544425" y="5810250"/>
          <a:ext cx="170497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38</xdr:row>
      <xdr:rowOff>28575</xdr:rowOff>
    </xdr:from>
    <xdr:to>
      <xdr:col>19</xdr:col>
      <xdr:colOff>0</xdr:colOff>
      <xdr:row>45</xdr:row>
      <xdr:rowOff>152400</xdr:rowOff>
    </xdr:to>
    <xdr:sp macro="" textlink="">
      <xdr:nvSpPr>
        <xdr:cNvPr id="10831401" name="Line 8">
          <a:extLst>
            <a:ext uri="{FF2B5EF4-FFF2-40B4-BE49-F238E27FC236}">
              <a16:creationId xmlns:a16="http://schemas.microsoft.com/office/drawing/2014/main" id="{00000000-0008-0000-1100-00002946A500}"/>
            </a:ext>
          </a:extLst>
        </xdr:cNvPr>
        <xdr:cNvSpPr>
          <a:spLocks noChangeShapeType="1"/>
        </xdr:cNvSpPr>
      </xdr:nvSpPr>
      <xdr:spPr bwMode="auto">
        <a:xfrm flipH="1">
          <a:off x="13411200" y="7353300"/>
          <a:ext cx="0" cy="12573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66675</xdr:colOff>
      <xdr:row>33</xdr:row>
      <xdr:rowOff>152400</xdr:rowOff>
    </xdr:from>
    <xdr:to>
      <xdr:col>17</xdr:col>
      <xdr:colOff>542925</xdr:colOff>
      <xdr:row>33</xdr:row>
      <xdr:rowOff>152400</xdr:rowOff>
    </xdr:to>
    <xdr:sp macro="" textlink="">
      <xdr:nvSpPr>
        <xdr:cNvPr id="10831402" name="Line 9">
          <a:extLst>
            <a:ext uri="{FF2B5EF4-FFF2-40B4-BE49-F238E27FC236}">
              <a16:creationId xmlns:a16="http://schemas.microsoft.com/office/drawing/2014/main" id="{00000000-0008-0000-1100-00002A46A500}"/>
            </a:ext>
          </a:extLst>
        </xdr:cNvPr>
        <xdr:cNvSpPr>
          <a:spLocks noChangeShapeType="1"/>
        </xdr:cNvSpPr>
      </xdr:nvSpPr>
      <xdr:spPr bwMode="auto">
        <a:xfrm flipH="1">
          <a:off x="12058650" y="6648450"/>
          <a:ext cx="4762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</xdr:colOff>
      <xdr:row>34</xdr:row>
      <xdr:rowOff>0</xdr:rowOff>
    </xdr:from>
    <xdr:to>
      <xdr:col>14</xdr:col>
      <xdr:colOff>561975</xdr:colOff>
      <xdr:row>34</xdr:row>
      <xdr:rowOff>0</xdr:rowOff>
    </xdr:to>
    <xdr:sp macro="" textlink="">
      <xdr:nvSpPr>
        <xdr:cNvPr id="10831403" name="Line 10">
          <a:extLst>
            <a:ext uri="{FF2B5EF4-FFF2-40B4-BE49-F238E27FC236}">
              <a16:creationId xmlns:a16="http://schemas.microsoft.com/office/drawing/2014/main" id="{00000000-0008-0000-1100-00002B46A500}"/>
            </a:ext>
          </a:extLst>
        </xdr:cNvPr>
        <xdr:cNvSpPr>
          <a:spLocks noChangeShapeType="1"/>
        </xdr:cNvSpPr>
      </xdr:nvSpPr>
      <xdr:spPr bwMode="auto">
        <a:xfrm>
          <a:off x="9801225" y="6677025"/>
          <a:ext cx="5334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47</xdr:row>
      <xdr:rowOff>85725</xdr:rowOff>
    </xdr:from>
    <xdr:to>
      <xdr:col>7</xdr:col>
      <xdr:colOff>0</xdr:colOff>
      <xdr:row>50</xdr:row>
      <xdr:rowOff>142875</xdr:rowOff>
    </xdr:to>
    <xdr:sp macro="" textlink="">
      <xdr:nvSpPr>
        <xdr:cNvPr id="10831404" name="Line 11">
          <a:extLst>
            <a:ext uri="{FF2B5EF4-FFF2-40B4-BE49-F238E27FC236}">
              <a16:creationId xmlns:a16="http://schemas.microsoft.com/office/drawing/2014/main" id="{00000000-0008-0000-1100-00002C46A500}"/>
            </a:ext>
          </a:extLst>
        </xdr:cNvPr>
        <xdr:cNvSpPr>
          <a:spLocks noChangeShapeType="1"/>
        </xdr:cNvSpPr>
      </xdr:nvSpPr>
      <xdr:spPr bwMode="auto">
        <a:xfrm flipH="1">
          <a:off x="4572000" y="8886825"/>
          <a:ext cx="0" cy="581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30</xdr:row>
      <xdr:rowOff>66675</xdr:rowOff>
    </xdr:from>
    <xdr:to>
      <xdr:col>4</xdr:col>
      <xdr:colOff>571500</xdr:colOff>
      <xdr:row>37</xdr:row>
      <xdr:rowOff>9525</xdr:rowOff>
    </xdr:to>
    <xdr:sp macro="" textlink="">
      <xdr:nvSpPr>
        <xdr:cNvPr id="10831405" name="Oval 12">
          <a:extLst>
            <a:ext uri="{FF2B5EF4-FFF2-40B4-BE49-F238E27FC236}">
              <a16:creationId xmlns:a16="http://schemas.microsoft.com/office/drawing/2014/main" id="{00000000-0008-0000-1100-00002D46A500}"/>
            </a:ext>
          </a:extLst>
        </xdr:cNvPr>
        <xdr:cNvSpPr>
          <a:spLocks noChangeArrowheads="1"/>
        </xdr:cNvSpPr>
      </xdr:nvSpPr>
      <xdr:spPr bwMode="auto">
        <a:xfrm>
          <a:off x="1914525" y="6000750"/>
          <a:ext cx="1209675" cy="11715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571500</xdr:colOff>
      <xdr:row>34</xdr:row>
      <xdr:rowOff>0</xdr:rowOff>
    </xdr:from>
    <xdr:to>
      <xdr:col>5</xdr:col>
      <xdr:colOff>542925</xdr:colOff>
      <xdr:row>34</xdr:row>
      <xdr:rowOff>0</xdr:rowOff>
    </xdr:to>
    <xdr:sp macro="" textlink="">
      <xdr:nvSpPr>
        <xdr:cNvPr id="10831406" name="Line 13">
          <a:extLst>
            <a:ext uri="{FF2B5EF4-FFF2-40B4-BE49-F238E27FC236}">
              <a16:creationId xmlns:a16="http://schemas.microsoft.com/office/drawing/2014/main" id="{00000000-0008-0000-1100-00002E46A500}"/>
            </a:ext>
          </a:extLst>
        </xdr:cNvPr>
        <xdr:cNvSpPr>
          <a:spLocks noChangeShapeType="1"/>
        </xdr:cNvSpPr>
      </xdr:nvSpPr>
      <xdr:spPr bwMode="auto">
        <a:xfrm flipH="1">
          <a:off x="3124200" y="6677025"/>
          <a:ext cx="6096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</xdr:colOff>
      <xdr:row>46</xdr:row>
      <xdr:rowOff>47625</xdr:rowOff>
    </xdr:from>
    <xdr:to>
      <xdr:col>4</xdr:col>
      <xdr:colOff>571500</xdr:colOff>
      <xdr:row>53</xdr:row>
      <xdr:rowOff>9525</xdr:rowOff>
    </xdr:to>
    <xdr:sp macro="" textlink="">
      <xdr:nvSpPr>
        <xdr:cNvPr id="10831407" name="Oval 14">
          <a:extLst>
            <a:ext uri="{FF2B5EF4-FFF2-40B4-BE49-F238E27FC236}">
              <a16:creationId xmlns:a16="http://schemas.microsoft.com/office/drawing/2014/main" id="{00000000-0008-0000-1100-00002F46A500}"/>
            </a:ext>
          </a:extLst>
        </xdr:cNvPr>
        <xdr:cNvSpPr>
          <a:spLocks noChangeArrowheads="1"/>
        </xdr:cNvSpPr>
      </xdr:nvSpPr>
      <xdr:spPr bwMode="auto">
        <a:xfrm>
          <a:off x="1933575" y="8686800"/>
          <a:ext cx="1190625" cy="11811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381000</xdr:colOff>
      <xdr:row>36</xdr:row>
      <xdr:rowOff>104775</xdr:rowOff>
    </xdr:from>
    <xdr:to>
      <xdr:col>6</xdr:col>
      <xdr:colOff>123825</xdr:colOff>
      <xdr:row>46</xdr:row>
      <xdr:rowOff>152400</xdr:rowOff>
    </xdr:to>
    <xdr:sp macro="" textlink="">
      <xdr:nvSpPr>
        <xdr:cNvPr id="10831408" name="Line 15">
          <a:extLst>
            <a:ext uri="{FF2B5EF4-FFF2-40B4-BE49-F238E27FC236}">
              <a16:creationId xmlns:a16="http://schemas.microsoft.com/office/drawing/2014/main" id="{00000000-0008-0000-1100-00003046A500}"/>
            </a:ext>
          </a:extLst>
        </xdr:cNvPr>
        <xdr:cNvSpPr>
          <a:spLocks noChangeShapeType="1"/>
        </xdr:cNvSpPr>
      </xdr:nvSpPr>
      <xdr:spPr bwMode="auto">
        <a:xfrm flipH="1">
          <a:off x="2933700" y="7105650"/>
          <a:ext cx="1066800" cy="16859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571500</xdr:colOff>
      <xdr:row>50</xdr:row>
      <xdr:rowOff>9525</xdr:rowOff>
    </xdr:from>
    <xdr:to>
      <xdr:col>6</xdr:col>
      <xdr:colOff>38100</xdr:colOff>
      <xdr:row>53</xdr:row>
      <xdr:rowOff>0</xdr:rowOff>
    </xdr:to>
    <xdr:sp macro="" textlink="">
      <xdr:nvSpPr>
        <xdr:cNvPr id="10831409" name="Line 16">
          <a:extLst>
            <a:ext uri="{FF2B5EF4-FFF2-40B4-BE49-F238E27FC236}">
              <a16:creationId xmlns:a16="http://schemas.microsoft.com/office/drawing/2014/main" id="{00000000-0008-0000-1100-00003146A500}"/>
            </a:ext>
          </a:extLst>
        </xdr:cNvPr>
        <xdr:cNvSpPr>
          <a:spLocks noChangeShapeType="1"/>
        </xdr:cNvSpPr>
      </xdr:nvSpPr>
      <xdr:spPr bwMode="auto">
        <a:xfrm flipH="1" flipV="1">
          <a:off x="3124200" y="9334500"/>
          <a:ext cx="790575" cy="5238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47</xdr:row>
      <xdr:rowOff>9525</xdr:rowOff>
    </xdr:from>
    <xdr:to>
      <xdr:col>4</xdr:col>
      <xdr:colOff>371475</xdr:colOff>
      <xdr:row>47</xdr:row>
      <xdr:rowOff>19050</xdr:rowOff>
    </xdr:to>
    <xdr:sp macro="" textlink="">
      <xdr:nvSpPr>
        <xdr:cNvPr id="10831410" name="Arc 17">
          <a:extLst>
            <a:ext uri="{FF2B5EF4-FFF2-40B4-BE49-F238E27FC236}">
              <a16:creationId xmlns:a16="http://schemas.microsoft.com/office/drawing/2014/main" id="{00000000-0008-0000-1100-00003246A500}"/>
            </a:ext>
          </a:extLst>
        </xdr:cNvPr>
        <xdr:cNvSpPr>
          <a:spLocks/>
        </xdr:cNvSpPr>
      </xdr:nvSpPr>
      <xdr:spPr bwMode="auto">
        <a:xfrm flipH="1" flipV="1">
          <a:off x="2914650" y="8810625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171450</xdr:colOff>
      <xdr:row>47</xdr:row>
      <xdr:rowOff>9525</xdr:rowOff>
    </xdr:from>
    <xdr:to>
      <xdr:col>4</xdr:col>
      <xdr:colOff>352425</xdr:colOff>
      <xdr:row>49</xdr:row>
      <xdr:rowOff>152400</xdr:rowOff>
    </xdr:to>
    <xdr:sp macro="" textlink="">
      <xdr:nvSpPr>
        <xdr:cNvPr id="10831411" name="Line 18">
          <a:extLst>
            <a:ext uri="{FF2B5EF4-FFF2-40B4-BE49-F238E27FC236}">
              <a16:creationId xmlns:a16="http://schemas.microsoft.com/office/drawing/2014/main" id="{00000000-0008-0000-1100-00003346A500}"/>
            </a:ext>
          </a:extLst>
        </xdr:cNvPr>
        <xdr:cNvSpPr>
          <a:spLocks noChangeShapeType="1"/>
        </xdr:cNvSpPr>
      </xdr:nvSpPr>
      <xdr:spPr bwMode="auto">
        <a:xfrm flipH="1">
          <a:off x="1943100" y="8810625"/>
          <a:ext cx="962025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50</xdr:row>
      <xdr:rowOff>0</xdr:rowOff>
    </xdr:from>
    <xdr:to>
      <xdr:col>3</xdr:col>
      <xdr:colOff>171450</xdr:colOff>
      <xdr:row>50</xdr:row>
      <xdr:rowOff>0</xdr:rowOff>
    </xdr:to>
    <xdr:sp macro="" textlink="">
      <xdr:nvSpPr>
        <xdr:cNvPr id="10831412" name="Line 19">
          <a:extLst>
            <a:ext uri="{FF2B5EF4-FFF2-40B4-BE49-F238E27FC236}">
              <a16:creationId xmlns:a16="http://schemas.microsoft.com/office/drawing/2014/main" id="{00000000-0008-0000-1100-00003446A500}"/>
            </a:ext>
          </a:extLst>
        </xdr:cNvPr>
        <xdr:cNvSpPr>
          <a:spLocks noChangeShapeType="1"/>
        </xdr:cNvSpPr>
      </xdr:nvSpPr>
      <xdr:spPr bwMode="auto">
        <a:xfrm flipH="1">
          <a:off x="1228725" y="9324975"/>
          <a:ext cx="71437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352425</xdr:colOff>
      <xdr:row>47</xdr:row>
      <xdr:rowOff>19050</xdr:rowOff>
    </xdr:from>
    <xdr:to>
      <xdr:col>4</xdr:col>
      <xdr:colOff>581025</xdr:colOff>
      <xdr:row>50</xdr:row>
      <xdr:rowOff>0</xdr:rowOff>
    </xdr:to>
    <xdr:sp macro="" textlink="">
      <xdr:nvSpPr>
        <xdr:cNvPr id="10831413" name="Arc 20">
          <a:extLst>
            <a:ext uri="{FF2B5EF4-FFF2-40B4-BE49-F238E27FC236}">
              <a16:creationId xmlns:a16="http://schemas.microsoft.com/office/drawing/2014/main" id="{00000000-0008-0000-1100-00003546A500}"/>
            </a:ext>
          </a:extLst>
        </xdr:cNvPr>
        <xdr:cNvSpPr>
          <a:spLocks/>
        </xdr:cNvSpPr>
      </xdr:nvSpPr>
      <xdr:spPr bwMode="auto">
        <a:xfrm flipH="1" flipV="1">
          <a:off x="2905125" y="8820150"/>
          <a:ext cx="228600" cy="5048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228600</xdr:colOff>
      <xdr:row>10</xdr:row>
      <xdr:rowOff>66675</xdr:rowOff>
    </xdr:from>
    <xdr:to>
      <xdr:col>5</xdr:col>
      <xdr:colOff>57150</xdr:colOff>
      <xdr:row>16</xdr:row>
      <xdr:rowOff>57150</xdr:rowOff>
    </xdr:to>
    <xdr:sp macro="" textlink="">
      <xdr:nvSpPr>
        <xdr:cNvPr id="10831414" name="Oval 21">
          <a:extLst>
            <a:ext uri="{FF2B5EF4-FFF2-40B4-BE49-F238E27FC236}">
              <a16:creationId xmlns:a16="http://schemas.microsoft.com/office/drawing/2014/main" id="{00000000-0008-0000-1100-00003646A500}"/>
            </a:ext>
          </a:extLst>
        </xdr:cNvPr>
        <xdr:cNvSpPr>
          <a:spLocks noChangeArrowheads="1"/>
        </xdr:cNvSpPr>
      </xdr:nvSpPr>
      <xdr:spPr bwMode="auto">
        <a:xfrm>
          <a:off x="2000250" y="2447925"/>
          <a:ext cx="1247775" cy="11049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304800</xdr:colOff>
      <xdr:row>23</xdr:row>
      <xdr:rowOff>123825</xdr:rowOff>
    </xdr:from>
    <xdr:to>
      <xdr:col>6</xdr:col>
      <xdr:colOff>228600</xdr:colOff>
      <xdr:row>30</xdr:row>
      <xdr:rowOff>142875</xdr:rowOff>
    </xdr:to>
    <xdr:sp macro="" textlink="">
      <xdr:nvSpPr>
        <xdr:cNvPr id="10831415" name="Line 22">
          <a:extLst>
            <a:ext uri="{FF2B5EF4-FFF2-40B4-BE49-F238E27FC236}">
              <a16:creationId xmlns:a16="http://schemas.microsoft.com/office/drawing/2014/main" id="{00000000-0008-0000-1100-00003746A500}"/>
            </a:ext>
          </a:extLst>
        </xdr:cNvPr>
        <xdr:cNvSpPr>
          <a:spLocks noChangeShapeType="1"/>
        </xdr:cNvSpPr>
      </xdr:nvSpPr>
      <xdr:spPr bwMode="auto">
        <a:xfrm flipH="1">
          <a:off x="2857500" y="4857750"/>
          <a:ext cx="1247775" cy="12192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52</xdr:row>
      <xdr:rowOff>38100</xdr:rowOff>
    </xdr:from>
    <xdr:to>
      <xdr:col>14</xdr:col>
      <xdr:colOff>9525</xdr:colOff>
      <xdr:row>60</xdr:row>
      <xdr:rowOff>28575</xdr:rowOff>
    </xdr:to>
    <xdr:sp macro="" textlink="">
      <xdr:nvSpPr>
        <xdr:cNvPr id="10831416" name="Arc 23">
          <a:extLst>
            <a:ext uri="{FF2B5EF4-FFF2-40B4-BE49-F238E27FC236}">
              <a16:creationId xmlns:a16="http://schemas.microsoft.com/office/drawing/2014/main" id="{00000000-0008-0000-1100-00003846A500}"/>
            </a:ext>
          </a:extLst>
        </xdr:cNvPr>
        <xdr:cNvSpPr>
          <a:spLocks/>
        </xdr:cNvSpPr>
      </xdr:nvSpPr>
      <xdr:spPr bwMode="auto">
        <a:xfrm flipH="1">
          <a:off x="6705600" y="9705975"/>
          <a:ext cx="3076575" cy="143827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600075</xdr:colOff>
      <xdr:row>52</xdr:row>
      <xdr:rowOff>38100</xdr:rowOff>
    </xdr:from>
    <xdr:to>
      <xdr:col>17</xdr:col>
      <xdr:colOff>571500</xdr:colOff>
      <xdr:row>60</xdr:row>
      <xdr:rowOff>38100</xdr:rowOff>
    </xdr:to>
    <xdr:sp macro="" textlink="">
      <xdr:nvSpPr>
        <xdr:cNvPr id="10831417" name="Arc 24">
          <a:extLst>
            <a:ext uri="{FF2B5EF4-FFF2-40B4-BE49-F238E27FC236}">
              <a16:creationId xmlns:a16="http://schemas.microsoft.com/office/drawing/2014/main" id="{00000000-0008-0000-1100-00003946A500}"/>
            </a:ext>
          </a:extLst>
        </xdr:cNvPr>
        <xdr:cNvSpPr>
          <a:spLocks/>
        </xdr:cNvSpPr>
      </xdr:nvSpPr>
      <xdr:spPr bwMode="auto">
        <a:xfrm>
          <a:off x="9505950" y="9705975"/>
          <a:ext cx="3057525" cy="144780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552450</xdr:colOff>
      <xdr:row>57</xdr:row>
      <xdr:rowOff>104775</xdr:rowOff>
    </xdr:from>
    <xdr:to>
      <xdr:col>6</xdr:col>
      <xdr:colOff>38100</xdr:colOff>
      <xdr:row>61</xdr:row>
      <xdr:rowOff>76200</xdr:rowOff>
    </xdr:to>
    <xdr:sp macro="" textlink="">
      <xdr:nvSpPr>
        <xdr:cNvPr id="10831418" name="Line 25">
          <a:extLst>
            <a:ext uri="{FF2B5EF4-FFF2-40B4-BE49-F238E27FC236}">
              <a16:creationId xmlns:a16="http://schemas.microsoft.com/office/drawing/2014/main" id="{00000000-0008-0000-1100-00003A46A500}"/>
            </a:ext>
          </a:extLst>
        </xdr:cNvPr>
        <xdr:cNvSpPr>
          <a:spLocks noChangeShapeType="1"/>
        </xdr:cNvSpPr>
      </xdr:nvSpPr>
      <xdr:spPr bwMode="auto">
        <a:xfrm flipH="1">
          <a:off x="3105150" y="10639425"/>
          <a:ext cx="809625" cy="7143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180975</xdr:colOff>
      <xdr:row>37</xdr:row>
      <xdr:rowOff>76200</xdr:rowOff>
    </xdr:from>
    <xdr:to>
      <xdr:col>17</xdr:col>
      <xdr:colOff>152400</xdr:colOff>
      <xdr:row>45</xdr:row>
      <xdr:rowOff>152400</xdr:rowOff>
    </xdr:to>
    <xdr:sp macro="" textlink="">
      <xdr:nvSpPr>
        <xdr:cNvPr id="10831419" name="Line 26">
          <a:extLst>
            <a:ext uri="{FF2B5EF4-FFF2-40B4-BE49-F238E27FC236}">
              <a16:creationId xmlns:a16="http://schemas.microsoft.com/office/drawing/2014/main" id="{00000000-0008-0000-1100-00003B46A500}"/>
            </a:ext>
          </a:extLst>
        </xdr:cNvPr>
        <xdr:cNvSpPr>
          <a:spLocks noChangeShapeType="1"/>
        </xdr:cNvSpPr>
      </xdr:nvSpPr>
      <xdr:spPr bwMode="auto">
        <a:xfrm>
          <a:off x="11449050" y="7239000"/>
          <a:ext cx="695325" cy="13716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</xdr:colOff>
      <xdr:row>38</xdr:row>
      <xdr:rowOff>19050</xdr:rowOff>
    </xdr:from>
    <xdr:to>
      <xdr:col>11</xdr:col>
      <xdr:colOff>609600</xdr:colOff>
      <xdr:row>53</xdr:row>
      <xdr:rowOff>142875</xdr:rowOff>
    </xdr:to>
    <xdr:sp macro="" textlink="">
      <xdr:nvSpPr>
        <xdr:cNvPr id="10831420" name="Line 27">
          <a:extLst>
            <a:ext uri="{FF2B5EF4-FFF2-40B4-BE49-F238E27FC236}">
              <a16:creationId xmlns:a16="http://schemas.microsoft.com/office/drawing/2014/main" id="{00000000-0008-0000-1100-00003C46A500}"/>
            </a:ext>
          </a:extLst>
        </xdr:cNvPr>
        <xdr:cNvSpPr>
          <a:spLocks noChangeShapeType="1"/>
        </xdr:cNvSpPr>
      </xdr:nvSpPr>
      <xdr:spPr bwMode="auto">
        <a:xfrm>
          <a:off x="6734175" y="7343775"/>
          <a:ext cx="1304925" cy="26574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152400</xdr:colOff>
      <xdr:row>45</xdr:row>
      <xdr:rowOff>47625</xdr:rowOff>
    </xdr:from>
    <xdr:to>
      <xdr:col>11</xdr:col>
      <xdr:colOff>266700</xdr:colOff>
      <xdr:row>54</xdr:row>
      <xdr:rowOff>38100</xdr:rowOff>
    </xdr:to>
    <xdr:sp macro="" textlink="">
      <xdr:nvSpPr>
        <xdr:cNvPr id="10831421" name="Line 28">
          <a:extLst>
            <a:ext uri="{FF2B5EF4-FFF2-40B4-BE49-F238E27FC236}">
              <a16:creationId xmlns:a16="http://schemas.microsoft.com/office/drawing/2014/main" id="{00000000-0008-0000-1100-00003D46A500}"/>
            </a:ext>
          </a:extLst>
        </xdr:cNvPr>
        <xdr:cNvSpPr>
          <a:spLocks noChangeShapeType="1"/>
        </xdr:cNvSpPr>
      </xdr:nvSpPr>
      <xdr:spPr bwMode="auto">
        <a:xfrm>
          <a:off x="5438775" y="8505825"/>
          <a:ext cx="2257425" cy="15525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25</xdr:row>
      <xdr:rowOff>0</xdr:rowOff>
    </xdr:from>
    <xdr:to>
      <xdr:col>11</xdr:col>
      <xdr:colOff>123825</xdr:colOff>
      <xdr:row>25</xdr:row>
      <xdr:rowOff>0</xdr:rowOff>
    </xdr:to>
    <xdr:sp macro="" textlink="">
      <xdr:nvSpPr>
        <xdr:cNvPr id="10831422" name="Line 29">
          <a:extLst>
            <a:ext uri="{FF2B5EF4-FFF2-40B4-BE49-F238E27FC236}">
              <a16:creationId xmlns:a16="http://schemas.microsoft.com/office/drawing/2014/main" id="{00000000-0008-0000-1100-00003E46A500}"/>
            </a:ext>
          </a:extLst>
        </xdr:cNvPr>
        <xdr:cNvSpPr>
          <a:spLocks noChangeShapeType="1"/>
        </xdr:cNvSpPr>
      </xdr:nvSpPr>
      <xdr:spPr bwMode="auto">
        <a:xfrm>
          <a:off x="6010275" y="5067300"/>
          <a:ext cx="15430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600075</xdr:colOff>
      <xdr:row>20</xdr:row>
      <xdr:rowOff>0</xdr:rowOff>
    </xdr:from>
    <xdr:to>
      <xdr:col>13</xdr:col>
      <xdr:colOff>9525</xdr:colOff>
      <xdr:row>29</xdr:row>
      <xdr:rowOff>47625</xdr:rowOff>
    </xdr:to>
    <xdr:sp macro="" textlink="">
      <xdr:nvSpPr>
        <xdr:cNvPr id="10831423" name="Line 30">
          <a:extLst>
            <a:ext uri="{FF2B5EF4-FFF2-40B4-BE49-F238E27FC236}">
              <a16:creationId xmlns:a16="http://schemas.microsoft.com/office/drawing/2014/main" id="{00000000-0008-0000-1100-00003F46A500}"/>
            </a:ext>
          </a:extLst>
        </xdr:cNvPr>
        <xdr:cNvSpPr>
          <a:spLocks noChangeShapeType="1"/>
        </xdr:cNvSpPr>
      </xdr:nvSpPr>
      <xdr:spPr bwMode="auto">
        <a:xfrm>
          <a:off x="8029575" y="4191000"/>
          <a:ext cx="885825" cy="16287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171450</xdr:colOff>
      <xdr:row>19</xdr:row>
      <xdr:rowOff>171450</xdr:rowOff>
    </xdr:from>
    <xdr:to>
      <xdr:col>11</xdr:col>
      <xdr:colOff>619125</xdr:colOff>
      <xdr:row>19</xdr:row>
      <xdr:rowOff>171450</xdr:rowOff>
    </xdr:to>
    <xdr:sp macro="" textlink="">
      <xdr:nvSpPr>
        <xdr:cNvPr id="10831424" name="Line 31">
          <a:extLst>
            <a:ext uri="{FF2B5EF4-FFF2-40B4-BE49-F238E27FC236}">
              <a16:creationId xmlns:a16="http://schemas.microsoft.com/office/drawing/2014/main" id="{00000000-0008-0000-1100-00004046A500}"/>
            </a:ext>
          </a:extLst>
        </xdr:cNvPr>
        <xdr:cNvSpPr>
          <a:spLocks noChangeShapeType="1"/>
        </xdr:cNvSpPr>
      </xdr:nvSpPr>
      <xdr:spPr bwMode="auto">
        <a:xfrm flipH="1">
          <a:off x="5457825" y="4171950"/>
          <a:ext cx="25908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695325</xdr:colOff>
      <xdr:row>57</xdr:row>
      <xdr:rowOff>133350</xdr:rowOff>
    </xdr:from>
    <xdr:to>
      <xdr:col>8</xdr:col>
      <xdr:colOff>257175</xdr:colOff>
      <xdr:row>61</xdr:row>
      <xdr:rowOff>28575</xdr:rowOff>
    </xdr:to>
    <xdr:sp macro="" textlink="">
      <xdr:nvSpPr>
        <xdr:cNvPr id="10831425" name="Line 32">
          <a:extLst>
            <a:ext uri="{FF2B5EF4-FFF2-40B4-BE49-F238E27FC236}">
              <a16:creationId xmlns:a16="http://schemas.microsoft.com/office/drawing/2014/main" id="{00000000-0008-0000-1100-00004146A500}"/>
            </a:ext>
          </a:extLst>
        </xdr:cNvPr>
        <xdr:cNvSpPr>
          <a:spLocks noChangeShapeType="1"/>
        </xdr:cNvSpPr>
      </xdr:nvSpPr>
      <xdr:spPr bwMode="auto">
        <a:xfrm flipH="1" flipV="1">
          <a:off x="5267325" y="10668000"/>
          <a:ext cx="276225" cy="638175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25</xdr:row>
      <xdr:rowOff>9525</xdr:rowOff>
    </xdr:from>
    <xdr:to>
      <xdr:col>7</xdr:col>
      <xdr:colOff>28575</xdr:colOff>
      <xdr:row>29</xdr:row>
      <xdr:rowOff>47625</xdr:rowOff>
    </xdr:to>
    <xdr:sp macro="" textlink="">
      <xdr:nvSpPr>
        <xdr:cNvPr id="10831426" name="Line 33">
          <a:extLst>
            <a:ext uri="{FF2B5EF4-FFF2-40B4-BE49-F238E27FC236}">
              <a16:creationId xmlns:a16="http://schemas.microsoft.com/office/drawing/2014/main" id="{00000000-0008-0000-1100-00004246A500}"/>
            </a:ext>
          </a:extLst>
        </xdr:cNvPr>
        <xdr:cNvSpPr>
          <a:spLocks noChangeShapeType="1"/>
        </xdr:cNvSpPr>
      </xdr:nvSpPr>
      <xdr:spPr bwMode="auto">
        <a:xfrm>
          <a:off x="4600575" y="5076825"/>
          <a:ext cx="0" cy="7429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247650</xdr:colOff>
      <xdr:row>11</xdr:row>
      <xdr:rowOff>0</xdr:rowOff>
    </xdr:from>
    <xdr:to>
      <xdr:col>6</xdr:col>
      <xdr:colOff>657225</xdr:colOff>
      <xdr:row>16</xdr:row>
      <xdr:rowOff>57150</xdr:rowOff>
    </xdr:to>
    <xdr:sp macro="" textlink="">
      <xdr:nvSpPr>
        <xdr:cNvPr id="10831427" name="Line 34">
          <a:extLst>
            <a:ext uri="{FF2B5EF4-FFF2-40B4-BE49-F238E27FC236}">
              <a16:creationId xmlns:a16="http://schemas.microsoft.com/office/drawing/2014/main" id="{00000000-0008-0000-1100-00004346A500}"/>
            </a:ext>
          </a:extLst>
        </xdr:cNvPr>
        <xdr:cNvSpPr>
          <a:spLocks noChangeShapeType="1"/>
        </xdr:cNvSpPr>
      </xdr:nvSpPr>
      <xdr:spPr bwMode="auto">
        <a:xfrm flipH="1" flipV="1">
          <a:off x="4124325" y="2581275"/>
          <a:ext cx="409575" cy="9715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66675</xdr:colOff>
      <xdr:row>34</xdr:row>
      <xdr:rowOff>9525</xdr:rowOff>
    </xdr:from>
    <xdr:to>
      <xdr:col>8</xdr:col>
      <xdr:colOff>561975</xdr:colOff>
      <xdr:row>34</xdr:row>
      <xdr:rowOff>28575</xdr:rowOff>
    </xdr:to>
    <xdr:sp macro="" textlink="">
      <xdr:nvSpPr>
        <xdr:cNvPr id="10831428" name="Line 35">
          <a:extLst>
            <a:ext uri="{FF2B5EF4-FFF2-40B4-BE49-F238E27FC236}">
              <a16:creationId xmlns:a16="http://schemas.microsoft.com/office/drawing/2014/main" id="{00000000-0008-0000-1100-00004446A500}"/>
            </a:ext>
          </a:extLst>
        </xdr:cNvPr>
        <xdr:cNvSpPr>
          <a:spLocks noChangeShapeType="1"/>
        </xdr:cNvSpPr>
      </xdr:nvSpPr>
      <xdr:spPr bwMode="auto">
        <a:xfrm flipV="1">
          <a:off x="5353050" y="6686550"/>
          <a:ext cx="495300" cy="190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447675</xdr:colOff>
      <xdr:row>37</xdr:row>
      <xdr:rowOff>114300</xdr:rowOff>
    </xdr:from>
    <xdr:to>
      <xdr:col>15</xdr:col>
      <xdr:colOff>466725</xdr:colOff>
      <xdr:row>52</xdr:row>
      <xdr:rowOff>85725</xdr:rowOff>
    </xdr:to>
    <xdr:sp macro="" textlink="">
      <xdr:nvSpPr>
        <xdr:cNvPr id="10831429" name="Line 36">
          <a:extLst>
            <a:ext uri="{FF2B5EF4-FFF2-40B4-BE49-F238E27FC236}">
              <a16:creationId xmlns:a16="http://schemas.microsoft.com/office/drawing/2014/main" id="{00000000-0008-0000-1100-00004546A500}"/>
            </a:ext>
          </a:extLst>
        </xdr:cNvPr>
        <xdr:cNvSpPr>
          <a:spLocks noChangeShapeType="1"/>
        </xdr:cNvSpPr>
      </xdr:nvSpPr>
      <xdr:spPr bwMode="auto">
        <a:xfrm flipV="1">
          <a:off x="10220325" y="7277100"/>
          <a:ext cx="714375" cy="2476500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</xdr:colOff>
      <xdr:row>13</xdr:row>
      <xdr:rowOff>0</xdr:rowOff>
    </xdr:from>
    <xdr:to>
      <xdr:col>6</xdr:col>
      <xdr:colOff>438150</xdr:colOff>
      <xdr:row>17</xdr:row>
      <xdr:rowOff>0</xdr:rowOff>
    </xdr:to>
    <xdr:sp macro="" textlink="">
      <xdr:nvSpPr>
        <xdr:cNvPr id="10831430" name="Line 37">
          <a:extLst>
            <a:ext uri="{FF2B5EF4-FFF2-40B4-BE49-F238E27FC236}">
              <a16:creationId xmlns:a16="http://schemas.microsoft.com/office/drawing/2014/main" id="{00000000-0008-0000-1100-00004646A500}"/>
            </a:ext>
          </a:extLst>
        </xdr:cNvPr>
        <xdr:cNvSpPr>
          <a:spLocks noChangeShapeType="1"/>
        </xdr:cNvSpPr>
      </xdr:nvSpPr>
      <xdr:spPr bwMode="auto">
        <a:xfrm>
          <a:off x="3257550" y="2971800"/>
          <a:ext cx="1057275" cy="6858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33</xdr:row>
      <xdr:rowOff>161925</xdr:rowOff>
    </xdr:from>
    <xdr:to>
      <xdr:col>11</xdr:col>
      <xdr:colOff>695325</xdr:colOff>
      <xdr:row>33</xdr:row>
      <xdr:rowOff>161925</xdr:rowOff>
    </xdr:to>
    <xdr:sp macro="" textlink="">
      <xdr:nvSpPr>
        <xdr:cNvPr id="10831431" name="Line 38">
          <a:extLst>
            <a:ext uri="{FF2B5EF4-FFF2-40B4-BE49-F238E27FC236}">
              <a16:creationId xmlns:a16="http://schemas.microsoft.com/office/drawing/2014/main" id="{00000000-0008-0000-1100-00004746A500}"/>
            </a:ext>
          </a:extLst>
        </xdr:cNvPr>
        <xdr:cNvSpPr>
          <a:spLocks noChangeShapeType="1"/>
        </xdr:cNvSpPr>
      </xdr:nvSpPr>
      <xdr:spPr bwMode="auto">
        <a:xfrm>
          <a:off x="7496175" y="6657975"/>
          <a:ext cx="6286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25</xdr:row>
      <xdr:rowOff>0</xdr:rowOff>
    </xdr:from>
    <xdr:to>
      <xdr:col>9</xdr:col>
      <xdr:colOff>28575</xdr:colOff>
      <xdr:row>30</xdr:row>
      <xdr:rowOff>114300</xdr:rowOff>
    </xdr:to>
    <xdr:sp macro="" textlink="">
      <xdr:nvSpPr>
        <xdr:cNvPr id="10831432" name="Line 39">
          <a:extLst>
            <a:ext uri="{FF2B5EF4-FFF2-40B4-BE49-F238E27FC236}">
              <a16:creationId xmlns:a16="http://schemas.microsoft.com/office/drawing/2014/main" id="{00000000-0008-0000-1100-00004846A500}"/>
            </a:ext>
          </a:extLst>
        </xdr:cNvPr>
        <xdr:cNvSpPr>
          <a:spLocks noChangeShapeType="1"/>
        </xdr:cNvSpPr>
      </xdr:nvSpPr>
      <xdr:spPr bwMode="auto">
        <a:xfrm flipH="1">
          <a:off x="5105400" y="5067300"/>
          <a:ext cx="923925" cy="9810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114300</xdr:colOff>
      <xdr:row>25</xdr:row>
      <xdr:rowOff>9525</xdr:rowOff>
    </xdr:from>
    <xdr:to>
      <xdr:col>12</xdr:col>
      <xdr:colOff>142875</xdr:colOff>
      <xdr:row>30</xdr:row>
      <xdr:rowOff>76200</xdr:rowOff>
    </xdr:to>
    <xdr:sp macro="" textlink="">
      <xdr:nvSpPr>
        <xdr:cNvPr id="10831433" name="Line 40">
          <a:extLst>
            <a:ext uri="{FF2B5EF4-FFF2-40B4-BE49-F238E27FC236}">
              <a16:creationId xmlns:a16="http://schemas.microsoft.com/office/drawing/2014/main" id="{00000000-0008-0000-1100-00004946A500}"/>
            </a:ext>
          </a:extLst>
        </xdr:cNvPr>
        <xdr:cNvSpPr>
          <a:spLocks noChangeShapeType="1"/>
        </xdr:cNvSpPr>
      </xdr:nvSpPr>
      <xdr:spPr bwMode="auto">
        <a:xfrm>
          <a:off x="7543800" y="5076825"/>
          <a:ext cx="809625" cy="933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52</xdr:row>
      <xdr:rowOff>104775</xdr:rowOff>
    </xdr:from>
    <xdr:to>
      <xdr:col>12</xdr:col>
      <xdr:colOff>561975</xdr:colOff>
      <xdr:row>52</xdr:row>
      <xdr:rowOff>114300</xdr:rowOff>
    </xdr:to>
    <xdr:sp macro="" textlink="">
      <xdr:nvSpPr>
        <xdr:cNvPr id="10831434" name="Arc 41">
          <a:extLst>
            <a:ext uri="{FF2B5EF4-FFF2-40B4-BE49-F238E27FC236}">
              <a16:creationId xmlns:a16="http://schemas.microsoft.com/office/drawing/2014/main" id="{00000000-0008-0000-1100-00004A46A500}"/>
            </a:ext>
          </a:extLst>
        </xdr:cNvPr>
        <xdr:cNvSpPr>
          <a:spLocks/>
        </xdr:cNvSpPr>
      </xdr:nvSpPr>
      <xdr:spPr bwMode="auto">
        <a:xfrm flipV="1">
          <a:off x="8715375" y="9772650"/>
          <a:ext cx="57150" cy="95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85725</xdr:rowOff>
    </xdr:from>
    <xdr:to>
      <xdr:col>13</xdr:col>
      <xdr:colOff>152400</xdr:colOff>
      <xdr:row>52</xdr:row>
      <xdr:rowOff>85725</xdr:rowOff>
    </xdr:to>
    <xdr:sp macro="" textlink="">
      <xdr:nvSpPr>
        <xdr:cNvPr id="10831435" name="Arc 42">
          <a:extLst>
            <a:ext uri="{FF2B5EF4-FFF2-40B4-BE49-F238E27FC236}">
              <a16:creationId xmlns:a16="http://schemas.microsoft.com/office/drawing/2014/main" id="{00000000-0008-0000-1100-00004B46A500}"/>
            </a:ext>
          </a:extLst>
        </xdr:cNvPr>
        <xdr:cNvSpPr>
          <a:spLocks/>
        </xdr:cNvSpPr>
      </xdr:nvSpPr>
      <xdr:spPr bwMode="auto">
        <a:xfrm flipH="1">
          <a:off x="9029700" y="975360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66675</xdr:rowOff>
    </xdr:from>
    <xdr:to>
      <xdr:col>13</xdr:col>
      <xdr:colOff>152400</xdr:colOff>
      <xdr:row>52</xdr:row>
      <xdr:rowOff>85725</xdr:rowOff>
    </xdr:to>
    <xdr:sp macro="" textlink="">
      <xdr:nvSpPr>
        <xdr:cNvPr id="10831436" name="Arc 43">
          <a:extLst>
            <a:ext uri="{FF2B5EF4-FFF2-40B4-BE49-F238E27FC236}">
              <a16:creationId xmlns:a16="http://schemas.microsoft.com/office/drawing/2014/main" id="{00000000-0008-0000-1100-00004C46A500}"/>
            </a:ext>
          </a:extLst>
        </xdr:cNvPr>
        <xdr:cNvSpPr>
          <a:spLocks/>
        </xdr:cNvSpPr>
      </xdr:nvSpPr>
      <xdr:spPr bwMode="auto">
        <a:xfrm>
          <a:off x="9029700" y="9734550"/>
          <a:ext cx="28575" cy="190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4 h 21600"/>
            <a:gd name="T4" fmla="*/ 0 w 21600"/>
            <a:gd name="T5" fmla="*/ 4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142875</xdr:colOff>
      <xdr:row>52</xdr:row>
      <xdr:rowOff>95250</xdr:rowOff>
    </xdr:from>
    <xdr:to>
      <xdr:col>13</xdr:col>
      <xdr:colOff>200025</xdr:colOff>
      <xdr:row>58</xdr:row>
      <xdr:rowOff>28575</xdr:rowOff>
    </xdr:to>
    <xdr:sp macro="" textlink="">
      <xdr:nvSpPr>
        <xdr:cNvPr id="10831437" name="Arc 44">
          <a:extLst>
            <a:ext uri="{FF2B5EF4-FFF2-40B4-BE49-F238E27FC236}">
              <a16:creationId xmlns:a16="http://schemas.microsoft.com/office/drawing/2014/main" id="{00000000-0008-0000-1100-00004D46A500}"/>
            </a:ext>
          </a:extLst>
        </xdr:cNvPr>
        <xdr:cNvSpPr>
          <a:spLocks/>
        </xdr:cNvSpPr>
      </xdr:nvSpPr>
      <xdr:spPr bwMode="auto">
        <a:xfrm flipV="1">
          <a:off x="6848475" y="9763125"/>
          <a:ext cx="2257425" cy="105727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685800</xdr:colOff>
      <xdr:row>38</xdr:row>
      <xdr:rowOff>28575</xdr:rowOff>
    </xdr:from>
    <xdr:to>
      <xdr:col>12</xdr:col>
      <xdr:colOff>685800</xdr:colOff>
      <xdr:row>52</xdr:row>
      <xdr:rowOff>76200</xdr:rowOff>
    </xdr:to>
    <xdr:sp macro="" textlink="">
      <xdr:nvSpPr>
        <xdr:cNvPr id="10831438" name="Line 45">
          <a:extLst>
            <a:ext uri="{FF2B5EF4-FFF2-40B4-BE49-F238E27FC236}">
              <a16:creationId xmlns:a16="http://schemas.microsoft.com/office/drawing/2014/main" id="{00000000-0008-0000-1100-00004E46A500}"/>
            </a:ext>
          </a:extLst>
        </xdr:cNvPr>
        <xdr:cNvSpPr>
          <a:spLocks noChangeShapeType="1"/>
        </xdr:cNvSpPr>
      </xdr:nvSpPr>
      <xdr:spPr bwMode="auto">
        <a:xfrm>
          <a:off x="8896350" y="7353300"/>
          <a:ext cx="0" cy="23907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161925</xdr:colOff>
      <xdr:row>34</xdr:row>
      <xdr:rowOff>0</xdr:rowOff>
    </xdr:from>
    <xdr:to>
      <xdr:col>3</xdr:col>
      <xdr:colOff>142875</xdr:colOff>
      <xdr:row>34</xdr:row>
      <xdr:rowOff>0</xdr:rowOff>
    </xdr:to>
    <xdr:sp macro="" textlink="">
      <xdr:nvSpPr>
        <xdr:cNvPr id="10831439" name="Line 46">
          <a:extLst>
            <a:ext uri="{FF2B5EF4-FFF2-40B4-BE49-F238E27FC236}">
              <a16:creationId xmlns:a16="http://schemas.microsoft.com/office/drawing/2014/main" id="{00000000-0008-0000-1100-00004F46A500}"/>
            </a:ext>
          </a:extLst>
        </xdr:cNvPr>
        <xdr:cNvSpPr>
          <a:spLocks noChangeShapeType="1"/>
        </xdr:cNvSpPr>
      </xdr:nvSpPr>
      <xdr:spPr bwMode="auto">
        <a:xfrm flipH="1">
          <a:off x="1095375" y="6677025"/>
          <a:ext cx="8191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61</xdr:row>
      <xdr:rowOff>9525</xdr:rowOff>
    </xdr:from>
    <xdr:to>
      <xdr:col>5</xdr:col>
      <xdr:colOff>123825</xdr:colOff>
      <xdr:row>66</xdr:row>
      <xdr:rowOff>38100</xdr:rowOff>
    </xdr:to>
    <xdr:sp macro="" textlink="">
      <xdr:nvSpPr>
        <xdr:cNvPr id="10831440" name="Oval 47">
          <a:extLst>
            <a:ext uri="{FF2B5EF4-FFF2-40B4-BE49-F238E27FC236}">
              <a16:creationId xmlns:a16="http://schemas.microsoft.com/office/drawing/2014/main" id="{00000000-0008-0000-1100-00005046A500}"/>
            </a:ext>
          </a:extLst>
        </xdr:cNvPr>
        <xdr:cNvSpPr>
          <a:spLocks noChangeArrowheads="1"/>
        </xdr:cNvSpPr>
      </xdr:nvSpPr>
      <xdr:spPr bwMode="auto">
        <a:xfrm>
          <a:off x="2286000" y="11287125"/>
          <a:ext cx="1028700" cy="8858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581025</xdr:colOff>
      <xdr:row>61</xdr:row>
      <xdr:rowOff>28575</xdr:rowOff>
    </xdr:from>
    <xdr:to>
      <xdr:col>9</xdr:col>
      <xdr:colOff>180975</xdr:colOff>
      <xdr:row>66</xdr:row>
      <xdr:rowOff>57150</xdr:rowOff>
    </xdr:to>
    <xdr:sp macro="" textlink="">
      <xdr:nvSpPr>
        <xdr:cNvPr id="10831441" name="Oval 48">
          <a:extLst>
            <a:ext uri="{FF2B5EF4-FFF2-40B4-BE49-F238E27FC236}">
              <a16:creationId xmlns:a16="http://schemas.microsoft.com/office/drawing/2014/main" id="{00000000-0008-0000-1100-00005146A500}"/>
            </a:ext>
          </a:extLst>
        </xdr:cNvPr>
        <xdr:cNvSpPr>
          <a:spLocks noChangeArrowheads="1"/>
        </xdr:cNvSpPr>
      </xdr:nvSpPr>
      <xdr:spPr bwMode="auto">
        <a:xfrm>
          <a:off x="5153025" y="11306175"/>
          <a:ext cx="1028700" cy="8858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104775</xdr:colOff>
      <xdr:row>38</xdr:row>
      <xdr:rowOff>28575</xdr:rowOff>
    </xdr:from>
    <xdr:to>
      <xdr:col>13</xdr:col>
      <xdr:colOff>333375</xdr:colOff>
      <xdr:row>52</xdr:row>
      <xdr:rowOff>66675</xdr:rowOff>
    </xdr:to>
    <xdr:sp macro="" textlink="">
      <xdr:nvSpPr>
        <xdr:cNvPr id="10831442" name="Line 49">
          <a:extLst>
            <a:ext uri="{FF2B5EF4-FFF2-40B4-BE49-F238E27FC236}">
              <a16:creationId xmlns:a16="http://schemas.microsoft.com/office/drawing/2014/main" id="{00000000-0008-0000-1100-00005246A500}"/>
            </a:ext>
          </a:extLst>
        </xdr:cNvPr>
        <xdr:cNvSpPr>
          <a:spLocks noChangeShapeType="1"/>
        </xdr:cNvSpPr>
      </xdr:nvSpPr>
      <xdr:spPr bwMode="auto">
        <a:xfrm>
          <a:off x="9010650" y="7353300"/>
          <a:ext cx="228600" cy="23812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609600</xdr:colOff>
      <xdr:row>37</xdr:row>
      <xdr:rowOff>123825</xdr:rowOff>
    </xdr:from>
    <xdr:to>
      <xdr:col>15</xdr:col>
      <xdr:colOff>609600</xdr:colOff>
      <xdr:row>52</xdr:row>
      <xdr:rowOff>76200</xdr:rowOff>
    </xdr:to>
    <xdr:sp macro="" textlink="">
      <xdr:nvSpPr>
        <xdr:cNvPr id="10831443" name="Line 50">
          <a:extLst>
            <a:ext uri="{FF2B5EF4-FFF2-40B4-BE49-F238E27FC236}">
              <a16:creationId xmlns:a16="http://schemas.microsoft.com/office/drawing/2014/main" id="{00000000-0008-0000-1100-00005346A500}"/>
            </a:ext>
          </a:extLst>
        </xdr:cNvPr>
        <xdr:cNvSpPr>
          <a:spLocks noChangeShapeType="1"/>
        </xdr:cNvSpPr>
      </xdr:nvSpPr>
      <xdr:spPr bwMode="auto">
        <a:xfrm flipV="1">
          <a:off x="10382250" y="7286625"/>
          <a:ext cx="695325" cy="2457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18</xdr:row>
      <xdr:rowOff>104775</xdr:rowOff>
    </xdr:from>
    <xdr:to>
      <xdr:col>6</xdr:col>
      <xdr:colOff>0</xdr:colOff>
      <xdr:row>26</xdr:row>
      <xdr:rowOff>0</xdr:rowOff>
    </xdr:to>
    <xdr:sp macro="" textlink="">
      <xdr:nvSpPr>
        <xdr:cNvPr id="10831444" name="Oval 51">
          <a:extLst>
            <a:ext uri="{FF2B5EF4-FFF2-40B4-BE49-F238E27FC236}">
              <a16:creationId xmlns:a16="http://schemas.microsoft.com/office/drawing/2014/main" id="{00000000-0008-0000-1100-00005446A500}"/>
            </a:ext>
          </a:extLst>
        </xdr:cNvPr>
        <xdr:cNvSpPr>
          <a:spLocks noChangeArrowheads="1"/>
        </xdr:cNvSpPr>
      </xdr:nvSpPr>
      <xdr:spPr bwMode="auto">
        <a:xfrm>
          <a:off x="2562225" y="3924300"/>
          <a:ext cx="1314450" cy="13335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16</xdr:row>
      <xdr:rowOff>66675</xdr:rowOff>
    </xdr:from>
    <xdr:to>
      <xdr:col>4</xdr:col>
      <xdr:colOff>228600</xdr:colOff>
      <xdr:row>19</xdr:row>
      <xdr:rowOff>104775</xdr:rowOff>
    </xdr:to>
    <xdr:sp macro="" textlink="">
      <xdr:nvSpPr>
        <xdr:cNvPr id="10831445" name="Line 52">
          <a:extLst>
            <a:ext uri="{FF2B5EF4-FFF2-40B4-BE49-F238E27FC236}">
              <a16:creationId xmlns:a16="http://schemas.microsoft.com/office/drawing/2014/main" id="{00000000-0008-0000-1100-00005546A500}"/>
            </a:ext>
          </a:extLst>
        </xdr:cNvPr>
        <xdr:cNvSpPr>
          <a:spLocks noChangeShapeType="1"/>
        </xdr:cNvSpPr>
      </xdr:nvSpPr>
      <xdr:spPr bwMode="auto">
        <a:xfrm flipH="1" flipV="1">
          <a:off x="2552700" y="3562350"/>
          <a:ext cx="228600" cy="5429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15</xdr:row>
      <xdr:rowOff>123825</xdr:rowOff>
    </xdr:from>
    <xdr:to>
      <xdr:col>3</xdr:col>
      <xdr:colOff>533400</xdr:colOff>
      <xdr:row>30</xdr:row>
      <xdr:rowOff>104775</xdr:rowOff>
    </xdr:to>
    <xdr:sp macro="" textlink="">
      <xdr:nvSpPr>
        <xdr:cNvPr id="10831446" name="Line 53">
          <a:extLst>
            <a:ext uri="{FF2B5EF4-FFF2-40B4-BE49-F238E27FC236}">
              <a16:creationId xmlns:a16="http://schemas.microsoft.com/office/drawing/2014/main" id="{00000000-0008-0000-1100-00005646A500}"/>
            </a:ext>
          </a:extLst>
        </xdr:cNvPr>
        <xdr:cNvSpPr>
          <a:spLocks noChangeShapeType="1"/>
        </xdr:cNvSpPr>
      </xdr:nvSpPr>
      <xdr:spPr bwMode="auto">
        <a:xfrm flipV="1">
          <a:off x="2257425" y="3457575"/>
          <a:ext cx="47625" cy="25812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485775</xdr:colOff>
      <xdr:row>41</xdr:row>
      <xdr:rowOff>9525</xdr:rowOff>
    </xdr:from>
    <xdr:to>
      <xdr:col>8</xdr:col>
      <xdr:colOff>200025</xdr:colOff>
      <xdr:row>47</xdr:row>
      <xdr:rowOff>76200</xdr:rowOff>
    </xdr:to>
    <xdr:sp macro="" textlink="">
      <xdr:nvSpPr>
        <xdr:cNvPr id="10831447" name="Oval 54">
          <a:extLst>
            <a:ext uri="{FF2B5EF4-FFF2-40B4-BE49-F238E27FC236}">
              <a16:creationId xmlns:a16="http://schemas.microsoft.com/office/drawing/2014/main" id="{00000000-0008-0000-1100-00005746A500}"/>
            </a:ext>
          </a:extLst>
        </xdr:cNvPr>
        <xdr:cNvSpPr>
          <a:spLocks noChangeArrowheads="1"/>
        </xdr:cNvSpPr>
      </xdr:nvSpPr>
      <xdr:spPr bwMode="auto">
        <a:xfrm>
          <a:off x="3676650" y="7820025"/>
          <a:ext cx="1809750" cy="10572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695325</xdr:colOff>
      <xdr:row>36</xdr:row>
      <xdr:rowOff>104775</xdr:rowOff>
    </xdr:from>
    <xdr:to>
      <xdr:col>9</xdr:col>
      <xdr:colOff>95250</xdr:colOff>
      <xdr:row>42</xdr:row>
      <xdr:rowOff>38100</xdr:rowOff>
    </xdr:to>
    <xdr:sp macro="" textlink="">
      <xdr:nvSpPr>
        <xdr:cNvPr id="10831448" name="Line 55">
          <a:extLst>
            <a:ext uri="{FF2B5EF4-FFF2-40B4-BE49-F238E27FC236}">
              <a16:creationId xmlns:a16="http://schemas.microsoft.com/office/drawing/2014/main" id="{00000000-0008-0000-1100-00005846A500}"/>
            </a:ext>
          </a:extLst>
        </xdr:cNvPr>
        <xdr:cNvSpPr>
          <a:spLocks noChangeShapeType="1"/>
        </xdr:cNvSpPr>
      </xdr:nvSpPr>
      <xdr:spPr bwMode="auto">
        <a:xfrm flipH="1">
          <a:off x="5267325" y="7105650"/>
          <a:ext cx="828675" cy="9048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466725</xdr:colOff>
      <xdr:row>41</xdr:row>
      <xdr:rowOff>0</xdr:rowOff>
    </xdr:from>
    <xdr:to>
      <xdr:col>8</xdr:col>
      <xdr:colOff>190500</xdr:colOff>
      <xdr:row>60</xdr:row>
      <xdr:rowOff>0</xdr:rowOff>
    </xdr:to>
    <xdr:sp macro="" textlink="">
      <xdr:nvSpPr>
        <xdr:cNvPr id="10831449" name="Rectangle 56">
          <a:extLst>
            <a:ext uri="{FF2B5EF4-FFF2-40B4-BE49-F238E27FC236}">
              <a16:creationId xmlns:a16="http://schemas.microsoft.com/office/drawing/2014/main" id="{00000000-0008-0000-1100-00005946A500}"/>
            </a:ext>
          </a:extLst>
        </xdr:cNvPr>
        <xdr:cNvSpPr>
          <a:spLocks noChangeArrowheads="1"/>
        </xdr:cNvSpPr>
      </xdr:nvSpPr>
      <xdr:spPr bwMode="auto">
        <a:xfrm>
          <a:off x="3654425" y="7962900"/>
          <a:ext cx="1819275" cy="33401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438150</xdr:colOff>
      <xdr:row>45</xdr:row>
      <xdr:rowOff>85725</xdr:rowOff>
    </xdr:from>
    <xdr:to>
      <xdr:col>5</xdr:col>
      <xdr:colOff>561975</xdr:colOff>
      <xdr:row>47</xdr:row>
      <xdr:rowOff>104775</xdr:rowOff>
    </xdr:to>
    <xdr:sp macro="" textlink="">
      <xdr:nvSpPr>
        <xdr:cNvPr id="10831450" name="Line 57">
          <a:extLst>
            <a:ext uri="{FF2B5EF4-FFF2-40B4-BE49-F238E27FC236}">
              <a16:creationId xmlns:a16="http://schemas.microsoft.com/office/drawing/2014/main" id="{00000000-0008-0000-1100-00005A46A500}"/>
            </a:ext>
          </a:extLst>
        </xdr:cNvPr>
        <xdr:cNvSpPr>
          <a:spLocks noChangeShapeType="1"/>
        </xdr:cNvSpPr>
      </xdr:nvSpPr>
      <xdr:spPr bwMode="auto">
        <a:xfrm flipH="1">
          <a:off x="2990850" y="8543925"/>
          <a:ext cx="762000" cy="3619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</xdr:row>
      <xdr:rowOff>0</xdr:rowOff>
    </xdr:from>
    <xdr:to>
      <xdr:col>7</xdr:col>
      <xdr:colOff>0</xdr:colOff>
      <xdr:row>41</xdr:row>
      <xdr:rowOff>9525</xdr:rowOff>
    </xdr:to>
    <xdr:sp macro="" textlink="">
      <xdr:nvSpPr>
        <xdr:cNvPr id="10831451" name="Line 58">
          <a:extLst>
            <a:ext uri="{FF2B5EF4-FFF2-40B4-BE49-F238E27FC236}">
              <a16:creationId xmlns:a16="http://schemas.microsoft.com/office/drawing/2014/main" id="{00000000-0008-0000-1100-00005B46A500}"/>
            </a:ext>
          </a:extLst>
        </xdr:cNvPr>
        <xdr:cNvSpPr>
          <a:spLocks noChangeShapeType="1"/>
        </xdr:cNvSpPr>
      </xdr:nvSpPr>
      <xdr:spPr bwMode="auto">
        <a:xfrm>
          <a:off x="4572000" y="7324725"/>
          <a:ext cx="0" cy="4953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831452" name="Line 59">
          <a:extLst>
            <a:ext uri="{FF2B5EF4-FFF2-40B4-BE49-F238E27FC236}">
              <a16:creationId xmlns:a16="http://schemas.microsoft.com/office/drawing/2014/main" id="{00000000-0008-0000-1100-00005C46A500}"/>
            </a:ext>
          </a:extLst>
        </xdr:cNvPr>
        <xdr:cNvSpPr>
          <a:spLocks noChangeShapeType="1"/>
        </xdr:cNvSpPr>
      </xdr:nvSpPr>
      <xdr:spPr bwMode="auto">
        <a:xfrm flipH="1">
          <a:off x="1341120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0</xdr:row>
      <xdr:rowOff>0</xdr:rowOff>
    </xdr:from>
    <xdr:to>
      <xdr:col>4</xdr:col>
      <xdr:colOff>371475</xdr:colOff>
      <xdr:row>0</xdr:row>
      <xdr:rowOff>0</xdr:rowOff>
    </xdr:to>
    <xdr:sp macro="" textlink="">
      <xdr:nvSpPr>
        <xdr:cNvPr id="10831453" name="Arc 60">
          <a:extLst>
            <a:ext uri="{FF2B5EF4-FFF2-40B4-BE49-F238E27FC236}">
              <a16:creationId xmlns:a16="http://schemas.microsoft.com/office/drawing/2014/main" id="{00000000-0008-0000-1100-00005D46A500}"/>
            </a:ext>
          </a:extLst>
        </xdr:cNvPr>
        <xdr:cNvSpPr>
          <a:spLocks/>
        </xdr:cNvSpPr>
      </xdr:nvSpPr>
      <xdr:spPr bwMode="auto">
        <a:xfrm flipH="1" flipV="1">
          <a:off x="2914650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31454" name="Line 61">
          <a:extLst>
            <a:ext uri="{FF2B5EF4-FFF2-40B4-BE49-F238E27FC236}">
              <a16:creationId xmlns:a16="http://schemas.microsoft.com/office/drawing/2014/main" id="{00000000-0008-0000-1100-00005E46A500}"/>
            </a:ext>
          </a:extLst>
        </xdr:cNvPr>
        <xdr:cNvSpPr>
          <a:spLocks noChangeShapeType="1"/>
        </xdr:cNvSpPr>
      </xdr:nvSpPr>
      <xdr:spPr bwMode="auto">
        <a:xfrm flipV="1">
          <a:off x="457200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0</xdr:row>
      <xdr:rowOff>0</xdr:rowOff>
    </xdr:from>
    <xdr:to>
      <xdr:col>12</xdr:col>
      <xdr:colOff>561975</xdr:colOff>
      <xdr:row>0</xdr:row>
      <xdr:rowOff>0</xdr:rowOff>
    </xdr:to>
    <xdr:sp macro="" textlink="">
      <xdr:nvSpPr>
        <xdr:cNvPr id="10831455" name="Arc 62">
          <a:extLst>
            <a:ext uri="{FF2B5EF4-FFF2-40B4-BE49-F238E27FC236}">
              <a16:creationId xmlns:a16="http://schemas.microsoft.com/office/drawing/2014/main" id="{00000000-0008-0000-1100-00005F46A500}"/>
            </a:ext>
          </a:extLst>
        </xdr:cNvPr>
        <xdr:cNvSpPr>
          <a:spLocks/>
        </xdr:cNvSpPr>
      </xdr:nvSpPr>
      <xdr:spPr bwMode="auto">
        <a:xfrm flipV="1">
          <a:off x="8715375" y="0"/>
          <a:ext cx="57150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31456" name="Arc 63">
          <a:extLst>
            <a:ext uri="{FF2B5EF4-FFF2-40B4-BE49-F238E27FC236}">
              <a16:creationId xmlns:a16="http://schemas.microsoft.com/office/drawing/2014/main" id="{00000000-0008-0000-1100-00006046A500}"/>
            </a:ext>
          </a:extLst>
        </xdr:cNvPr>
        <xdr:cNvSpPr>
          <a:spLocks/>
        </xdr:cNvSpPr>
      </xdr:nvSpPr>
      <xdr:spPr bwMode="auto">
        <a:xfrm flipH="1">
          <a:off x="9029700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31457" name="Arc 64">
          <a:extLst>
            <a:ext uri="{FF2B5EF4-FFF2-40B4-BE49-F238E27FC236}">
              <a16:creationId xmlns:a16="http://schemas.microsoft.com/office/drawing/2014/main" id="{00000000-0008-0000-1100-00006146A500}"/>
            </a:ext>
          </a:extLst>
        </xdr:cNvPr>
        <xdr:cNvSpPr>
          <a:spLocks/>
        </xdr:cNvSpPr>
      </xdr:nvSpPr>
      <xdr:spPr bwMode="auto">
        <a:xfrm>
          <a:off x="9029700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31458" name="Line 65">
          <a:extLst>
            <a:ext uri="{FF2B5EF4-FFF2-40B4-BE49-F238E27FC236}">
              <a16:creationId xmlns:a16="http://schemas.microsoft.com/office/drawing/2014/main" id="{00000000-0008-0000-1100-00006246A500}"/>
            </a:ext>
          </a:extLst>
        </xdr:cNvPr>
        <xdr:cNvSpPr>
          <a:spLocks noChangeShapeType="1"/>
        </xdr:cNvSpPr>
      </xdr:nvSpPr>
      <xdr:spPr bwMode="auto">
        <a:xfrm>
          <a:off x="457200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459" name="Line 66">
          <a:extLst>
            <a:ext uri="{FF2B5EF4-FFF2-40B4-BE49-F238E27FC236}">
              <a16:creationId xmlns:a16="http://schemas.microsoft.com/office/drawing/2014/main" id="{00000000-0008-0000-1100-000063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60" name="Line 67">
          <a:extLst>
            <a:ext uri="{FF2B5EF4-FFF2-40B4-BE49-F238E27FC236}">
              <a16:creationId xmlns:a16="http://schemas.microsoft.com/office/drawing/2014/main" id="{00000000-0008-0000-1100-000064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31461" name="Arc 68">
          <a:extLst>
            <a:ext uri="{FF2B5EF4-FFF2-40B4-BE49-F238E27FC236}">
              <a16:creationId xmlns:a16="http://schemas.microsoft.com/office/drawing/2014/main" id="{00000000-0008-0000-1100-00006546A500}"/>
            </a:ext>
          </a:extLst>
        </xdr:cNvPr>
        <xdr:cNvSpPr>
          <a:spLocks/>
        </xdr:cNvSpPr>
      </xdr:nvSpPr>
      <xdr:spPr bwMode="auto">
        <a:xfrm flipH="1" flipV="1">
          <a:off x="2914650" y="1251585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62" name="Line 69">
          <a:extLst>
            <a:ext uri="{FF2B5EF4-FFF2-40B4-BE49-F238E27FC236}">
              <a16:creationId xmlns:a16="http://schemas.microsoft.com/office/drawing/2014/main" id="{00000000-0008-0000-1100-000066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63" name="Line 70">
          <a:extLst>
            <a:ext uri="{FF2B5EF4-FFF2-40B4-BE49-F238E27FC236}">
              <a16:creationId xmlns:a16="http://schemas.microsoft.com/office/drawing/2014/main" id="{00000000-0008-0000-1100-000067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464" name="Line 71">
          <a:extLst>
            <a:ext uri="{FF2B5EF4-FFF2-40B4-BE49-F238E27FC236}">
              <a16:creationId xmlns:a16="http://schemas.microsoft.com/office/drawing/2014/main" id="{00000000-0008-0000-1100-000068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65" name="Line 72">
          <a:extLst>
            <a:ext uri="{FF2B5EF4-FFF2-40B4-BE49-F238E27FC236}">
              <a16:creationId xmlns:a16="http://schemas.microsoft.com/office/drawing/2014/main" id="{00000000-0008-0000-1100-000069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31466" name="Arc 73">
          <a:extLst>
            <a:ext uri="{FF2B5EF4-FFF2-40B4-BE49-F238E27FC236}">
              <a16:creationId xmlns:a16="http://schemas.microsoft.com/office/drawing/2014/main" id="{00000000-0008-0000-1100-00006A46A500}"/>
            </a:ext>
          </a:extLst>
        </xdr:cNvPr>
        <xdr:cNvSpPr>
          <a:spLocks/>
        </xdr:cNvSpPr>
      </xdr:nvSpPr>
      <xdr:spPr bwMode="auto">
        <a:xfrm flipH="1" flipV="1">
          <a:off x="2914650" y="1251585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67" name="Line 74">
          <a:extLst>
            <a:ext uri="{FF2B5EF4-FFF2-40B4-BE49-F238E27FC236}">
              <a16:creationId xmlns:a16="http://schemas.microsoft.com/office/drawing/2014/main" id="{00000000-0008-0000-1100-00006B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68" name="Line 75">
          <a:extLst>
            <a:ext uri="{FF2B5EF4-FFF2-40B4-BE49-F238E27FC236}">
              <a16:creationId xmlns:a16="http://schemas.microsoft.com/office/drawing/2014/main" id="{00000000-0008-0000-1100-00006C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469" name="Line 76">
          <a:extLst>
            <a:ext uri="{FF2B5EF4-FFF2-40B4-BE49-F238E27FC236}">
              <a16:creationId xmlns:a16="http://schemas.microsoft.com/office/drawing/2014/main" id="{00000000-0008-0000-1100-00006D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70" name="Line 77">
          <a:extLst>
            <a:ext uri="{FF2B5EF4-FFF2-40B4-BE49-F238E27FC236}">
              <a16:creationId xmlns:a16="http://schemas.microsoft.com/office/drawing/2014/main" id="{00000000-0008-0000-1100-00006E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71" name="Line 78">
          <a:extLst>
            <a:ext uri="{FF2B5EF4-FFF2-40B4-BE49-F238E27FC236}">
              <a16:creationId xmlns:a16="http://schemas.microsoft.com/office/drawing/2014/main" id="{00000000-0008-0000-1100-00006F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72" name="Line 79">
          <a:extLst>
            <a:ext uri="{FF2B5EF4-FFF2-40B4-BE49-F238E27FC236}">
              <a16:creationId xmlns:a16="http://schemas.microsoft.com/office/drawing/2014/main" id="{00000000-0008-0000-1100-000070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473" name="Line 80">
          <a:extLst>
            <a:ext uri="{FF2B5EF4-FFF2-40B4-BE49-F238E27FC236}">
              <a16:creationId xmlns:a16="http://schemas.microsoft.com/office/drawing/2014/main" id="{00000000-0008-0000-1100-000071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74" name="Line 81">
          <a:extLst>
            <a:ext uri="{FF2B5EF4-FFF2-40B4-BE49-F238E27FC236}">
              <a16:creationId xmlns:a16="http://schemas.microsoft.com/office/drawing/2014/main" id="{00000000-0008-0000-1100-000072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75" name="Line 82">
          <a:extLst>
            <a:ext uri="{FF2B5EF4-FFF2-40B4-BE49-F238E27FC236}">
              <a16:creationId xmlns:a16="http://schemas.microsoft.com/office/drawing/2014/main" id="{00000000-0008-0000-1100-000073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76" name="Line 83">
          <a:extLst>
            <a:ext uri="{FF2B5EF4-FFF2-40B4-BE49-F238E27FC236}">
              <a16:creationId xmlns:a16="http://schemas.microsoft.com/office/drawing/2014/main" id="{00000000-0008-0000-1100-000074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477" name="Line 84">
          <a:extLst>
            <a:ext uri="{FF2B5EF4-FFF2-40B4-BE49-F238E27FC236}">
              <a16:creationId xmlns:a16="http://schemas.microsoft.com/office/drawing/2014/main" id="{00000000-0008-0000-1100-000075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78" name="Line 85">
          <a:extLst>
            <a:ext uri="{FF2B5EF4-FFF2-40B4-BE49-F238E27FC236}">
              <a16:creationId xmlns:a16="http://schemas.microsoft.com/office/drawing/2014/main" id="{00000000-0008-0000-1100-000076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79" name="Line 86">
          <a:extLst>
            <a:ext uri="{FF2B5EF4-FFF2-40B4-BE49-F238E27FC236}">
              <a16:creationId xmlns:a16="http://schemas.microsoft.com/office/drawing/2014/main" id="{00000000-0008-0000-1100-000077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80" name="Line 87">
          <a:extLst>
            <a:ext uri="{FF2B5EF4-FFF2-40B4-BE49-F238E27FC236}">
              <a16:creationId xmlns:a16="http://schemas.microsoft.com/office/drawing/2014/main" id="{00000000-0008-0000-1100-000078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481" name="Line 88">
          <a:extLst>
            <a:ext uri="{FF2B5EF4-FFF2-40B4-BE49-F238E27FC236}">
              <a16:creationId xmlns:a16="http://schemas.microsoft.com/office/drawing/2014/main" id="{00000000-0008-0000-1100-000079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82" name="Line 89">
          <a:extLst>
            <a:ext uri="{FF2B5EF4-FFF2-40B4-BE49-F238E27FC236}">
              <a16:creationId xmlns:a16="http://schemas.microsoft.com/office/drawing/2014/main" id="{00000000-0008-0000-1100-00007A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83" name="Line 90">
          <a:extLst>
            <a:ext uri="{FF2B5EF4-FFF2-40B4-BE49-F238E27FC236}">
              <a16:creationId xmlns:a16="http://schemas.microsoft.com/office/drawing/2014/main" id="{00000000-0008-0000-1100-00007B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84" name="Line 91">
          <a:extLst>
            <a:ext uri="{FF2B5EF4-FFF2-40B4-BE49-F238E27FC236}">
              <a16:creationId xmlns:a16="http://schemas.microsoft.com/office/drawing/2014/main" id="{00000000-0008-0000-1100-00007C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485" name="Line 92">
          <a:extLst>
            <a:ext uri="{FF2B5EF4-FFF2-40B4-BE49-F238E27FC236}">
              <a16:creationId xmlns:a16="http://schemas.microsoft.com/office/drawing/2014/main" id="{00000000-0008-0000-1100-00007D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86" name="Line 93">
          <a:extLst>
            <a:ext uri="{FF2B5EF4-FFF2-40B4-BE49-F238E27FC236}">
              <a16:creationId xmlns:a16="http://schemas.microsoft.com/office/drawing/2014/main" id="{00000000-0008-0000-1100-00007E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87" name="Line 94">
          <a:extLst>
            <a:ext uri="{FF2B5EF4-FFF2-40B4-BE49-F238E27FC236}">
              <a16:creationId xmlns:a16="http://schemas.microsoft.com/office/drawing/2014/main" id="{00000000-0008-0000-1100-00007F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88" name="Line 95">
          <a:extLst>
            <a:ext uri="{FF2B5EF4-FFF2-40B4-BE49-F238E27FC236}">
              <a16:creationId xmlns:a16="http://schemas.microsoft.com/office/drawing/2014/main" id="{00000000-0008-0000-1100-000080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489" name="Line 96">
          <a:extLst>
            <a:ext uri="{FF2B5EF4-FFF2-40B4-BE49-F238E27FC236}">
              <a16:creationId xmlns:a16="http://schemas.microsoft.com/office/drawing/2014/main" id="{00000000-0008-0000-1100-000081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90" name="Line 97">
          <a:extLst>
            <a:ext uri="{FF2B5EF4-FFF2-40B4-BE49-F238E27FC236}">
              <a16:creationId xmlns:a16="http://schemas.microsoft.com/office/drawing/2014/main" id="{00000000-0008-0000-1100-000082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91" name="Line 98">
          <a:extLst>
            <a:ext uri="{FF2B5EF4-FFF2-40B4-BE49-F238E27FC236}">
              <a16:creationId xmlns:a16="http://schemas.microsoft.com/office/drawing/2014/main" id="{00000000-0008-0000-1100-000083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92" name="Line 99">
          <a:extLst>
            <a:ext uri="{FF2B5EF4-FFF2-40B4-BE49-F238E27FC236}">
              <a16:creationId xmlns:a16="http://schemas.microsoft.com/office/drawing/2014/main" id="{00000000-0008-0000-1100-000084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493" name="Line 100">
          <a:extLst>
            <a:ext uri="{FF2B5EF4-FFF2-40B4-BE49-F238E27FC236}">
              <a16:creationId xmlns:a16="http://schemas.microsoft.com/office/drawing/2014/main" id="{00000000-0008-0000-1100-000085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94" name="Line 101">
          <a:extLst>
            <a:ext uri="{FF2B5EF4-FFF2-40B4-BE49-F238E27FC236}">
              <a16:creationId xmlns:a16="http://schemas.microsoft.com/office/drawing/2014/main" id="{00000000-0008-0000-1100-000086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95" name="Line 102">
          <a:extLst>
            <a:ext uri="{FF2B5EF4-FFF2-40B4-BE49-F238E27FC236}">
              <a16:creationId xmlns:a16="http://schemas.microsoft.com/office/drawing/2014/main" id="{00000000-0008-0000-1100-000087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96" name="Line 103">
          <a:extLst>
            <a:ext uri="{FF2B5EF4-FFF2-40B4-BE49-F238E27FC236}">
              <a16:creationId xmlns:a16="http://schemas.microsoft.com/office/drawing/2014/main" id="{00000000-0008-0000-1100-000088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497" name="Line 104">
          <a:extLst>
            <a:ext uri="{FF2B5EF4-FFF2-40B4-BE49-F238E27FC236}">
              <a16:creationId xmlns:a16="http://schemas.microsoft.com/office/drawing/2014/main" id="{00000000-0008-0000-1100-000089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98" name="Line 105">
          <a:extLst>
            <a:ext uri="{FF2B5EF4-FFF2-40B4-BE49-F238E27FC236}">
              <a16:creationId xmlns:a16="http://schemas.microsoft.com/office/drawing/2014/main" id="{00000000-0008-0000-1100-00008A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499" name="Line 106">
          <a:extLst>
            <a:ext uri="{FF2B5EF4-FFF2-40B4-BE49-F238E27FC236}">
              <a16:creationId xmlns:a16="http://schemas.microsoft.com/office/drawing/2014/main" id="{00000000-0008-0000-1100-00008B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00" name="Line 107">
          <a:extLst>
            <a:ext uri="{FF2B5EF4-FFF2-40B4-BE49-F238E27FC236}">
              <a16:creationId xmlns:a16="http://schemas.microsoft.com/office/drawing/2014/main" id="{00000000-0008-0000-1100-00008C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501" name="Line 108">
          <a:extLst>
            <a:ext uri="{FF2B5EF4-FFF2-40B4-BE49-F238E27FC236}">
              <a16:creationId xmlns:a16="http://schemas.microsoft.com/office/drawing/2014/main" id="{00000000-0008-0000-1100-00008D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02" name="Line 109">
          <a:extLst>
            <a:ext uri="{FF2B5EF4-FFF2-40B4-BE49-F238E27FC236}">
              <a16:creationId xmlns:a16="http://schemas.microsoft.com/office/drawing/2014/main" id="{00000000-0008-0000-1100-00008E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03" name="Line 110">
          <a:extLst>
            <a:ext uri="{FF2B5EF4-FFF2-40B4-BE49-F238E27FC236}">
              <a16:creationId xmlns:a16="http://schemas.microsoft.com/office/drawing/2014/main" id="{00000000-0008-0000-1100-00008F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04" name="Line 111">
          <a:extLst>
            <a:ext uri="{FF2B5EF4-FFF2-40B4-BE49-F238E27FC236}">
              <a16:creationId xmlns:a16="http://schemas.microsoft.com/office/drawing/2014/main" id="{00000000-0008-0000-1100-000090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505" name="Line 112">
          <a:extLst>
            <a:ext uri="{FF2B5EF4-FFF2-40B4-BE49-F238E27FC236}">
              <a16:creationId xmlns:a16="http://schemas.microsoft.com/office/drawing/2014/main" id="{00000000-0008-0000-1100-000091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06" name="Line 113">
          <a:extLst>
            <a:ext uri="{FF2B5EF4-FFF2-40B4-BE49-F238E27FC236}">
              <a16:creationId xmlns:a16="http://schemas.microsoft.com/office/drawing/2014/main" id="{00000000-0008-0000-1100-000092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07" name="Line 114">
          <a:extLst>
            <a:ext uri="{FF2B5EF4-FFF2-40B4-BE49-F238E27FC236}">
              <a16:creationId xmlns:a16="http://schemas.microsoft.com/office/drawing/2014/main" id="{00000000-0008-0000-1100-000093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08" name="Line 115">
          <a:extLst>
            <a:ext uri="{FF2B5EF4-FFF2-40B4-BE49-F238E27FC236}">
              <a16:creationId xmlns:a16="http://schemas.microsoft.com/office/drawing/2014/main" id="{00000000-0008-0000-1100-000094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509" name="Line 116">
          <a:extLst>
            <a:ext uri="{FF2B5EF4-FFF2-40B4-BE49-F238E27FC236}">
              <a16:creationId xmlns:a16="http://schemas.microsoft.com/office/drawing/2014/main" id="{00000000-0008-0000-1100-000095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10" name="Line 117">
          <a:extLst>
            <a:ext uri="{FF2B5EF4-FFF2-40B4-BE49-F238E27FC236}">
              <a16:creationId xmlns:a16="http://schemas.microsoft.com/office/drawing/2014/main" id="{00000000-0008-0000-1100-000096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11" name="Line 118">
          <a:extLst>
            <a:ext uri="{FF2B5EF4-FFF2-40B4-BE49-F238E27FC236}">
              <a16:creationId xmlns:a16="http://schemas.microsoft.com/office/drawing/2014/main" id="{00000000-0008-0000-1100-000097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12" name="Line 119">
          <a:extLst>
            <a:ext uri="{FF2B5EF4-FFF2-40B4-BE49-F238E27FC236}">
              <a16:creationId xmlns:a16="http://schemas.microsoft.com/office/drawing/2014/main" id="{00000000-0008-0000-1100-000098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513" name="Line 120">
          <a:extLst>
            <a:ext uri="{FF2B5EF4-FFF2-40B4-BE49-F238E27FC236}">
              <a16:creationId xmlns:a16="http://schemas.microsoft.com/office/drawing/2014/main" id="{00000000-0008-0000-1100-000099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14" name="Line 121">
          <a:extLst>
            <a:ext uri="{FF2B5EF4-FFF2-40B4-BE49-F238E27FC236}">
              <a16:creationId xmlns:a16="http://schemas.microsoft.com/office/drawing/2014/main" id="{00000000-0008-0000-1100-00009A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15" name="Line 122">
          <a:extLst>
            <a:ext uri="{FF2B5EF4-FFF2-40B4-BE49-F238E27FC236}">
              <a16:creationId xmlns:a16="http://schemas.microsoft.com/office/drawing/2014/main" id="{00000000-0008-0000-1100-00009B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16" name="Line 123">
          <a:extLst>
            <a:ext uri="{FF2B5EF4-FFF2-40B4-BE49-F238E27FC236}">
              <a16:creationId xmlns:a16="http://schemas.microsoft.com/office/drawing/2014/main" id="{00000000-0008-0000-1100-00009C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517" name="Line 124">
          <a:extLst>
            <a:ext uri="{FF2B5EF4-FFF2-40B4-BE49-F238E27FC236}">
              <a16:creationId xmlns:a16="http://schemas.microsoft.com/office/drawing/2014/main" id="{00000000-0008-0000-1100-00009D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18" name="Line 125">
          <a:extLst>
            <a:ext uri="{FF2B5EF4-FFF2-40B4-BE49-F238E27FC236}">
              <a16:creationId xmlns:a16="http://schemas.microsoft.com/office/drawing/2014/main" id="{00000000-0008-0000-1100-00009E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19" name="Line 126">
          <a:extLst>
            <a:ext uri="{FF2B5EF4-FFF2-40B4-BE49-F238E27FC236}">
              <a16:creationId xmlns:a16="http://schemas.microsoft.com/office/drawing/2014/main" id="{00000000-0008-0000-1100-00009F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20" name="Line 127">
          <a:extLst>
            <a:ext uri="{FF2B5EF4-FFF2-40B4-BE49-F238E27FC236}">
              <a16:creationId xmlns:a16="http://schemas.microsoft.com/office/drawing/2014/main" id="{00000000-0008-0000-1100-0000A0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521" name="Line 128">
          <a:extLst>
            <a:ext uri="{FF2B5EF4-FFF2-40B4-BE49-F238E27FC236}">
              <a16:creationId xmlns:a16="http://schemas.microsoft.com/office/drawing/2014/main" id="{00000000-0008-0000-1100-0000A1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22" name="Line 129">
          <a:extLst>
            <a:ext uri="{FF2B5EF4-FFF2-40B4-BE49-F238E27FC236}">
              <a16:creationId xmlns:a16="http://schemas.microsoft.com/office/drawing/2014/main" id="{00000000-0008-0000-1100-0000A2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23" name="Line 130">
          <a:extLst>
            <a:ext uri="{FF2B5EF4-FFF2-40B4-BE49-F238E27FC236}">
              <a16:creationId xmlns:a16="http://schemas.microsoft.com/office/drawing/2014/main" id="{00000000-0008-0000-1100-0000A3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24" name="Line 131">
          <a:extLst>
            <a:ext uri="{FF2B5EF4-FFF2-40B4-BE49-F238E27FC236}">
              <a16:creationId xmlns:a16="http://schemas.microsoft.com/office/drawing/2014/main" id="{00000000-0008-0000-1100-0000A4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525" name="Line 132">
          <a:extLst>
            <a:ext uri="{FF2B5EF4-FFF2-40B4-BE49-F238E27FC236}">
              <a16:creationId xmlns:a16="http://schemas.microsoft.com/office/drawing/2014/main" id="{00000000-0008-0000-1100-0000A5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26" name="Line 133">
          <a:extLst>
            <a:ext uri="{FF2B5EF4-FFF2-40B4-BE49-F238E27FC236}">
              <a16:creationId xmlns:a16="http://schemas.microsoft.com/office/drawing/2014/main" id="{00000000-0008-0000-1100-0000A6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27" name="Line 134">
          <a:extLst>
            <a:ext uri="{FF2B5EF4-FFF2-40B4-BE49-F238E27FC236}">
              <a16:creationId xmlns:a16="http://schemas.microsoft.com/office/drawing/2014/main" id="{00000000-0008-0000-1100-0000A7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28" name="Line 135">
          <a:extLst>
            <a:ext uri="{FF2B5EF4-FFF2-40B4-BE49-F238E27FC236}">
              <a16:creationId xmlns:a16="http://schemas.microsoft.com/office/drawing/2014/main" id="{00000000-0008-0000-1100-0000A8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529" name="Line 136">
          <a:extLst>
            <a:ext uri="{FF2B5EF4-FFF2-40B4-BE49-F238E27FC236}">
              <a16:creationId xmlns:a16="http://schemas.microsoft.com/office/drawing/2014/main" id="{00000000-0008-0000-1100-0000A9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30" name="Line 137">
          <a:extLst>
            <a:ext uri="{FF2B5EF4-FFF2-40B4-BE49-F238E27FC236}">
              <a16:creationId xmlns:a16="http://schemas.microsoft.com/office/drawing/2014/main" id="{00000000-0008-0000-1100-0000AA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31" name="Line 138">
          <a:extLst>
            <a:ext uri="{FF2B5EF4-FFF2-40B4-BE49-F238E27FC236}">
              <a16:creationId xmlns:a16="http://schemas.microsoft.com/office/drawing/2014/main" id="{00000000-0008-0000-1100-0000AB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32" name="Line 139">
          <a:extLst>
            <a:ext uri="{FF2B5EF4-FFF2-40B4-BE49-F238E27FC236}">
              <a16:creationId xmlns:a16="http://schemas.microsoft.com/office/drawing/2014/main" id="{00000000-0008-0000-1100-0000AC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533" name="Line 140">
          <a:extLst>
            <a:ext uri="{FF2B5EF4-FFF2-40B4-BE49-F238E27FC236}">
              <a16:creationId xmlns:a16="http://schemas.microsoft.com/office/drawing/2014/main" id="{00000000-0008-0000-1100-0000AD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34" name="Line 141">
          <a:extLst>
            <a:ext uri="{FF2B5EF4-FFF2-40B4-BE49-F238E27FC236}">
              <a16:creationId xmlns:a16="http://schemas.microsoft.com/office/drawing/2014/main" id="{00000000-0008-0000-1100-0000AE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35" name="Line 142">
          <a:extLst>
            <a:ext uri="{FF2B5EF4-FFF2-40B4-BE49-F238E27FC236}">
              <a16:creationId xmlns:a16="http://schemas.microsoft.com/office/drawing/2014/main" id="{00000000-0008-0000-1100-0000AF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36" name="Line 143">
          <a:extLst>
            <a:ext uri="{FF2B5EF4-FFF2-40B4-BE49-F238E27FC236}">
              <a16:creationId xmlns:a16="http://schemas.microsoft.com/office/drawing/2014/main" id="{00000000-0008-0000-1100-0000B0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537" name="Line 144">
          <a:extLst>
            <a:ext uri="{FF2B5EF4-FFF2-40B4-BE49-F238E27FC236}">
              <a16:creationId xmlns:a16="http://schemas.microsoft.com/office/drawing/2014/main" id="{00000000-0008-0000-1100-0000B1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38" name="Line 145">
          <a:extLst>
            <a:ext uri="{FF2B5EF4-FFF2-40B4-BE49-F238E27FC236}">
              <a16:creationId xmlns:a16="http://schemas.microsoft.com/office/drawing/2014/main" id="{00000000-0008-0000-1100-0000B2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39" name="Line 146">
          <a:extLst>
            <a:ext uri="{FF2B5EF4-FFF2-40B4-BE49-F238E27FC236}">
              <a16:creationId xmlns:a16="http://schemas.microsoft.com/office/drawing/2014/main" id="{00000000-0008-0000-1100-0000B3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40" name="Line 147">
          <a:extLst>
            <a:ext uri="{FF2B5EF4-FFF2-40B4-BE49-F238E27FC236}">
              <a16:creationId xmlns:a16="http://schemas.microsoft.com/office/drawing/2014/main" id="{00000000-0008-0000-1100-0000B4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541" name="Line 148">
          <a:extLst>
            <a:ext uri="{FF2B5EF4-FFF2-40B4-BE49-F238E27FC236}">
              <a16:creationId xmlns:a16="http://schemas.microsoft.com/office/drawing/2014/main" id="{00000000-0008-0000-1100-0000B5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42" name="Line 149">
          <a:extLst>
            <a:ext uri="{FF2B5EF4-FFF2-40B4-BE49-F238E27FC236}">
              <a16:creationId xmlns:a16="http://schemas.microsoft.com/office/drawing/2014/main" id="{00000000-0008-0000-1100-0000B6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43" name="Line 150">
          <a:extLst>
            <a:ext uri="{FF2B5EF4-FFF2-40B4-BE49-F238E27FC236}">
              <a16:creationId xmlns:a16="http://schemas.microsoft.com/office/drawing/2014/main" id="{00000000-0008-0000-1100-0000B7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44" name="Line 151">
          <a:extLst>
            <a:ext uri="{FF2B5EF4-FFF2-40B4-BE49-F238E27FC236}">
              <a16:creationId xmlns:a16="http://schemas.microsoft.com/office/drawing/2014/main" id="{00000000-0008-0000-1100-0000B8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545" name="Line 152">
          <a:extLst>
            <a:ext uri="{FF2B5EF4-FFF2-40B4-BE49-F238E27FC236}">
              <a16:creationId xmlns:a16="http://schemas.microsoft.com/office/drawing/2014/main" id="{00000000-0008-0000-1100-0000B9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46" name="Line 153">
          <a:extLst>
            <a:ext uri="{FF2B5EF4-FFF2-40B4-BE49-F238E27FC236}">
              <a16:creationId xmlns:a16="http://schemas.microsoft.com/office/drawing/2014/main" id="{00000000-0008-0000-1100-0000BA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47" name="Line 154">
          <a:extLst>
            <a:ext uri="{FF2B5EF4-FFF2-40B4-BE49-F238E27FC236}">
              <a16:creationId xmlns:a16="http://schemas.microsoft.com/office/drawing/2014/main" id="{00000000-0008-0000-1100-0000BB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48" name="Line 155">
          <a:extLst>
            <a:ext uri="{FF2B5EF4-FFF2-40B4-BE49-F238E27FC236}">
              <a16:creationId xmlns:a16="http://schemas.microsoft.com/office/drawing/2014/main" id="{00000000-0008-0000-1100-0000BC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549" name="Line 156">
          <a:extLst>
            <a:ext uri="{FF2B5EF4-FFF2-40B4-BE49-F238E27FC236}">
              <a16:creationId xmlns:a16="http://schemas.microsoft.com/office/drawing/2014/main" id="{00000000-0008-0000-1100-0000BD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50" name="Line 157">
          <a:extLst>
            <a:ext uri="{FF2B5EF4-FFF2-40B4-BE49-F238E27FC236}">
              <a16:creationId xmlns:a16="http://schemas.microsoft.com/office/drawing/2014/main" id="{00000000-0008-0000-1100-0000BE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51" name="Line 158">
          <a:extLst>
            <a:ext uri="{FF2B5EF4-FFF2-40B4-BE49-F238E27FC236}">
              <a16:creationId xmlns:a16="http://schemas.microsoft.com/office/drawing/2014/main" id="{00000000-0008-0000-1100-0000BF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52" name="Line 159">
          <a:extLst>
            <a:ext uri="{FF2B5EF4-FFF2-40B4-BE49-F238E27FC236}">
              <a16:creationId xmlns:a16="http://schemas.microsoft.com/office/drawing/2014/main" id="{00000000-0008-0000-1100-0000C0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0</xdr:colOff>
      <xdr:row>79</xdr:row>
      <xdr:rowOff>0</xdr:rowOff>
    </xdr:to>
    <xdr:sp macro="" textlink="">
      <xdr:nvSpPr>
        <xdr:cNvPr id="10831553" name="Line 160">
          <a:extLst>
            <a:ext uri="{FF2B5EF4-FFF2-40B4-BE49-F238E27FC236}">
              <a16:creationId xmlns:a16="http://schemas.microsoft.com/office/drawing/2014/main" id="{00000000-0008-0000-1100-0000C146A500}"/>
            </a:ext>
          </a:extLst>
        </xdr:cNvPr>
        <xdr:cNvSpPr>
          <a:spLocks noChangeShapeType="1"/>
        </xdr:cNvSpPr>
      </xdr:nvSpPr>
      <xdr:spPr bwMode="auto">
        <a:xfrm flipH="1">
          <a:off x="134112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54" name="Line 161">
          <a:extLst>
            <a:ext uri="{FF2B5EF4-FFF2-40B4-BE49-F238E27FC236}">
              <a16:creationId xmlns:a16="http://schemas.microsoft.com/office/drawing/2014/main" id="{00000000-0008-0000-1100-0000C246A500}"/>
            </a:ext>
          </a:extLst>
        </xdr:cNvPr>
        <xdr:cNvSpPr>
          <a:spLocks noChangeShapeType="1"/>
        </xdr:cNvSpPr>
      </xdr:nvSpPr>
      <xdr:spPr bwMode="auto">
        <a:xfrm flipH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55" name="Line 162">
          <a:extLst>
            <a:ext uri="{FF2B5EF4-FFF2-40B4-BE49-F238E27FC236}">
              <a16:creationId xmlns:a16="http://schemas.microsoft.com/office/drawing/2014/main" id="{00000000-0008-0000-1100-0000C346A500}"/>
            </a:ext>
          </a:extLst>
        </xdr:cNvPr>
        <xdr:cNvSpPr>
          <a:spLocks noChangeShapeType="1"/>
        </xdr:cNvSpPr>
      </xdr:nvSpPr>
      <xdr:spPr bwMode="auto">
        <a:xfrm flipV="1"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0</xdr:colOff>
      <xdr:row>79</xdr:row>
      <xdr:rowOff>0</xdr:rowOff>
    </xdr:to>
    <xdr:sp macro="" textlink="">
      <xdr:nvSpPr>
        <xdr:cNvPr id="10831556" name="Line 163">
          <a:extLst>
            <a:ext uri="{FF2B5EF4-FFF2-40B4-BE49-F238E27FC236}">
              <a16:creationId xmlns:a16="http://schemas.microsoft.com/office/drawing/2014/main" id="{00000000-0008-0000-1100-0000C446A500}"/>
            </a:ext>
          </a:extLst>
        </xdr:cNvPr>
        <xdr:cNvSpPr>
          <a:spLocks noChangeShapeType="1"/>
        </xdr:cNvSpPr>
      </xdr:nvSpPr>
      <xdr:spPr bwMode="auto">
        <a:xfrm>
          <a:off x="4572000" y="125158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809625</xdr:colOff>
      <xdr:row>80</xdr:row>
      <xdr:rowOff>9525</xdr:rowOff>
    </xdr:from>
    <xdr:to>
      <xdr:col>19</xdr:col>
      <xdr:colOff>9525</xdr:colOff>
      <xdr:row>80</xdr:row>
      <xdr:rowOff>9525</xdr:rowOff>
    </xdr:to>
    <xdr:sp macro="" textlink="">
      <xdr:nvSpPr>
        <xdr:cNvPr id="10831557" name="Line 164">
          <a:extLst>
            <a:ext uri="{FF2B5EF4-FFF2-40B4-BE49-F238E27FC236}">
              <a16:creationId xmlns:a16="http://schemas.microsoft.com/office/drawing/2014/main" id="{00000000-0008-0000-1100-0000C546A500}"/>
            </a:ext>
          </a:extLst>
        </xdr:cNvPr>
        <xdr:cNvSpPr>
          <a:spLocks noChangeShapeType="1"/>
        </xdr:cNvSpPr>
      </xdr:nvSpPr>
      <xdr:spPr bwMode="auto">
        <a:xfrm flipH="1">
          <a:off x="12792075" y="12706350"/>
          <a:ext cx="628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80</xdr:row>
      <xdr:rowOff>9525</xdr:rowOff>
    </xdr:from>
    <xdr:to>
      <xdr:col>16</xdr:col>
      <xdr:colOff>0</xdr:colOff>
      <xdr:row>80</xdr:row>
      <xdr:rowOff>9525</xdr:rowOff>
    </xdr:to>
    <xdr:sp macro="" textlink="">
      <xdr:nvSpPr>
        <xdr:cNvPr id="10831558" name="Line 165">
          <a:extLst>
            <a:ext uri="{FF2B5EF4-FFF2-40B4-BE49-F238E27FC236}">
              <a16:creationId xmlns:a16="http://schemas.microsoft.com/office/drawing/2014/main" id="{00000000-0008-0000-1100-0000C646A500}"/>
            </a:ext>
          </a:extLst>
        </xdr:cNvPr>
        <xdr:cNvSpPr>
          <a:spLocks noChangeShapeType="1"/>
        </xdr:cNvSpPr>
      </xdr:nvSpPr>
      <xdr:spPr bwMode="auto">
        <a:xfrm>
          <a:off x="10467975" y="1270635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80</xdr:row>
      <xdr:rowOff>9525</xdr:rowOff>
    </xdr:from>
    <xdr:to>
      <xdr:col>13</xdr:col>
      <xdr:colOff>0</xdr:colOff>
      <xdr:row>80</xdr:row>
      <xdr:rowOff>9525</xdr:rowOff>
    </xdr:to>
    <xdr:sp macro="" textlink="">
      <xdr:nvSpPr>
        <xdr:cNvPr id="10831559" name="Line 166">
          <a:extLst>
            <a:ext uri="{FF2B5EF4-FFF2-40B4-BE49-F238E27FC236}">
              <a16:creationId xmlns:a16="http://schemas.microsoft.com/office/drawing/2014/main" id="{00000000-0008-0000-1100-0000C746A500}"/>
            </a:ext>
          </a:extLst>
        </xdr:cNvPr>
        <xdr:cNvSpPr>
          <a:spLocks noChangeShapeType="1"/>
        </xdr:cNvSpPr>
      </xdr:nvSpPr>
      <xdr:spPr bwMode="auto">
        <a:xfrm>
          <a:off x="8210550" y="12706350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80</xdr:row>
      <xdr:rowOff>9525</xdr:rowOff>
    </xdr:from>
    <xdr:to>
      <xdr:col>9</xdr:col>
      <xdr:colOff>695325</xdr:colOff>
      <xdr:row>80</xdr:row>
      <xdr:rowOff>9525</xdr:rowOff>
    </xdr:to>
    <xdr:sp macro="" textlink="">
      <xdr:nvSpPr>
        <xdr:cNvPr id="10831560" name="Line 167">
          <a:extLst>
            <a:ext uri="{FF2B5EF4-FFF2-40B4-BE49-F238E27FC236}">
              <a16:creationId xmlns:a16="http://schemas.microsoft.com/office/drawing/2014/main" id="{00000000-0008-0000-1100-0000C846A500}"/>
            </a:ext>
          </a:extLst>
        </xdr:cNvPr>
        <xdr:cNvSpPr>
          <a:spLocks noChangeShapeType="1"/>
        </xdr:cNvSpPr>
      </xdr:nvSpPr>
      <xdr:spPr bwMode="auto">
        <a:xfrm flipH="1">
          <a:off x="6000750" y="12706350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257175</xdr:colOff>
      <xdr:row>11</xdr:row>
      <xdr:rowOff>0</xdr:rowOff>
    </xdr:from>
    <xdr:to>
      <xdr:col>8</xdr:col>
      <xdr:colOff>295275</xdr:colOff>
      <xdr:row>16</xdr:row>
      <xdr:rowOff>76200</xdr:rowOff>
    </xdr:to>
    <xdr:sp macro="" textlink="">
      <xdr:nvSpPr>
        <xdr:cNvPr id="10831561" name="Line 34">
          <a:extLst>
            <a:ext uri="{FF2B5EF4-FFF2-40B4-BE49-F238E27FC236}">
              <a16:creationId xmlns:a16="http://schemas.microsoft.com/office/drawing/2014/main" id="{00000000-0008-0000-1100-0000C946A500}"/>
            </a:ext>
          </a:extLst>
        </xdr:cNvPr>
        <xdr:cNvSpPr>
          <a:spLocks noChangeShapeType="1"/>
        </xdr:cNvSpPr>
      </xdr:nvSpPr>
      <xdr:spPr bwMode="auto">
        <a:xfrm flipV="1">
          <a:off x="4829175" y="2581275"/>
          <a:ext cx="752475" cy="9906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371475</xdr:colOff>
      <xdr:row>12</xdr:row>
      <xdr:rowOff>104775</xdr:rowOff>
    </xdr:from>
    <xdr:to>
      <xdr:col>9</xdr:col>
      <xdr:colOff>0</xdr:colOff>
      <xdr:row>16</xdr:row>
      <xdr:rowOff>104775</xdr:rowOff>
    </xdr:to>
    <xdr:sp macro="" textlink="">
      <xdr:nvSpPr>
        <xdr:cNvPr id="10831562" name="Line 34">
          <a:extLst>
            <a:ext uri="{FF2B5EF4-FFF2-40B4-BE49-F238E27FC236}">
              <a16:creationId xmlns:a16="http://schemas.microsoft.com/office/drawing/2014/main" id="{00000000-0008-0000-1100-0000CA46A500}"/>
            </a:ext>
          </a:extLst>
        </xdr:cNvPr>
        <xdr:cNvSpPr>
          <a:spLocks noChangeShapeType="1"/>
        </xdr:cNvSpPr>
      </xdr:nvSpPr>
      <xdr:spPr bwMode="auto">
        <a:xfrm flipV="1">
          <a:off x="4943475" y="2886075"/>
          <a:ext cx="1057275" cy="7143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419100</xdr:colOff>
      <xdr:row>14</xdr:row>
      <xdr:rowOff>104775</xdr:rowOff>
    </xdr:from>
    <xdr:to>
      <xdr:col>9</xdr:col>
      <xdr:colOff>76200</xdr:colOff>
      <xdr:row>16</xdr:row>
      <xdr:rowOff>152400</xdr:rowOff>
    </xdr:to>
    <xdr:sp macro="" textlink="">
      <xdr:nvSpPr>
        <xdr:cNvPr id="10831563" name="Line 34">
          <a:extLst>
            <a:ext uri="{FF2B5EF4-FFF2-40B4-BE49-F238E27FC236}">
              <a16:creationId xmlns:a16="http://schemas.microsoft.com/office/drawing/2014/main" id="{00000000-0008-0000-1100-0000CB46A500}"/>
            </a:ext>
          </a:extLst>
        </xdr:cNvPr>
        <xdr:cNvSpPr>
          <a:spLocks noChangeShapeType="1"/>
        </xdr:cNvSpPr>
      </xdr:nvSpPr>
      <xdr:spPr bwMode="auto">
        <a:xfrm flipV="1">
          <a:off x="4991100" y="3276600"/>
          <a:ext cx="1085850" cy="3714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685800</xdr:colOff>
      <xdr:row>9</xdr:row>
      <xdr:rowOff>0</xdr:rowOff>
    </xdr:from>
    <xdr:to>
      <xdr:col>10</xdr:col>
      <xdr:colOff>266700</xdr:colOff>
      <xdr:row>15</xdr:row>
      <xdr:rowOff>76200</xdr:rowOff>
    </xdr:to>
    <xdr:sp macro="" textlink="">
      <xdr:nvSpPr>
        <xdr:cNvPr id="10831564" name="Rectangle 56">
          <a:extLst>
            <a:ext uri="{FF2B5EF4-FFF2-40B4-BE49-F238E27FC236}">
              <a16:creationId xmlns:a16="http://schemas.microsoft.com/office/drawing/2014/main" id="{00000000-0008-0000-1100-0000CC46A500}"/>
            </a:ext>
          </a:extLst>
        </xdr:cNvPr>
        <xdr:cNvSpPr>
          <a:spLocks noChangeArrowheads="1"/>
        </xdr:cNvSpPr>
      </xdr:nvSpPr>
      <xdr:spPr bwMode="auto">
        <a:xfrm>
          <a:off x="5257800" y="2200275"/>
          <a:ext cx="1714500" cy="120967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790575</xdr:colOff>
      <xdr:row>55</xdr:row>
      <xdr:rowOff>0</xdr:rowOff>
    </xdr:from>
    <xdr:to>
      <xdr:col>4</xdr:col>
      <xdr:colOff>104775</xdr:colOff>
      <xdr:row>59</xdr:row>
      <xdr:rowOff>142875</xdr:rowOff>
    </xdr:to>
    <xdr:sp macro="" textlink="">
      <xdr:nvSpPr>
        <xdr:cNvPr id="10831565" name="Oval 14">
          <a:extLst>
            <a:ext uri="{FF2B5EF4-FFF2-40B4-BE49-F238E27FC236}">
              <a16:creationId xmlns:a16="http://schemas.microsoft.com/office/drawing/2014/main" id="{00000000-0008-0000-1100-0000CD46A500}"/>
            </a:ext>
          </a:extLst>
        </xdr:cNvPr>
        <xdr:cNvSpPr>
          <a:spLocks noChangeArrowheads="1"/>
        </xdr:cNvSpPr>
      </xdr:nvSpPr>
      <xdr:spPr bwMode="auto">
        <a:xfrm>
          <a:off x="1724025" y="10210800"/>
          <a:ext cx="933450" cy="885825"/>
        </a:xfrm>
        <a:prstGeom prst="ellips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619125</xdr:colOff>
      <xdr:row>53</xdr:row>
      <xdr:rowOff>28575</xdr:rowOff>
    </xdr:from>
    <xdr:to>
      <xdr:col>3</xdr:col>
      <xdr:colOff>771525</xdr:colOff>
      <xdr:row>55</xdr:row>
      <xdr:rowOff>47625</xdr:rowOff>
    </xdr:to>
    <xdr:sp macro="" textlink="">
      <xdr:nvSpPr>
        <xdr:cNvPr id="10831566" name="Line 19">
          <a:extLst>
            <a:ext uri="{FF2B5EF4-FFF2-40B4-BE49-F238E27FC236}">
              <a16:creationId xmlns:a16="http://schemas.microsoft.com/office/drawing/2014/main" id="{00000000-0008-0000-1100-0000CE46A500}"/>
            </a:ext>
          </a:extLst>
        </xdr:cNvPr>
        <xdr:cNvSpPr>
          <a:spLocks noChangeShapeType="1"/>
        </xdr:cNvSpPr>
      </xdr:nvSpPr>
      <xdr:spPr bwMode="auto">
        <a:xfrm flipH="1">
          <a:off x="2390775" y="9886950"/>
          <a:ext cx="152400" cy="3714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104775</xdr:colOff>
      <xdr:row>57</xdr:row>
      <xdr:rowOff>9525</xdr:rowOff>
    </xdr:from>
    <xdr:to>
      <xdr:col>5</xdr:col>
      <xdr:colOff>657225</xdr:colOff>
      <xdr:row>57</xdr:row>
      <xdr:rowOff>9525</xdr:rowOff>
    </xdr:to>
    <xdr:sp macro="" textlink="">
      <xdr:nvSpPr>
        <xdr:cNvPr id="10831567" name="Line 19">
          <a:extLst>
            <a:ext uri="{FF2B5EF4-FFF2-40B4-BE49-F238E27FC236}">
              <a16:creationId xmlns:a16="http://schemas.microsoft.com/office/drawing/2014/main" id="{00000000-0008-0000-1100-0000CF46A500}"/>
            </a:ext>
          </a:extLst>
        </xdr:cNvPr>
        <xdr:cNvSpPr>
          <a:spLocks noChangeShapeType="1"/>
        </xdr:cNvSpPr>
      </xdr:nvSpPr>
      <xdr:spPr bwMode="auto">
        <a:xfrm flipH="1" flipV="1">
          <a:off x="2657475" y="10544175"/>
          <a:ext cx="119062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723900</xdr:colOff>
      <xdr:row>54</xdr:row>
      <xdr:rowOff>0</xdr:rowOff>
    </xdr:from>
    <xdr:to>
      <xdr:col>5</xdr:col>
      <xdr:colOff>469900</xdr:colOff>
      <xdr:row>59</xdr:row>
      <xdr:rowOff>165099</xdr:rowOff>
    </xdr:to>
    <xdr:sp macro="" textlink="">
      <xdr:nvSpPr>
        <xdr:cNvPr id="176" name="Rectangle 56">
          <a:extLst>
            <a:ext uri="{FF2B5EF4-FFF2-40B4-BE49-F238E27FC236}">
              <a16:creationId xmlns:a16="http://schemas.microsoft.com/office/drawing/2014/main" id="{00000000-0008-0000-1100-0000B0000000}"/>
            </a:ext>
          </a:extLst>
        </xdr:cNvPr>
        <xdr:cNvSpPr>
          <a:spLocks noChangeArrowheads="1"/>
        </xdr:cNvSpPr>
      </xdr:nvSpPr>
      <xdr:spPr bwMode="auto">
        <a:xfrm>
          <a:off x="1651000" y="10198100"/>
          <a:ext cx="2006600" cy="1104899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66675</xdr:rowOff>
    </xdr:from>
    <xdr:to>
      <xdr:col>8</xdr:col>
      <xdr:colOff>180975</xdr:colOff>
      <xdr:row>24</xdr:row>
      <xdr:rowOff>0</xdr:rowOff>
    </xdr:to>
    <xdr:sp macro="" textlink="">
      <xdr:nvSpPr>
        <xdr:cNvPr id="10832132" name="Oval 1">
          <a:extLst>
            <a:ext uri="{FF2B5EF4-FFF2-40B4-BE49-F238E27FC236}">
              <a16:creationId xmlns:a16="http://schemas.microsoft.com/office/drawing/2014/main" id="{00000000-0008-0000-1200-00000449A500}"/>
            </a:ext>
          </a:extLst>
        </xdr:cNvPr>
        <xdr:cNvSpPr>
          <a:spLocks noChangeArrowheads="1"/>
        </xdr:cNvSpPr>
      </xdr:nvSpPr>
      <xdr:spPr bwMode="auto">
        <a:xfrm>
          <a:off x="4067175" y="3038475"/>
          <a:ext cx="1581150" cy="14954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552450</xdr:colOff>
      <xdr:row>28</xdr:row>
      <xdr:rowOff>38100</xdr:rowOff>
    </xdr:from>
    <xdr:to>
      <xdr:col>8</xdr:col>
      <xdr:colOff>66675</xdr:colOff>
      <xdr:row>36</xdr:row>
      <xdr:rowOff>152400</xdr:rowOff>
    </xdr:to>
    <xdr:sp macro="" textlink="">
      <xdr:nvSpPr>
        <xdr:cNvPr id="10832133" name="Oval 2">
          <a:extLst>
            <a:ext uri="{FF2B5EF4-FFF2-40B4-BE49-F238E27FC236}">
              <a16:creationId xmlns:a16="http://schemas.microsoft.com/office/drawing/2014/main" id="{00000000-0008-0000-1200-00000549A500}"/>
            </a:ext>
          </a:extLst>
        </xdr:cNvPr>
        <xdr:cNvSpPr>
          <a:spLocks noChangeArrowheads="1"/>
        </xdr:cNvSpPr>
      </xdr:nvSpPr>
      <xdr:spPr bwMode="auto">
        <a:xfrm>
          <a:off x="3943350" y="5276850"/>
          <a:ext cx="159067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609600</xdr:colOff>
      <xdr:row>49</xdr:row>
      <xdr:rowOff>152400</xdr:rowOff>
    </xdr:from>
    <xdr:to>
      <xdr:col>8</xdr:col>
      <xdr:colOff>123825</xdr:colOff>
      <xdr:row>58</xdr:row>
      <xdr:rowOff>28575</xdr:rowOff>
    </xdr:to>
    <xdr:sp macro="" textlink="">
      <xdr:nvSpPr>
        <xdr:cNvPr id="10832134" name="Oval 3">
          <a:extLst>
            <a:ext uri="{FF2B5EF4-FFF2-40B4-BE49-F238E27FC236}">
              <a16:creationId xmlns:a16="http://schemas.microsoft.com/office/drawing/2014/main" id="{00000000-0008-0000-1200-00000649A500}"/>
            </a:ext>
          </a:extLst>
        </xdr:cNvPr>
        <xdr:cNvSpPr>
          <a:spLocks noChangeArrowheads="1"/>
        </xdr:cNvSpPr>
      </xdr:nvSpPr>
      <xdr:spPr bwMode="auto">
        <a:xfrm>
          <a:off x="4000500" y="9001125"/>
          <a:ext cx="1590675" cy="15525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552450</xdr:colOff>
      <xdr:row>28</xdr:row>
      <xdr:rowOff>38100</xdr:rowOff>
    </xdr:from>
    <xdr:to>
      <xdr:col>11</xdr:col>
      <xdr:colOff>76200</xdr:colOff>
      <xdr:row>37</xdr:row>
      <xdr:rowOff>28575</xdr:rowOff>
    </xdr:to>
    <xdr:sp macro="" textlink="">
      <xdr:nvSpPr>
        <xdr:cNvPr id="10832135" name="Oval 4">
          <a:extLst>
            <a:ext uri="{FF2B5EF4-FFF2-40B4-BE49-F238E27FC236}">
              <a16:creationId xmlns:a16="http://schemas.microsoft.com/office/drawing/2014/main" id="{00000000-0008-0000-1200-00000749A500}"/>
            </a:ext>
          </a:extLst>
        </xdr:cNvPr>
        <xdr:cNvSpPr>
          <a:spLocks noChangeArrowheads="1"/>
        </xdr:cNvSpPr>
      </xdr:nvSpPr>
      <xdr:spPr bwMode="auto">
        <a:xfrm>
          <a:off x="6019800" y="5276850"/>
          <a:ext cx="1562100" cy="15430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685800</xdr:colOff>
      <xdr:row>28</xdr:row>
      <xdr:rowOff>66675</xdr:rowOff>
    </xdr:from>
    <xdr:to>
      <xdr:col>14</xdr:col>
      <xdr:colOff>28575</xdr:colOff>
      <xdr:row>37</xdr:row>
      <xdr:rowOff>19050</xdr:rowOff>
    </xdr:to>
    <xdr:sp macro="" textlink="">
      <xdr:nvSpPr>
        <xdr:cNvPr id="10832136" name="Oval 5">
          <a:extLst>
            <a:ext uri="{FF2B5EF4-FFF2-40B4-BE49-F238E27FC236}">
              <a16:creationId xmlns:a16="http://schemas.microsoft.com/office/drawing/2014/main" id="{00000000-0008-0000-1200-00000849A500}"/>
            </a:ext>
          </a:extLst>
        </xdr:cNvPr>
        <xdr:cNvSpPr>
          <a:spLocks noChangeArrowheads="1"/>
        </xdr:cNvSpPr>
      </xdr:nvSpPr>
      <xdr:spPr bwMode="auto">
        <a:xfrm>
          <a:off x="8191500" y="5305425"/>
          <a:ext cx="168592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552450</xdr:colOff>
      <xdr:row>28</xdr:row>
      <xdr:rowOff>38100</xdr:rowOff>
    </xdr:from>
    <xdr:to>
      <xdr:col>17</xdr:col>
      <xdr:colOff>66675</xdr:colOff>
      <xdr:row>36</xdr:row>
      <xdr:rowOff>152400</xdr:rowOff>
    </xdr:to>
    <xdr:sp macro="" textlink="">
      <xdr:nvSpPr>
        <xdr:cNvPr id="10832137" name="Oval 6">
          <a:extLst>
            <a:ext uri="{FF2B5EF4-FFF2-40B4-BE49-F238E27FC236}">
              <a16:creationId xmlns:a16="http://schemas.microsoft.com/office/drawing/2014/main" id="{00000000-0008-0000-1200-00000949A500}"/>
            </a:ext>
          </a:extLst>
        </xdr:cNvPr>
        <xdr:cNvSpPr>
          <a:spLocks noChangeArrowheads="1"/>
        </xdr:cNvSpPr>
      </xdr:nvSpPr>
      <xdr:spPr bwMode="auto">
        <a:xfrm>
          <a:off x="10401300" y="5276850"/>
          <a:ext cx="17335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552450</xdr:colOff>
      <xdr:row>28</xdr:row>
      <xdr:rowOff>38100</xdr:rowOff>
    </xdr:from>
    <xdr:to>
      <xdr:col>20</xdr:col>
      <xdr:colOff>66675</xdr:colOff>
      <xdr:row>36</xdr:row>
      <xdr:rowOff>152400</xdr:rowOff>
    </xdr:to>
    <xdr:sp macro="" textlink="">
      <xdr:nvSpPr>
        <xdr:cNvPr id="10832138" name="Oval 7">
          <a:extLst>
            <a:ext uri="{FF2B5EF4-FFF2-40B4-BE49-F238E27FC236}">
              <a16:creationId xmlns:a16="http://schemas.microsoft.com/office/drawing/2014/main" id="{00000000-0008-0000-1200-00000A49A500}"/>
            </a:ext>
          </a:extLst>
        </xdr:cNvPr>
        <xdr:cNvSpPr>
          <a:spLocks noChangeArrowheads="1"/>
        </xdr:cNvSpPr>
      </xdr:nvSpPr>
      <xdr:spPr bwMode="auto">
        <a:xfrm>
          <a:off x="12620625" y="5276850"/>
          <a:ext cx="163830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37</xdr:row>
      <xdr:rowOff>28575</xdr:rowOff>
    </xdr:from>
    <xdr:to>
      <xdr:col>19</xdr:col>
      <xdr:colOff>0</xdr:colOff>
      <xdr:row>44</xdr:row>
      <xdr:rowOff>152400</xdr:rowOff>
    </xdr:to>
    <xdr:sp macro="" textlink="">
      <xdr:nvSpPr>
        <xdr:cNvPr id="10832139" name="Line 8">
          <a:extLst>
            <a:ext uri="{FF2B5EF4-FFF2-40B4-BE49-F238E27FC236}">
              <a16:creationId xmlns:a16="http://schemas.microsoft.com/office/drawing/2014/main" id="{00000000-0008-0000-1200-00000B49A500}"/>
            </a:ext>
          </a:extLst>
        </xdr:cNvPr>
        <xdr:cNvSpPr>
          <a:spLocks noChangeShapeType="1"/>
        </xdr:cNvSpPr>
      </xdr:nvSpPr>
      <xdr:spPr bwMode="auto">
        <a:xfrm flipH="1">
          <a:off x="13515975" y="6819900"/>
          <a:ext cx="0" cy="1314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66675</xdr:colOff>
      <xdr:row>32</xdr:row>
      <xdr:rowOff>152400</xdr:rowOff>
    </xdr:from>
    <xdr:to>
      <xdr:col>17</xdr:col>
      <xdr:colOff>542925</xdr:colOff>
      <xdr:row>32</xdr:row>
      <xdr:rowOff>152400</xdr:rowOff>
    </xdr:to>
    <xdr:sp macro="" textlink="">
      <xdr:nvSpPr>
        <xdr:cNvPr id="10832140" name="Line 9">
          <a:extLst>
            <a:ext uri="{FF2B5EF4-FFF2-40B4-BE49-F238E27FC236}">
              <a16:creationId xmlns:a16="http://schemas.microsoft.com/office/drawing/2014/main" id="{00000000-0008-0000-1200-00000C49A500}"/>
            </a:ext>
          </a:extLst>
        </xdr:cNvPr>
        <xdr:cNvSpPr>
          <a:spLocks noChangeShapeType="1"/>
        </xdr:cNvSpPr>
      </xdr:nvSpPr>
      <xdr:spPr bwMode="auto">
        <a:xfrm flipH="1">
          <a:off x="12134850" y="6115050"/>
          <a:ext cx="4762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</xdr:colOff>
      <xdr:row>33</xdr:row>
      <xdr:rowOff>0</xdr:rowOff>
    </xdr:from>
    <xdr:to>
      <xdr:col>14</xdr:col>
      <xdr:colOff>561975</xdr:colOff>
      <xdr:row>33</xdr:row>
      <xdr:rowOff>0</xdr:rowOff>
    </xdr:to>
    <xdr:sp macro="" textlink="">
      <xdr:nvSpPr>
        <xdr:cNvPr id="10832141" name="Line 10">
          <a:extLst>
            <a:ext uri="{FF2B5EF4-FFF2-40B4-BE49-F238E27FC236}">
              <a16:creationId xmlns:a16="http://schemas.microsoft.com/office/drawing/2014/main" id="{00000000-0008-0000-1200-00000D49A500}"/>
            </a:ext>
          </a:extLst>
        </xdr:cNvPr>
        <xdr:cNvSpPr>
          <a:spLocks noChangeShapeType="1"/>
        </xdr:cNvSpPr>
      </xdr:nvSpPr>
      <xdr:spPr bwMode="auto">
        <a:xfrm>
          <a:off x="9877425" y="6143625"/>
          <a:ext cx="5334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46</xdr:row>
      <xdr:rowOff>85725</xdr:rowOff>
    </xdr:from>
    <xdr:to>
      <xdr:col>7</xdr:col>
      <xdr:colOff>0</xdr:colOff>
      <xdr:row>49</xdr:row>
      <xdr:rowOff>142875</xdr:rowOff>
    </xdr:to>
    <xdr:sp macro="" textlink="">
      <xdr:nvSpPr>
        <xdr:cNvPr id="10832142" name="Line 11">
          <a:extLst>
            <a:ext uri="{FF2B5EF4-FFF2-40B4-BE49-F238E27FC236}">
              <a16:creationId xmlns:a16="http://schemas.microsoft.com/office/drawing/2014/main" id="{00000000-0008-0000-1200-00000E49A500}"/>
            </a:ext>
          </a:extLst>
        </xdr:cNvPr>
        <xdr:cNvSpPr>
          <a:spLocks noChangeShapeType="1"/>
        </xdr:cNvSpPr>
      </xdr:nvSpPr>
      <xdr:spPr bwMode="auto">
        <a:xfrm flipH="1">
          <a:off x="4752975" y="8410575"/>
          <a:ext cx="0" cy="581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29</xdr:row>
      <xdr:rowOff>66675</xdr:rowOff>
    </xdr:from>
    <xdr:to>
      <xdr:col>4</xdr:col>
      <xdr:colOff>571500</xdr:colOff>
      <xdr:row>36</xdr:row>
      <xdr:rowOff>9525</xdr:rowOff>
    </xdr:to>
    <xdr:sp macro="" textlink="">
      <xdr:nvSpPr>
        <xdr:cNvPr id="10832143" name="Oval 12">
          <a:extLst>
            <a:ext uri="{FF2B5EF4-FFF2-40B4-BE49-F238E27FC236}">
              <a16:creationId xmlns:a16="http://schemas.microsoft.com/office/drawing/2014/main" id="{00000000-0008-0000-1200-00000F49A500}"/>
            </a:ext>
          </a:extLst>
        </xdr:cNvPr>
        <xdr:cNvSpPr>
          <a:spLocks noChangeArrowheads="1"/>
        </xdr:cNvSpPr>
      </xdr:nvSpPr>
      <xdr:spPr bwMode="auto">
        <a:xfrm>
          <a:off x="2200275" y="5467350"/>
          <a:ext cx="1123950" cy="11715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571500</xdr:colOff>
      <xdr:row>33</xdr:row>
      <xdr:rowOff>0</xdr:rowOff>
    </xdr:from>
    <xdr:to>
      <xdr:col>5</xdr:col>
      <xdr:colOff>542925</xdr:colOff>
      <xdr:row>33</xdr:row>
      <xdr:rowOff>0</xdr:rowOff>
    </xdr:to>
    <xdr:sp macro="" textlink="">
      <xdr:nvSpPr>
        <xdr:cNvPr id="10832144" name="Line 13">
          <a:extLst>
            <a:ext uri="{FF2B5EF4-FFF2-40B4-BE49-F238E27FC236}">
              <a16:creationId xmlns:a16="http://schemas.microsoft.com/office/drawing/2014/main" id="{00000000-0008-0000-1200-00001049A500}"/>
            </a:ext>
          </a:extLst>
        </xdr:cNvPr>
        <xdr:cNvSpPr>
          <a:spLocks noChangeShapeType="1"/>
        </xdr:cNvSpPr>
      </xdr:nvSpPr>
      <xdr:spPr bwMode="auto">
        <a:xfrm flipH="1">
          <a:off x="3324225" y="6143625"/>
          <a:ext cx="6096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209550</xdr:colOff>
      <xdr:row>45</xdr:row>
      <xdr:rowOff>76200</xdr:rowOff>
    </xdr:from>
    <xdr:to>
      <xdr:col>4</xdr:col>
      <xdr:colOff>619125</xdr:colOff>
      <xdr:row>51</xdr:row>
      <xdr:rowOff>142875</xdr:rowOff>
    </xdr:to>
    <xdr:sp macro="" textlink="">
      <xdr:nvSpPr>
        <xdr:cNvPr id="10832145" name="Oval 14">
          <a:extLst>
            <a:ext uri="{FF2B5EF4-FFF2-40B4-BE49-F238E27FC236}">
              <a16:creationId xmlns:a16="http://schemas.microsoft.com/office/drawing/2014/main" id="{00000000-0008-0000-1200-00001149A500}"/>
            </a:ext>
          </a:extLst>
        </xdr:cNvPr>
        <xdr:cNvSpPr>
          <a:spLocks noChangeArrowheads="1"/>
        </xdr:cNvSpPr>
      </xdr:nvSpPr>
      <xdr:spPr bwMode="auto">
        <a:xfrm>
          <a:off x="2266950" y="8239125"/>
          <a:ext cx="1104900" cy="10953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381000</xdr:colOff>
      <xdr:row>35</xdr:row>
      <xdr:rowOff>104775</xdr:rowOff>
    </xdr:from>
    <xdr:to>
      <xdr:col>6</xdr:col>
      <xdr:colOff>123825</xdr:colOff>
      <xdr:row>45</xdr:row>
      <xdr:rowOff>152400</xdr:rowOff>
    </xdr:to>
    <xdr:sp macro="" textlink="">
      <xdr:nvSpPr>
        <xdr:cNvPr id="10832146" name="Line 15">
          <a:extLst>
            <a:ext uri="{FF2B5EF4-FFF2-40B4-BE49-F238E27FC236}">
              <a16:creationId xmlns:a16="http://schemas.microsoft.com/office/drawing/2014/main" id="{00000000-0008-0000-1200-00001249A500}"/>
            </a:ext>
          </a:extLst>
        </xdr:cNvPr>
        <xdr:cNvSpPr>
          <a:spLocks noChangeShapeType="1"/>
        </xdr:cNvSpPr>
      </xdr:nvSpPr>
      <xdr:spPr bwMode="auto">
        <a:xfrm flipH="1">
          <a:off x="3133725" y="6572250"/>
          <a:ext cx="1057275" cy="17430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581025</xdr:colOff>
      <xdr:row>49</xdr:row>
      <xdr:rowOff>9525</xdr:rowOff>
    </xdr:from>
    <xdr:to>
      <xdr:col>6</xdr:col>
      <xdr:colOff>47625</xdr:colOff>
      <xdr:row>52</xdr:row>
      <xdr:rowOff>9525</xdr:rowOff>
    </xdr:to>
    <xdr:sp macro="" textlink="">
      <xdr:nvSpPr>
        <xdr:cNvPr id="10832147" name="Line 16">
          <a:extLst>
            <a:ext uri="{FF2B5EF4-FFF2-40B4-BE49-F238E27FC236}">
              <a16:creationId xmlns:a16="http://schemas.microsoft.com/office/drawing/2014/main" id="{00000000-0008-0000-1200-00001349A500}"/>
            </a:ext>
          </a:extLst>
        </xdr:cNvPr>
        <xdr:cNvSpPr>
          <a:spLocks noChangeShapeType="1"/>
        </xdr:cNvSpPr>
      </xdr:nvSpPr>
      <xdr:spPr bwMode="auto">
        <a:xfrm>
          <a:off x="3333750" y="8858250"/>
          <a:ext cx="781050" cy="5334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46</xdr:row>
      <xdr:rowOff>9525</xdr:rowOff>
    </xdr:from>
    <xdr:to>
      <xdr:col>4</xdr:col>
      <xdr:colOff>371475</xdr:colOff>
      <xdr:row>46</xdr:row>
      <xdr:rowOff>19050</xdr:rowOff>
    </xdr:to>
    <xdr:sp macro="" textlink="">
      <xdr:nvSpPr>
        <xdr:cNvPr id="10832148" name="Arc 17">
          <a:extLst>
            <a:ext uri="{FF2B5EF4-FFF2-40B4-BE49-F238E27FC236}">
              <a16:creationId xmlns:a16="http://schemas.microsoft.com/office/drawing/2014/main" id="{00000000-0008-0000-1200-00001449A500}"/>
            </a:ext>
          </a:extLst>
        </xdr:cNvPr>
        <xdr:cNvSpPr>
          <a:spLocks/>
        </xdr:cNvSpPr>
      </xdr:nvSpPr>
      <xdr:spPr bwMode="auto">
        <a:xfrm flipH="1" flipV="1">
          <a:off x="3114675" y="8334375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171450</xdr:colOff>
      <xdr:row>46</xdr:row>
      <xdr:rowOff>9525</xdr:rowOff>
    </xdr:from>
    <xdr:to>
      <xdr:col>4</xdr:col>
      <xdr:colOff>352425</xdr:colOff>
      <xdr:row>48</xdr:row>
      <xdr:rowOff>152400</xdr:rowOff>
    </xdr:to>
    <xdr:sp macro="" textlink="">
      <xdr:nvSpPr>
        <xdr:cNvPr id="10832149" name="Line 18">
          <a:extLst>
            <a:ext uri="{FF2B5EF4-FFF2-40B4-BE49-F238E27FC236}">
              <a16:creationId xmlns:a16="http://schemas.microsoft.com/office/drawing/2014/main" id="{00000000-0008-0000-1200-00001549A500}"/>
            </a:ext>
          </a:extLst>
        </xdr:cNvPr>
        <xdr:cNvSpPr>
          <a:spLocks noChangeShapeType="1"/>
        </xdr:cNvSpPr>
      </xdr:nvSpPr>
      <xdr:spPr bwMode="auto">
        <a:xfrm flipH="1">
          <a:off x="2228850" y="8334375"/>
          <a:ext cx="876300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49</xdr:row>
      <xdr:rowOff>0</xdr:rowOff>
    </xdr:from>
    <xdr:to>
      <xdr:col>3</xdr:col>
      <xdr:colOff>171450</xdr:colOff>
      <xdr:row>49</xdr:row>
      <xdr:rowOff>0</xdr:rowOff>
    </xdr:to>
    <xdr:sp macro="" textlink="">
      <xdr:nvSpPr>
        <xdr:cNvPr id="10832150" name="Line 19">
          <a:extLst>
            <a:ext uri="{FF2B5EF4-FFF2-40B4-BE49-F238E27FC236}">
              <a16:creationId xmlns:a16="http://schemas.microsoft.com/office/drawing/2014/main" id="{00000000-0008-0000-1200-00001649A500}"/>
            </a:ext>
          </a:extLst>
        </xdr:cNvPr>
        <xdr:cNvSpPr>
          <a:spLocks noChangeShapeType="1"/>
        </xdr:cNvSpPr>
      </xdr:nvSpPr>
      <xdr:spPr bwMode="auto">
        <a:xfrm flipH="1">
          <a:off x="1514475" y="8848725"/>
          <a:ext cx="71437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352425</xdr:colOff>
      <xdr:row>46</xdr:row>
      <xdr:rowOff>19050</xdr:rowOff>
    </xdr:from>
    <xdr:to>
      <xdr:col>4</xdr:col>
      <xdr:colOff>581025</xdr:colOff>
      <xdr:row>49</xdr:row>
      <xdr:rowOff>0</xdr:rowOff>
    </xdr:to>
    <xdr:sp macro="" textlink="">
      <xdr:nvSpPr>
        <xdr:cNvPr id="10832151" name="Arc 20">
          <a:extLst>
            <a:ext uri="{FF2B5EF4-FFF2-40B4-BE49-F238E27FC236}">
              <a16:creationId xmlns:a16="http://schemas.microsoft.com/office/drawing/2014/main" id="{00000000-0008-0000-1200-00001749A500}"/>
            </a:ext>
          </a:extLst>
        </xdr:cNvPr>
        <xdr:cNvSpPr>
          <a:spLocks/>
        </xdr:cNvSpPr>
      </xdr:nvSpPr>
      <xdr:spPr bwMode="auto">
        <a:xfrm flipH="1" flipV="1">
          <a:off x="3105150" y="8343900"/>
          <a:ext cx="228600" cy="5048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228600</xdr:colOff>
      <xdr:row>9</xdr:row>
      <xdr:rowOff>66675</xdr:rowOff>
    </xdr:from>
    <xdr:to>
      <xdr:col>5</xdr:col>
      <xdr:colOff>57150</xdr:colOff>
      <xdr:row>15</xdr:row>
      <xdr:rowOff>57150</xdr:rowOff>
    </xdr:to>
    <xdr:sp macro="" textlink="">
      <xdr:nvSpPr>
        <xdr:cNvPr id="10832152" name="Oval 21">
          <a:extLst>
            <a:ext uri="{FF2B5EF4-FFF2-40B4-BE49-F238E27FC236}">
              <a16:creationId xmlns:a16="http://schemas.microsoft.com/office/drawing/2014/main" id="{00000000-0008-0000-1200-00001849A500}"/>
            </a:ext>
          </a:extLst>
        </xdr:cNvPr>
        <xdr:cNvSpPr>
          <a:spLocks noChangeArrowheads="1"/>
        </xdr:cNvSpPr>
      </xdr:nvSpPr>
      <xdr:spPr bwMode="auto">
        <a:xfrm>
          <a:off x="2286000" y="1924050"/>
          <a:ext cx="1162050" cy="11049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295275</xdr:colOff>
      <xdr:row>22</xdr:row>
      <xdr:rowOff>152400</xdr:rowOff>
    </xdr:from>
    <xdr:to>
      <xdr:col>6</xdr:col>
      <xdr:colOff>238125</xdr:colOff>
      <xdr:row>29</xdr:row>
      <xdr:rowOff>142875</xdr:rowOff>
    </xdr:to>
    <xdr:sp macro="" textlink="">
      <xdr:nvSpPr>
        <xdr:cNvPr id="10832153" name="Line 22">
          <a:extLst>
            <a:ext uri="{FF2B5EF4-FFF2-40B4-BE49-F238E27FC236}">
              <a16:creationId xmlns:a16="http://schemas.microsoft.com/office/drawing/2014/main" id="{00000000-0008-0000-1200-00001949A500}"/>
            </a:ext>
          </a:extLst>
        </xdr:cNvPr>
        <xdr:cNvSpPr>
          <a:spLocks noChangeShapeType="1"/>
        </xdr:cNvSpPr>
      </xdr:nvSpPr>
      <xdr:spPr bwMode="auto">
        <a:xfrm flipH="1">
          <a:off x="3048000" y="4352925"/>
          <a:ext cx="1257300" cy="11906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51</xdr:row>
      <xdr:rowOff>38100</xdr:rowOff>
    </xdr:from>
    <xdr:to>
      <xdr:col>14</xdr:col>
      <xdr:colOff>9525</xdr:colOff>
      <xdr:row>59</xdr:row>
      <xdr:rowOff>28575</xdr:rowOff>
    </xdr:to>
    <xdr:sp macro="" textlink="">
      <xdr:nvSpPr>
        <xdr:cNvPr id="10832154" name="Arc 23">
          <a:extLst>
            <a:ext uri="{FF2B5EF4-FFF2-40B4-BE49-F238E27FC236}">
              <a16:creationId xmlns:a16="http://schemas.microsoft.com/office/drawing/2014/main" id="{00000000-0008-0000-1200-00001A49A500}"/>
            </a:ext>
          </a:extLst>
        </xdr:cNvPr>
        <xdr:cNvSpPr>
          <a:spLocks/>
        </xdr:cNvSpPr>
      </xdr:nvSpPr>
      <xdr:spPr bwMode="auto">
        <a:xfrm flipH="1">
          <a:off x="6838950" y="9229725"/>
          <a:ext cx="3019425" cy="148590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600075</xdr:colOff>
      <xdr:row>51</xdr:row>
      <xdr:rowOff>38100</xdr:rowOff>
    </xdr:from>
    <xdr:to>
      <xdr:col>17</xdr:col>
      <xdr:colOff>571500</xdr:colOff>
      <xdr:row>59</xdr:row>
      <xdr:rowOff>38100</xdr:rowOff>
    </xdr:to>
    <xdr:sp macro="" textlink="">
      <xdr:nvSpPr>
        <xdr:cNvPr id="10832155" name="Arc 24">
          <a:extLst>
            <a:ext uri="{FF2B5EF4-FFF2-40B4-BE49-F238E27FC236}">
              <a16:creationId xmlns:a16="http://schemas.microsoft.com/office/drawing/2014/main" id="{00000000-0008-0000-1200-00001B49A500}"/>
            </a:ext>
          </a:extLst>
        </xdr:cNvPr>
        <xdr:cNvSpPr>
          <a:spLocks/>
        </xdr:cNvSpPr>
      </xdr:nvSpPr>
      <xdr:spPr bwMode="auto">
        <a:xfrm>
          <a:off x="9582150" y="9229725"/>
          <a:ext cx="3057525" cy="14954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638175</xdr:colOff>
      <xdr:row>57</xdr:row>
      <xdr:rowOff>76200</xdr:rowOff>
    </xdr:from>
    <xdr:to>
      <xdr:col>6</xdr:col>
      <xdr:colOff>314325</xdr:colOff>
      <xdr:row>60</xdr:row>
      <xdr:rowOff>142875</xdr:rowOff>
    </xdr:to>
    <xdr:sp macro="" textlink="">
      <xdr:nvSpPr>
        <xdr:cNvPr id="10832156" name="Line 25">
          <a:extLst>
            <a:ext uri="{FF2B5EF4-FFF2-40B4-BE49-F238E27FC236}">
              <a16:creationId xmlns:a16="http://schemas.microsoft.com/office/drawing/2014/main" id="{00000000-0008-0000-1200-00001C49A500}"/>
            </a:ext>
          </a:extLst>
        </xdr:cNvPr>
        <xdr:cNvSpPr>
          <a:spLocks noChangeShapeType="1"/>
        </xdr:cNvSpPr>
      </xdr:nvSpPr>
      <xdr:spPr bwMode="auto">
        <a:xfrm flipH="1">
          <a:off x="4029075" y="10439400"/>
          <a:ext cx="352425" cy="5715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180975</xdr:colOff>
      <xdr:row>36</xdr:row>
      <xdr:rowOff>76200</xdr:rowOff>
    </xdr:from>
    <xdr:to>
      <xdr:col>17</xdr:col>
      <xdr:colOff>152400</xdr:colOff>
      <xdr:row>44</xdr:row>
      <xdr:rowOff>152400</xdr:rowOff>
    </xdr:to>
    <xdr:sp macro="" textlink="">
      <xdr:nvSpPr>
        <xdr:cNvPr id="10832157" name="Line 26">
          <a:extLst>
            <a:ext uri="{FF2B5EF4-FFF2-40B4-BE49-F238E27FC236}">
              <a16:creationId xmlns:a16="http://schemas.microsoft.com/office/drawing/2014/main" id="{00000000-0008-0000-1200-00001D49A500}"/>
            </a:ext>
          </a:extLst>
        </xdr:cNvPr>
        <xdr:cNvSpPr>
          <a:spLocks noChangeShapeType="1"/>
        </xdr:cNvSpPr>
      </xdr:nvSpPr>
      <xdr:spPr bwMode="auto">
        <a:xfrm>
          <a:off x="11563350" y="6705600"/>
          <a:ext cx="657225" cy="14287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342900</xdr:colOff>
      <xdr:row>36</xdr:row>
      <xdr:rowOff>66675</xdr:rowOff>
    </xdr:from>
    <xdr:to>
      <xdr:col>11</xdr:col>
      <xdr:colOff>695325</xdr:colOff>
      <xdr:row>52</xdr:row>
      <xdr:rowOff>104775</xdr:rowOff>
    </xdr:to>
    <xdr:sp macro="" textlink="">
      <xdr:nvSpPr>
        <xdr:cNvPr id="10832158" name="Line 27">
          <a:extLst>
            <a:ext uri="{FF2B5EF4-FFF2-40B4-BE49-F238E27FC236}">
              <a16:creationId xmlns:a16="http://schemas.microsoft.com/office/drawing/2014/main" id="{00000000-0008-0000-1200-00001E49A500}"/>
            </a:ext>
          </a:extLst>
        </xdr:cNvPr>
        <xdr:cNvSpPr>
          <a:spLocks noChangeShapeType="1"/>
        </xdr:cNvSpPr>
      </xdr:nvSpPr>
      <xdr:spPr bwMode="auto">
        <a:xfrm>
          <a:off x="7181850" y="6696075"/>
          <a:ext cx="1019175" cy="27908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152400</xdr:colOff>
      <xdr:row>44</xdr:row>
      <xdr:rowOff>47625</xdr:rowOff>
    </xdr:from>
    <xdr:to>
      <xdr:col>11</xdr:col>
      <xdr:colOff>381000</xdr:colOff>
      <xdr:row>53</xdr:row>
      <xdr:rowOff>28575</xdr:rowOff>
    </xdr:to>
    <xdr:sp macro="" textlink="">
      <xdr:nvSpPr>
        <xdr:cNvPr id="10832159" name="Line 28">
          <a:extLst>
            <a:ext uri="{FF2B5EF4-FFF2-40B4-BE49-F238E27FC236}">
              <a16:creationId xmlns:a16="http://schemas.microsoft.com/office/drawing/2014/main" id="{00000000-0008-0000-1200-00001F49A500}"/>
            </a:ext>
          </a:extLst>
        </xdr:cNvPr>
        <xdr:cNvSpPr>
          <a:spLocks noChangeShapeType="1"/>
        </xdr:cNvSpPr>
      </xdr:nvSpPr>
      <xdr:spPr bwMode="auto">
        <a:xfrm>
          <a:off x="5619750" y="8029575"/>
          <a:ext cx="2266950" cy="15430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24</xdr:row>
      <xdr:rowOff>0</xdr:rowOff>
    </xdr:from>
    <xdr:to>
      <xdr:col>11</xdr:col>
      <xdr:colOff>123825</xdr:colOff>
      <xdr:row>24</xdr:row>
      <xdr:rowOff>0</xdr:rowOff>
    </xdr:to>
    <xdr:sp macro="" textlink="">
      <xdr:nvSpPr>
        <xdr:cNvPr id="10832160" name="Line 29">
          <a:extLst>
            <a:ext uri="{FF2B5EF4-FFF2-40B4-BE49-F238E27FC236}">
              <a16:creationId xmlns:a16="http://schemas.microsoft.com/office/drawing/2014/main" id="{00000000-0008-0000-1200-00002049A500}"/>
            </a:ext>
          </a:extLst>
        </xdr:cNvPr>
        <xdr:cNvSpPr>
          <a:spLocks noChangeShapeType="1"/>
        </xdr:cNvSpPr>
      </xdr:nvSpPr>
      <xdr:spPr bwMode="auto">
        <a:xfrm>
          <a:off x="6143625" y="4533900"/>
          <a:ext cx="14859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600075</xdr:colOff>
      <xdr:row>19</xdr:row>
      <xdr:rowOff>0</xdr:rowOff>
    </xdr:from>
    <xdr:to>
      <xdr:col>13</xdr:col>
      <xdr:colOff>9525</xdr:colOff>
      <xdr:row>28</xdr:row>
      <xdr:rowOff>47625</xdr:rowOff>
    </xdr:to>
    <xdr:sp macro="" textlink="">
      <xdr:nvSpPr>
        <xdr:cNvPr id="10832161" name="Line 30">
          <a:extLst>
            <a:ext uri="{FF2B5EF4-FFF2-40B4-BE49-F238E27FC236}">
              <a16:creationId xmlns:a16="http://schemas.microsoft.com/office/drawing/2014/main" id="{00000000-0008-0000-1200-00002149A500}"/>
            </a:ext>
          </a:extLst>
        </xdr:cNvPr>
        <xdr:cNvSpPr>
          <a:spLocks noChangeShapeType="1"/>
        </xdr:cNvSpPr>
      </xdr:nvSpPr>
      <xdr:spPr bwMode="auto">
        <a:xfrm>
          <a:off x="8105775" y="3657600"/>
          <a:ext cx="885825" cy="16287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171450</xdr:colOff>
      <xdr:row>18</xdr:row>
      <xdr:rowOff>171450</xdr:rowOff>
    </xdr:from>
    <xdr:to>
      <xdr:col>11</xdr:col>
      <xdr:colOff>619125</xdr:colOff>
      <xdr:row>18</xdr:row>
      <xdr:rowOff>171450</xdr:rowOff>
    </xdr:to>
    <xdr:sp macro="" textlink="">
      <xdr:nvSpPr>
        <xdr:cNvPr id="10832162" name="Line 31">
          <a:extLst>
            <a:ext uri="{FF2B5EF4-FFF2-40B4-BE49-F238E27FC236}">
              <a16:creationId xmlns:a16="http://schemas.microsoft.com/office/drawing/2014/main" id="{00000000-0008-0000-1200-00002249A500}"/>
            </a:ext>
          </a:extLst>
        </xdr:cNvPr>
        <xdr:cNvSpPr>
          <a:spLocks noChangeShapeType="1"/>
        </xdr:cNvSpPr>
      </xdr:nvSpPr>
      <xdr:spPr bwMode="auto">
        <a:xfrm flipH="1">
          <a:off x="5638800" y="3648075"/>
          <a:ext cx="248602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571500</xdr:colOff>
      <xdr:row>57</xdr:row>
      <xdr:rowOff>9525</xdr:rowOff>
    </xdr:from>
    <xdr:to>
      <xdr:col>8</xdr:col>
      <xdr:colOff>200025</xdr:colOff>
      <xdr:row>60</xdr:row>
      <xdr:rowOff>38100</xdr:rowOff>
    </xdr:to>
    <xdr:sp macro="" textlink="">
      <xdr:nvSpPr>
        <xdr:cNvPr id="10832163" name="Line 32">
          <a:extLst>
            <a:ext uri="{FF2B5EF4-FFF2-40B4-BE49-F238E27FC236}">
              <a16:creationId xmlns:a16="http://schemas.microsoft.com/office/drawing/2014/main" id="{00000000-0008-0000-1200-00002349A500}"/>
            </a:ext>
          </a:extLst>
        </xdr:cNvPr>
        <xdr:cNvSpPr>
          <a:spLocks noChangeShapeType="1"/>
        </xdr:cNvSpPr>
      </xdr:nvSpPr>
      <xdr:spPr bwMode="auto">
        <a:xfrm flipH="1" flipV="1">
          <a:off x="5324475" y="10372725"/>
          <a:ext cx="342900" cy="533400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24</xdr:row>
      <xdr:rowOff>0</xdr:rowOff>
    </xdr:from>
    <xdr:to>
      <xdr:col>7</xdr:col>
      <xdr:colOff>9525</xdr:colOff>
      <xdr:row>28</xdr:row>
      <xdr:rowOff>47625</xdr:rowOff>
    </xdr:to>
    <xdr:sp macro="" textlink="">
      <xdr:nvSpPr>
        <xdr:cNvPr id="10832164" name="Line 33">
          <a:extLst>
            <a:ext uri="{FF2B5EF4-FFF2-40B4-BE49-F238E27FC236}">
              <a16:creationId xmlns:a16="http://schemas.microsoft.com/office/drawing/2014/main" id="{00000000-0008-0000-1200-00002449A500}"/>
            </a:ext>
          </a:extLst>
        </xdr:cNvPr>
        <xdr:cNvSpPr>
          <a:spLocks noChangeShapeType="1"/>
        </xdr:cNvSpPr>
      </xdr:nvSpPr>
      <xdr:spPr bwMode="auto">
        <a:xfrm flipH="1">
          <a:off x="4762500" y="4533900"/>
          <a:ext cx="0" cy="7524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247650</xdr:colOff>
      <xdr:row>10</xdr:row>
      <xdr:rowOff>0</xdr:rowOff>
    </xdr:from>
    <xdr:to>
      <xdr:col>6</xdr:col>
      <xdr:colOff>657225</xdr:colOff>
      <xdr:row>15</xdr:row>
      <xdr:rowOff>57150</xdr:rowOff>
    </xdr:to>
    <xdr:sp macro="" textlink="">
      <xdr:nvSpPr>
        <xdr:cNvPr id="10832165" name="Line 34">
          <a:extLst>
            <a:ext uri="{FF2B5EF4-FFF2-40B4-BE49-F238E27FC236}">
              <a16:creationId xmlns:a16="http://schemas.microsoft.com/office/drawing/2014/main" id="{00000000-0008-0000-1200-00002549A500}"/>
            </a:ext>
          </a:extLst>
        </xdr:cNvPr>
        <xdr:cNvSpPr>
          <a:spLocks noChangeShapeType="1"/>
        </xdr:cNvSpPr>
      </xdr:nvSpPr>
      <xdr:spPr bwMode="auto">
        <a:xfrm flipH="1" flipV="1">
          <a:off x="4314825" y="2057400"/>
          <a:ext cx="409575" cy="9715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66675</xdr:colOff>
      <xdr:row>32</xdr:row>
      <xdr:rowOff>180975</xdr:rowOff>
    </xdr:from>
    <xdr:to>
      <xdr:col>8</xdr:col>
      <xdr:colOff>561975</xdr:colOff>
      <xdr:row>32</xdr:row>
      <xdr:rowOff>180975</xdr:rowOff>
    </xdr:to>
    <xdr:sp macro="" textlink="">
      <xdr:nvSpPr>
        <xdr:cNvPr id="10832166" name="Line 35">
          <a:extLst>
            <a:ext uri="{FF2B5EF4-FFF2-40B4-BE49-F238E27FC236}">
              <a16:creationId xmlns:a16="http://schemas.microsoft.com/office/drawing/2014/main" id="{00000000-0008-0000-1200-00002649A500}"/>
            </a:ext>
          </a:extLst>
        </xdr:cNvPr>
        <xdr:cNvSpPr>
          <a:spLocks noChangeShapeType="1"/>
        </xdr:cNvSpPr>
      </xdr:nvSpPr>
      <xdr:spPr bwMode="auto">
        <a:xfrm>
          <a:off x="5534025" y="6143625"/>
          <a:ext cx="4953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447675</xdr:colOff>
      <xdr:row>36</xdr:row>
      <xdr:rowOff>142875</xdr:rowOff>
    </xdr:from>
    <xdr:to>
      <xdr:col>15</xdr:col>
      <xdr:colOff>457200</xdr:colOff>
      <xdr:row>51</xdr:row>
      <xdr:rowOff>85725</xdr:rowOff>
    </xdr:to>
    <xdr:sp macro="" textlink="">
      <xdr:nvSpPr>
        <xdr:cNvPr id="10832167" name="Line 36">
          <a:extLst>
            <a:ext uri="{FF2B5EF4-FFF2-40B4-BE49-F238E27FC236}">
              <a16:creationId xmlns:a16="http://schemas.microsoft.com/office/drawing/2014/main" id="{00000000-0008-0000-1200-00002749A500}"/>
            </a:ext>
          </a:extLst>
        </xdr:cNvPr>
        <xdr:cNvSpPr>
          <a:spLocks noChangeShapeType="1"/>
        </xdr:cNvSpPr>
      </xdr:nvSpPr>
      <xdr:spPr bwMode="auto">
        <a:xfrm flipV="1">
          <a:off x="10296525" y="6772275"/>
          <a:ext cx="752475" cy="2505075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</xdr:colOff>
      <xdr:row>12</xdr:row>
      <xdr:rowOff>0</xdr:rowOff>
    </xdr:from>
    <xdr:to>
      <xdr:col>6</xdr:col>
      <xdr:colOff>438150</xdr:colOff>
      <xdr:row>16</xdr:row>
      <xdr:rowOff>0</xdr:rowOff>
    </xdr:to>
    <xdr:sp macro="" textlink="">
      <xdr:nvSpPr>
        <xdr:cNvPr id="10832168" name="Line 37">
          <a:extLst>
            <a:ext uri="{FF2B5EF4-FFF2-40B4-BE49-F238E27FC236}">
              <a16:creationId xmlns:a16="http://schemas.microsoft.com/office/drawing/2014/main" id="{00000000-0008-0000-1200-00002849A500}"/>
            </a:ext>
          </a:extLst>
        </xdr:cNvPr>
        <xdr:cNvSpPr>
          <a:spLocks noChangeShapeType="1"/>
        </xdr:cNvSpPr>
      </xdr:nvSpPr>
      <xdr:spPr bwMode="auto">
        <a:xfrm>
          <a:off x="3457575" y="2447925"/>
          <a:ext cx="1047750" cy="6858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32</xdr:row>
      <xdr:rowOff>161925</xdr:rowOff>
    </xdr:from>
    <xdr:to>
      <xdr:col>11</xdr:col>
      <xdr:colOff>695325</xdr:colOff>
      <xdr:row>32</xdr:row>
      <xdr:rowOff>161925</xdr:rowOff>
    </xdr:to>
    <xdr:sp macro="" textlink="">
      <xdr:nvSpPr>
        <xdr:cNvPr id="10832169" name="Line 38">
          <a:extLst>
            <a:ext uri="{FF2B5EF4-FFF2-40B4-BE49-F238E27FC236}">
              <a16:creationId xmlns:a16="http://schemas.microsoft.com/office/drawing/2014/main" id="{00000000-0008-0000-1200-00002949A500}"/>
            </a:ext>
          </a:extLst>
        </xdr:cNvPr>
        <xdr:cNvSpPr>
          <a:spLocks noChangeShapeType="1"/>
        </xdr:cNvSpPr>
      </xdr:nvSpPr>
      <xdr:spPr bwMode="auto">
        <a:xfrm>
          <a:off x="7572375" y="6124575"/>
          <a:ext cx="6286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24</xdr:row>
      <xdr:rowOff>0</xdr:rowOff>
    </xdr:from>
    <xdr:to>
      <xdr:col>9</xdr:col>
      <xdr:colOff>28575</xdr:colOff>
      <xdr:row>29</xdr:row>
      <xdr:rowOff>114300</xdr:rowOff>
    </xdr:to>
    <xdr:sp macro="" textlink="">
      <xdr:nvSpPr>
        <xdr:cNvPr id="10832170" name="Line 39">
          <a:extLst>
            <a:ext uri="{FF2B5EF4-FFF2-40B4-BE49-F238E27FC236}">
              <a16:creationId xmlns:a16="http://schemas.microsoft.com/office/drawing/2014/main" id="{00000000-0008-0000-1200-00002A49A500}"/>
            </a:ext>
          </a:extLst>
        </xdr:cNvPr>
        <xdr:cNvSpPr>
          <a:spLocks noChangeShapeType="1"/>
        </xdr:cNvSpPr>
      </xdr:nvSpPr>
      <xdr:spPr bwMode="auto">
        <a:xfrm flipH="1">
          <a:off x="5286375" y="4533900"/>
          <a:ext cx="876300" cy="9810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114300</xdr:colOff>
      <xdr:row>24</xdr:row>
      <xdr:rowOff>9525</xdr:rowOff>
    </xdr:from>
    <xdr:to>
      <xdr:col>12</xdr:col>
      <xdr:colOff>142875</xdr:colOff>
      <xdr:row>29</xdr:row>
      <xdr:rowOff>76200</xdr:rowOff>
    </xdr:to>
    <xdr:sp macro="" textlink="">
      <xdr:nvSpPr>
        <xdr:cNvPr id="10832171" name="Line 40">
          <a:extLst>
            <a:ext uri="{FF2B5EF4-FFF2-40B4-BE49-F238E27FC236}">
              <a16:creationId xmlns:a16="http://schemas.microsoft.com/office/drawing/2014/main" id="{00000000-0008-0000-1200-00002B49A500}"/>
            </a:ext>
          </a:extLst>
        </xdr:cNvPr>
        <xdr:cNvSpPr>
          <a:spLocks noChangeShapeType="1"/>
        </xdr:cNvSpPr>
      </xdr:nvSpPr>
      <xdr:spPr bwMode="auto">
        <a:xfrm>
          <a:off x="7620000" y="4543425"/>
          <a:ext cx="809625" cy="933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51</xdr:row>
      <xdr:rowOff>104775</xdr:rowOff>
    </xdr:from>
    <xdr:to>
      <xdr:col>12</xdr:col>
      <xdr:colOff>561975</xdr:colOff>
      <xdr:row>51</xdr:row>
      <xdr:rowOff>114300</xdr:rowOff>
    </xdr:to>
    <xdr:sp macro="" textlink="">
      <xdr:nvSpPr>
        <xdr:cNvPr id="10832172" name="Arc 41">
          <a:extLst>
            <a:ext uri="{FF2B5EF4-FFF2-40B4-BE49-F238E27FC236}">
              <a16:creationId xmlns:a16="http://schemas.microsoft.com/office/drawing/2014/main" id="{00000000-0008-0000-1200-00002C49A500}"/>
            </a:ext>
          </a:extLst>
        </xdr:cNvPr>
        <xdr:cNvSpPr>
          <a:spLocks/>
        </xdr:cNvSpPr>
      </xdr:nvSpPr>
      <xdr:spPr bwMode="auto">
        <a:xfrm flipV="1">
          <a:off x="8791575" y="9296400"/>
          <a:ext cx="57150" cy="95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51</xdr:row>
      <xdr:rowOff>85725</xdr:rowOff>
    </xdr:from>
    <xdr:to>
      <xdr:col>13</xdr:col>
      <xdr:colOff>152400</xdr:colOff>
      <xdr:row>51</xdr:row>
      <xdr:rowOff>85725</xdr:rowOff>
    </xdr:to>
    <xdr:sp macro="" textlink="">
      <xdr:nvSpPr>
        <xdr:cNvPr id="10832173" name="Arc 42">
          <a:extLst>
            <a:ext uri="{FF2B5EF4-FFF2-40B4-BE49-F238E27FC236}">
              <a16:creationId xmlns:a16="http://schemas.microsoft.com/office/drawing/2014/main" id="{00000000-0008-0000-1200-00002D49A500}"/>
            </a:ext>
          </a:extLst>
        </xdr:cNvPr>
        <xdr:cNvSpPr>
          <a:spLocks/>
        </xdr:cNvSpPr>
      </xdr:nvSpPr>
      <xdr:spPr bwMode="auto">
        <a:xfrm flipH="1">
          <a:off x="9105900" y="927735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51</xdr:row>
      <xdr:rowOff>66675</xdr:rowOff>
    </xdr:from>
    <xdr:to>
      <xdr:col>13</xdr:col>
      <xdr:colOff>152400</xdr:colOff>
      <xdr:row>51</xdr:row>
      <xdr:rowOff>85725</xdr:rowOff>
    </xdr:to>
    <xdr:sp macro="" textlink="">
      <xdr:nvSpPr>
        <xdr:cNvPr id="10832174" name="Arc 43">
          <a:extLst>
            <a:ext uri="{FF2B5EF4-FFF2-40B4-BE49-F238E27FC236}">
              <a16:creationId xmlns:a16="http://schemas.microsoft.com/office/drawing/2014/main" id="{00000000-0008-0000-1200-00002E49A500}"/>
            </a:ext>
          </a:extLst>
        </xdr:cNvPr>
        <xdr:cNvSpPr>
          <a:spLocks/>
        </xdr:cNvSpPr>
      </xdr:nvSpPr>
      <xdr:spPr bwMode="auto">
        <a:xfrm>
          <a:off x="9105900" y="9258300"/>
          <a:ext cx="28575" cy="190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4 h 21600"/>
            <a:gd name="T4" fmla="*/ 0 w 21600"/>
            <a:gd name="T5" fmla="*/ 4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104775</xdr:colOff>
      <xdr:row>51</xdr:row>
      <xdr:rowOff>123825</xdr:rowOff>
    </xdr:from>
    <xdr:to>
      <xdr:col>13</xdr:col>
      <xdr:colOff>76200</xdr:colOff>
      <xdr:row>57</xdr:row>
      <xdr:rowOff>38100</xdr:rowOff>
    </xdr:to>
    <xdr:sp macro="" textlink="">
      <xdr:nvSpPr>
        <xdr:cNvPr id="10832175" name="Arc 44">
          <a:extLst>
            <a:ext uri="{FF2B5EF4-FFF2-40B4-BE49-F238E27FC236}">
              <a16:creationId xmlns:a16="http://schemas.microsoft.com/office/drawing/2014/main" id="{00000000-0008-0000-1200-00002F49A500}"/>
            </a:ext>
          </a:extLst>
        </xdr:cNvPr>
        <xdr:cNvSpPr>
          <a:spLocks/>
        </xdr:cNvSpPr>
      </xdr:nvSpPr>
      <xdr:spPr bwMode="auto">
        <a:xfrm flipV="1">
          <a:off x="6943725" y="9315450"/>
          <a:ext cx="2114550" cy="10858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676275</xdr:colOff>
      <xdr:row>37</xdr:row>
      <xdr:rowOff>28575</xdr:rowOff>
    </xdr:from>
    <xdr:to>
      <xdr:col>13</xdr:col>
      <xdr:colOff>0</xdr:colOff>
      <xdr:row>51</xdr:row>
      <xdr:rowOff>85725</xdr:rowOff>
    </xdr:to>
    <xdr:sp macro="" textlink="">
      <xdr:nvSpPr>
        <xdr:cNvPr id="10832176" name="Line 45">
          <a:extLst>
            <a:ext uri="{FF2B5EF4-FFF2-40B4-BE49-F238E27FC236}">
              <a16:creationId xmlns:a16="http://schemas.microsoft.com/office/drawing/2014/main" id="{00000000-0008-0000-1200-00003049A500}"/>
            </a:ext>
          </a:extLst>
        </xdr:cNvPr>
        <xdr:cNvSpPr>
          <a:spLocks noChangeShapeType="1"/>
        </xdr:cNvSpPr>
      </xdr:nvSpPr>
      <xdr:spPr bwMode="auto">
        <a:xfrm>
          <a:off x="8963025" y="6819900"/>
          <a:ext cx="19050" cy="2457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161925</xdr:colOff>
      <xdr:row>33</xdr:row>
      <xdr:rowOff>0</xdr:rowOff>
    </xdr:from>
    <xdr:to>
      <xdr:col>3</xdr:col>
      <xdr:colOff>142875</xdr:colOff>
      <xdr:row>33</xdr:row>
      <xdr:rowOff>0</xdr:rowOff>
    </xdr:to>
    <xdr:sp macro="" textlink="">
      <xdr:nvSpPr>
        <xdr:cNvPr id="10832177" name="Line 46">
          <a:extLst>
            <a:ext uri="{FF2B5EF4-FFF2-40B4-BE49-F238E27FC236}">
              <a16:creationId xmlns:a16="http://schemas.microsoft.com/office/drawing/2014/main" id="{00000000-0008-0000-1200-00003149A500}"/>
            </a:ext>
          </a:extLst>
        </xdr:cNvPr>
        <xdr:cNvSpPr>
          <a:spLocks noChangeShapeType="1"/>
        </xdr:cNvSpPr>
      </xdr:nvSpPr>
      <xdr:spPr bwMode="auto">
        <a:xfrm flipH="1">
          <a:off x="1381125" y="6143625"/>
          <a:ext cx="8191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581025</xdr:colOff>
      <xdr:row>60</xdr:row>
      <xdr:rowOff>76200</xdr:rowOff>
    </xdr:from>
    <xdr:to>
      <xdr:col>6</xdr:col>
      <xdr:colOff>209550</xdr:colOff>
      <xdr:row>65</xdr:row>
      <xdr:rowOff>104775</xdr:rowOff>
    </xdr:to>
    <xdr:sp macro="" textlink="">
      <xdr:nvSpPr>
        <xdr:cNvPr id="10832178" name="Oval 47">
          <a:extLst>
            <a:ext uri="{FF2B5EF4-FFF2-40B4-BE49-F238E27FC236}">
              <a16:creationId xmlns:a16="http://schemas.microsoft.com/office/drawing/2014/main" id="{00000000-0008-0000-1200-00003249A500}"/>
            </a:ext>
          </a:extLst>
        </xdr:cNvPr>
        <xdr:cNvSpPr>
          <a:spLocks noChangeArrowheads="1"/>
        </xdr:cNvSpPr>
      </xdr:nvSpPr>
      <xdr:spPr bwMode="auto">
        <a:xfrm>
          <a:off x="3333750" y="10944225"/>
          <a:ext cx="942975" cy="8572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581025</xdr:colOff>
      <xdr:row>60</xdr:row>
      <xdr:rowOff>28575</xdr:rowOff>
    </xdr:from>
    <xdr:to>
      <xdr:col>9</xdr:col>
      <xdr:colOff>180975</xdr:colOff>
      <xdr:row>65</xdr:row>
      <xdr:rowOff>57150</xdr:rowOff>
    </xdr:to>
    <xdr:sp macro="" textlink="">
      <xdr:nvSpPr>
        <xdr:cNvPr id="10832179" name="Oval 48">
          <a:extLst>
            <a:ext uri="{FF2B5EF4-FFF2-40B4-BE49-F238E27FC236}">
              <a16:creationId xmlns:a16="http://schemas.microsoft.com/office/drawing/2014/main" id="{00000000-0008-0000-1200-00003349A500}"/>
            </a:ext>
          </a:extLst>
        </xdr:cNvPr>
        <xdr:cNvSpPr>
          <a:spLocks noChangeArrowheads="1"/>
        </xdr:cNvSpPr>
      </xdr:nvSpPr>
      <xdr:spPr bwMode="auto">
        <a:xfrm>
          <a:off x="5334000" y="10896600"/>
          <a:ext cx="981075" cy="8572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190500</xdr:colOff>
      <xdr:row>37</xdr:row>
      <xdr:rowOff>38100</xdr:rowOff>
    </xdr:from>
    <xdr:to>
      <xdr:col>13</xdr:col>
      <xdr:colOff>266700</xdr:colOff>
      <xdr:row>51</xdr:row>
      <xdr:rowOff>104775</xdr:rowOff>
    </xdr:to>
    <xdr:sp macro="" textlink="">
      <xdr:nvSpPr>
        <xdr:cNvPr id="10832180" name="Line 49">
          <a:extLst>
            <a:ext uri="{FF2B5EF4-FFF2-40B4-BE49-F238E27FC236}">
              <a16:creationId xmlns:a16="http://schemas.microsoft.com/office/drawing/2014/main" id="{00000000-0008-0000-1200-00003449A500}"/>
            </a:ext>
          </a:extLst>
        </xdr:cNvPr>
        <xdr:cNvSpPr>
          <a:spLocks noChangeShapeType="1"/>
        </xdr:cNvSpPr>
      </xdr:nvSpPr>
      <xdr:spPr bwMode="auto">
        <a:xfrm>
          <a:off x="9172575" y="6829425"/>
          <a:ext cx="76200" cy="24669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571500</xdr:colOff>
      <xdr:row>36</xdr:row>
      <xdr:rowOff>123825</xdr:rowOff>
    </xdr:from>
    <xdr:to>
      <xdr:col>15</xdr:col>
      <xdr:colOff>571500</xdr:colOff>
      <xdr:row>51</xdr:row>
      <xdr:rowOff>85725</xdr:rowOff>
    </xdr:to>
    <xdr:sp macro="" textlink="">
      <xdr:nvSpPr>
        <xdr:cNvPr id="10832181" name="Line 50">
          <a:extLst>
            <a:ext uri="{FF2B5EF4-FFF2-40B4-BE49-F238E27FC236}">
              <a16:creationId xmlns:a16="http://schemas.microsoft.com/office/drawing/2014/main" id="{00000000-0008-0000-1200-00003549A500}"/>
            </a:ext>
          </a:extLst>
        </xdr:cNvPr>
        <xdr:cNvSpPr>
          <a:spLocks noChangeShapeType="1"/>
        </xdr:cNvSpPr>
      </xdr:nvSpPr>
      <xdr:spPr bwMode="auto">
        <a:xfrm flipV="1">
          <a:off x="10420350" y="6753225"/>
          <a:ext cx="742950" cy="25241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17</xdr:row>
      <xdr:rowOff>104775</xdr:rowOff>
    </xdr:from>
    <xdr:to>
      <xdr:col>6</xdr:col>
      <xdr:colOff>0</xdr:colOff>
      <xdr:row>25</xdr:row>
      <xdr:rowOff>0</xdr:rowOff>
    </xdr:to>
    <xdr:sp macro="" textlink="">
      <xdr:nvSpPr>
        <xdr:cNvPr id="10832182" name="Oval 51">
          <a:extLst>
            <a:ext uri="{FF2B5EF4-FFF2-40B4-BE49-F238E27FC236}">
              <a16:creationId xmlns:a16="http://schemas.microsoft.com/office/drawing/2014/main" id="{00000000-0008-0000-1200-00003649A500}"/>
            </a:ext>
          </a:extLst>
        </xdr:cNvPr>
        <xdr:cNvSpPr>
          <a:spLocks noChangeArrowheads="1"/>
        </xdr:cNvSpPr>
      </xdr:nvSpPr>
      <xdr:spPr bwMode="auto">
        <a:xfrm>
          <a:off x="2762250" y="3400425"/>
          <a:ext cx="1304925" cy="13239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28575</xdr:colOff>
      <xdr:row>15</xdr:row>
      <xdr:rowOff>66675</xdr:rowOff>
    </xdr:from>
    <xdr:to>
      <xdr:col>4</xdr:col>
      <xdr:colOff>123825</xdr:colOff>
      <xdr:row>18</xdr:row>
      <xdr:rowOff>142875</xdr:rowOff>
    </xdr:to>
    <xdr:sp macro="" textlink="">
      <xdr:nvSpPr>
        <xdr:cNvPr id="10832183" name="Line 52">
          <a:extLst>
            <a:ext uri="{FF2B5EF4-FFF2-40B4-BE49-F238E27FC236}">
              <a16:creationId xmlns:a16="http://schemas.microsoft.com/office/drawing/2014/main" id="{00000000-0008-0000-1200-00003749A500}"/>
            </a:ext>
          </a:extLst>
        </xdr:cNvPr>
        <xdr:cNvSpPr>
          <a:spLocks noChangeShapeType="1"/>
        </xdr:cNvSpPr>
      </xdr:nvSpPr>
      <xdr:spPr bwMode="auto">
        <a:xfrm>
          <a:off x="2781300" y="3038475"/>
          <a:ext cx="95250" cy="581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14</xdr:row>
      <xdr:rowOff>123825</xdr:rowOff>
    </xdr:from>
    <xdr:to>
      <xdr:col>3</xdr:col>
      <xdr:colOff>533400</xdr:colOff>
      <xdr:row>29</xdr:row>
      <xdr:rowOff>104775</xdr:rowOff>
    </xdr:to>
    <xdr:sp macro="" textlink="">
      <xdr:nvSpPr>
        <xdr:cNvPr id="10832184" name="Line 53">
          <a:extLst>
            <a:ext uri="{FF2B5EF4-FFF2-40B4-BE49-F238E27FC236}">
              <a16:creationId xmlns:a16="http://schemas.microsoft.com/office/drawing/2014/main" id="{00000000-0008-0000-1200-00003849A500}"/>
            </a:ext>
          </a:extLst>
        </xdr:cNvPr>
        <xdr:cNvSpPr>
          <a:spLocks noChangeShapeType="1"/>
        </xdr:cNvSpPr>
      </xdr:nvSpPr>
      <xdr:spPr bwMode="auto">
        <a:xfrm flipV="1">
          <a:off x="2543175" y="2933700"/>
          <a:ext cx="47625" cy="25717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485775</xdr:colOff>
      <xdr:row>40</xdr:row>
      <xdr:rowOff>9525</xdr:rowOff>
    </xdr:from>
    <xdr:to>
      <xdr:col>8</xdr:col>
      <xdr:colOff>200025</xdr:colOff>
      <xdr:row>46</xdr:row>
      <xdr:rowOff>76200</xdr:rowOff>
    </xdr:to>
    <xdr:sp macro="" textlink="">
      <xdr:nvSpPr>
        <xdr:cNvPr id="10832185" name="Oval 54">
          <a:extLst>
            <a:ext uri="{FF2B5EF4-FFF2-40B4-BE49-F238E27FC236}">
              <a16:creationId xmlns:a16="http://schemas.microsoft.com/office/drawing/2014/main" id="{00000000-0008-0000-1200-00003949A500}"/>
            </a:ext>
          </a:extLst>
        </xdr:cNvPr>
        <xdr:cNvSpPr>
          <a:spLocks noChangeArrowheads="1"/>
        </xdr:cNvSpPr>
      </xdr:nvSpPr>
      <xdr:spPr bwMode="auto">
        <a:xfrm>
          <a:off x="3876675" y="7343775"/>
          <a:ext cx="1790700" cy="10572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695325</xdr:colOff>
      <xdr:row>35</xdr:row>
      <xdr:rowOff>104775</xdr:rowOff>
    </xdr:from>
    <xdr:to>
      <xdr:col>9</xdr:col>
      <xdr:colOff>95250</xdr:colOff>
      <xdr:row>41</xdr:row>
      <xdr:rowOff>38100</xdr:rowOff>
    </xdr:to>
    <xdr:sp macro="" textlink="">
      <xdr:nvSpPr>
        <xdr:cNvPr id="10832186" name="Line 55">
          <a:extLst>
            <a:ext uri="{FF2B5EF4-FFF2-40B4-BE49-F238E27FC236}">
              <a16:creationId xmlns:a16="http://schemas.microsoft.com/office/drawing/2014/main" id="{00000000-0008-0000-1200-00003A49A500}"/>
            </a:ext>
          </a:extLst>
        </xdr:cNvPr>
        <xdr:cNvSpPr>
          <a:spLocks noChangeShapeType="1"/>
        </xdr:cNvSpPr>
      </xdr:nvSpPr>
      <xdr:spPr bwMode="auto">
        <a:xfrm flipH="1">
          <a:off x="5448300" y="6572250"/>
          <a:ext cx="781050" cy="962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466725</xdr:colOff>
      <xdr:row>40</xdr:row>
      <xdr:rowOff>0</xdr:rowOff>
    </xdr:from>
    <xdr:to>
      <xdr:col>8</xdr:col>
      <xdr:colOff>190500</xdr:colOff>
      <xdr:row>58</xdr:row>
      <xdr:rowOff>28575</xdr:rowOff>
    </xdr:to>
    <xdr:sp macro="" textlink="">
      <xdr:nvSpPr>
        <xdr:cNvPr id="10832187" name="Rectangle 56">
          <a:extLst>
            <a:ext uri="{FF2B5EF4-FFF2-40B4-BE49-F238E27FC236}">
              <a16:creationId xmlns:a16="http://schemas.microsoft.com/office/drawing/2014/main" id="{00000000-0008-0000-1200-00003B49A500}"/>
            </a:ext>
          </a:extLst>
        </xdr:cNvPr>
        <xdr:cNvSpPr>
          <a:spLocks noChangeArrowheads="1"/>
        </xdr:cNvSpPr>
      </xdr:nvSpPr>
      <xdr:spPr bwMode="auto">
        <a:xfrm>
          <a:off x="3857625" y="7334250"/>
          <a:ext cx="1800225" cy="321945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485775</xdr:colOff>
      <xdr:row>44</xdr:row>
      <xdr:rowOff>85725</xdr:rowOff>
    </xdr:from>
    <xdr:to>
      <xdr:col>5</xdr:col>
      <xdr:colOff>561975</xdr:colOff>
      <xdr:row>46</xdr:row>
      <xdr:rowOff>85725</xdr:rowOff>
    </xdr:to>
    <xdr:sp macro="" textlink="">
      <xdr:nvSpPr>
        <xdr:cNvPr id="10832188" name="Line 57">
          <a:extLst>
            <a:ext uri="{FF2B5EF4-FFF2-40B4-BE49-F238E27FC236}">
              <a16:creationId xmlns:a16="http://schemas.microsoft.com/office/drawing/2014/main" id="{00000000-0008-0000-1200-00003C49A500}"/>
            </a:ext>
          </a:extLst>
        </xdr:cNvPr>
        <xdr:cNvSpPr>
          <a:spLocks noChangeShapeType="1"/>
        </xdr:cNvSpPr>
      </xdr:nvSpPr>
      <xdr:spPr bwMode="auto">
        <a:xfrm flipH="1">
          <a:off x="3238500" y="8067675"/>
          <a:ext cx="714375" cy="3429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0</xdr:colOff>
      <xdr:row>40</xdr:row>
      <xdr:rowOff>9525</xdr:rowOff>
    </xdr:to>
    <xdr:sp macro="" textlink="">
      <xdr:nvSpPr>
        <xdr:cNvPr id="10832189" name="Line 58">
          <a:extLst>
            <a:ext uri="{FF2B5EF4-FFF2-40B4-BE49-F238E27FC236}">
              <a16:creationId xmlns:a16="http://schemas.microsoft.com/office/drawing/2014/main" id="{00000000-0008-0000-1200-00003D49A500}"/>
            </a:ext>
          </a:extLst>
        </xdr:cNvPr>
        <xdr:cNvSpPr>
          <a:spLocks noChangeShapeType="1"/>
        </xdr:cNvSpPr>
      </xdr:nvSpPr>
      <xdr:spPr bwMode="auto">
        <a:xfrm>
          <a:off x="4752975" y="6791325"/>
          <a:ext cx="0" cy="552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10832190" name="Line 59">
          <a:extLst>
            <a:ext uri="{FF2B5EF4-FFF2-40B4-BE49-F238E27FC236}">
              <a16:creationId xmlns:a16="http://schemas.microsoft.com/office/drawing/2014/main" id="{00000000-0008-0000-1200-00003E49A500}"/>
            </a:ext>
          </a:extLst>
        </xdr:cNvPr>
        <xdr:cNvSpPr>
          <a:spLocks noChangeShapeType="1"/>
        </xdr:cNvSpPr>
      </xdr:nvSpPr>
      <xdr:spPr bwMode="auto">
        <a:xfrm flipH="1">
          <a:off x="13515975" y="120586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67</xdr:row>
      <xdr:rowOff>0</xdr:rowOff>
    </xdr:from>
    <xdr:to>
      <xdr:col>7</xdr:col>
      <xdr:colOff>0</xdr:colOff>
      <xdr:row>67</xdr:row>
      <xdr:rowOff>0</xdr:rowOff>
    </xdr:to>
    <xdr:sp macro="" textlink="">
      <xdr:nvSpPr>
        <xdr:cNvPr id="10832191" name="Line 60">
          <a:extLst>
            <a:ext uri="{FF2B5EF4-FFF2-40B4-BE49-F238E27FC236}">
              <a16:creationId xmlns:a16="http://schemas.microsoft.com/office/drawing/2014/main" id="{00000000-0008-0000-1200-00003F49A500}"/>
            </a:ext>
          </a:extLst>
        </xdr:cNvPr>
        <xdr:cNvSpPr>
          <a:spLocks noChangeShapeType="1"/>
        </xdr:cNvSpPr>
      </xdr:nvSpPr>
      <xdr:spPr bwMode="auto">
        <a:xfrm flipH="1">
          <a:off x="4752975" y="120586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67</xdr:row>
      <xdr:rowOff>0</xdr:rowOff>
    </xdr:from>
    <xdr:to>
      <xdr:col>4</xdr:col>
      <xdr:colOff>371475</xdr:colOff>
      <xdr:row>67</xdr:row>
      <xdr:rowOff>0</xdr:rowOff>
    </xdr:to>
    <xdr:sp macro="" textlink="">
      <xdr:nvSpPr>
        <xdr:cNvPr id="10832192" name="Arc 61">
          <a:extLst>
            <a:ext uri="{FF2B5EF4-FFF2-40B4-BE49-F238E27FC236}">
              <a16:creationId xmlns:a16="http://schemas.microsoft.com/office/drawing/2014/main" id="{00000000-0008-0000-1200-00004049A500}"/>
            </a:ext>
          </a:extLst>
        </xdr:cNvPr>
        <xdr:cNvSpPr>
          <a:spLocks/>
        </xdr:cNvSpPr>
      </xdr:nvSpPr>
      <xdr:spPr bwMode="auto">
        <a:xfrm flipH="1" flipV="1">
          <a:off x="3114675" y="1205865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67</xdr:row>
      <xdr:rowOff>0</xdr:rowOff>
    </xdr:from>
    <xdr:to>
      <xdr:col>7</xdr:col>
      <xdr:colOff>0</xdr:colOff>
      <xdr:row>67</xdr:row>
      <xdr:rowOff>0</xdr:rowOff>
    </xdr:to>
    <xdr:sp macro="" textlink="">
      <xdr:nvSpPr>
        <xdr:cNvPr id="10832193" name="Line 62">
          <a:extLst>
            <a:ext uri="{FF2B5EF4-FFF2-40B4-BE49-F238E27FC236}">
              <a16:creationId xmlns:a16="http://schemas.microsoft.com/office/drawing/2014/main" id="{00000000-0008-0000-1200-00004149A500}"/>
            </a:ext>
          </a:extLst>
        </xdr:cNvPr>
        <xdr:cNvSpPr>
          <a:spLocks noChangeShapeType="1"/>
        </xdr:cNvSpPr>
      </xdr:nvSpPr>
      <xdr:spPr bwMode="auto">
        <a:xfrm flipV="1">
          <a:off x="4752975" y="120586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67</xdr:row>
      <xdr:rowOff>0</xdr:rowOff>
    </xdr:from>
    <xdr:to>
      <xdr:col>7</xdr:col>
      <xdr:colOff>0</xdr:colOff>
      <xdr:row>67</xdr:row>
      <xdr:rowOff>0</xdr:rowOff>
    </xdr:to>
    <xdr:sp macro="" textlink="">
      <xdr:nvSpPr>
        <xdr:cNvPr id="10832194" name="Line 63">
          <a:extLst>
            <a:ext uri="{FF2B5EF4-FFF2-40B4-BE49-F238E27FC236}">
              <a16:creationId xmlns:a16="http://schemas.microsoft.com/office/drawing/2014/main" id="{00000000-0008-0000-1200-00004249A500}"/>
            </a:ext>
          </a:extLst>
        </xdr:cNvPr>
        <xdr:cNvSpPr>
          <a:spLocks noChangeShapeType="1"/>
        </xdr:cNvSpPr>
      </xdr:nvSpPr>
      <xdr:spPr bwMode="auto">
        <a:xfrm>
          <a:off x="4752975" y="120586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10832195" name="Line 64">
          <a:extLst>
            <a:ext uri="{FF2B5EF4-FFF2-40B4-BE49-F238E27FC236}">
              <a16:creationId xmlns:a16="http://schemas.microsoft.com/office/drawing/2014/main" id="{00000000-0008-0000-1200-00004349A500}"/>
            </a:ext>
          </a:extLst>
        </xdr:cNvPr>
        <xdr:cNvSpPr>
          <a:spLocks noChangeShapeType="1"/>
        </xdr:cNvSpPr>
      </xdr:nvSpPr>
      <xdr:spPr bwMode="auto">
        <a:xfrm flipH="1">
          <a:off x="13515975" y="120586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67</xdr:row>
      <xdr:rowOff>0</xdr:rowOff>
    </xdr:from>
    <xdr:to>
      <xdr:col>7</xdr:col>
      <xdr:colOff>0</xdr:colOff>
      <xdr:row>67</xdr:row>
      <xdr:rowOff>0</xdr:rowOff>
    </xdr:to>
    <xdr:sp macro="" textlink="">
      <xdr:nvSpPr>
        <xdr:cNvPr id="10832196" name="Line 65">
          <a:extLst>
            <a:ext uri="{FF2B5EF4-FFF2-40B4-BE49-F238E27FC236}">
              <a16:creationId xmlns:a16="http://schemas.microsoft.com/office/drawing/2014/main" id="{00000000-0008-0000-1200-00004449A500}"/>
            </a:ext>
          </a:extLst>
        </xdr:cNvPr>
        <xdr:cNvSpPr>
          <a:spLocks noChangeShapeType="1"/>
        </xdr:cNvSpPr>
      </xdr:nvSpPr>
      <xdr:spPr bwMode="auto">
        <a:xfrm flipH="1">
          <a:off x="4752975" y="120586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67</xdr:row>
      <xdr:rowOff>0</xdr:rowOff>
    </xdr:from>
    <xdr:to>
      <xdr:col>4</xdr:col>
      <xdr:colOff>371475</xdr:colOff>
      <xdr:row>67</xdr:row>
      <xdr:rowOff>0</xdr:rowOff>
    </xdr:to>
    <xdr:sp macro="" textlink="">
      <xdr:nvSpPr>
        <xdr:cNvPr id="10832197" name="Arc 66">
          <a:extLst>
            <a:ext uri="{FF2B5EF4-FFF2-40B4-BE49-F238E27FC236}">
              <a16:creationId xmlns:a16="http://schemas.microsoft.com/office/drawing/2014/main" id="{00000000-0008-0000-1200-00004549A500}"/>
            </a:ext>
          </a:extLst>
        </xdr:cNvPr>
        <xdr:cNvSpPr>
          <a:spLocks/>
        </xdr:cNvSpPr>
      </xdr:nvSpPr>
      <xdr:spPr bwMode="auto">
        <a:xfrm flipH="1" flipV="1">
          <a:off x="3114675" y="1205865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67</xdr:row>
      <xdr:rowOff>0</xdr:rowOff>
    </xdr:from>
    <xdr:to>
      <xdr:col>7</xdr:col>
      <xdr:colOff>0</xdr:colOff>
      <xdr:row>67</xdr:row>
      <xdr:rowOff>0</xdr:rowOff>
    </xdr:to>
    <xdr:sp macro="" textlink="">
      <xdr:nvSpPr>
        <xdr:cNvPr id="10832198" name="Line 67">
          <a:extLst>
            <a:ext uri="{FF2B5EF4-FFF2-40B4-BE49-F238E27FC236}">
              <a16:creationId xmlns:a16="http://schemas.microsoft.com/office/drawing/2014/main" id="{00000000-0008-0000-1200-00004649A500}"/>
            </a:ext>
          </a:extLst>
        </xdr:cNvPr>
        <xdr:cNvSpPr>
          <a:spLocks noChangeShapeType="1"/>
        </xdr:cNvSpPr>
      </xdr:nvSpPr>
      <xdr:spPr bwMode="auto">
        <a:xfrm flipV="1">
          <a:off x="4752975" y="120586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67</xdr:row>
      <xdr:rowOff>0</xdr:rowOff>
    </xdr:from>
    <xdr:to>
      <xdr:col>7</xdr:col>
      <xdr:colOff>0</xdr:colOff>
      <xdr:row>67</xdr:row>
      <xdr:rowOff>0</xdr:rowOff>
    </xdr:to>
    <xdr:sp macro="" textlink="">
      <xdr:nvSpPr>
        <xdr:cNvPr id="10832199" name="Line 68">
          <a:extLst>
            <a:ext uri="{FF2B5EF4-FFF2-40B4-BE49-F238E27FC236}">
              <a16:creationId xmlns:a16="http://schemas.microsoft.com/office/drawing/2014/main" id="{00000000-0008-0000-1200-00004749A500}"/>
            </a:ext>
          </a:extLst>
        </xdr:cNvPr>
        <xdr:cNvSpPr>
          <a:spLocks noChangeShapeType="1"/>
        </xdr:cNvSpPr>
      </xdr:nvSpPr>
      <xdr:spPr bwMode="auto">
        <a:xfrm>
          <a:off x="4752975" y="120586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304800</xdr:colOff>
      <xdr:row>9</xdr:row>
      <xdr:rowOff>190500</xdr:rowOff>
    </xdr:from>
    <xdr:to>
      <xdr:col>8</xdr:col>
      <xdr:colOff>219075</xdr:colOff>
      <xdr:row>15</xdr:row>
      <xdr:rowOff>104775</xdr:rowOff>
    </xdr:to>
    <xdr:sp macro="" textlink="">
      <xdr:nvSpPr>
        <xdr:cNvPr id="10832200" name="Line 34">
          <a:extLst>
            <a:ext uri="{FF2B5EF4-FFF2-40B4-BE49-F238E27FC236}">
              <a16:creationId xmlns:a16="http://schemas.microsoft.com/office/drawing/2014/main" id="{00000000-0008-0000-1200-00004849A500}"/>
            </a:ext>
          </a:extLst>
        </xdr:cNvPr>
        <xdr:cNvSpPr>
          <a:spLocks noChangeShapeType="1"/>
        </xdr:cNvSpPr>
      </xdr:nvSpPr>
      <xdr:spPr bwMode="auto">
        <a:xfrm flipV="1">
          <a:off x="5057775" y="2047875"/>
          <a:ext cx="628650" cy="10287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485775</xdr:colOff>
      <xdr:row>11</xdr:row>
      <xdr:rowOff>104775</xdr:rowOff>
    </xdr:from>
    <xdr:to>
      <xdr:col>9</xdr:col>
      <xdr:colOff>9525</xdr:colOff>
      <xdr:row>16</xdr:row>
      <xdr:rowOff>0</xdr:rowOff>
    </xdr:to>
    <xdr:sp macro="" textlink="">
      <xdr:nvSpPr>
        <xdr:cNvPr id="10832201" name="Line 34">
          <a:extLst>
            <a:ext uri="{FF2B5EF4-FFF2-40B4-BE49-F238E27FC236}">
              <a16:creationId xmlns:a16="http://schemas.microsoft.com/office/drawing/2014/main" id="{00000000-0008-0000-1200-00004949A500}"/>
            </a:ext>
          </a:extLst>
        </xdr:cNvPr>
        <xdr:cNvSpPr>
          <a:spLocks noChangeShapeType="1"/>
        </xdr:cNvSpPr>
      </xdr:nvSpPr>
      <xdr:spPr bwMode="auto">
        <a:xfrm flipV="1">
          <a:off x="5238750" y="2362200"/>
          <a:ext cx="904875" cy="7715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542925</xdr:colOff>
      <xdr:row>13</xdr:row>
      <xdr:rowOff>85725</xdr:rowOff>
    </xdr:from>
    <xdr:to>
      <xdr:col>9</xdr:col>
      <xdr:colOff>9525</xdr:colOff>
      <xdr:row>16</xdr:row>
      <xdr:rowOff>38100</xdr:rowOff>
    </xdr:to>
    <xdr:sp macro="" textlink="">
      <xdr:nvSpPr>
        <xdr:cNvPr id="10832202" name="Line 34">
          <a:extLst>
            <a:ext uri="{FF2B5EF4-FFF2-40B4-BE49-F238E27FC236}">
              <a16:creationId xmlns:a16="http://schemas.microsoft.com/office/drawing/2014/main" id="{00000000-0008-0000-1200-00004A49A500}"/>
            </a:ext>
          </a:extLst>
        </xdr:cNvPr>
        <xdr:cNvSpPr>
          <a:spLocks noChangeShapeType="1"/>
        </xdr:cNvSpPr>
      </xdr:nvSpPr>
      <xdr:spPr bwMode="auto">
        <a:xfrm flipV="1">
          <a:off x="5295900" y="2733675"/>
          <a:ext cx="847725" cy="4381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7</xdr:row>
      <xdr:rowOff>85725</xdr:rowOff>
    </xdr:from>
    <xdr:to>
      <xdr:col>10</xdr:col>
      <xdr:colOff>409575</xdr:colOff>
      <xdr:row>14</xdr:row>
      <xdr:rowOff>85725</xdr:rowOff>
    </xdr:to>
    <xdr:sp macro="" textlink="">
      <xdr:nvSpPr>
        <xdr:cNvPr id="10832203" name="Rectangle 56">
          <a:extLst>
            <a:ext uri="{FF2B5EF4-FFF2-40B4-BE49-F238E27FC236}">
              <a16:creationId xmlns:a16="http://schemas.microsoft.com/office/drawing/2014/main" id="{00000000-0008-0000-1200-00004B49A500}"/>
            </a:ext>
          </a:extLst>
        </xdr:cNvPr>
        <xdr:cNvSpPr>
          <a:spLocks noChangeArrowheads="1"/>
        </xdr:cNvSpPr>
      </xdr:nvSpPr>
      <xdr:spPr bwMode="auto">
        <a:xfrm>
          <a:off x="5467350" y="1581150"/>
          <a:ext cx="1781175" cy="131445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650875</xdr:colOff>
      <xdr:row>52</xdr:row>
      <xdr:rowOff>161925</xdr:rowOff>
    </xdr:from>
    <xdr:to>
      <xdr:col>4</xdr:col>
      <xdr:colOff>50800</xdr:colOff>
      <xdr:row>57</xdr:row>
      <xdr:rowOff>53975</xdr:rowOff>
    </xdr:to>
    <xdr:sp macro="" textlink="">
      <xdr:nvSpPr>
        <xdr:cNvPr id="10832204" name="Oval 14">
          <a:extLst>
            <a:ext uri="{FF2B5EF4-FFF2-40B4-BE49-F238E27FC236}">
              <a16:creationId xmlns:a16="http://schemas.microsoft.com/office/drawing/2014/main" id="{00000000-0008-0000-1200-00004C49A500}"/>
            </a:ext>
          </a:extLst>
        </xdr:cNvPr>
        <xdr:cNvSpPr>
          <a:spLocks noChangeArrowheads="1"/>
        </xdr:cNvSpPr>
      </xdr:nvSpPr>
      <xdr:spPr bwMode="auto">
        <a:xfrm>
          <a:off x="1870075" y="9610725"/>
          <a:ext cx="936625" cy="882650"/>
        </a:xfrm>
        <a:prstGeom prst="ellips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63500</xdr:colOff>
      <xdr:row>55</xdr:row>
      <xdr:rowOff>38100</xdr:rowOff>
    </xdr:from>
    <xdr:to>
      <xdr:col>5</xdr:col>
      <xdr:colOff>609600</xdr:colOff>
      <xdr:row>55</xdr:row>
      <xdr:rowOff>41275</xdr:rowOff>
    </xdr:to>
    <xdr:sp macro="" textlink="">
      <xdr:nvSpPr>
        <xdr:cNvPr id="10832205" name="Line 19">
          <a:extLst>
            <a:ext uri="{FF2B5EF4-FFF2-40B4-BE49-F238E27FC236}">
              <a16:creationId xmlns:a16="http://schemas.microsoft.com/office/drawing/2014/main" id="{00000000-0008-0000-1200-00004D49A500}"/>
            </a:ext>
          </a:extLst>
        </xdr:cNvPr>
        <xdr:cNvSpPr>
          <a:spLocks noChangeShapeType="1"/>
        </xdr:cNvSpPr>
      </xdr:nvSpPr>
      <xdr:spPr bwMode="auto">
        <a:xfrm flipH="1" flipV="1">
          <a:off x="2819400" y="10058400"/>
          <a:ext cx="1181100" cy="31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550332</xdr:colOff>
      <xdr:row>24</xdr:row>
      <xdr:rowOff>31749</xdr:rowOff>
    </xdr:from>
    <xdr:to>
      <xdr:col>20</xdr:col>
      <xdr:colOff>465666</xdr:colOff>
      <xdr:row>29</xdr:row>
      <xdr:rowOff>148164</xdr:rowOff>
    </xdr:to>
    <xdr:sp macro="" textlink="">
      <xdr:nvSpPr>
        <xdr:cNvPr id="76" name="Line 26">
          <a:extLst>
            <a:ext uri="{FF2B5EF4-FFF2-40B4-BE49-F238E27FC236}">
              <a16:creationId xmlns:a16="http://schemas.microsoft.com/office/drawing/2014/main" id="{00000000-0008-0000-1200-00004C000000}"/>
            </a:ext>
          </a:extLst>
        </xdr:cNvPr>
        <xdr:cNvSpPr>
          <a:spLocks noChangeShapeType="1"/>
        </xdr:cNvSpPr>
      </xdr:nvSpPr>
      <xdr:spPr bwMode="auto">
        <a:xfrm flipV="1">
          <a:off x="13938249" y="4624916"/>
          <a:ext cx="592667" cy="931331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31749</xdr:colOff>
      <xdr:row>25</xdr:row>
      <xdr:rowOff>105833</xdr:rowOff>
    </xdr:from>
    <xdr:to>
      <xdr:col>17</xdr:col>
      <xdr:colOff>804332</xdr:colOff>
      <xdr:row>31</xdr:row>
      <xdr:rowOff>127000</xdr:rowOff>
    </xdr:to>
    <xdr:sp macro="" textlink="">
      <xdr:nvSpPr>
        <xdr:cNvPr id="77" name="Line 26">
          <a:extLst>
            <a:ext uri="{FF2B5EF4-FFF2-40B4-BE49-F238E27FC236}">
              <a16:creationId xmlns:a16="http://schemas.microsoft.com/office/drawing/2014/main" id="{00000000-0008-0000-1200-00004D000000}"/>
            </a:ext>
          </a:extLst>
        </xdr:cNvPr>
        <xdr:cNvSpPr>
          <a:spLocks noChangeShapeType="1"/>
        </xdr:cNvSpPr>
      </xdr:nvSpPr>
      <xdr:spPr bwMode="auto">
        <a:xfrm flipH="1">
          <a:off x="11969749" y="4868333"/>
          <a:ext cx="772583" cy="10477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31</xdr:row>
      <xdr:rowOff>11907</xdr:rowOff>
    </xdr:from>
    <xdr:to>
      <xdr:col>5</xdr:col>
      <xdr:colOff>381000</xdr:colOff>
      <xdr:row>47</xdr:row>
      <xdr:rowOff>178594</xdr:rowOff>
    </xdr:to>
    <xdr:cxnSp macro="">
      <xdr:nvCxnSpPr>
        <xdr:cNvPr id="2" name="Прямая со стрелкой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flipV="1">
          <a:off x="12973050" y="9708357"/>
          <a:ext cx="0" cy="3214687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48</xdr:row>
      <xdr:rowOff>178593</xdr:rowOff>
    </xdr:from>
    <xdr:to>
      <xdr:col>5</xdr:col>
      <xdr:colOff>381000</xdr:colOff>
      <xdr:row>58</xdr:row>
      <xdr:rowOff>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12973050" y="13113543"/>
          <a:ext cx="0" cy="1535907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31</xdr:row>
      <xdr:rowOff>11907</xdr:rowOff>
    </xdr:from>
    <xdr:to>
      <xdr:col>8</xdr:col>
      <xdr:colOff>381000</xdr:colOff>
      <xdr:row>47</xdr:row>
      <xdr:rowOff>178594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flipV="1">
          <a:off x="15173325" y="9708357"/>
          <a:ext cx="0" cy="3214687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369094</xdr:colOff>
      <xdr:row>48</xdr:row>
      <xdr:rowOff>178593</xdr:rowOff>
    </xdr:from>
    <xdr:to>
      <xdr:col>8</xdr:col>
      <xdr:colOff>381000</xdr:colOff>
      <xdr:row>57</xdr:row>
      <xdr:rowOff>166688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H="1">
          <a:off x="15161419" y="13113543"/>
          <a:ext cx="11906" cy="1512095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381000</xdr:colOff>
      <xdr:row>31</xdr:row>
      <xdr:rowOff>11907</xdr:rowOff>
    </xdr:from>
    <xdr:to>
      <xdr:col>11</xdr:col>
      <xdr:colOff>381000</xdr:colOff>
      <xdr:row>47</xdr:row>
      <xdr:rowOff>178594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17402175" y="9708357"/>
          <a:ext cx="0" cy="3214687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369094</xdr:colOff>
      <xdr:row>48</xdr:row>
      <xdr:rowOff>178593</xdr:rowOff>
    </xdr:from>
    <xdr:to>
      <xdr:col>11</xdr:col>
      <xdr:colOff>381000</xdr:colOff>
      <xdr:row>57</xdr:row>
      <xdr:rowOff>166688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 flipH="1">
          <a:off x="17390269" y="13113543"/>
          <a:ext cx="11906" cy="1512095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381000</xdr:colOff>
      <xdr:row>31</xdr:row>
      <xdr:rowOff>11907</xdr:rowOff>
    </xdr:from>
    <xdr:to>
      <xdr:col>14</xdr:col>
      <xdr:colOff>381000</xdr:colOff>
      <xdr:row>47</xdr:row>
      <xdr:rowOff>178594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19707225" y="9708357"/>
          <a:ext cx="0" cy="3214687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381000</xdr:colOff>
      <xdr:row>48</xdr:row>
      <xdr:rowOff>178593</xdr:rowOff>
    </xdr:from>
    <xdr:to>
      <xdr:col>14</xdr:col>
      <xdr:colOff>392906</xdr:colOff>
      <xdr:row>57</xdr:row>
      <xdr:rowOff>166688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19707225" y="13113543"/>
          <a:ext cx="11906" cy="1512095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381000</xdr:colOff>
      <xdr:row>31</xdr:row>
      <xdr:rowOff>11907</xdr:rowOff>
    </xdr:from>
    <xdr:to>
      <xdr:col>17</xdr:col>
      <xdr:colOff>381000</xdr:colOff>
      <xdr:row>47</xdr:row>
      <xdr:rowOff>178594</xdr:rowOff>
    </xdr:to>
    <xdr:cxnSp macro="">
      <xdr:nvCxnSpPr>
        <xdr:cNvPr id="26" name="Прямая со стрелкой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CxnSpPr/>
      </xdr:nvCxnSpPr>
      <xdr:spPr>
        <a:xfrm flipV="1">
          <a:off x="40138350" y="9708357"/>
          <a:ext cx="0" cy="3214687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381000</xdr:colOff>
      <xdr:row>48</xdr:row>
      <xdr:rowOff>178593</xdr:rowOff>
    </xdr:from>
    <xdr:to>
      <xdr:col>17</xdr:col>
      <xdr:colOff>381000</xdr:colOff>
      <xdr:row>57</xdr:row>
      <xdr:rowOff>166688</xdr:rowOff>
    </xdr:to>
    <xdr:cxnSp macro="">
      <xdr:nvCxnSpPr>
        <xdr:cNvPr id="27" name="Прямая со стрелкой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/>
      </xdr:nvCxnSpPr>
      <xdr:spPr>
        <a:xfrm>
          <a:off x="40138350" y="13113543"/>
          <a:ext cx="0" cy="1512095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392906</xdr:colOff>
      <xdr:row>44</xdr:row>
      <xdr:rowOff>0</xdr:rowOff>
    </xdr:from>
    <xdr:to>
      <xdr:col>3</xdr:col>
      <xdr:colOff>392906</xdr:colOff>
      <xdr:row>48</xdr:row>
      <xdr:rowOff>0</xdr:rowOff>
    </xdr:to>
    <xdr:cxnSp macro="">
      <xdr:nvCxnSpPr>
        <xdr:cNvPr id="28" name="Прямая со стрелкой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CxnSpPr/>
      </xdr:nvCxnSpPr>
      <xdr:spPr>
        <a:xfrm flipV="1">
          <a:off x="11451431" y="11994356"/>
          <a:ext cx="0" cy="940594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404812</xdr:colOff>
      <xdr:row>49</xdr:row>
      <xdr:rowOff>0</xdr:rowOff>
    </xdr:from>
    <xdr:to>
      <xdr:col>3</xdr:col>
      <xdr:colOff>404812</xdr:colOff>
      <xdr:row>68</xdr:row>
      <xdr:rowOff>0</xdr:rowOff>
    </xdr:to>
    <xdr:cxnSp macro="">
      <xdr:nvCxnSpPr>
        <xdr:cNvPr id="29" name="Прямая со стрелкой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11463337" y="13125450"/>
          <a:ext cx="0" cy="3238500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392906</xdr:colOff>
      <xdr:row>44</xdr:row>
      <xdr:rowOff>0</xdr:rowOff>
    </xdr:from>
    <xdr:to>
      <xdr:col>6</xdr:col>
      <xdr:colOff>392906</xdr:colOff>
      <xdr:row>48</xdr:row>
      <xdr:rowOff>0</xdr:rowOff>
    </xdr:to>
    <xdr:cxnSp macro="">
      <xdr:nvCxnSpPr>
        <xdr:cNvPr id="30" name="Прямая со стрелкой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/>
      </xdr:nvCxnSpPr>
      <xdr:spPr>
        <a:xfrm flipV="1">
          <a:off x="13708856" y="11994356"/>
          <a:ext cx="0" cy="940594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404812</xdr:colOff>
      <xdr:row>49</xdr:row>
      <xdr:rowOff>0</xdr:rowOff>
    </xdr:from>
    <xdr:to>
      <xdr:col>6</xdr:col>
      <xdr:colOff>404812</xdr:colOff>
      <xdr:row>68</xdr:row>
      <xdr:rowOff>0</xdr:rowOff>
    </xdr:to>
    <xdr:cxnSp macro="">
      <xdr:nvCxnSpPr>
        <xdr:cNvPr id="31" name="Прямая со стрелкой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CxnSpPr/>
      </xdr:nvCxnSpPr>
      <xdr:spPr>
        <a:xfrm>
          <a:off x="13720762" y="13125450"/>
          <a:ext cx="0" cy="3238500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392906</xdr:colOff>
      <xdr:row>44</xdr:row>
      <xdr:rowOff>0</xdr:rowOff>
    </xdr:from>
    <xdr:to>
      <xdr:col>9</xdr:col>
      <xdr:colOff>392906</xdr:colOff>
      <xdr:row>48</xdr:row>
      <xdr:rowOff>0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CxnSpPr/>
      </xdr:nvCxnSpPr>
      <xdr:spPr>
        <a:xfrm flipV="1">
          <a:off x="15880556" y="11994356"/>
          <a:ext cx="0" cy="940594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404812</xdr:colOff>
      <xdr:row>49</xdr:row>
      <xdr:rowOff>0</xdr:rowOff>
    </xdr:from>
    <xdr:to>
      <xdr:col>9</xdr:col>
      <xdr:colOff>404812</xdr:colOff>
      <xdr:row>68</xdr:row>
      <xdr:rowOff>0</xdr:rowOff>
    </xdr:to>
    <xdr:cxnSp macro="">
      <xdr:nvCxnSpPr>
        <xdr:cNvPr id="33" name="Прямая со стрелкой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/>
      </xdr:nvCxnSpPr>
      <xdr:spPr>
        <a:xfrm>
          <a:off x="15892462" y="13125450"/>
          <a:ext cx="0" cy="3238500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392906</xdr:colOff>
      <xdr:row>44</xdr:row>
      <xdr:rowOff>0</xdr:rowOff>
    </xdr:from>
    <xdr:to>
      <xdr:col>12</xdr:col>
      <xdr:colOff>392906</xdr:colOff>
      <xdr:row>48</xdr:row>
      <xdr:rowOff>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CxnSpPr/>
      </xdr:nvCxnSpPr>
      <xdr:spPr>
        <a:xfrm flipV="1">
          <a:off x="18204656" y="11994356"/>
          <a:ext cx="0" cy="940594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404812</xdr:colOff>
      <xdr:row>49</xdr:row>
      <xdr:rowOff>0</xdr:rowOff>
    </xdr:from>
    <xdr:to>
      <xdr:col>12</xdr:col>
      <xdr:colOff>404812</xdr:colOff>
      <xdr:row>68</xdr:row>
      <xdr:rowOff>0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CxnSpPr/>
      </xdr:nvCxnSpPr>
      <xdr:spPr>
        <a:xfrm>
          <a:off x="18216562" y="13125450"/>
          <a:ext cx="0" cy="3238500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392906</xdr:colOff>
      <xdr:row>44</xdr:row>
      <xdr:rowOff>0</xdr:rowOff>
    </xdr:from>
    <xdr:to>
      <xdr:col>15</xdr:col>
      <xdr:colOff>392906</xdr:colOff>
      <xdr:row>48</xdr:row>
      <xdr:rowOff>0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>
        <a:xfrm flipV="1">
          <a:off x="38531006" y="11994356"/>
          <a:ext cx="0" cy="940594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404812</xdr:colOff>
      <xdr:row>49</xdr:row>
      <xdr:rowOff>0</xdr:rowOff>
    </xdr:from>
    <xdr:to>
      <xdr:col>15</xdr:col>
      <xdr:colOff>404812</xdr:colOff>
      <xdr:row>68</xdr:row>
      <xdr:rowOff>0</xdr:rowOff>
    </xdr:to>
    <xdr:cxnSp macro="">
      <xdr:nvCxnSpPr>
        <xdr:cNvPr id="53" name="Прямая со стрелкой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/>
      </xdr:nvCxnSpPr>
      <xdr:spPr>
        <a:xfrm>
          <a:off x="38542912" y="13125450"/>
          <a:ext cx="0" cy="3238500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16</xdr:row>
      <xdr:rowOff>66675</xdr:rowOff>
    </xdr:from>
    <xdr:to>
      <xdr:col>8</xdr:col>
      <xdr:colOff>180975</xdr:colOff>
      <xdr:row>25</xdr:row>
      <xdr:rowOff>0</xdr:rowOff>
    </xdr:to>
    <xdr:sp macro="" textlink="">
      <xdr:nvSpPr>
        <xdr:cNvPr id="10819581" name="Oval 1">
          <a:extLst>
            <a:ext uri="{FF2B5EF4-FFF2-40B4-BE49-F238E27FC236}">
              <a16:creationId xmlns:a16="http://schemas.microsoft.com/office/drawing/2014/main" id="{00000000-0008-0000-0500-0000FD17A500}"/>
            </a:ext>
          </a:extLst>
        </xdr:cNvPr>
        <xdr:cNvSpPr>
          <a:spLocks noChangeArrowheads="1"/>
        </xdr:cNvSpPr>
      </xdr:nvSpPr>
      <xdr:spPr bwMode="auto">
        <a:xfrm>
          <a:off x="3819525" y="3295650"/>
          <a:ext cx="15430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552450</xdr:colOff>
      <xdr:row>29</xdr:row>
      <xdr:rowOff>38100</xdr:rowOff>
    </xdr:from>
    <xdr:to>
      <xdr:col>8</xdr:col>
      <xdr:colOff>66675</xdr:colOff>
      <xdr:row>37</xdr:row>
      <xdr:rowOff>152400</xdr:rowOff>
    </xdr:to>
    <xdr:sp macro="" textlink="">
      <xdr:nvSpPr>
        <xdr:cNvPr id="10819582" name="Oval 2">
          <a:extLst>
            <a:ext uri="{FF2B5EF4-FFF2-40B4-BE49-F238E27FC236}">
              <a16:creationId xmlns:a16="http://schemas.microsoft.com/office/drawing/2014/main" id="{00000000-0008-0000-0500-0000FE17A500}"/>
            </a:ext>
          </a:extLst>
        </xdr:cNvPr>
        <xdr:cNvSpPr>
          <a:spLocks noChangeArrowheads="1"/>
        </xdr:cNvSpPr>
      </xdr:nvSpPr>
      <xdr:spPr bwMode="auto">
        <a:xfrm>
          <a:off x="3657600" y="5543550"/>
          <a:ext cx="159067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609600</xdr:colOff>
      <xdr:row>50</xdr:row>
      <xdr:rowOff>152400</xdr:rowOff>
    </xdr:from>
    <xdr:to>
      <xdr:col>8</xdr:col>
      <xdr:colOff>123825</xdr:colOff>
      <xdr:row>58</xdr:row>
      <xdr:rowOff>142875</xdr:rowOff>
    </xdr:to>
    <xdr:sp macro="" textlink="">
      <xdr:nvSpPr>
        <xdr:cNvPr id="10819583" name="Oval 3">
          <a:extLst>
            <a:ext uri="{FF2B5EF4-FFF2-40B4-BE49-F238E27FC236}">
              <a16:creationId xmlns:a16="http://schemas.microsoft.com/office/drawing/2014/main" id="{00000000-0008-0000-0500-0000FF17A500}"/>
            </a:ext>
          </a:extLst>
        </xdr:cNvPr>
        <xdr:cNvSpPr>
          <a:spLocks noChangeArrowheads="1"/>
        </xdr:cNvSpPr>
      </xdr:nvSpPr>
      <xdr:spPr bwMode="auto">
        <a:xfrm>
          <a:off x="3714750" y="9267825"/>
          <a:ext cx="1590675" cy="15335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552450</xdr:colOff>
      <xdr:row>29</xdr:row>
      <xdr:rowOff>38100</xdr:rowOff>
    </xdr:from>
    <xdr:to>
      <xdr:col>11</xdr:col>
      <xdr:colOff>76200</xdr:colOff>
      <xdr:row>38</xdr:row>
      <xdr:rowOff>28575</xdr:rowOff>
    </xdr:to>
    <xdr:sp macro="" textlink="">
      <xdr:nvSpPr>
        <xdr:cNvPr id="10840064" name="Oval 4">
          <a:extLst>
            <a:ext uri="{FF2B5EF4-FFF2-40B4-BE49-F238E27FC236}">
              <a16:creationId xmlns:a16="http://schemas.microsoft.com/office/drawing/2014/main" id="{00000000-0008-0000-0500-00000068A500}"/>
            </a:ext>
          </a:extLst>
        </xdr:cNvPr>
        <xdr:cNvSpPr>
          <a:spLocks noChangeArrowheads="1"/>
        </xdr:cNvSpPr>
      </xdr:nvSpPr>
      <xdr:spPr bwMode="auto">
        <a:xfrm>
          <a:off x="5734050" y="5543550"/>
          <a:ext cx="1562100" cy="15430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685800</xdr:colOff>
      <xdr:row>29</xdr:row>
      <xdr:rowOff>66675</xdr:rowOff>
    </xdr:from>
    <xdr:to>
      <xdr:col>14</xdr:col>
      <xdr:colOff>28575</xdr:colOff>
      <xdr:row>38</xdr:row>
      <xdr:rowOff>19050</xdr:rowOff>
    </xdr:to>
    <xdr:sp macro="" textlink="">
      <xdr:nvSpPr>
        <xdr:cNvPr id="10840065" name="Oval 5">
          <a:extLst>
            <a:ext uri="{FF2B5EF4-FFF2-40B4-BE49-F238E27FC236}">
              <a16:creationId xmlns:a16="http://schemas.microsoft.com/office/drawing/2014/main" id="{00000000-0008-0000-0500-00000168A500}"/>
            </a:ext>
          </a:extLst>
        </xdr:cNvPr>
        <xdr:cNvSpPr>
          <a:spLocks noChangeArrowheads="1"/>
        </xdr:cNvSpPr>
      </xdr:nvSpPr>
      <xdr:spPr bwMode="auto">
        <a:xfrm>
          <a:off x="7905750" y="5572125"/>
          <a:ext cx="168592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552450</xdr:colOff>
      <xdr:row>29</xdr:row>
      <xdr:rowOff>38100</xdr:rowOff>
    </xdr:from>
    <xdr:to>
      <xdr:col>17</xdr:col>
      <xdr:colOff>66675</xdr:colOff>
      <xdr:row>37</xdr:row>
      <xdr:rowOff>152400</xdr:rowOff>
    </xdr:to>
    <xdr:sp macro="" textlink="">
      <xdr:nvSpPr>
        <xdr:cNvPr id="10840066" name="Oval 6">
          <a:extLst>
            <a:ext uri="{FF2B5EF4-FFF2-40B4-BE49-F238E27FC236}">
              <a16:creationId xmlns:a16="http://schemas.microsoft.com/office/drawing/2014/main" id="{00000000-0008-0000-0500-00000268A500}"/>
            </a:ext>
          </a:extLst>
        </xdr:cNvPr>
        <xdr:cNvSpPr>
          <a:spLocks noChangeArrowheads="1"/>
        </xdr:cNvSpPr>
      </xdr:nvSpPr>
      <xdr:spPr bwMode="auto">
        <a:xfrm>
          <a:off x="10115550" y="5543550"/>
          <a:ext cx="168592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552450</xdr:colOff>
      <xdr:row>29</xdr:row>
      <xdr:rowOff>38100</xdr:rowOff>
    </xdr:from>
    <xdr:to>
      <xdr:col>20</xdr:col>
      <xdr:colOff>66675</xdr:colOff>
      <xdr:row>37</xdr:row>
      <xdr:rowOff>152400</xdr:rowOff>
    </xdr:to>
    <xdr:sp macro="" textlink="">
      <xdr:nvSpPr>
        <xdr:cNvPr id="10840067" name="Oval 7">
          <a:extLst>
            <a:ext uri="{FF2B5EF4-FFF2-40B4-BE49-F238E27FC236}">
              <a16:creationId xmlns:a16="http://schemas.microsoft.com/office/drawing/2014/main" id="{00000000-0008-0000-0500-00000368A500}"/>
            </a:ext>
          </a:extLst>
        </xdr:cNvPr>
        <xdr:cNvSpPr>
          <a:spLocks noChangeArrowheads="1"/>
        </xdr:cNvSpPr>
      </xdr:nvSpPr>
      <xdr:spPr bwMode="auto">
        <a:xfrm>
          <a:off x="12287250" y="5543550"/>
          <a:ext cx="163830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38</xdr:row>
      <xdr:rowOff>28575</xdr:rowOff>
    </xdr:from>
    <xdr:to>
      <xdr:col>19</xdr:col>
      <xdr:colOff>0</xdr:colOff>
      <xdr:row>45</xdr:row>
      <xdr:rowOff>152400</xdr:rowOff>
    </xdr:to>
    <xdr:sp macro="" textlink="">
      <xdr:nvSpPr>
        <xdr:cNvPr id="10840068" name="Line 8">
          <a:extLst>
            <a:ext uri="{FF2B5EF4-FFF2-40B4-BE49-F238E27FC236}">
              <a16:creationId xmlns:a16="http://schemas.microsoft.com/office/drawing/2014/main" id="{00000000-0008-0000-0500-00000468A500}"/>
            </a:ext>
          </a:extLst>
        </xdr:cNvPr>
        <xdr:cNvSpPr>
          <a:spLocks noChangeShapeType="1"/>
        </xdr:cNvSpPr>
      </xdr:nvSpPr>
      <xdr:spPr bwMode="auto">
        <a:xfrm flipH="1">
          <a:off x="13182600" y="7086600"/>
          <a:ext cx="0" cy="1314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66675</xdr:colOff>
      <xdr:row>33</xdr:row>
      <xdr:rowOff>152400</xdr:rowOff>
    </xdr:from>
    <xdr:to>
      <xdr:col>17</xdr:col>
      <xdr:colOff>542925</xdr:colOff>
      <xdr:row>33</xdr:row>
      <xdr:rowOff>152400</xdr:rowOff>
    </xdr:to>
    <xdr:sp macro="" textlink="">
      <xdr:nvSpPr>
        <xdr:cNvPr id="10840069" name="Line 9">
          <a:extLst>
            <a:ext uri="{FF2B5EF4-FFF2-40B4-BE49-F238E27FC236}">
              <a16:creationId xmlns:a16="http://schemas.microsoft.com/office/drawing/2014/main" id="{00000000-0008-0000-0500-00000568A500}"/>
            </a:ext>
          </a:extLst>
        </xdr:cNvPr>
        <xdr:cNvSpPr>
          <a:spLocks noChangeShapeType="1"/>
        </xdr:cNvSpPr>
      </xdr:nvSpPr>
      <xdr:spPr bwMode="auto">
        <a:xfrm flipH="1">
          <a:off x="11801475" y="6381750"/>
          <a:ext cx="4762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</xdr:colOff>
      <xdr:row>34</xdr:row>
      <xdr:rowOff>0</xdr:rowOff>
    </xdr:from>
    <xdr:to>
      <xdr:col>14</xdr:col>
      <xdr:colOff>561975</xdr:colOff>
      <xdr:row>34</xdr:row>
      <xdr:rowOff>0</xdr:rowOff>
    </xdr:to>
    <xdr:sp macro="" textlink="">
      <xdr:nvSpPr>
        <xdr:cNvPr id="10840070" name="Line 10">
          <a:extLst>
            <a:ext uri="{FF2B5EF4-FFF2-40B4-BE49-F238E27FC236}">
              <a16:creationId xmlns:a16="http://schemas.microsoft.com/office/drawing/2014/main" id="{00000000-0008-0000-0500-00000668A500}"/>
            </a:ext>
          </a:extLst>
        </xdr:cNvPr>
        <xdr:cNvSpPr>
          <a:spLocks noChangeShapeType="1"/>
        </xdr:cNvSpPr>
      </xdr:nvSpPr>
      <xdr:spPr bwMode="auto">
        <a:xfrm>
          <a:off x="9591675" y="6410325"/>
          <a:ext cx="5334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47</xdr:row>
      <xdr:rowOff>85725</xdr:rowOff>
    </xdr:from>
    <xdr:to>
      <xdr:col>7</xdr:col>
      <xdr:colOff>0</xdr:colOff>
      <xdr:row>50</xdr:row>
      <xdr:rowOff>142875</xdr:rowOff>
    </xdr:to>
    <xdr:sp macro="" textlink="">
      <xdr:nvSpPr>
        <xdr:cNvPr id="10840071" name="Line 11">
          <a:extLst>
            <a:ext uri="{FF2B5EF4-FFF2-40B4-BE49-F238E27FC236}">
              <a16:creationId xmlns:a16="http://schemas.microsoft.com/office/drawing/2014/main" id="{00000000-0008-0000-0500-00000768A500}"/>
            </a:ext>
          </a:extLst>
        </xdr:cNvPr>
        <xdr:cNvSpPr>
          <a:spLocks noChangeShapeType="1"/>
        </xdr:cNvSpPr>
      </xdr:nvSpPr>
      <xdr:spPr bwMode="auto">
        <a:xfrm flipH="1">
          <a:off x="4467225" y="8677275"/>
          <a:ext cx="0" cy="581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30</xdr:row>
      <xdr:rowOff>66675</xdr:rowOff>
    </xdr:from>
    <xdr:to>
      <xdr:col>4</xdr:col>
      <xdr:colOff>571500</xdr:colOff>
      <xdr:row>37</xdr:row>
      <xdr:rowOff>9525</xdr:rowOff>
    </xdr:to>
    <xdr:sp macro="" textlink="">
      <xdr:nvSpPr>
        <xdr:cNvPr id="10840072" name="Oval 12">
          <a:extLst>
            <a:ext uri="{FF2B5EF4-FFF2-40B4-BE49-F238E27FC236}">
              <a16:creationId xmlns:a16="http://schemas.microsoft.com/office/drawing/2014/main" id="{00000000-0008-0000-0500-00000868A500}"/>
            </a:ext>
          </a:extLst>
        </xdr:cNvPr>
        <xdr:cNvSpPr>
          <a:spLocks noChangeArrowheads="1"/>
        </xdr:cNvSpPr>
      </xdr:nvSpPr>
      <xdr:spPr bwMode="auto">
        <a:xfrm>
          <a:off x="1866900" y="5734050"/>
          <a:ext cx="1171575" cy="11715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571500</xdr:colOff>
      <xdr:row>34</xdr:row>
      <xdr:rowOff>0</xdr:rowOff>
    </xdr:from>
    <xdr:to>
      <xdr:col>5</xdr:col>
      <xdr:colOff>542925</xdr:colOff>
      <xdr:row>34</xdr:row>
      <xdr:rowOff>0</xdr:rowOff>
    </xdr:to>
    <xdr:sp macro="" textlink="">
      <xdr:nvSpPr>
        <xdr:cNvPr id="10840073" name="Line 13">
          <a:extLst>
            <a:ext uri="{FF2B5EF4-FFF2-40B4-BE49-F238E27FC236}">
              <a16:creationId xmlns:a16="http://schemas.microsoft.com/office/drawing/2014/main" id="{00000000-0008-0000-0500-00000968A500}"/>
            </a:ext>
          </a:extLst>
        </xdr:cNvPr>
        <xdr:cNvSpPr>
          <a:spLocks noChangeShapeType="1"/>
        </xdr:cNvSpPr>
      </xdr:nvSpPr>
      <xdr:spPr bwMode="auto">
        <a:xfrm flipH="1">
          <a:off x="3038475" y="6410325"/>
          <a:ext cx="6096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</xdr:colOff>
      <xdr:row>46</xdr:row>
      <xdr:rowOff>47625</xdr:rowOff>
    </xdr:from>
    <xdr:to>
      <xdr:col>4</xdr:col>
      <xdr:colOff>571500</xdr:colOff>
      <xdr:row>52</xdr:row>
      <xdr:rowOff>104775</xdr:rowOff>
    </xdr:to>
    <xdr:sp macro="" textlink="">
      <xdr:nvSpPr>
        <xdr:cNvPr id="10840074" name="Oval 14">
          <a:extLst>
            <a:ext uri="{FF2B5EF4-FFF2-40B4-BE49-F238E27FC236}">
              <a16:creationId xmlns:a16="http://schemas.microsoft.com/office/drawing/2014/main" id="{00000000-0008-0000-0500-00000A68A500}"/>
            </a:ext>
          </a:extLst>
        </xdr:cNvPr>
        <xdr:cNvSpPr>
          <a:spLocks noChangeArrowheads="1"/>
        </xdr:cNvSpPr>
      </xdr:nvSpPr>
      <xdr:spPr bwMode="auto">
        <a:xfrm>
          <a:off x="1885950" y="8477250"/>
          <a:ext cx="1152525" cy="10858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371475</xdr:colOff>
      <xdr:row>36</xdr:row>
      <xdr:rowOff>104775</xdr:rowOff>
    </xdr:from>
    <xdr:to>
      <xdr:col>6</xdr:col>
      <xdr:colOff>123825</xdr:colOff>
      <xdr:row>47</xdr:row>
      <xdr:rowOff>28575</xdr:rowOff>
    </xdr:to>
    <xdr:sp macro="" textlink="">
      <xdr:nvSpPr>
        <xdr:cNvPr id="10840075" name="Line 15">
          <a:extLst>
            <a:ext uri="{FF2B5EF4-FFF2-40B4-BE49-F238E27FC236}">
              <a16:creationId xmlns:a16="http://schemas.microsoft.com/office/drawing/2014/main" id="{00000000-0008-0000-0500-00000B68A500}"/>
            </a:ext>
          </a:extLst>
        </xdr:cNvPr>
        <xdr:cNvSpPr>
          <a:spLocks noChangeShapeType="1"/>
        </xdr:cNvSpPr>
      </xdr:nvSpPr>
      <xdr:spPr bwMode="auto">
        <a:xfrm flipH="1">
          <a:off x="2838450" y="6838950"/>
          <a:ext cx="1066800" cy="17811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561975</xdr:colOff>
      <xdr:row>50</xdr:row>
      <xdr:rowOff>9525</xdr:rowOff>
    </xdr:from>
    <xdr:to>
      <xdr:col>6</xdr:col>
      <xdr:colOff>38100</xdr:colOff>
      <xdr:row>52</xdr:row>
      <xdr:rowOff>180975</xdr:rowOff>
    </xdr:to>
    <xdr:sp macro="" textlink="">
      <xdr:nvSpPr>
        <xdr:cNvPr id="10840076" name="Line 16">
          <a:extLst>
            <a:ext uri="{FF2B5EF4-FFF2-40B4-BE49-F238E27FC236}">
              <a16:creationId xmlns:a16="http://schemas.microsoft.com/office/drawing/2014/main" id="{00000000-0008-0000-0500-00000C68A500}"/>
            </a:ext>
          </a:extLst>
        </xdr:cNvPr>
        <xdr:cNvSpPr>
          <a:spLocks noChangeShapeType="1"/>
        </xdr:cNvSpPr>
      </xdr:nvSpPr>
      <xdr:spPr bwMode="auto">
        <a:xfrm flipH="1" flipV="1">
          <a:off x="3028950" y="9124950"/>
          <a:ext cx="790575" cy="5143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47</xdr:row>
      <xdr:rowOff>9525</xdr:rowOff>
    </xdr:from>
    <xdr:to>
      <xdr:col>4</xdr:col>
      <xdr:colOff>371475</xdr:colOff>
      <xdr:row>47</xdr:row>
      <xdr:rowOff>19050</xdr:rowOff>
    </xdr:to>
    <xdr:sp macro="" textlink="">
      <xdr:nvSpPr>
        <xdr:cNvPr id="10840077" name="Arc 17">
          <a:extLst>
            <a:ext uri="{FF2B5EF4-FFF2-40B4-BE49-F238E27FC236}">
              <a16:creationId xmlns:a16="http://schemas.microsoft.com/office/drawing/2014/main" id="{00000000-0008-0000-0500-00000D68A500}"/>
            </a:ext>
          </a:extLst>
        </xdr:cNvPr>
        <xdr:cNvSpPr>
          <a:spLocks/>
        </xdr:cNvSpPr>
      </xdr:nvSpPr>
      <xdr:spPr bwMode="auto">
        <a:xfrm flipH="1" flipV="1">
          <a:off x="2828925" y="8601075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171450</xdr:colOff>
      <xdr:row>47</xdr:row>
      <xdr:rowOff>9525</xdr:rowOff>
    </xdr:from>
    <xdr:to>
      <xdr:col>4</xdr:col>
      <xdr:colOff>352425</xdr:colOff>
      <xdr:row>49</xdr:row>
      <xdr:rowOff>152400</xdr:rowOff>
    </xdr:to>
    <xdr:sp macro="" textlink="">
      <xdr:nvSpPr>
        <xdr:cNvPr id="10840078" name="Line 18">
          <a:extLst>
            <a:ext uri="{FF2B5EF4-FFF2-40B4-BE49-F238E27FC236}">
              <a16:creationId xmlns:a16="http://schemas.microsoft.com/office/drawing/2014/main" id="{00000000-0008-0000-0500-00000E68A500}"/>
            </a:ext>
          </a:extLst>
        </xdr:cNvPr>
        <xdr:cNvSpPr>
          <a:spLocks noChangeShapeType="1"/>
        </xdr:cNvSpPr>
      </xdr:nvSpPr>
      <xdr:spPr bwMode="auto">
        <a:xfrm flipH="1">
          <a:off x="1895475" y="8601075"/>
          <a:ext cx="923925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50</xdr:row>
      <xdr:rowOff>0</xdr:rowOff>
    </xdr:from>
    <xdr:to>
      <xdr:col>3</xdr:col>
      <xdr:colOff>171450</xdr:colOff>
      <xdr:row>50</xdr:row>
      <xdr:rowOff>0</xdr:rowOff>
    </xdr:to>
    <xdr:sp macro="" textlink="">
      <xdr:nvSpPr>
        <xdr:cNvPr id="10840079" name="Line 19">
          <a:extLst>
            <a:ext uri="{FF2B5EF4-FFF2-40B4-BE49-F238E27FC236}">
              <a16:creationId xmlns:a16="http://schemas.microsoft.com/office/drawing/2014/main" id="{00000000-0008-0000-0500-00000F68A500}"/>
            </a:ext>
          </a:extLst>
        </xdr:cNvPr>
        <xdr:cNvSpPr>
          <a:spLocks noChangeShapeType="1"/>
        </xdr:cNvSpPr>
      </xdr:nvSpPr>
      <xdr:spPr bwMode="auto">
        <a:xfrm flipH="1">
          <a:off x="1181100" y="9115425"/>
          <a:ext cx="71437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352425</xdr:colOff>
      <xdr:row>47</xdr:row>
      <xdr:rowOff>19050</xdr:rowOff>
    </xdr:from>
    <xdr:to>
      <xdr:col>4</xdr:col>
      <xdr:colOff>581025</xdr:colOff>
      <xdr:row>50</xdr:row>
      <xdr:rowOff>0</xdr:rowOff>
    </xdr:to>
    <xdr:sp macro="" textlink="">
      <xdr:nvSpPr>
        <xdr:cNvPr id="10840080" name="Arc 20">
          <a:extLst>
            <a:ext uri="{FF2B5EF4-FFF2-40B4-BE49-F238E27FC236}">
              <a16:creationId xmlns:a16="http://schemas.microsoft.com/office/drawing/2014/main" id="{00000000-0008-0000-0500-00001068A500}"/>
            </a:ext>
          </a:extLst>
        </xdr:cNvPr>
        <xdr:cNvSpPr>
          <a:spLocks/>
        </xdr:cNvSpPr>
      </xdr:nvSpPr>
      <xdr:spPr bwMode="auto">
        <a:xfrm flipH="1" flipV="1">
          <a:off x="2819400" y="8610600"/>
          <a:ext cx="228600" cy="5048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228600</xdr:colOff>
      <xdr:row>10</xdr:row>
      <xdr:rowOff>66675</xdr:rowOff>
    </xdr:from>
    <xdr:to>
      <xdr:col>5</xdr:col>
      <xdr:colOff>57150</xdr:colOff>
      <xdr:row>16</xdr:row>
      <xdr:rowOff>57150</xdr:rowOff>
    </xdr:to>
    <xdr:sp macro="" textlink="">
      <xdr:nvSpPr>
        <xdr:cNvPr id="10840081" name="Oval 21">
          <a:extLst>
            <a:ext uri="{FF2B5EF4-FFF2-40B4-BE49-F238E27FC236}">
              <a16:creationId xmlns:a16="http://schemas.microsoft.com/office/drawing/2014/main" id="{00000000-0008-0000-0500-00001168A500}"/>
            </a:ext>
          </a:extLst>
        </xdr:cNvPr>
        <xdr:cNvSpPr>
          <a:spLocks noChangeArrowheads="1"/>
        </xdr:cNvSpPr>
      </xdr:nvSpPr>
      <xdr:spPr bwMode="auto">
        <a:xfrm>
          <a:off x="1952625" y="2181225"/>
          <a:ext cx="1209675" cy="11049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352425</xdr:colOff>
      <xdr:row>23</xdr:row>
      <xdr:rowOff>123825</xdr:rowOff>
    </xdr:from>
    <xdr:to>
      <xdr:col>6</xdr:col>
      <xdr:colOff>228600</xdr:colOff>
      <xdr:row>31</xdr:row>
      <xdr:rowOff>9525</xdr:rowOff>
    </xdr:to>
    <xdr:sp macro="" textlink="">
      <xdr:nvSpPr>
        <xdr:cNvPr id="10840082" name="Line 22">
          <a:extLst>
            <a:ext uri="{FF2B5EF4-FFF2-40B4-BE49-F238E27FC236}">
              <a16:creationId xmlns:a16="http://schemas.microsoft.com/office/drawing/2014/main" id="{00000000-0008-0000-0500-00001268A500}"/>
            </a:ext>
          </a:extLst>
        </xdr:cNvPr>
        <xdr:cNvSpPr>
          <a:spLocks noChangeShapeType="1"/>
        </xdr:cNvSpPr>
      </xdr:nvSpPr>
      <xdr:spPr bwMode="auto">
        <a:xfrm flipH="1">
          <a:off x="2819400" y="4591050"/>
          <a:ext cx="1190625" cy="12763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52</xdr:row>
      <xdr:rowOff>38100</xdr:rowOff>
    </xdr:from>
    <xdr:to>
      <xdr:col>14</xdr:col>
      <xdr:colOff>9525</xdr:colOff>
      <xdr:row>60</xdr:row>
      <xdr:rowOff>28575</xdr:rowOff>
    </xdr:to>
    <xdr:sp macro="" textlink="">
      <xdr:nvSpPr>
        <xdr:cNvPr id="10840083" name="Arc 23">
          <a:extLst>
            <a:ext uri="{FF2B5EF4-FFF2-40B4-BE49-F238E27FC236}">
              <a16:creationId xmlns:a16="http://schemas.microsoft.com/office/drawing/2014/main" id="{00000000-0008-0000-0500-00001368A500}"/>
            </a:ext>
          </a:extLst>
        </xdr:cNvPr>
        <xdr:cNvSpPr>
          <a:spLocks/>
        </xdr:cNvSpPr>
      </xdr:nvSpPr>
      <xdr:spPr bwMode="auto">
        <a:xfrm flipH="1">
          <a:off x="6553200" y="9496425"/>
          <a:ext cx="3019425" cy="15335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600075</xdr:colOff>
      <xdr:row>52</xdr:row>
      <xdr:rowOff>38100</xdr:rowOff>
    </xdr:from>
    <xdr:to>
      <xdr:col>17</xdr:col>
      <xdr:colOff>571500</xdr:colOff>
      <xdr:row>60</xdr:row>
      <xdr:rowOff>38100</xdr:rowOff>
    </xdr:to>
    <xdr:sp macro="" textlink="">
      <xdr:nvSpPr>
        <xdr:cNvPr id="10840084" name="Arc 24">
          <a:extLst>
            <a:ext uri="{FF2B5EF4-FFF2-40B4-BE49-F238E27FC236}">
              <a16:creationId xmlns:a16="http://schemas.microsoft.com/office/drawing/2014/main" id="{00000000-0008-0000-0500-00001468A500}"/>
            </a:ext>
          </a:extLst>
        </xdr:cNvPr>
        <xdr:cNvSpPr>
          <a:spLocks/>
        </xdr:cNvSpPr>
      </xdr:nvSpPr>
      <xdr:spPr bwMode="auto">
        <a:xfrm>
          <a:off x="9296400" y="9496425"/>
          <a:ext cx="3009900" cy="15430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638175</xdr:colOff>
      <xdr:row>58</xdr:row>
      <xdr:rowOff>47625</xdr:rowOff>
    </xdr:from>
    <xdr:to>
      <xdr:col>6</xdr:col>
      <xdr:colOff>371475</xdr:colOff>
      <xdr:row>61</xdr:row>
      <xdr:rowOff>152400</xdr:rowOff>
    </xdr:to>
    <xdr:sp macro="" textlink="">
      <xdr:nvSpPr>
        <xdr:cNvPr id="10840085" name="Line 25">
          <a:extLst>
            <a:ext uri="{FF2B5EF4-FFF2-40B4-BE49-F238E27FC236}">
              <a16:creationId xmlns:a16="http://schemas.microsoft.com/office/drawing/2014/main" id="{00000000-0008-0000-0500-00001568A500}"/>
            </a:ext>
          </a:extLst>
        </xdr:cNvPr>
        <xdr:cNvSpPr>
          <a:spLocks noChangeShapeType="1"/>
        </xdr:cNvSpPr>
      </xdr:nvSpPr>
      <xdr:spPr bwMode="auto">
        <a:xfrm flipH="1">
          <a:off x="3743325" y="10706100"/>
          <a:ext cx="409575" cy="6096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200025</xdr:colOff>
      <xdr:row>37</xdr:row>
      <xdr:rowOff>114300</xdr:rowOff>
    </xdr:from>
    <xdr:to>
      <xdr:col>17</xdr:col>
      <xdr:colOff>152400</xdr:colOff>
      <xdr:row>45</xdr:row>
      <xdr:rowOff>152400</xdr:rowOff>
    </xdr:to>
    <xdr:sp macro="" textlink="">
      <xdr:nvSpPr>
        <xdr:cNvPr id="10840086" name="Line 26">
          <a:extLst>
            <a:ext uri="{FF2B5EF4-FFF2-40B4-BE49-F238E27FC236}">
              <a16:creationId xmlns:a16="http://schemas.microsoft.com/office/drawing/2014/main" id="{00000000-0008-0000-0500-00001668A500}"/>
            </a:ext>
          </a:extLst>
        </xdr:cNvPr>
        <xdr:cNvSpPr>
          <a:spLocks noChangeShapeType="1"/>
        </xdr:cNvSpPr>
      </xdr:nvSpPr>
      <xdr:spPr bwMode="auto">
        <a:xfrm>
          <a:off x="11249025" y="7010400"/>
          <a:ext cx="638175" cy="13906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276225</xdr:colOff>
      <xdr:row>37</xdr:row>
      <xdr:rowOff>123825</xdr:rowOff>
    </xdr:from>
    <xdr:to>
      <xdr:col>12</xdr:col>
      <xdr:colOff>47625</xdr:colOff>
      <xdr:row>53</xdr:row>
      <xdr:rowOff>38100</xdr:rowOff>
    </xdr:to>
    <xdr:sp macro="" textlink="">
      <xdr:nvSpPr>
        <xdr:cNvPr id="10840087" name="Line 27">
          <a:extLst>
            <a:ext uri="{FF2B5EF4-FFF2-40B4-BE49-F238E27FC236}">
              <a16:creationId xmlns:a16="http://schemas.microsoft.com/office/drawing/2014/main" id="{00000000-0008-0000-0500-00001768A500}"/>
            </a:ext>
          </a:extLst>
        </xdr:cNvPr>
        <xdr:cNvSpPr>
          <a:spLocks noChangeShapeType="1"/>
        </xdr:cNvSpPr>
      </xdr:nvSpPr>
      <xdr:spPr bwMode="auto">
        <a:xfrm>
          <a:off x="6829425" y="7019925"/>
          <a:ext cx="1219200" cy="26670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152400</xdr:colOff>
      <xdr:row>45</xdr:row>
      <xdr:rowOff>47625</xdr:rowOff>
    </xdr:from>
    <xdr:to>
      <xdr:col>11</xdr:col>
      <xdr:colOff>304800</xdr:colOff>
      <xdr:row>54</xdr:row>
      <xdr:rowOff>76200</xdr:rowOff>
    </xdr:to>
    <xdr:sp macro="" textlink="">
      <xdr:nvSpPr>
        <xdr:cNvPr id="10840088" name="Line 28">
          <a:extLst>
            <a:ext uri="{FF2B5EF4-FFF2-40B4-BE49-F238E27FC236}">
              <a16:creationId xmlns:a16="http://schemas.microsoft.com/office/drawing/2014/main" id="{00000000-0008-0000-0500-00001868A500}"/>
            </a:ext>
          </a:extLst>
        </xdr:cNvPr>
        <xdr:cNvSpPr>
          <a:spLocks noChangeShapeType="1"/>
        </xdr:cNvSpPr>
      </xdr:nvSpPr>
      <xdr:spPr bwMode="auto">
        <a:xfrm>
          <a:off x="5334000" y="8296275"/>
          <a:ext cx="2190750" cy="15906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25</xdr:row>
      <xdr:rowOff>0</xdr:rowOff>
    </xdr:from>
    <xdr:to>
      <xdr:col>11</xdr:col>
      <xdr:colOff>123825</xdr:colOff>
      <xdr:row>25</xdr:row>
      <xdr:rowOff>0</xdr:rowOff>
    </xdr:to>
    <xdr:sp macro="" textlink="">
      <xdr:nvSpPr>
        <xdr:cNvPr id="10840089" name="Line 29">
          <a:extLst>
            <a:ext uri="{FF2B5EF4-FFF2-40B4-BE49-F238E27FC236}">
              <a16:creationId xmlns:a16="http://schemas.microsoft.com/office/drawing/2014/main" id="{00000000-0008-0000-0500-00001968A500}"/>
            </a:ext>
          </a:extLst>
        </xdr:cNvPr>
        <xdr:cNvSpPr>
          <a:spLocks noChangeShapeType="1"/>
        </xdr:cNvSpPr>
      </xdr:nvSpPr>
      <xdr:spPr bwMode="auto">
        <a:xfrm>
          <a:off x="5857875" y="4800600"/>
          <a:ext cx="14859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600075</xdr:colOff>
      <xdr:row>20</xdr:row>
      <xdr:rowOff>0</xdr:rowOff>
    </xdr:from>
    <xdr:to>
      <xdr:col>13</xdr:col>
      <xdr:colOff>9525</xdr:colOff>
      <xdr:row>29</xdr:row>
      <xdr:rowOff>47625</xdr:rowOff>
    </xdr:to>
    <xdr:sp macro="" textlink="">
      <xdr:nvSpPr>
        <xdr:cNvPr id="10840090" name="Line 30">
          <a:extLst>
            <a:ext uri="{FF2B5EF4-FFF2-40B4-BE49-F238E27FC236}">
              <a16:creationId xmlns:a16="http://schemas.microsoft.com/office/drawing/2014/main" id="{00000000-0008-0000-0500-00001A68A500}"/>
            </a:ext>
          </a:extLst>
        </xdr:cNvPr>
        <xdr:cNvSpPr>
          <a:spLocks noChangeShapeType="1"/>
        </xdr:cNvSpPr>
      </xdr:nvSpPr>
      <xdr:spPr bwMode="auto">
        <a:xfrm>
          <a:off x="7820025" y="3924300"/>
          <a:ext cx="885825" cy="16287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171450</xdr:colOff>
      <xdr:row>19</xdr:row>
      <xdr:rowOff>171450</xdr:rowOff>
    </xdr:from>
    <xdr:to>
      <xdr:col>11</xdr:col>
      <xdr:colOff>619125</xdr:colOff>
      <xdr:row>19</xdr:row>
      <xdr:rowOff>171450</xdr:rowOff>
    </xdr:to>
    <xdr:sp macro="" textlink="">
      <xdr:nvSpPr>
        <xdr:cNvPr id="10840091" name="Line 31">
          <a:extLst>
            <a:ext uri="{FF2B5EF4-FFF2-40B4-BE49-F238E27FC236}">
              <a16:creationId xmlns:a16="http://schemas.microsoft.com/office/drawing/2014/main" id="{00000000-0008-0000-0500-00001B68A500}"/>
            </a:ext>
          </a:extLst>
        </xdr:cNvPr>
        <xdr:cNvSpPr>
          <a:spLocks noChangeShapeType="1"/>
        </xdr:cNvSpPr>
      </xdr:nvSpPr>
      <xdr:spPr bwMode="auto">
        <a:xfrm flipH="1">
          <a:off x="5353050" y="3905250"/>
          <a:ext cx="248602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504825</xdr:colOff>
      <xdr:row>57</xdr:row>
      <xdr:rowOff>295275</xdr:rowOff>
    </xdr:from>
    <xdr:to>
      <xdr:col>8</xdr:col>
      <xdr:colOff>257175</xdr:colOff>
      <xdr:row>61</xdr:row>
      <xdr:rowOff>28575</xdr:rowOff>
    </xdr:to>
    <xdr:sp macro="" textlink="">
      <xdr:nvSpPr>
        <xdr:cNvPr id="10840092" name="Line 32">
          <a:extLst>
            <a:ext uri="{FF2B5EF4-FFF2-40B4-BE49-F238E27FC236}">
              <a16:creationId xmlns:a16="http://schemas.microsoft.com/office/drawing/2014/main" id="{00000000-0008-0000-0500-00001C68A500}"/>
            </a:ext>
          </a:extLst>
        </xdr:cNvPr>
        <xdr:cNvSpPr>
          <a:spLocks noChangeShapeType="1"/>
        </xdr:cNvSpPr>
      </xdr:nvSpPr>
      <xdr:spPr bwMode="auto">
        <a:xfrm flipH="1" flipV="1">
          <a:off x="4972050" y="10658475"/>
          <a:ext cx="466725" cy="533400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24</xdr:row>
      <xdr:rowOff>171450</xdr:rowOff>
    </xdr:from>
    <xdr:to>
      <xdr:col>7</xdr:col>
      <xdr:colOff>28575</xdr:colOff>
      <xdr:row>29</xdr:row>
      <xdr:rowOff>38100</xdr:rowOff>
    </xdr:to>
    <xdr:sp macro="" textlink="">
      <xdr:nvSpPr>
        <xdr:cNvPr id="10840093" name="Line 33">
          <a:extLst>
            <a:ext uri="{FF2B5EF4-FFF2-40B4-BE49-F238E27FC236}">
              <a16:creationId xmlns:a16="http://schemas.microsoft.com/office/drawing/2014/main" id="{00000000-0008-0000-0500-00001D68A500}"/>
            </a:ext>
          </a:extLst>
        </xdr:cNvPr>
        <xdr:cNvSpPr>
          <a:spLocks noChangeShapeType="1"/>
        </xdr:cNvSpPr>
      </xdr:nvSpPr>
      <xdr:spPr bwMode="auto">
        <a:xfrm flipH="1">
          <a:off x="4476750" y="4800600"/>
          <a:ext cx="19050" cy="7429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247650</xdr:colOff>
      <xdr:row>11</xdr:row>
      <xdr:rowOff>0</xdr:rowOff>
    </xdr:from>
    <xdr:to>
      <xdr:col>6</xdr:col>
      <xdr:colOff>657225</xdr:colOff>
      <xdr:row>16</xdr:row>
      <xdr:rowOff>57150</xdr:rowOff>
    </xdr:to>
    <xdr:sp macro="" textlink="">
      <xdr:nvSpPr>
        <xdr:cNvPr id="10840094" name="Line 34">
          <a:extLst>
            <a:ext uri="{FF2B5EF4-FFF2-40B4-BE49-F238E27FC236}">
              <a16:creationId xmlns:a16="http://schemas.microsoft.com/office/drawing/2014/main" id="{00000000-0008-0000-0500-00001E68A500}"/>
            </a:ext>
          </a:extLst>
        </xdr:cNvPr>
        <xdr:cNvSpPr>
          <a:spLocks noChangeShapeType="1"/>
        </xdr:cNvSpPr>
      </xdr:nvSpPr>
      <xdr:spPr bwMode="auto">
        <a:xfrm flipH="1" flipV="1">
          <a:off x="4029075" y="2314575"/>
          <a:ext cx="409575" cy="9715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34</xdr:row>
      <xdr:rowOff>9525</xdr:rowOff>
    </xdr:from>
    <xdr:to>
      <xdr:col>8</xdr:col>
      <xdr:colOff>542925</xdr:colOff>
      <xdr:row>34</xdr:row>
      <xdr:rowOff>9525</xdr:rowOff>
    </xdr:to>
    <xdr:sp macro="" textlink="">
      <xdr:nvSpPr>
        <xdr:cNvPr id="10840095" name="Line 35">
          <a:extLst>
            <a:ext uri="{FF2B5EF4-FFF2-40B4-BE49-F238E27FC236}">
              <a16:creationId xmlns:a16="http://schemas.microsoft.com/office/drawing/2014/main" id="{00000000-0008-0000-0500-00001F68A500}"/>
            </a:ext>
          </a:extLst>
        </xdr:cNvPr>
        <xdr:cNvSpPr>
          <a:spLocks noChangeShapeType="1"/>
        </xdr:cNvSpPr>
      </xdr:nvSpPr>
      <xdr:spPr bwMode="auto">
        <a:xfrm>
          <a:off x="5229225" y="6419850"/>
          <a:ext cx="4953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</xdr:colOff>
      <xdr:row>13</xdr:row>
      <xdr:rowOff>38100</xdr:rowOff>
    </xdr:from>
    <xdr:to>
      <xdr:col>6</xdr:col>
      <xdr:colOff>409575</xdr:colOff>
      <xdr:row>17</xdr:row>
      <xdr:rowOff>9525</xdr:rowOff>
    </xdr:to>
    <xdr:sp macro="" textlink="">
      <xdr:nvSpPr>
        <xdr:cNvPr id="10840096" name="Line 37">
          <a:extLst>
            <a:ext uri="{FF2B5EF4-FFF2-40B4-BE49-F238E27FC236}">
              <a16:creationId xmlns:a16="http://schemas.microsoft.com/office/drawing/2014/main" id="{00000000-0008-0000-0500-00002068A500}"/>
            </a:ext>
          </a:extLst>
        </xdr:cNvPr>
        <xdr:cNvSpPr>
          <a:spLocks noChangeShapeType="1"/>
        </xdr:cNvSpPr>
      </xdr:nvSpPr>
      <xdr:spPr bwMode="auto">
        <a:xfrm>
          <a:off x="3171825" y="2743200"/>
          <a:ext cx="1019175" cy="6572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33</xdr:row>
      <xdr:rowOff>161925</xdr:rowOff>
    </xdr:from>
    <xdr:to>
      <xdr:col>11</xdr:col>
      <xdr:colOff>695325</xdr:colOff>
      <xdr:row>33</xdr:row>
      <xdr:rowOff>161925</xdr:rowOff>
    </xdr:to>
    <xdr:sp macro="" textlink="">
      <xdr:nvSpPr>
        <xdr:cNvPr id="10840097" name="Line 38">
          <a:extLst>
            <a:ext uri="{FF2B5EF4-FFF2-40B4-BE49-F238E27FC236}">
              <a16:creationId xmlns:a16="http://schemas.microsoft.com/office/drawing/2014/main" id="{00000000-0008-0000-0500-00002168A500}"/>
            </a:ext>
          </a:extLst>
        </xdr:cNvPr>
        <xdr:cNvSpPr>
          <a:spLocks noChangeShapeType="1"/>
        </xdr:cNvSpPr>
      </xdr:nvSpPr>
      <xdr:spPr bwMode="auto">
        <a:xfrm>
          <a:off x="7286625" y="6391275"/>
          <a:ext cx="6286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25</xdr:row>
      <xdr:rowOff>0</xdr:rowOff>
    </xdr:from>
    <xdr:to>
      <xdr:col>9</xdr:col>
      <xdr:colOff>28575</xdr:colOff>
      <xdr:row>30</xdr:row>
      <xdr:rowOff>114300</xdr:rowOff>
    </xdr:to>
    <xdr:sp macro="" textlink="">
      <xdr:nvSpPr>
        <xdr:cNvPr id="10840098" name="Line 39">
          <a:extLst>
            <a:ext uri="{FF2B5EF4-FFF2-40B4-BE49-F238E27FC236}">
              <a16:creationId xmlns:a16="http://schemas.microsoft.com/office/drawing/2014/main" id="{00000000-0008-0000-0500-00002268A500}"/>
            </a:ext>
          </a:extLst>
        </xdr:cNvPr>
        <xdr:cNvSpPr>
          <a:spLocks noChangeShapeType="1"/>
        </xdr:cNvSpPr>
      </xdr:nvSpPr>
      <xdr:spPr bwMode="auto">
        <a:xfrm flipH="1">
          <a:off x="5000625" y="4800600"/>
          <a:ext cx="876300" cy="9810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114300</xdr:colOff>
      <xdr:row>25</xdr:row>
      <xdr:rowOff>9525</xdr:rowOff>
    </xdr:from>
    <xdr:to>
      <xdr:col>12</xdr:col>
      <xdr:colOff>142875</xdr:colOff>
      <xdr:row>30</xdr:row>
      <xdr:rowOff>76200</xdr:rowOff>
    </xdr:to>
    <xdr:sp macro="" textlink="">
      <xdr:nvSpPr>
        <xdr:cNvPr id="10840099" name="Line 40">
          <a:extLst>
            <a:ext uri="{FF2B5EF4-FFF2-40B4-BE49-F238E27FC236}">
              <a16:creationId xmlns:a16="http://schemas.microsoft.com/office/drawing/2014/main" id="{00000000-0008-0000-0500-00002368A500}"/>
            </a:ext>
          </a:extLst>
        </xdr:cNvPr>
        <xdr:cNvSpPr>
          <a:spLocks noChangeShapeType="1"/>
        </xdr:cNvSpPr>
      </xdr:nvSpPr>
      <xdr:spPr bwMode="auto">
        <a:xfrm>
          <a:off x="7334250" y="4810125"/>
          <a:ext cx="809625" cy="933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52</xdr:row>
      <xdr:rowOff>104775</xdr:rowOff>
    </xdr:from>
    <xdr:to>
      <xdr:col>12</xdr:col>
      <xdr:colOff>561975</xdr:colOff>
      <xdr:row>52</xdr:row>
      <xdr:rowOff>114300</xdr:rowOff>
    </xdr:to>
    <xdr:sp macro="" textlink="">
      <xdr:nvSpPr>
        <xdr:cNvPr id="10840100" name="Arc 41">
          <a:extLst>
            <a:ext uri="{FF2B5EF4-FFF2-40B4-BE49-F238E27FC236}">
              <a16:creationId xmlns:a16="http://schemas.microsoft.com/office/drawing/2014/main" id="{00000000-0008-0000-0500-00002468A500}"/>
            </a:ext>
          </a:extLst>
        </xdr:cNvPr>
        <xdr:cNvSpPr>
          <a:spLocks/>
        </xdr:cNvSpPr>
      </xdr:nvSpPr>
      <xdr:spPr bwMode="auto">
        <a:xfrm flipV="1">
          <a:off x="8505825" y="9563100"/>
          <a:ext cx="57150" cy="95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85725</xdr:rowOff>
    </xdr:from>
    <xdr:to>
      <xdr:col>13</xdr:col>
      <xdr:colOff>152400</xdr:colOff>
      <xdr:row>52</xdr:row>
      <xdr:rowOff>85725</xdr:rowOff>
    </xdr:to>
    <xdr:sp macro="" textlink="">
      <xdr:nvSpPr>
        <xdr:cNvPr id="10840101" name="Arc 42">
          <a:extLst>
            <a:ext uri="{FF2B5EF4-FFF2-40B4-BE49-F238E27FC236}">
              <a16:creationId xmlns:a16="http://schemas.microsoft.com/office/drawing/2014/main" id="{00000000-0008-0000-0500-00002568A500}"/>
            </a:ext>
          </a:extLst>
        </xdr:cNvPr>
        <xdr:cNvSpPr>
          <a:spLocks/>
        </xdr:cNvSpPr>
      </xdr:nvSpPr>
      <xdr:spPr bwMode="auto">
        <a:xfrm flipH="1">
          <a:off x="8820150" y="954405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66675</xdr:rowOff>
    </xdr:from>
    <xdr:to>
      <xdr:col>13</xdr:col>
      <xdr:colOff>152400</xdr:colOff>
      <xdr:row>52</xdr:row>
      <xdr:rowOff>85725</xdr:rowOff>
    </xdr:to>
    <xdr:sp macro="" textlink="">
      <xdr:nvSpPr>
        <xdr:cNvPr id="10840102" name="Arc 43">
          <a:extLst>
            <a:ext uri="{FF2B5EF4-FFF2-40B4-BE49-F238E27FC236}">
              <a16:creationId xmlns:a16="http://schemas.microsoft.com/office/drawing/2014/main" id="{00000000-0008-0000-0500-00002668A500}"/>
            </a:ext>
          </a:extLst>
        </xdr:cNvPr>
        <xdr:cNvSpPr>
          <a:spLocks/>
        </xdr:cNvSpPr>
      </xdr:nvSpPr>
      <xdr:spPr bwMode="auto">
        <a:xfrm>
          <a:off x="8820150" y="9525000"/>
          <a:ext cx="28575" cy="190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4 h 21600"/>
            <a:gd name="T4" fmla="*/ 0 w 21600"/>
            <a:gd name="T5" fmla="*/ 4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57150</xdr:colOff>
      <xdr:row>52</xdr:row>
      <xdr:rowOff>66675</xdr:rowOff>
    </xdr:from>
    <xdr:to>
      <xdr:col>13</xdr:col>
      <xdr:colOff>295275</xdr:colOff>
      <xdr:row>58</xdr:row>
      <xdr:rowOff>38100</xdr:rowOff>
    </xdr:to>
    <xdr:sp macro="" textlink="">
      <xdr:nvSpPr>
        <xdr:cNvPr id="10840103" name="Arc 44">
          <a:extLst>
            <a:ext uri="{FF2B5EF4-FFF2-40B4-BE49-F238E27FC236}">
              <a16:creationId xmlns:a16="http://schemas.microsoft.com/office/drawing/2014/main" id="{00000000-0008-0000-0500-00002768A500}"/>
            </a:ext>
          </a:extLst>
        </xdr:cNvPr>
        <xdr:cNvSpPr>
          <a:spLocks/>
        </xdr:cNvSpPr>
      </xdr:nvSpPr>
      <xdr:spPr bwMode="auto">
        <a:xfrm flipV="1">
          <a:off x="6610350" y="9525000"/>
          <a:ext cx="2381250" cy="117157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676275</xdr:colOff>
      <xdr:row>38</xdr:row>
      <xdr:rowOff>28575</xdr:rowOff>
    </xdr:from>
    <xdr:to>
      <xdr:col>13</xdr:col>
      <xdr:colOff>123825</xdr:colOff>
      <xdr:row>52</xdr:row>
      <xdr:rowOff>76200</xdr:rowOff>
    </xdr:to>
    <xdr:sp macro="" textlink="">
      <xdr:nvSpPr>
        <xdr:cNvPr id="10840104" name="Line 45">
          <a:extLst>
            <a:ext uri="{FF2B5EF4-FFF2-40B4-BE49-F238E27FC236}">
              <a16:creationId xmlns:a16="http://schemas.microsoft.com/office/drawing/2014/main" id="{00000000-0008-0000-0500-00002868A500}"/>
            </a:ext>
          </a:extLst>
        </xdr:cNvPr>
        <xdr:cNvSpPr>
          <a:spLocks noChangeShapeType="1"/>
        </xdr:cNvSpPr>
      </xdr:nvSpPr>
      <xdr:spPr bwMode="auto">
        <a:xfrm>
          <a:off x="8677275" y="7086600"/>
          <a:ext cx="142875" cy="24479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161925</xdr:colOff>
      <xdr:row>34</xdr:row>
      <xdr:rowOff>0</xdr:rowOff>
    </xdr:from>
    <xdr:to>
      <xdr:col>3</xdr:col>
      <xdr:colOff>142875</xdr:colOff>
      <xdr:row>34</xdr:row>
      <xdr:rowOff>0</xdr:rowOff>
    </xdr:to>
    <xdr:sp macro="" textlink="">
      <xdr:nvSpPr>
        <xdr:cNvPr id="10840105" name="Line 46">
          <a:extLst>
            <a:ext uri="{FF2B5EF4-FFF2-40B4-BE49-F238E27FC236}">
              <a16:creationId xmlns:a16="http://schemas.microsoft.com/office/drawing/2014/main" id="{00000000-0008-0000-0500-00002968A500}"/>
            </a:ext>
          </a:extLst>
        </xdr:cNvPr>
        <xdr:cNvSpPr>
          <a:spLocks noChangeShapeType="1"/>
        </xdr:cNvSpPr>
      </xdr:nvSpPr>
      <xdr:spPr bwMode="auto">
        <a:xfrm flipH="1">
          <a:off x="1047750" y="6410325"/>
          <a:ext cx="8191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561975</xdr:colOff>
      <xdr:row>61</xdr:row>
      <xdr:rowOff>95250</xdr:rowOff>
    </xdr:from>
    <xdr:to>
      <xdr:col>6</xdr:col>
      <xdr:colOff>200025</xdr:colOff>
      <xdr:row>66</xdr:row>
      <xdr:rowOff>123825</xdr:rowOff>
    </xdr:to>
    <xdr:sp macro="" textlink="">
      <xdr:nvSpPr>
        <xdr:cNvPr id="10840106" name="Oval 47">
          <a:extLst>
            <a:ext uri="{FF2B5EF4-FFF2-40B4-BE49-F238E27FC236}">
              <a16:creationId xmlns:a16="http://schemas.microsoft.com/office/drawing/2014/main" id="{00000000-0008-0000-0500-00002A68A500}"/>
            </a:ext>
          </a:extLst>
        </xdr:cNvPr>
        <xdr:cNvSpPr>
          <a:spLocks noChangeArrowheads="1"/>
        </xdr:cNvSpPr>
      </xdr:nvSpPr>
      <xdr:spPr bwMode="auto">
        <a:xfrm>
          <a:off x="3028950" y="11258550"/>
          <a:ext cx="952500" cy="8858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581025</xdr:colOff>
      <xdr:row>61</xdr:row>
      <xdr:rowOff>28575</xdr:rowOff>
    </xdr:from>
    <xdr:to>
      <xdr:col>9</xdr:col>
      <xdr:colOff>180975</xdr:colOff>
      <xdr:row>66</xdr:row>
      <xdr:rowOff>114300</xdr:rowOff>
    </xdr:to>
    <xdr:sp macro="" textlink="">
      <xdr:nvSpPr>
        <xdr:cNvPr id="10840107" name="Oval 48">
          <a:extLst>
            <a:ext uri="{FF2B5EF4-FFF2-40B4-BE49-F238E27FC236}">
              <a16:creationId xmlns:a16="http://schemas.microsoft.com/office/drawing/2014/main" id="{00000000-0008-0000-0500-00002B68A500}"/>
            </a:ext>
          </a:extLst>
        </xdr:cNvPr>
        <xdr:cNvSpPr>
          <a:spLocks noChangeArrowheads="1"/>
        </xdr:cNvSpPr>
      </xdr:nvSpPr>
      <xdr:spPr bwMode="auto">
        <a:xfrm>
          <a:off x="5051425" y="11344275"/>
          <a:ext cx="984250" cy="9239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152400</xdr:colOff>
      <xdr:row>38</xdr:row>
      <xdr:rowOff>38100</xdr:rowOff>
    </xdr:from>
    <xdr:to>
      <xdr:col>13</xdr:col>
      <xdr:colOff>466725</xdr:colOff>
      <xdr:row>52</xdr:row>
      <xdr:rowOff>66675</xdr:rowOff>
    </xdr:to>
    <xdr:sp macro="" textlink="">
      <xdr:nvSpPr>
        <xdr:cNvPr id="10840108" name="Line 49">
          <a:extLst>
            <a:ext uri="{FF2B5EF4-FFF2-40B4-BE49-F238E27FC236}">
              <a16:creationId xmlns:a16="http://schemas.microsoft.com/office/drawing/2014/main" id="{00000000-0008-0000-0500-00002C68A500}"/>
            </a:ext>
          </a:extLst>
        </xdr:cNvPr>
        <xdr:cNvSpPr>
          <a:spLocks noChangeShapeType="1"/>
        </xdr:cNvSpPr>
      </xdr:nvSpPr>
      <xdr:spPr bwMode="auto">
        <a:xfrm>
          <a:off x="8848725" y="7096125"/>
          <a:ext cx="314325" cy="24288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657225</xdr:colOff>
      <xdr:row>38</xdr:row>
      <xdr:rowOff>0</xdr:rowOff>
    </xdr:from>
    <xdr:to>
      <xdr:col>15</xdr:col>
      <xdr:colOff>638175</xdr:colOff>
      <xdr:row>52</xdr:row>
      <xdr:rowOff>114300</xdr:rowOff>
    </xdr:to>
    <xdr:sp macro="" textlink="">
      <xdr:nvSpPr>
        <xdr:cNvPr id="10840109" name="Line 50">
          <a:extLst>
            <a:ext uri="{FF2B5EF4-FFF2-40B4-BE49-F238E27FC236}">
              <a16:creationId xmlns:a16="http://schemas.microsoft.com/office/drawing/2014/main" id="{00000000-0008-0000-0500-00002D68A500}"/>
            </a:ext>
          </a:extLst>
        </xdr:cNvPr>
        <xdr:cNvSpPr>
          <a:spLocks noChangeShapeType="1"/>
        </xdr:cNvSpPr>
      </xdr:nvSpPr>
      <xdr:spPr bwMode="auto">
        <a:xfrm flipV="1">
          <a:off x="10220325" y="7058025"/>
          <a:ext cx="676275" cy="25146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742950</xdr:colOff>
      <xdr:row>18</xdr:row>
      <xdr:rowOff>114300</xdr:rowOff>
    </xdr:from>
    <xdr:to>
      <xdr:col>5</xdr:col>
      <xdr:colOff>657225</xdr:colOff>
      <xdr:row>25</xdr:row>
      <xdr:rowOff>152400</xdr:rowOff>
    </xdr:to>
    <xdr:sp macro="" textlink="">
      <xdr:nvSpPr>
        <xdr:cNvPr id="10840110" name="Oval 51">
          <a:extLst>
            <a:ext uri="{FF2B5EF4-FFF2-40B4-BE49-F238E27FC236}">
              <a16:creationId xmlns:a16="http://schemas.microsoft.com/office/drawing/2014/main" id="{00000000-0008-0000-0500-00002E68A500}"/>
            </a:ext>
          </a:extLst>
        </xdr:cNvPr>
        <xdr:cNvSpPr>
          <a:spLocks noChangeArrowheads="1"/>
        </xdr:cNvSpPr>
      </xdr:nvSpPr>
      <xdr:spPr bwMode="auto">
        <a:xfrm>
          <a:off x="2466975" y="3667125"/>
          <a:ext cx="1295400" cy="12858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447675</xdr:colOff>
      <xdr:row>15</xdr:row>
      <xdr:rowOff>142875</xdr:rowOff>
    </xdr:from>
    <xdr:to>
      <xdr:col>4</xdr:col>
      <xdr:colOff>533400</xdr:colOff>
      <xdr:row>18</xdr:row>
      <xdr:rowOff>104775</xdr:rowOff>
    </xdr:to>
    <xdr:sp macro="" textlink="">
      <xdr:nvSpPr>
        <xdr:cNvPr id="10840111" name="Line 52">
          <a:extLst>
            <a:ext uri="{FF2B5EF4-FFF2-40B4-BE49-F238E27FC236}">
              <a16:creationId xmlns:a16="http://schemas.microsoft.com/office/drawing/2014/main" id="{00000000-0008-0000-0500-00002F68A500}"/>
            </a:ext>
          </a:extLst>
        </xdr:cNvPr>
        <xdr:cNvSpPr>
          <a:spLocks noChangeShapeType="1"/>
        </xdr:cNvSpPr>
      </xdr:nvSpPr>
      <xdr:spPr bwMode="auto">
        <a:xfrm flipH="1" flipV="1">
          <a:off x="2914650" y="3209925"/>
          <a:ext cx="85725" cy="4476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15</xdr:row>
      <xdr:rowOff>123825</xdr:rowOff>
    </xdr:from>
    <xdr:to>
      <xdr:col>3</xdr:col>
      <xdr:colOff>533400</xdr:colOff>
      <xdr:row>30</xdr:row>
      <xdr:rowOff>104775</xdr:rowOff>
    </xdr:to>
    <xdr:sp macro="" textlink="">
      <xdr:nvSpPr>
        <xdr:cNvPr id="10840112" name="Line 53">
          <a:extLst>
            <a:ext uri="{FF2B5EF4-FFF2-40B4-BE49-F238E27FC236}">
              <a16:creationId xmlns:a16="http://schemas.microsoft.com/office/drawing/2014/main" id="{00000000-0008-0000-0500-00003068A500}"/>
            </a:ext>
          </a:extLst>
        </xdr:cNvPr>
        <xdr:cNvSpPr>
          <a:spLocks noChangeShapeType="1"/>
        </xdr:cNvSpPr>
      </xdr:nvSpPr>
      <xdr:spPr bwMode="auto">
        <a:xfrm flipV="1">
          <a:off x="2209800" y="3190875"/>
          <a:ext cx="47625" cy="25812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485775</xdr:colOff>
      <xdr:row>41</xdr:row>
      <xdr:rowOff>9525</xdr:rowOff>
    </xdr:from>
    <xdr:to>
      <xdr:col>8</xdr:col>
      <xdr:colOff>200025</xdr:colOff>
      <xdr:row>47</xdr:row>
      <xdr:rowOff>76200</xdr:rowOff>
    </xdr:to>
    <xdr:sp macro="" textlink="">
      <xdr:nvSpPr>
        <xdr:cNvPr id="10840113" name="Oval 54">
          <a:extLst>
            <a:ext uri="{FF2B5EF4-FFF2-40B4-BE49-F238E27FC236}">
              <a16:creationId xmlns:a16="http://schemas.microsoft.com/office/drawing/2014/main" id="{00000000-0008-0000-0500-00003168A500}"/>
            </a:ext>
          </a:extLst>
        </xdr:cNvPr>
        <xdr:cNvSpPr>
          <a:spLocks noChangeArrowheads="1"/>
        </xdr:cNvSpPr>
      </xdr:nvSpPr>
      <xdr:spPr bwMode="auto">
        <a:xfrm>
          <a:off x="3590925" y="7610475"/>
          <a:ext cx="1790700" cy="10572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695325</xdr:colOff>
      <xdr:row>36</xdr:row>
      <xdr:rowOff>104775</xdr:rowOff>
    </xdr:from>
    <xdr:to>
      <xdr:col>9</xdr:col>
      <xdr:colOff>95250</xdr:colOff>
      <xdr:row>42</xdr:row>
      <xdr:rowOff>38100</xdr:rowOff>
    </xdr:to>
    <xdr:sp macro="" textlink="">
      <xdr:nvSpPr>
        <xdr:cNvPr id="10840114" name="Line 55">
          <a:extLst>
            <a:ext uri="{FF2B5EF4-FFF2-40B4-BE49-F238E27FC236}">
              <a16:creationId xmlns:a16="http://schemas.microsoft.com/office/drawing/2014/main" id="{00000000-0008-0000-0500-00003268A500}"/>
            </a:ext>
          </a:extLst>
        </xdr:cNvPr>
        <xdr:cNvSpPr>
          <a:spLocks noChangeShapeType="1"/>
        </xdr:cNvSpPr>
      </xdr:nvSpPr>
      <xdr:spPr bwMode="auto">
        <a:xfrm flipH="1">
          <a:off x="5162550" y="6838950"/>
          <a:ext cx="781050" cy="962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466725</xdr:colOff>
      <xdr:row>41</xdr:row>
      <xdr:rowOff>0</xdr:rowOff>
    </xdr:from>
    <xdr:to>
      <xdr:col>8</xdr:col>
      <xdr:colOff>190500</xdr:colOff>
      <xdr:row>59</xdr:row>
      <xdr:rowOff>28575</xdr:rowOff>
    </xdr:to>
    <xdr:sp macro="" textlink="">
      <xdr:nvSpPr>
        <xdr:cNvPr id="10840115" name="Rectangle 56">
          <a:extLst>
            <a:ext uri="{FF2B5EF4-FFF2-40B4-BE49-F238E27FC236}">
              <a16:creationId xmlns:a16="http://schemas.microsoft.com/office/drawing/2014/main" id="{00000000-0008-0000-0500-00003368A500}"/>
            </a:ext>
          </a:extLst>
        </xdr:cNvPr>
        <xdr:cNvSpPr>
          <a:spLocks noChangeArrowheads="1"/>
        </xdr:cNvSpPr>
      </xdr:nvSpPr>
      <xdr:spPr bwMode="auto">
        <a:xfrm>
          <a:off x="3571875" y="7600950"/>
          <a:ext cx="1800225" cy="326707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381000</xdr:colOff>
      <xdr:row>45</xdr:row>
      <xdr:rowOff>85725</xdr:rowOff>
    </xdr:from>
    <xdr:to>
      <xdr:col>5</xdr:col>
      <xdr:colOff>561975</xdr:colOff>
      <xdr:row>47</xdr:row>
      <xdr:rowOff>28575</xdr:rowOff>
    </xdr:to>
    <xdr:sp macro="" textlink="">
      <xdr:nvSpPr>
        <xdr:cNvPr id="10840116" name="Line 57">
          <a:extLst>
            <a:ext uri="{FF2B5EF4-FFF2-40B4-BE49-F238E27FC236}">
              <a16:creationId xmlns:a16="http://schemas.microsoft.com/office/drawing/2014/main" id="{00000000-0008-0000-0500-00003468A500}"/>
            </a:ext>
          </a:extLst>
        </xdr:cNvPr>
        <xdr:cNvSpPr>
          <a:spLocks noChangeShapeType="1"/>
        </xdr:cNvSpPr>
      </xdr:nvSpPr>
      <xdr:spPr bwMode="auto">
        <a:xfrm flipH="1">
          <a:off x="2847975" y="8334375"/>
          <a:ext cx="819150" cy="2857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</xdr:row>
      <xdr:rowOff>0</xdr:rowOff>
    </xdr:from>
    <xdr:to>
      <xdr:col>7</xdr:col>
      <xdr:colOff>0</xdr:colOff>
      <xdr:row>41</xdr:row>
      <xdr:rowOff>9525</xdr:rowOff>
    </xdr:to>
    <xdr:sp macro="" textlink="">
      <xdr:nvSpPr>
        <xdr:cNvPr id="10840117" name="Line 58">
          <a:extLst>
            <a:ext uri="{FF2B5EF4-FFF2-40B4-BE49-F238E27FC236}">
              <a16:creationId xmlns:a16="http://schemas.microsoft.com/office/drawing/2014/main" id="{00000000-0008-0000-0500-00003568A500}"/>
            </a:ext>
          </a:extLst>
        </xdr:cNvPr>
        <xdr:cNvSpPr>
          <a:spLocks noChangeShapeType="1"/>
        </xdr:cNvSpPr>
      </xdr:nvSpPr>
      <xdr:spPr bwMode="auto">
        <a:xfrm>
          <a:off x="4467225" y="7058025"/>
          <a:ext cx="0" cy="552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840118" name="Line 59">
          <a:extLst>
            <a:ext uri="{FF2B5EF4-FFF2-40B4-BE49-F238E27FC236}">
              <a16:creationId xmlns:a16="http://schemas.microsoft.com/office/drawing/2014/main" id="{00000000-0008-0000-0500-00003668A500}"/>
            </a:ext>
          </a:extLst>
        </xdr:cNvPr>
        <xdr:cNvSpPr>
          <a:spLocks noChangeShapeType="1"/>
        </xdr:cNvSpPr>
      </xdr:nvSpPr>
      <xdr:spPr bwMode="auto">
        <a:xfrm flipH="1">
          <a:off x="1318260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0</xdr:row>
      <xdr:rowOff>0</xdr:rowOff>
    </xdr:from>
    <xdr:to>
      <xdr:col>4</xdr:col>
      <xdr:colOff>371475</xdr:colOff>
      <xdr:row>0</xdr:row>
      <xdr:rowOff>0</xdr:rowOff>
    </xdr:to>
    <xdr:sp macro="" textlink="">
      <xdr:nvSpPr>
        <xdr:cNvPr id="10840119" name="Arc 60">
          <a:extLst>
            <a:ext uri="{FF2B5EF4-FFF2-40B4-BE49-F238E27FC236}">
              <a16:creationId xmlns:a16="http://schemas.microsoft.com/office/drawing/2014/main" id="{00000000-0008-0000-0500-00003768A500}"/>
            </a:ext>
          </a:extLst>
        </xdr:cNvPr>
        <xdr:cNvSpPr>
          <a:spLocks/>
        </xdr:cNvSpPr>
      </xdr:nvSpPr>
      <xdr:spPr bwMode="auto">
        <a:xfrm flipH="1" flipV="1">
          <a:off x="2828925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40120" name="Line 61">
          <a:extLst>
            <a:ext uri="{FF2B5EF4-FFF2-40B4-BE49-F238E27FC236}">
              <a16:creationId xmlns:a16="http://schemas.microsoft.com/office/drawing/2014/main" id="{00000000-0008-0000-0500-00003868A500}"/>
            </a:ext>
          </a:extLst>
        </xdr:cNvPr>
        <xdr:cNvSpPr>
          <a:spLocks noChangeShapeType="1"/>
        </xdr:cNvSpPr>
      </xdr:nvSpPr>
      <xdr:spPr bwMode="auto">
        <a:xfrm flipV="1">
          <a:off x="4467225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0</xdr:row>
      <xdr:rowOff>0</xdr:rowOff>
    </xdr:from>
    <xdr:to>
      <xdr:col>12</xdr:col>
      <xdr:colOff>561975</xdr:colOff>
      <xdr:row>0</xdr:row>
      <xdr:rowOff>0</xdr:rowOff>
    </xdr:to>
    <xdr:sp macro="" textlink="">
      <xdr:nvSpPr>
        <xdr:cNvPr id="10840121" name="Arc 62">
          <a:extLst>
            <a:ext uri="{FF2B5EF4-FFF2-40B4-BE49-F238E27FC236}">
              <a16:creationId xmlns:a16="http://schemas.microsoft.com/office/drawing/2014/main" id="{00000000-0008-0000-0500-00003968A500}"/>
            </a:ext>
          </a:extLst>
        </xdr:cNvPr>
        <xdr:cNvSpPr>
          <a:spLocks/>
        </xdr:cNvSpPr>
      </xdr:nvSpPr>
      <xdr:spPr bwMode="auto">
        <a:xfrm flipV="1">
          <a:off x="8505825" y="0"/>
          <a:ext cx="57150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40122" name="Arc 63">
          <a:extLst>
            <a:ext uri="{FF2B5EF4-FFF2-40B4-BE49-F238E27FC236}">
              <a16:creationId xmlns:a16="http://schemas.microsoft.com/office/drawing/2014/main" id="{00000000-0008-0000-0500-00003A68A500}"/>
            </a:ext>
          </a:extLst>
        </xdr:cNvPr>
        <xdr:cNvSpPr>
          <a:spLocks/>
        </xdr:cNvSpPr>
      </xdr:nvSpPr>
      <xdr:spPr bwMode="auto">
        <a:xfrm flipH="1">
          <a:off x="8820150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40123" name="Arc 64">
          <a:extLst>
            <a:ext uri="{FF2B5EF4-FFF2-40B4-BE49-F238E27FC236}">
              <a16:creationId xmlns:a16="http://schemas.microsoft.com/office/drawing/2014/main" id="{00000000-0008-0000-0500-00003B68A500}"/>
            </a:ext>
          </a:extLst>
        </xdr:cNvPr>
        <xdr:cNvSpPr>
          <a:spLocks/>
        </xdr:cNvSpPr>
      </xdr:nvSpPr>
      <xdr:spPr bwMode="auto">
        <a:xfrm>
          <a:off x="8820150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40124" name="Line 65">
          <a:extLst>
            <a:ext uri="{FF2B5EF4-FFF2-40B4-BE49-F238E27FC236}">
              <a16:creationId xmlns:a16="http://schemas.microsoft.com/office/drawing/2014/main" id="{00000000-0008-0000-0500-00003C68A500}"/>
            </a:ext>
          </a:extLst>
        </xdr:cNvPr>
        <xdr:cNvSpPr>
          <a:spLocks noChangeShapeType="1"/>
        </xdr:cNvSpPr>
      </xdr:nvSpPr>
      <xdr:spPr bwMode="auto">
        <a:xfrm>
          <a:off x="4467225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40125" name="Line 66">
          <a:extLst>
            <a:ext uri="{FF2B5EF4-FFF2-40B4-BE49-F238E27FC236}">
              <a16:creationId xmlns:a16="http://schemas.microsoft.com/office/drawing/2014/main" id="{00000000-0008-0000-0500-00003D68A500}"/>
            </a:ext>
          </a:extLst>
        </xdr:cNvPr>
        <xdr:cNvSpPr>
          <a:spLocks noChangeShapeType="1"/>
        </xdr:cNvSpPr>
      </xdr:nvSpPr>
      <xdr:spPr bwMode="auto">
        <a:xfrm flipH="1">
          <a:off x="13182600" y="124015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0126" name="Line 67">
          <a:extLst>
            <a:ext uri="{FF2B5EF4-FFF2-40B4-BE49-F238E27FC236}">
              <a16:creationId xmlns:a16="http://schemas.microsoft.com/office/drawing/2014/main" id="{00000000-0008-0000-0500-00003E68A500}"/>
            </a:ext>
          </a:extLst>
        </xdr:cNvPr>
        <xdr:cNvSpPr>
          <a:spLocks noChangeShapeType="1"/>
        </xdr:cNvSpPr>
      </xdr:nvSpPr>
      <xdr:spPr bwMode="auto">
        <a:xfrm flipH="1">
          <a:off x="4467225" y="124015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40127" name="Arc 68">
          <a:extLst>
            <a:ext uri="{FF2B5EF4-FFF2-40B4-BE49-F238E27FC236}">
              <a16:creationId xmlns:a16="http://schemas.microsoft.com/office/drawing/2014/main" id="{00000000-0008-0000-0500-00003F68A500}"/>
            </a:ext>
          </a:extLst>
        </xdr:cNvPr>
        <xdr:cNvSpPr>
          <a:spLocks/>
        </xdr:cNvSpPr>
      </xdr:nvSpPr>
      <xdr:spPr bwMode="auto">
        <a:xfrm flipH="1" flipV="1">
          <a:off x="2828925" y="1240155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0128" name="Line 69">
          <a:extLst>
            <a:ext uri="{FF2B5EF4-FFF2-40B4-BE49-F238E27FC236}">
              <a16:creationId xmlns:a16="http://schemas.microsoft.com/office/drawing/2014/main" id="{00000000-0008-0000-0500-00004068A500}"/>
            </a:ext>
          </a:extLst>
        </xdr:cNvPr>
        <xdr:cNvSpPr>
          <a:spLocks noChangeShapeType="1"/>
        </xdr:cNvSpPr>
      </xdr:nvSpPr>
      <xdr:spPr bwMode="auto">
        <a:xfrm flipV="1">
          <a:off x="4467225" y="124015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0129" name="Line 70">
          <a:extLst>
            <a:ext uri="{FF2B5EF4-FFF2-40B4-BE49-F238E27FC236}">
              <a16:creationId xmlns:a16="http://schemas.microsoft.com/office/drawing/2014/main" id="{00000000-0008-0000-0500-00004168A500}"/>
            </a:ext>
          </a:extLst>
        </xdr:cNvPr>
        <xdr:cNvSpPr>
          <a:spLocks noChangeShapeType="1"/>
        </xdr:cNvSpPr>
      </xdr:nvSpPr>
      <xdr:spPr bwMode="auto">
        <a:xfrm>
          <a:off x="4467225" y="124015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40130" name="Line 71">
          <a:extLst>
            <a:ext uri="{FF2B5EF4-FFF2-40B4-BE49-F238E27FC236}">
              <a16:creationId xmlns:a16="http://schemas.microsoft.com/office/drawing/2014/main" id="{00000000-0008-0000-0500-00004268A500}"/>
            </a:ext>
          </a:extLst>
        </xdr:cNvPr>
        <xdr:cNvSpPr>
          <a:spLocks noChangeShapeType="1"/>
        </xdr:cNvSpPr>
      </xdr:nvSpPr>
      <xdr:spPr bwMode="auto">
        <a:xfrm flipH="1">
          <a:off x="13182600" y="124015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0131" name="Line 72">
          <a:extLst>
            <a:ext uri="{FF2B5EF4-FFF2-40B4-BE49-F238E27FC236}">
              <a16:creationId xmlns:a16="http://schemas.microsoft.com/office/drawing/2014/main" id="{00000000-0008-0000-0500-00004368A500}"/>
            </a:ext>
          </a:extLst>
        </xdr:cNvPr>
        <xdr:cNvSpPr>
          <a:spLocks noChangeShapeType="1"/>
        </xdr:cNvSpPr>
      </xdr:nvSpPr>
      <xdr:spPr bwMode="auto">
        <a:xfrm flipH="1">
          <a:off x="4467225" y="124015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40132" name="Arc 73">
          <a:extLst>
            <a:ext uri="{FF2B5EF4-FFF2-40B4-BE49-F238E27FC236}">
              <a16:creationId xmlns:a16="http://schemas.microsoft.com/office/drawing/2014/main" id="{00000000-0008-0000-0500-00004468A500}"/>
            </a:ext>
          </a:extLst>
        </xdr:cNvPr>
        <xdr:cNvSpPr>
          <a:spLocks/>
        </xdr:cNvSpPr>
      </xdr:nvSpPr>
      <xdr:spPr bwMode="auto">
        <a:xfrm flipH="1" flipV="1">
          <a:off x="2828925" y="1240155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0133" name="Line 74">
          <a:extLst>
            <a:ext uri="{FF2B5EF4-FFF2-40B4-BE49-F238E27FC236}">
              <a16:creationId xmlns:a16="http://schemas.microsoft.com/office/drawing/2014/main" id="{00000000-0008-0000-0500-00004568A500}"/>
            </a:ext>
          </a:extLst>
        </xdr:cNvPr>
        <xdr:cNvSpPr>
          <a:spLocks noChangeShapeType="1"/>
        </xdr:cNvSpPr>
      </xdr:nvSpPr>
      <xdr:spPr bwMode="auto">
        <a:xfrm flipV="1">
          <a:off x="4467225" y="124015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40134" name="Line 75">
          <a:extLst>
            <a:ext uri="{FF2B5EF4-FFF2-40B4-BE49-F238E27FC236}">
              <a16:creationId xmlns:a16="http://schemas.microsoft.com/office/drawing/2014/main" id="{00000000-0008-0000-0500-00004668A500}"/>
            </a:ext>
          </a:extLst>
        </xdr:cNvPr>
        <xdr:cNvSpPr>
          <a:spLocks noChangeShapeType="1"/>
        </xdr:cNvSpPr>
      </xdr:nvSpPr>
      <xdr:spPr bwMode="auto">
        <a:xfrm>
          <a:off x="4467225" y="124015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809625</xdr:colOff>
      <xdr:row>75</xdr:row>
      <xdr:rowOff>9525</xdr:rowOff>
    </xdr:from>
    <xdr:to>
      <xdr:col>19</xdr:col>
      <xdr:colOff>9525</xdr:colOff>
      <xdr:row>75</xdr:row>
      <xdr:rowOff>9525</xdr:rowOff>
    </xdr:to>
    <xdr:sp macro="" textlink="">
      <xdr:nvSpPr>
        <xdr:cNvPr id="10840135" name="Line 82">
          <a:extLst>
            <a:ext uri="{FF2B5EF4-FFF2-40B4-BE49-F238E27FC236}">
              <a16:creationId xmlns:a16="http://schemas.microsoft.com/office/drawing/2014/main" id="{00000000-0008-0000-0500-00004768A500}"/>
            </a:ext>
          </a:extLst>
        </xdr:cNvPr>
        <xdr:cNvSpPr>
          <a:spLocks noChangeShapeType="1"/>
        </xdr:cNvSpPr>
      </xdr:nvSpPr>
      <xdr:spPr bwMode="auto">
        <a:xfrm flipH="1">
          <a:off x="12544425" y="12573000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75</xdr:row>
      <xdr:rowOff>9525</xdr:rowOff>
    </xdr:from>
    <xdr:to>
      <xdr:col>16</xdr:col>
      <xdr:colOff>0</xdr:colOff>
      <xdr:row>75</xdr:row>
      <xdr:rowOff>9525</xdr:rowOff>
    </xdr:to>
    <xdr:sp macro="" textlink="">
      <xdr:nvSpPr>
        <xdr:cNvPr id="10840136" name="Line 83">
          <a:extLst>
            <a:ext uri="{FF2B5EF4-FFF2-40B4-BE49-F238E27FC236}">
              <a16:creationId xmlns:a16="http://schemas.microsoft.com/office/drawing/2014/main" id="{00000000-0008-0000-0500-00004868A500}"/>
            </a:ext>
          </a:extLst>
        </xdr:cNvPr>
        <xdr:cNvSpPr>
          <a:spLocks noChangeShapeType="1"/>
        </xdr:cNvSpPr>
      </xdr:nvSpPr>
      <xdr:spPr bwMode="auto">
        <a:xfrm>
          <a:off x="10258425" y="12573000"/>
          <a:ext cx="790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75</xdr:row>
      <xdr:rowOff>9525</xdr:rowOff>
    </xdr:from>
    <xdr:to>
      <xdr:col>13</xdr:col>
      <xdr:colOff>0</xdr:colOff>
      <xdr:row>75</xdr:row>
      <xdr:rowOff>9525</xdr:rowOff>
    </xdr:to>
    <xdr:sp macro="" textlink="">
      <xdr:nvSpPr>
        <xdr:cNvPr id="10840137" name="Line 84">
          <a:extLst>
            <a:ext uri="{FF2B5EF4-FFF2-40B4-BE49-F238E27FC236}">
              <a16:creationId xmlns:a16="http://schemas.microsoft.com/office/drawing/2014/main" id="{00000000-0008-0000-0500-00004968A500}"/>
            </a:ext>
          </a:extLst>
        </xdr:cNvPr>
        <xdr:cNvSpPr>
          <a:spLocks noChangeShapeType="1"/>
        </xdr:cNvSpPr>
      </xdr:nvSpPr>
      <xdr:spPr bwMode="auto">
        <a:xfrm>
          <a:off x="8001000" y="12573000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75</xdr:row>
      <xdr:rowOff>9525</xdr:rowOff>
    </xdr:from>
    <xdr:to>
      <xdr:col>9</xdr:col>
      <xdr:colOff>695325</xdr:colOff>
      <xdr:row>75</xdr:row>
      <xdr:rowOff>9525</xdr:rowOff>
    </xdr:to>
    <xdr:sp macro="" textlink="">
      <xdr:nvSpPr>
        <xdr:cNvPr id="10840138" name="Line 85">
          <a:extLst>
            <a:ext uri="{FF2B5EF4-FFF2-40B4-BE49-F238E27FC236}">
              <a16:creationId xmlns:a16="http://schemas.microsoft.com/office/drawing/2014/main" id="{00000000-0008-0000-0500-00004A68A500}"/>
            </a:ext>
          </a:extLst>
        </xdr:cNvPr>
        <xdr:cNvSpPr>
          <a:spLocks noChangeShapeType="1"/>
        </xdr:cNvSpPr>
      </xdr:nvSpPr>
      <xdr:spPr bwMode="auto">
        <a:xfrm flipH="1">
          <a:off x="5848350" y="12573000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8</xdr:row>
      <xdr:rowOff>114300</xdr:rowOff>
    </xdr:from>
    <xdr:to>
      <xdr:col>10</xdr:col>
      <xdr:colOff>333375</xdr:colOff>
      <xdr:row>15</xdr:row>
      <xdr:rowOff>9525</xdr:rowOff>
    </xdr:to>
    <xdr:sp macro="" textlink="">
      <xdr:nvSpPr>
        <xdr:cNvPr id="10840139" name="Rectangle 56">
          <a:extLst>
            <a:ext uri="{FF2B5EF4-FFF2-40B4-BE49-F238E27FC236}">
              <a16:creationId xmlns:a16="http://schemas.microsoft.com/office/drawing/2014/main" id="{00000000-0008-0000-0500-00004B68A500}"/>
            </a:ext>
          </a:extLst>
        </xdr:cNvPr>
        <xdr:cNvSpPr>
          <a:spLocks noChangeArrowheads="1"/>
        </xdr:cNvSpPr>
      </xdr:nvSpPr>
      <xdr:spPr bwMode="auto">
        <a:xfrm>
          <a:off x="5181600" y="1866900"/>
          <a:ext cx="1704975" cy="120967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266700</xdr:colOff>
      <xdr:row>10</xdr:row>
      <xdr:rowOff>190500</xdr:rowOff>
    </xdr:from>
    <xdr:to>
      <xdr:col>8</xdr:col>
      <xdr:colOff>180975</xdr:colOff>
      <xdr:row>16</xdr:row>
      <xdr:rowOff>85725</xdr:rowOff>
    </xdr:to>
    <xdr:sp macro="" textlink="">
      <xdr:nvSpPr>
        <xdr:cNvPr id="10840140" name="Line 34">
          <a:extLst>
            <a:ext uri="{FF2B5EF4-FFF2-40B4-BE49-F238E27FC236}">
              <a16:creationId xmlns:a16="http://schemas.microsoft.com/office/drawing/2014/main" id="{00000000-0008-0000-0500-00004C68A500}"/>
            </a:ext>
          </a:extLst>
        </xdr:cNvPr>
        <xdr:cNvSpPr>
          <a:spLocks noChangeShapeType="1"/>
        </xdr:cNvSpPr>
      </xdr:nvSpPr>
      <xdr:spPr bwMode="auto">
        <a:xfrm flipV="1">
          <a:off x="4733925" y="2305050"/>
          <a:ext cx="628650" cy="10096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485775</xdr:colOff>
      <xdr:row>12</xdr:row>
      <xdr:rowOff>47625</xdr:rowOff>
    </xdr:from>
    <xdr:to>
      <xdr:col>9</xdr:col>
      <xdr:colOff>28575</xdr:colOff>
      <xdr:row>17</xdr:row>
      <xdr:rowOff>0</xdr:rowOff>
    </xdr:to>
    <xdr:sp macro="" textlink="">
      <xdr:nvSpPr>
        <xdr:cNvPr id="10840141" name="Line 34">
          <a:extLst>
            <a:ext uri="{FF2B5EF4-FFF2-40B4-BE49-F238E27FC236}">
              <a16:creationId xmlns:a16="http://schemas.microsoft.com/office/drawing/2014/main" id="{00000000-0008-0000-0500-00004D68A500}"/>
            </a:ext>
          </a:extLst>
        </xdr:cNvPr>
        <xdr:cNvSpPr>
          <a:spLocks noChangeShapeType="1"/>
        </xdr:cNvSpPr>
      </xdr:nvSpPr>
      <xdr:spPr bwMode="auto">
        <a:xfrm flipV="1">
          <a:off x="4953000" y="2562225"/>
          <a:ext cx="923925" cy="8286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581025</xdr:colOff>
      <xdr:row>14</xdr:row>
      <xdr:rowOff>76200</xdr:rowOff>
    </xdr:from>
    <xdr:to>
      <xdr:col>9</xdr:col>
      <xdr:colOff>9525</xdr:colOff>
      <xdr:row>17</xdr:row>
      <xdr:rowOff>76200</xdr:rowOff>
    </xdr:to>
    <xdr:sp macro="" textlink="">
      <xdr:nvSpPr>
        <xdr:cNvPr id="10840142" name="Line 34">
          <a:extLst>
            <a:ext uri="{FF2B5EF4-FFF2-40B4-BE49-F238E27FC236}">
              <a16:creationId xmlns:a16="http://schemas.microsoft.com/office/drawing/2014/main" id="{00000000-0008-0000-0500-00004E68A500}"/>
            </a:ext>
          </a:extLst>
        </xdr:cNvPr>
        <xdr:cNvSpPr>
          <a:spLocks noChangeShapeType="1"/>
        </xdr:cNvSpPr>
      </xdr:nvSpPr>
      <xdr:spPr bwMode="auto">
        <a:xfrm flipV="1">
          <a:off x="5048250" y="2981325"/>
          <a:ext cx="809625" cy="4857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466725</xdr:colOff>
      <xdr:row>37</xdr:row>
      <xdr:rowOff>114300</xdr:rowOff>
    </xdr:from>
    <xdr:to>
      <xdr:col>15</xdr:col>
      <xdr:colOff>447675</xdr:colOff>
      <xdr:row>52</xdr:row>
      <xdr:rowOff>85725</xdr:rowOff>
    </xdr:to>
    <xdr:sp macro="" textlink="">
      <xdr:nvSpPr>
        <xdr:cNvPr id="10840143" name="Line 36">
          <a:extLst>
            <a:ext uri="{FF2B5EF4-FFF2-40B4-BE49-F238E27FC236}">
              <a16:creationId xmlns:a16="http://schemas.microsoft.com/office/drawing/2014/main" id="{00000000-0008-0000-0500-00004F68A500}"/>
            </a:ext>
          </a:extLst>
        </xdr:cNvPr>
        <xdr:cNvSpPr>
          <a:spLocks noChangeShapeType="1"/>
        </xdr:cNvSpPr>
      </xdr:nvSpPr>
      <xdr:spPr bwMode="auto">
        <a:xfrm flipV="1">
          <a:off x="10029825" y="7010400"/>
          <a:ext cx="676275" cy="2533650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800100</xdr:colOff>
      <xdr:row>54</xdr:row>
      <xdr:rowOff>9525</xdr:rowOff>
    </xdr:from>
    <xdr:to>
      <xdr:col>4</xdr:col>
      <xdr:colOff>161925</xdr:colOff>
      <xdr:row>58</xdr:row>
      <xdr:rowOff>47625</xdr:rowOff>
    </xdr:to>
    <xdr:sp macro="" textlink="">
      <xdr:nvSpPr>
        <xdr:cNvPr id="10840144" name="Oval 14">
          <a:extLst>
            <a:ext uri="{FF2B5EF4-FFF2-40B4-BE49-F238E27FC236}">
              <a16:creationId xmlns:a16="http://schemas.microsoft.com/office/drawing/2014/main" id="{00000000-0008-0000-0500-00005068A500}"/>
            </a:ext>
          </a:extLst>
        </xdr:cNvPr>
        <xdr:cNvSpPr>
          <a:spLocks noChangeArrowheads="1"/>
        </xdr:cNvSpPr>
      </xdr:nvSpPr>
      <xdr:spPr bwMode="auto">
        <a:xfrm>
          <a:off x="1685925" y="9820275"/>
          <a:ext cx="942975" cy="885825"/>
        </a:xfrm>
        <a:prstGeom prst="ellips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171450</xdr:colOff>
      <xdr:row>56</xdr:row>
      <xdr:rowOff>0</xdr:rowOff>
    </xdr:from>
    <xdr:to>
      <xdr:col>5</xdr:col>
      <xdr:colOff>609600</xdr:colOff>
      <xdr:row>56</xdr:row>
      <xdr:rowOff>0</xdr:rowOff>
    </xdr:to>
    <xdr:sp macro="" textlink="">
      <xdr:nvSpPr>
        <xdr:cNvPr id="10840145" name="Line 19">
          <a:extLst>
            <a:ext uri="{FF2B5EF4-FFF2-40B4-BE49-F238E27FC236}">
              <a16:creationId xmlns:a16="http://schemas.microsoft.com/office/drawing/2014/main" id="{00000000-0008-0000-0500-00005168A500}"/>
            </a:ext>
          </a:extLst>
        </xdr:cNvPr>
        <xdr:cNvSpPr>
          <a:spLocks noChangeShapeType="1"/>
        </xdr:cNvSpPr>
      </xdr:nvSpPr>
      <xdr:spPr bwMode="auto">
        <a:xfrm flipH="1">
          <a:off x="2638425" y="10210800"/>
          <a:ext cx="107632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600075</xdr:colOff>
      <xdr:row>52</xdr:row>
      <xdr:rowOff>114300</xdr:rowOff>
    </xdr:from>
    <xdr:to>
      <xdr:col>3</xdr:col>
      <xdr:colOff>685800</xdr:colOff>
      <xdr:row>54</xdr:row>
      <xdr:rowOff>28575</xdr:rowOff>
    </xdr:to>
    <xdr:sp macro="" textlink="">
      <xdr:nvSpPr>
        <xdr:cNvPr id="10840146" name="Line 19">
          <a:extLst>
            <a:ext uri="{FF2B5EF4-FFF2-40B4-BE49-F238E27FC236}">
              <a16:creationId xmlns:a16="http://schemas.microsoft.com/office/drawing/2014/main" id="{00000000-0008-0000-0500-00005268A500}"/>
            </a:ext>
          </a:extLst>
        </xdr:cNvPr>
        <xdr:cNvSpPr>
          <a:spLocks noChangeShapeType="1"/>
        </xdr:cNvSpPr>
      </xdr:nvSpPr>
      <xdr:spPr bwMode="auto">
        <a:xfrm flipH="1">
          <a:off x="2324100" y="9572625"/>
          <a:ext cx="85725" cy="2667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736600</xdr:colOff>
      <xdr:row>53</xdr:row>
      <xdr:rowOff>0</xdr:rowOff>
    </xdr:from>
    <xdr:to>
      <xdr:col>5</xdr:col>
      <xdr:colOff>473075</xdr:colOff>
      <xdr:row>59</xdr:row>
      <xdr:rowOff>41275</xdr:rowOff>
    </xdr:to>
    <xdr:sp macro="" textlink="">
      <xdr:nvSpPr>
        <xdr:cNvPr id="88" name="Rectangle 56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>
          <a:spLocks noChangeArrowheads="1"/>
        </xdr:cNvSpPr>
      </xdr:nvSpPr>
      <xdr:spPr bwMode="auto">
        <a:xfrm>
          <a:off x="1625600" y="9804400"/>
          <a:ext cx="1958975" cy="124777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16</xdr:row>
      <xdr:rowOff>66675</xdr:rowOff>
    </xdr:from>
    <xdr:to>
      <xdr:col>8</xdr:col>
      <xdr:colOff>161925</xdr:colOff>
      <xdr:row>25</xdr:row>
      <xdr:rowOff>0</xdr:rowOff>
    </xdr:to>
    <xdr:sp macro="" textlink="">
      <xdr:nvSpPr>
        <xdr:cNvPr id="10837145" name="Oval 1">
          <a:extLst>
            <a:ext uri="{FF2B5EF4-FFF2-40B4-BE49-F238E27FC236}">
              <a16:creationId xmlns:a16="http://schemas.microsoft.com/office/drawing/2014/main" id="{00000000-0008-0000-0600-0000995CA500}"/>
            </a:ext>
          </a:extLst>
        </xdr:cNvPr>
        <xdr:cNvSpPr>
          <a:spLocks noChangeArrowheads="1"/>
        </xdr:cNvSpPr>
      </xdr:nvSpPr>
      <xdr:spPr bwMode="auto">
        <a:xfrm>
          <a:off x="3886200" y="3295650"/>
          <a:ext cx="162877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619125</xdr:colOff>
      <xdr:row>29</xdr:row>
      <xdr:rowOff>38100</xdr:rowOff>
    </xdr:from>
    <xdr:to>
      <xdr:col>8</xdr:col>
      <xdr:colOff>47625</xdr:colOff>
      <xdr:row>38</xdr:row>
      <xdr:rowOff>47625</xdr:rowOff>
    </xdr:to>
    <xdr:sp macro="" textlink="">
      <xdr:nvSpPr>
        <xdr:cNvPr id="10837146" name="Oval 2">
          <a:extLst>
            <a:ext uri="{FF2B5EF4-FFF2-40B4-BE49-F238E27FC236}">
              <a16:creationId xmlns:a16="http://schemas.microsoft.com/office/drawing/2014/main" id="{00000000-0008-0000-0600-00009A5CA500}"/>
            </a:ext>
          </a:extLst>
        </xdr:cNvPr>
        <xdr:cNvSpPr>
          <a:spLocks noChangeArrowheads="1"/>
        </xdr:cNvSpPr>
      </xdr:nvSpPr>
      <xdr:spPr bwMode="auto">
        <a:xfrm>
          <a:off x="3733800" y="5543550"/>
          <a:ext cx="1666875" cy="15621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609600</xdr:colOff>
      <xdr:row>50</xdr:row>
      <xdr:rowOff>114300</xdr:rowOff>
    </xdr:from>
    <xdr:to>
      <xdr:col>8</xdr:col>
      <xdr:colOff>123825</xdr:colOff>
      <xdr:row>58</xdr:row>
      <xdr:rowOff>171450</xdr:rowOff>
    </xdr:to>
    <xdr:sp macro="" textlink="">
      <xdr:nvSpPr>
        <xdr:cNvPr id="10837147" name="Oval 3">
          <a:extLst>
            <a:ext uri="{FF2B5EF4-FFF2-40B4-BE49-F238E27FC236}">
              <a16:creationId xmlns:a16="http://schemas.microsoft.com/office/drawing/2014/main" id="{00000000-0008-0000-0600-00009B5CA500}"/>
            </a:ext>
          </a:extLst>
        </xdr:cNvPr>
        <xdr:cNvSpPr>
          <a:spLocks noChangeArrowheads="1"/>
        </xdr:cNvSpPr>
      </xdr:nvSpPr>
      <xdr:spPr bwMode="auto">
        <a:xfrm>
          <a:off x="3724275" y="9229725"/>
          <a:ext cx="1752600" cy="15716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552450</xdr:colOff>
      <xdr:row>29</xdr:row>
      <xdr:rowOff>38100</xdr:rowOff>
    </xdr:from>
    <xdr:to>
      <xdr:col>11</xdr:col>
      <xdr:colOff>76200</xdr:colOff>
      <xdr:row>38</xdr:row>
      <xdr:rowOff>28575</xdr:rowOff>
    </xdr:to>
    <xdr:sp macro="" textlink="">
      <xdr:nvSpPr>
        <xdr:cNvPr id="10837148" name="Oval 4">
          <a:extLst>
            <a:ext uri="{FF2B5EF4-FFF2-40B4-BE49-F238E27FC236}">
              <a16:creationId xmlns:a16="http://schemas.microsoft.com/office/drawing/2014/main" id="{00000000-0008-0000-0600-00009C5CA500}"/>
            </a:ext>
          </a:extLst>
        </xdr:cNvPr>
        <xdr:cNvSpPr>
          <a:spLocks noChangeArrowheads="1"/>
        </xdr:cNvSpPr>
      </xdr:nvSpPr>
      <xdr:spPr bwMode="auto">
        <a:xfrm>
          <a:off x="5905500" y="5543550"/>
          <a:ext cx="1562100" cy="15430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685800</xdr:colOff>
      <xdr:row>29</xdr:row>
      <xdr:rowOff>66675</xdr:rowOff>
    </xdr:from>
    <xdr:to>
      <xdr:col>14</xdr:col>
      <xdr:colOff>28575</xdr:colOff>
      <xdr:row>38</xdr:row>
      <xdr:rowOff>19050</xdr:rowOff>
    </xdr:to>
    <xdr:sp macro="" textlink="">
      <xdr:nvSpPr>
        <xdr:cNvPr id="10837149" name="Oval 5">
          <a:extLst>
            <a:ext uri="{FF2B5EF4-FFF2-40B4-BE49-F238E27FC236}">
              <a16:creationId xmlns:a16="http://schemas.microsoft.com/office/drawing/2014/main" id="{00000000-0008-0000-0600-00009D5CA500}"/>
            </a:ext>
          </a:extLst>
        </xdr:cNvPr>
        <xdr:cNvSpPr>
          <a:spLocks noChangeArrowheads="1"/>
        </xdr:cNvSpPr>
      </xdr:nvSpPr>
      <xdr:spPr bwMode="auto">
        <a:xfrm>
          <a:off x="8077200" y="5572125"/>
          <a:ext cx="168592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600075</xdr:colOff>
      <xdr:row>29</xdr:row>
      <xdr:rowOff>38100</xdr:rowOff>
    </xdr:from>
    <xdr:to>
      <xdr:col>17</xdr:col>
      <xdr:colOff>85725</xdr:colOff>
      <xdr:row>38</xdr:row>
      <xdr:rowOff>47625</xdr:rowOff>
    </xdr:to>
    <xdr:sp macro="" textlink="">
      <xdr:nvSpPr>
        <xdr:cNvPr id="10837150" name="Oval 6">
          <a:extLst>
            <a:ext uri="{FF2B5EF4-FFF2-40B4-BE49-F238E27FC236}">
              <a16:creationId xmlns:a16="http://schemas.microsoft.com/office/drawing/2014/main" id="{00000000-0008-0000-0600-00009E5CA500}"/>
            </a:ext>
          </a:extLst>
        </xdr:cNvPr>
        <xdr:cNvSpPr>
          <a:spLocks noChangeArrowheads="1"/>
        </xdr:cNvSpPr>
      </xdr:nvSpPr>
      <xdr:spPr bwMode="auto">
        <a:xfrm>
          <a:off x="10334625" y="5543550"/>
          <a:ext cx="1666875" cy="15621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552450</xdr:colOff>
      <xdr:row>29</xdr:row>
      <xdr:rowOff>38100</xdr:rowOff>
    </xdr:from>
    <xdr:to>
      <xdr:col>20</xdr:col>
      <xdr:colOff>66675</xdr:colOff>
      <xdr:row>38</xdr:row>
      <xdr:rowOff>47625</xdr:rowOff>
    </xdr:to>
    <xdr:sp macro="" textlink="">
      <xdr:nvSpPr>
        <xdr:cNvPr id="10837151" name="Oval 7">
          <a:extLst>
            <a:ext uri="{FF2B5EF4-FFF2-40B4-BE49-F238E27FC236}">
              <a16:creationId xmlns:a16="http://schemas.microsoft.com/office/drawing/2014/main" id="{00000000-0008-0000-0600-00009F5CA500}"/>
            </a:ext>
          </a:extLst>
        </xdr:cNvPr>
        <xdr:cNvSpPr>
          <a:spLocks noChangeArrowheads="1"/>
        </xdr:cNvSpPr>
      </xdr:nvSpPr>
      <xdr:spPr bwMode="auto">
        <a:xfrm>
          <a:off x="12468225" y="5543550"/>
          <a:ext cx="1657350" cy="15621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38</xdr:row>
      <xdr:rowOff>28575</xdr:rowOff>
    </xdr:from>
    <xdr:to>
      <xdr:col>19</xdr:col>
      <xdr:colOff>0</xdr:colOff>
      <xdr:row>45</xdr:row>
      <xdr:rowOff>152400</xdr:rowOff>
    </xdr:to>
    <xdr:sp macro="" textlink="">
      <xdr:nvSpPr>
        <xdr:cNvPr id="10837152" name="Line 8">
          <a:extLst>
            <a:ext uri="{FF2B5EF4-FFF2-40B4-BE49-F238E27FC236}">
              <a16:creationId xmlns:a16="http://schemas.microsoft.com/office/drawing/2014/main" id="{00000000-0008-0000-0600-0000A05CA500}"/>
            </a:ext>
          </a:extLst>
        </xdr:cNvPr>
        <xdr:cNvSpPr>
          <a:spLocks noChangeShapeType="1"/>
        </xdr:cNvSpPr>
      </xdr:nvSpPr>
      <xdr:spPr bwMode="auto">
        <a:xfrm flipH="1">
          <a:off x="13296900" y="7086600"/>
          <a:ext cx="0" cy="1314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34</xdr:row>
      <xdr:rowOff>38100</xdr:rowOff>
    </xdr:from>
    <xdr:to>
      <xdr:col>17</xdr:col>
      <xdr:colOff>590550</xdr:colOff>
      <xdr:row>34</xdr:row>
      <xdr:rowOff>38100</xdr:rowOff>
    </xdr:to>
    <xdr:sp macro="" textlink="">
      <xdr:nvSpPr>
        <xdr:cNvPr id="10837153" name="Line 9">
          <a:extLst>
            <a:ext uri="{FF2B5EF4-FFF2-40B4-BE49-F238E27FC236}">
              <a16:creationId xmlns:a16="http://schemas.microsoft.com/office/drawing/2014/main" id="{00000000-0008-0000-0600-0000A15CA500}"/>
            </a:ext>
          </a:extLst>
        </xdr:cNvPr>
        <xdr:cNvSpPr>
          <a:spLocks noChangeShapeType="1"/>
        </xdr:cNvSpPr>
      </xdr:nvSpPr>
      <xdr:spPr bwMode="auto">
        <a:xfrm flipH="1">
          <a:off x="12030075" y="6448425"/>
          <a:ext cx="4762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</xdr:colOff>
      <xdr:row>34</xdr:row>
      <xdr:rowOff>0</xdr:rowOff>
    </xdr:from>
    <xdr:to>
      <xdr:col>14</xdr:col>
      <xdr:colOff>561975</xdr:colOff>
      <xdr:row>34</xdr:row>
      <xdr:rowOff>0</xdr:rowOff>
    </xdr:to>
    <xdr:sp macro="" textlink="">
      <xdr:nvSpPr>
        <xdr:cNvPr id="10837154" name="Line 10">
          <a:extLst>
            <a:ext uri="{FF2B5EF4-FFF2-40B4-BE49-F238E27FC236}">
              <a16:creationId xmlns:a16="http://schemas.microsoft.com/office/drawing/2014/main" id="{00000000-0008-0000-0600-0000A25CA500}"/>
            </a:ext>
          </a:extLst>
        </xdr:cNvPr>
        <xdr:cNvSpPr>
          <a:spLocks noChangeShapeType="1"/>
        </xdr:cNvSpPr>
      </xdr:nvSpPr>
      <xdr:spPr bwMode="auto">
        <a:xfrm>
          <a:off x="9763125" y="6410325"/>
          <a:ext cx="5334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47</xdr:row>
      <xdr:rowOff>85725</xdr:rowOff>
    </xdr:from>
    <xdr:to>
      <xdr:col>7</xdr:col>
      <xdr:colOff>0</xdr:colOff>
      <xdr:row>50</xdr:row>
      <xdr:rowOff>142875</xdr:rowOff>
    </xdr:to>
    <xdr:sp macro="" textlink="">
      <xdr:nvSpPr>
        <xdr:cNvPr id="10837155" name="Line 11">
          <a:extLst>
            <a:ext uri="{FF2B5EF4-FFF2-40B4-BE49-F238E27FC236}">
              <a16:creationId xmlns:a16="http://schemas.microsoft.com/office/drawing/2014/main" id="{00000000-0008-0000-0600-0000A35CA500}"/>
            </a:ext>
          </a:extLst>
        </xdr:cNvPr>
        <xdr:cNvSpPr>
          <a:spLocks noChangeShapeType="1"/>
        </xdr:cNvSpPr>
      </xdr:nvSpPr>
      <xdr:spPr bwMode="auto">
        <a:xfrm flipH="1">
          <a:off x="4638675" y="8677275"/>
          <a:ext cx="0" cy="581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30</xdr:row>
      <xdr:rowOff>66675</xdr:rowOff>
    </xdr:from>
    <xdr:to>
      <xdr:col>4</xdr:col>
      <xdr:colOff>571500</xdr:colOff>
      <xdr:row>37</xdr:row>
      <xdr:rowOff>9525</xdr:rowOff>
    </xdr:to>
    <xdr:sp macro="" textlink="">
      <xdr:nvSpPr>
        <xdr:cNvPr id="10837156" name="Oval 12">
          <a:extLst>
            <a:ext uri="{FF2B5EF4-FFF2-40B4-BE49-F238E27FC236}">
              <a16:creationId xmlns:a16="http://schemas.microsoft.com/office/drawing/2014/main" id="{00000000-0008-0000-0600-0000A45CA500}"/>
            </a:ext>
          </a:extLst>
        </xdr:cNvPr>
        <xdr:cNvSpPr>
          <a:spLocks noChangeArrowheads="1"/>
        </xdr:cNvSpPr>
      </xdr:nvSpPr>
      <xdr:spPr bwMode="auto">
        <a:xfrm>
          <a:off x="1924050" y="5734050"/>
          <a:ext cx="1123950" cy="11715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571500</xdr:colOff>
      <xdr:row>34</xdr:row>
      <xdr:rowOff>0</xdr:rowOff>
    </xdr:from>
    <xdr:to>
      <xdr:col>5</xdr:col>
      <xdr:colOff>542925</xdr:colOff>
      <xdr:row>34</xdr:row>
      <xdr:rowOff>0</xdr:rowOff>
    </xdr:to>
    <xdr:sp macro="" textlink="">
      <xdr:nvSpPr>
        <xdr:cNvPr id="10837157" name="Line 13">
          <a:extLst>
            <a:ext uri="{FF2B5EF4-FFF2-40B4-BE49-F238E27FC236}">
              <a16:creationId xmlns:a16="http://schemas.microsoft.com/office/drawing/2014/main" id="{00000000-0008-0000-0600-0000A55CA500}"/>
            </a:ext>
          </a:extLst>
        </xdr:cNvPr>
        <xdr:cNvSpPr>
          <a:spLocks noChangeShapeType="1"/>
        </xdr:cNvSpPr>
      </xdr:nvSpPr>
      <xdr:spPr bwMode="auto">
        <a:xfrm flipH="1">
          <a:off x="3048000" y="6410325"/>
          <a:ext cx="6096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</xdr:colOff>
      <xdr:row>46</xdr:row>
      <xdr:rowOff>85725</xdr:rowOff>
    </xdr:from>
    <xdr:to>
      <xdr:col>4</xdr:col>
      <xdr:colOff>571500</xdr:colOff>
      <xdr:row>52</xdr:row>
      <xdr:rowOff>152400</xdr:rowOff>
    </xdr:to>
    <xdr:sp macro="" textlink="">
      <xdr:nvSpPr>
        <xdr:cNvPr id="10837158" name="Oval 14">
          <a:extLst>
            <a:ext uri="{FF2B5EF4-FFF2-40B4-BE49-F238E27FC236}">
              <a16:creationId xmlns:a16="http://schemas.microsoft.com/office/drawing/2014/main" id="{00000000-0008-0000-0600-0000A65CA500}"/>
            </a:ext>
          </a:extLst>
        </xdr:cNvPr>
        <xdr:cNvSpPr>
          <a:spLocks noChangeArrowheads="1"/>
        </xdr:cNvSpPr>
      </xdr:nvSpPr>
      <xdr:spPr bwMode="auto">
        <a:xfrm>
          <a:off x="1943100" y="8515350"/>
          <a:ext cx="1104900" cy="10953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381000</xdr:colOff>
      <xdr:row>36</xdr:row>
      <xdr:rowOff>161925</xdr:rowOff>
    </xdr:from>
    <xdr:to>
      <xdr:col>6</xdr:col>
      <xdr:colOff>85725</xdr:colOff>
      <xdr:row>47</xdr:row>
      <xdr:rowOff>28575</xdr:rowOff>
    </xdr:to>
    <xdr:sp macro="" textlink="">
      <xdr:nvSpPr>
        <xdr:cNvPr id="10837159" name="Line 15">
          <a:extLst>
            <a:ext uri="{FF2B5EF4-FFF2-40B4-BE49-F238E27FC236}">
              <a16:creationId xmlns:a16="http://schemas.microsoft.com/office/drawing/2014/main" id="{00000000-0008-0000-0600-0000A75CA500}"/>
            </a:ext>
          </a:extLst>
        </xdr:cNvPr>
        <xdr:cNvSpPr>
          <a:spLocks noChangeShapeType="1"/>
        </xdr:cNvSpPr>
      </xdr:nvSpPr>
      <xdr:spPr bwMode="auto">
        <a:xfrm flipH="1">
          <a:off x="2857500" y="6896100"/>
          <a:ext cx="1104900" cy="1724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561975</xdr:colOff>
      <xdr:row>50</xdr:row>
      <xdr:rowOff>9525</xdr:rowOff>
    </xdr:from>
    <xdr:to>
      <xdr:col>5</xdr:col>
      <xdr:colOff>752475</xdr:colOff>
      <xdr:row>52</xdr:row>
      <xdr:rowOff>180975</xdr:rowOff>
    </xdr:to>
    <xdr:sp macro="" textlink="">
      <xdr:nvSpPr>
        <xdr:cNvPr id="10837160" name="Line 16">
          <a:extLst>
            <a:ext uri="{FF2B5EF4-FFF2-40B4-BE49-F238E27FC236}">
              <a16:creationId xmlns:a16="http://schemas.microsoft.com/office/drawing/2014/main" id="{00000000-0008-0000-0600-0000A85CA500}"/>
            </a:ext>
          </a:extLst>
        </xdr:cNvPr>
        <xdr:cNvSpPr>
          <a:spLocks noChangeShapeType="1"/>
        </xdr:cNvSpPr>
      </xdr:nvSpPr>
      <xdr:spPr bwMode="auto">
        <a:xfrm flipH="1" flipV="1">
          <a:off x="3038475" y="9124950"/>
          <a:ext cx="828675" cy="5143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47</xdr:row>
      <xdr:rowOff>9525</xdr:rowOff>
    </xdr:from>
    <xdr:to>
      <xdr:col>4</xdr:col>
      <xdr:colOff>371475</xdr:colOff>
      <xdr:row>47</xdr:row>
      <xdr:rowOff>19050</xdr:rowOff>
    </xdr:to>
    <xdr:sp macro="" textlink="">
      <xdr:nvSpPr>
        <xdr:cNvPr id="10837161" name="Arc 17">
          <a:extLst>
            <a:ext uri="{FF2B5EF4-FFF2-40B4-BE49-F238E27FC236}">
              <a16:creationId xmlns:a16="http://schemas.microsoft.com/office/drawing/2014/main" id="{00000000-0008-0000-0600-0000A95CA500}"/>
            </a:ext>
          </a:extLst>
        </xdr:cNvPr>
        <xdr:cNvSpPr>
          <a:spLocks/>
        </xdr:cNvSpPr>
      </xdr:nvSpPr>
      <xdr:spPr bwMode="auto">
        <a:xfrm flipH="1" flipV="1">
          <a:off x="2838450" y="8601075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171450</xdr:colOff>
      <xdr:row>47</xdr:row>
      <xdr:rowOff>9525</xdr:rowOff>
    </xdr:from>
    <xdr:to>
      <xdr:col>4</xdr:col>
      <xdr:colOff>352425</xdr:colOff>
      <xdr:row>49</xdr:row>
      <xdr:rowOff>152400</xdr:rowOff>
    </xdr:to>
    <xdr:sp macro="" textlink="">
      <xdr:nvSpPr>
        <xdr:cNvPr id="10837162" name="Line 18">
          <a:extLst>
            <a:ext uri="{FF2B5EF4-FFF2-40B4-BE49-F238E27FC236}">
              <a16:creationId xmlns:a16="http://schemas.microsoft.com/office/drawing/2014/main" id="{00000000-0008-0000-0600-0000AA5CA500}"/>
            </a:ext>
          </a:extLst>
        </xdr:cNvPr>
        <xdr:cNvSpPr>
          <a:spLocks noChangeShapeType="1"/>
        </xdr:cNvSpPr>
      </xdr:nvSpPr>
      <xdr:spPr bwMode="auto">
        <a:xfrm flipH="1">
          <a:off x="1952625" y="8601075"/>
          <a:ext cx="876300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50</xdr:row>
      <xdr:rowOff>0</xdr:rowOff>
    </xdr:from>
    <xdr:to>
      <xdr:col>3</xdr:col>
      <xdr:colOff>171450</xdr:colOff>
      <xdr:row>50</xdr:row>
      <xdr:rowOff>0</xdr:rowOff>
    </xdr:to>
    <xdr:sp macro="" textlink="">
      <xdr:nvSpPr>
        <xdr:cNvPr id="10837163" name="Line 19">
          <a:extLst>
            <a:ext uri="{FF2B5EF4-FFF2-40B4-BE49-F238E27FC236}">
              <a16:creationId xmlns:a16="http://schemas.microsoft.com/office/drawing/2014/main" id="{00000000-0008-0000-0600-0000AB5CA500}"/>
            </a:ext>
          </a:extLst>
        </xdr:cNvPr>
        <xdr:cNvSpPr>
          <a:spLocks noChangeShapeType="1"/>
        </xdr:cNvSpPr>
      </xdr:nvSpPr>
      <xdr:spPr bwMode="auto">
        <a:xfrm flipH="1">
          <a:off x="1238250" y="9115425"/>
          <a:ext cx="71437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352425</xdr:colOff>
      <xdr:row>47</xdr:row>
      <xdr:rowOff>19050</xdr:rowOff>
    </xdr:from>
    <xdr:to>
      <xdr:col>4</xdr:col>
      <xdr:colOff>581025</xdr:colOff>
      <xdr:row>50</xdr:row>
      <xdr:rowOff>0</xdr:rowOff>
    </xdr:to>
    <xdr:sp macro="" textlink="">
      <xdr:nvSpPr>
        <xdr:cNvPr id="10837164" name="Arc 20">
          <a:extLst>
            <a:ext uri="{FF2B5EF4-FFF2-40B4-BE49-F238E27FC236}">
              <a16:creationId xmlns:a16="http://schemas.microsoft.com/office/drawing/2014/main" id="{00000000-0008-0000-0600-0000AC5CA500}"/>
            </a:ext>
          </a:extLst>
        </xdr:cNvPr>
        <xdr:cNvSpPr>
          <a:spLocks/>
        </xdr:cNvSpPr>
      </xdr:nvSpPr>
      <xdr:spPr bwMode="auto">
        <a:xfrm flipH="1" flipV="1">
          <a:off x="2828925" y="8610600"/>
          <a:ext cx="228600" cy="5048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228600</xdr:colOff>
      <xdr:row>10</xdr:row>
      <xdr:rowOff>66675</xdr:rowOff>
    </xdr:from>
    <xdr:to>
      <xdr:col>5</xdr:col>
      <xdr:colOff>57150</xdr:colOff>
      <xdr:row>16</xdr:row>
      <xdr:rowOff>57150</xdr:rowOff>
    </xdr:to>
    <xdr:sp macro="" textlink="">
      <xdr:nvSpPr>
        <xdr:cNvPr id="10837165" name="Oval 21">
          <a:extLst>
            <a:ext uri="{FF2B5EF4-FFF2-40B4-BE49-F238E27FC236}">
              <a16:creationId xmlns:a16="http://schemas.microsoft.com/office/drawing/2014/main" id="{00000000-0008-0000-0600-0000AD5CA500}"/>
            </a:ext>
          </a:extLst>
        </xdr:cNvPr>
        <xdr:cNvSpPr>
          <a:spLocks noChangeArrowheads="1"/>
        </xdr:cNvSpPr>
      </xdr:nvSpPr>
      <xdr:spPr bwMode="auto">
        <a:xfrm>
          <a:off x="2009775" y="2181225"/>
          <a:ext cx="1162050" cy="11049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333375</xdr:colOff>
      <xdr:row>24</xdr:row>
      <xdr:rowOff>0</xdr:rowOff>
    </xdr:from>
    <xdr:to>
      <xdr:col>6</xdr:col>
      <xdr:colOff>304800</xdr:colOff>
      <xdr:row>30</xdr:row>
      <xdr:rowOff>161925</xdr:rowOff>
    </xdr:to>
    <xdr:sp macro="" textlink="">
      <xdr:nvSpPr>
        <xdr:cNvPr id="10837166" name="Line 22">
          <a:extLst>
            <a:ext uri="{FF2B5EF4-FFF2-40B4-BE49-F238E27FC236}">
              <a16:creationId xmlns:a16="http://schemas.microsoft.com/office/drawing/2014/main" id="{00000000-0008-0000-0600-0000AE5CA500}"/>
            </a:ext>
          </a:extLst>
        </xdr:cNvPr>
        <xdr:cNvSpPr>
          <a:spLocks noChangeShapeType="1"/>
        </xdr:cNvSpPr>
      </xdr:nvSpPr>
      <xdr:spPr bwMode="auto">
        <a:xfrm flipH="1">
          <a:off x="2809875" y="4629150"/>
          <a:ext cx="1371600" cy="12001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52</xdr:row>
      <xdr:rowOff>38100</xdr:rowOff>
    </xdr:from>
    <xdr:to>
      <xdr:col>14</xdr:col>
      <xdr:colOff>9525</xdr:colOff>
      <xdr:row>60</xdr:row>
      <xdr:rowOff>28575</xdr:rowOff>
    </xdr:to>
    <xdr:sp macro="" textlink="">
      <xdr:nvSpPr>
        <xdr:cNvPr id="10837167" name="Arc 23">
          <a:extLst>
            <a:ext uri="{FF2B5EF4-FFF2-40B4-BE49-F238E27FC236}">
              <a16:creationId xmlns:a16="http://schemas.microsoft.com/office/drawing/2014/main" id="{00000000-0008-0000-0600-0000AF5CA500}"/>
            </a:ext>
          </a:extLst>
        </xdr:cNvPr>
        <xdr:cNvSpPr>
          <a:spLocks/>
        </xdr:cNvSpPr>
      </xdr:nvSpPr>
      <xdr:spPr bwMode="auto">
        <a:xfrm flipH="1">
          <a:off x="6724650" y="9496425"/>
          <a:ext cx="3019425" cy="15049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600075</xdr:colOff>
      <xdr:row>52</xdr:row>
      <xdr:rowOff>38100</xdr:rowOff>
    </xdr:from>
    <xdr:to>
      <xdr:col>17</xdr:col>
      <xdr:colOff>571500</xdr:colOff>
      <xdr:row>60</xdr:row>
      <xdr:rowOff>38100</xdr:rowOff>
    </xdr:to>
    <xdr:sp macro="" textlink="">
      <xdr:nvSpPr>
        <xdr:cNvPr id="10837168" name="Arc 24">
          <a:extLst>
            <a:ext uri="{FF2B5EF4-FFF2-40B4-BE49-F238E27FC236}">
              <a16:creationId xmlns:a16="http://schemas.microsoft.com/office/drawing/2014/main" id="{00000000-0008-0000-0600-0000B05CA500}"/>
            </a:ext>
          </a:extLst>
        </xdr:cNvPr>
        <xdr:cNvSpPr>
          <a:spLocks/>
        </xdr:cNvSpPr>
      </xdr:nvSpPr>
      <xdr:spPr bwMode="auto">
        <a:xfrm>
          <a:off x="9467850" y="9496425"/>
          <a:ext cx="3019425" cy="151447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638175</xdr:colOff>
      <xdr:row>58</xdr:row>
      <xdr:rowOff>104775</xdr:rowOff>
    </xdr:from>
    <xdr:to>
      <xdr:col>6</xdr:col>
      <xdr:colOff>266700</xdr:colOff>
      <xdr:row>61</xdr:row>
      <xdr:rowOff>180975</xdr:rowOff>
    </xdr:to>
    <xdr:sp macro="" textlink="">
      <xdr:nvSpPr>
        <xdr:cNvPr id="10837169" name="Line 25">
          <a:extLst>
            <a:ext uri="{FF2B5EF4-FFF2-40B4-BE49-F238E27FC236}">
              <a16:creationId xmlns:a16="http://schemas.microsoft.com/office/drawing/2014/main" id="{00000000-0008-0000-0600-0000B15CA500}"/>
            </a:ext>
          </a:extLst>
        </xdr:cNvPr>
        <xdr:cNvSpPr>
          <a:spLocks noChangeShapeType="1"/>
        </xdr:cNvSpPr>
      </xdr:nvSpPr>
      <xdr:spPr bwMode="auto">
        <a:xfrm flipH="1">
          <a:off x="3752850" y="10734675"/>
          <a:ext cx="390525" cy="581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152400</xdr:colOff>
      <xdr:row>38</xdr:row>
      <xdr:rowOff>38100</xdr:rowOff>
    </xdr:from>
    <xdr:to>
      <xdr:col>17</xdr:col>
      <xdr:colOff>123825</xdr:colOff>
      <xdr:row>46</xdr:row>
      <xdr:rowOff>0</xdr:rowOff>
    </xdr:to>
    <xdr:sp macro="" textlink="">
      <xdr:nvSpPr>
        <xdr:cNvPr id="10837170" name="Line 26">
          <a:extLst>
            <a:ext uri="{FF2B5EF4-FFF2-40B4-BE49-F238E27FC236}">
              <a16:creationId xmlns:a16="http://schemas.microsoft.com/office/drawing/2014/main" id="{00000000-0008-0000-0600-0000B25CA500}"/>
            </a:ext>
          </a:extLst>
        </xdr:cNvPr>
        <xdr:cNvSpPr>
          <a:spLocks noChangeShapeType="1"/>
        </xdr:cNvSpPr>
      </xdr:nvSpPr>
      <xdr:spPr bwMode="auto">
        <a:xfrm>
          <a:off x="11382375" y="7096125"/>
          <a:ext cx="657225" cy="13335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228600</xdr:colOff>
      <xdr:row>37</xdr:row>
      <xdr:rowOff>161925</xdr:rowOff>
    </xdr:from>
    <xdr:to>
      <xdr:col>11</xdr:col>
      <xdr:colOff>714375</xdr:colOff>
      <xdr:row>53</xdr:row>
      <xdr:rowOff>85725</xdr:rowOff>
    </xdr:to>
    <xdr:sp macro="" textlink="">
      <xdr:nvSpPr>
        <xdr:cNvPr id="10837171" name="Line 27">
          <a:extLst>
            <a:ext uri="{FF2B5EF4-FFF2-40B4-BE49-F238E27FC236}">
              <a16:creationId xmlns:a16="http://schemas.microsoft.com/office/drawing/2014/main" id="{00000000-0008-0000-0600-0000B35CA500}"/>
            </a:ext>
          </a:extLst>
        </xdr:cNvPr>
        <xdr:cNvSpPr>
          <a:spLocks noChangeShapeType="1"/>
        </xdr:cNvSpPr>
      </xdr:nvSpPr>
      <xdr:spPr bwMode="auto">
        <a:xfrm>
          <a:off x="6953250" y="7058025"/>
          <a:ext cx="1152525" cy="26765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152400</xdr:colOff>
      <xdr:row>45</xdr:row>
      <xdr:rowOff>47625</xdr:rowOff>
    </xdr:from>
    <xdr:to>
      <xdr:col>11</xdr:col>
      <xdr:colOff>333375</xdr:colOff>
      <xdr:row>54</xdr:row>
      <xdr:rowOff>76200</xdr:rowOff>
    </xdr:to>
    <xdr:sp macro="" textlink="">
      <xdr:nvSpPr>
        <xdr:cNvPr id="10837172" name="Line 28">
          <a:extLst>
            <a:ext uri="{FF2B5EF4-FFF2-40B4-BE49-F238E27FC236}">
              <a16:creationId xmlns:a16="http://schemas.microsoft.com/office/drawing/2014/main" id="{00000000-0008-0000-0600-0000B45CA500}"/>
            </a:ext>
          </a:extLst>
        </xdr:cNvPr>
        <xdr:cNvSpPr>
          <a:spLocks noChangeShapeType="1"/>
        </xdr:cNvSpPr>
      </xdr:nvSpPr>
      <xdr:spPr bwMode="auto">
        <a:xfrm>
          <a:off x="5505450" y="8296275"/>
          <a:ext cx="2219325" cy="15906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25</xdr:row>
      <xdr:rowOff>0</xdr:rowOff>
    </xdr:from>
    <xdr:to>
      <xdr:col>11</xdr:col>
      <xdr:colOff>123825</xdr:colOff>
      <xdr:row>25</xdr:row>
      <xdr:rowOff>0</xdr:rowOff>
    </xdr:to>
    <xdr:sp macro="" textlink="">
      <xdr:nvSpPr>
        <xdr:cNvPr id="10837173" name="Line 29">
          <a:extLst>
            <a:ext uri="{FF2B5EF4-FFF2-40B4-BE49-F238E27FC236}">
              <a16:creationId xmlns:a16="http://schemas.microsoft.com/office/drawing/2014/main" id="{00000000-0008-0000-0600-0000B55CA500}"/>
            </a:ext>
          </a:extLst>
        </xdr:cNvPr>
        <xdr:cNvSpPr>
          <a:spLocks noChangeShapeType="1"/>
        </xdr:cNvSpPr>
      </xdr:nvSpPr>
      <xdr:spPr bwMode="auto">
        <a:xfrm>
          <a:off x="6029325" y="4800600"/>
          <a:ext cx="14859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600075</xdr:colOff>
      <xdr:row>20</xdr:row>
      <xdr:rowOff>0</xdr:rowOff>
    </xdr:from>
    <xdr:to>
      <xdr:col>13</xdr:col>
      <xdr:colOff>9525</xdr:colOff>
      <xdr:row>29</xdr:row>
      <xdr:rowOff>47625</xdr:rowOff>
    </xdr:to>
    <xdr:sp macro="" textlink="">
      <xdr:nvSpPr>
        <xdr:cNvPr id="10837174" name="Line 30">
          <a:extLst>
            <a:ext uri="{FF2B5EF4-FFF2-40B4-BE49-F238E27FC236}">
              <a16:creationId xmlns:a16="http://schemas.microsoft.com/office/drawing/2014/main" id="{00000000-0008-0000-0600-0000B65CA500}"/>
            </a:ext>
          </a:extLst>
        </xdr:cNvPr>
        <xdr:cNvSpPr>
          <a:spLocks noChangeShapeType="1"/>
        </xdr:cNvSpPr>
      </xdr:nvSpPr>
      <xdr:spPr bwMode="auto">
        <a:xfrm>
          <a:off x="7991475" y="3924300"/>
          <a:ext cx="885825" cy="16287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171450</xdr:colOff>
      <xdr:row>19</xdr:row>
      <xdr:rowOff>171450</xdr:rowOff>
    </xdr:from>
    <xdr:to>
      <xdr:col>11</xdr:col>
      <xdr:colOff>619125</xdr:colOff>
      <xdr:row>19</xdr:row>
      <xdr:rowOff>171450</xdr:rowOff>
    </xdr:to>
    <xdr:sp macro="" textlink="">
      <xdr:nvSpPr>
        <xdr:cNvPr id="10837175" name="Line 31">
          <a:extLst>
            <a:ext uri="{FF2B5EF4-FFF2-40B4-BE49-F238E27FC236}">
              <a16:creationId xmlns:a16="http://schemas.microsoft.com/office/drawing/2014/main" id="{00000000-0008-0000-0600-0000B75CA500}"/>
            </a:ext>
          </a:extLst>
        </xdr:cNvPr>
        <xdr:cNvSpPr>
          <a:spLocks noChangeShapeType="1"/>
        </xdr:cNvSpPr>
      </xdr:nvSpPr>
      <xdr:spPr bwMode="auto">
        <a:xfrm flipH="1">
          <a:off x="5524500" y="3905250"/>
          <a:ext cx="248602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523875</xdr:colOff>
      <xdr:row>58</xdr:row>
      <xdr:rowOff>38100</xdr:rowOff>
    </xdr:from>
    <xdr:to>
      <xdr:col>8</xdr:col>
      <xdr:colOff>257175</xdr:colOff>
      <xdr:row>61</xdr:row>
      <xdr:rowOff>28575</xdr:rowOff>
    </xdr:to>
    <xdr:sp macro="" textlink="">
      <xdr:nvSpPr>
        <xdr:cNvPr id="10837176" name="Line 32">
          <a:extLst>
            <a:ext uri="{FF2B5EF4-FFF2-40B4-BE49-F238E27FC236}">
              <a16:creationId xmlns:a16="http://schemas.microsoft.com/office/drawing/2014/main" id="{00000000-0008-0000-0600-0000B85CA500}"/>
            </a:ext>
          </a:extLst>
        </xdr:cNvPr>
        <xdr:cNvSpPr>
          <a:spLocks noChangeShapeType="1"/>
        </xdr:cNvSpPr>
      </xdr:nvSpPr>
      <xdr:spPr bwMode="auto">
        <a:xfrm flipH="1" flipV="1">
          <a:off x="5162550" y="10668000"/>
          <a:ext cx="447675" cy="495300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25</xdr:row>
      <xdr:rowOff>9525</xdr:rowOff>
    </xdr:from>
    <xdr:to>
      <xdr:col>7</xdr:col>
      <xdr:colOff>9525</xdr:colOff>
      <xdr:row>29</xdr:row>
      <xdr:rowOff>38100</xdr:rowOff>
    </xdr:to>
    <xdr:sp macro="" textlink="">
      <xdr:nvSpPr>
        <xdr:cNvPr id="10837177" name="Line 33">
          <a:extLst>
            <a:ext uri="{FF2B5EF4-FFF2-40B4-BE49-F238E27FC236}">
              <a16:creationId xmlns:a16="http://schemas.microsoft.com/office/drawing/2014/main" id="{00000000-0008-0000-0600-0000B95CA500}"/>
            </a:ext>
          </a:extLst>
        </xdr:cNvPr>
        <xdr:cNvSpPr>
          <a:spLocks noChangeShapeType="1"/>
        </xdr:cNvSpPr>
      </xdr:nvSpPr>
      <xdr:spPr bwMode="auto">
        <a:xfrm flipH="1">
          <a:off x="4638675" y="4810125"/>
          <a:ext cx="9525" cy="7334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247650</xdr:colOff>
      <xdr:row>11</xdr:row>
      <xdr:rowOff>0</xdr:rowOff>
    </xdr:from>
    <xdr:to>
      <xdr:col>6</xdr:col>
      <xdr:colOff>657225</xdr:colOff>
      <xdr:row>16</xdr:row>
      <xdr:rowOff>57150</xdr:rowOff>
    </xdr:to>
    <xdr:sp macro="" textlink="">
      <xdr:nvSpPr>
        <xdr:cNvPr id="10837178" name="Line 34">
          <a:extLst>
            <a:ext uri="{FF2B5EF4-FFF2-40B4-BE49-F238E27FC236}">
              <a16:creationId xmlns:a16="http://schemas.microsoft.com/office/drawing/2014/main" id="{00000000-0008-0000-0600-0000BA5CA500}"/>
            </a:ext>
          </a:extLst>
        </xdr:cNvPr>
        <xdr:cNvSpPr>
          <a:spLocks noChangeShapeType="1"/>
        </xdr:cNvSpPr>
      </xdr:nvSpPr>
      <xdr:spPr bwMode="auto">
        <a:xfrm flipH="1" flipV="1">
          <a:off x="4124325" y="2314575"/>
          <a:ext cx="409575" cy="9715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33</xdr:row>
      <xdr:rowOff>180975</xdr:rowOff>
    </xdr:from>
    <xdr:to>
      <xdr:col>8</xdr:col>
      <xdr:colOff>561975</xdr:colOff>
      <xdr:row>33</xdr:row>
      <xdr:rowOff>180975</xdr:rowOff>
    </xdr:to>
    <xdr:sp macro="" textlink="">
      <xdr:nvSpPr>
        <xdr:cNvPr id="10837179" name="Line 35">
          <a:extLst>
            <a:ext uri="{FF2B5EF4-FFF2-40B4-BE49-F238E27FC236}">
              <a16:creationId xmlns:a16="http://schemas.microsoft.com/office/drawing/2014/main" id="{00000000-0008-0000-0600-0000BB5CA500}"/>
            </a:ext>
          </a:extLst>
        </xdr:cNvPr>
        <xdr:cNvSpPr>
          <a:spLocks noChangeShapeType="1"/>
        </xdr:cNvSpPr>
      </xdr:nvSpPr>
      <xdr:spPr bwMode="auto">
        <a:xfrm>
          <a:off x="5400675" y="6410325"/>
          <a:ext cx="5143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495300</xdr:colOff>
      <xdr:row>38</xdr:row>
      <xdr:rowOff>0</xdr:rowOff>
    </xdr:from>
    <xdr:to>
      <xdr:col>15</xdr:col>
      <xdr:colOff>466725</xdr:colOff>
      <xdr:row>52</xdr:row>
      <xdr:rowOff>85725</xdr:rowOff>
    </xdr:to>
    <xdr:sp macro="" textlink="">
      <xdr:nvSpPr>
        <xdr:cNvPr id="10837180" name="Line 36">
          <a:extLst>
            <a:ext uri="{FF2B5EF4-FFF2-40B4-BE49-F238E27FC236}">
              <a16:creationId xmlns:a16="http://schemas.microsoft.com/office/drawing/2014/main" id="{00000000-0008-0000-0600-0000BC5CA500}"/>
            </a:ext>
          </a:extLst>
        </xdr:cNvPr>
        <xdr:cNvSpPr>
          <a:spLocks noChangeShapeType="1"/>
        </xdr:cNvSpPr>
      </xdr:nvSpPr>
      <xdr:spPr bwMode="auto">
        <a:xfrm flipV="1">
          <a:off x="10229850" y="7058025"/>
          <a:ext cx="666750" cy="2486025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</xdr:colOff>
      <xdr:row>13</xdr:row>
      <xdr:rowOff>9525</xdr:rowOff>
    </xdr:from>
    <xdr:to>
      <xdr:col>6</xdr:col>
      <xdr:colOff>371475</xdr:colOff>
      <xdr:row>17</xdr:row>
      <xdr:rowOff>9525</xdr:rowOff>
    </xdr:to>
    <xdr:sp macro="" textlink="">
      <xdr:nvSpPr>
        <xdr:cNvPr id="10837181" name="Line 37">
          <a:extLst>
            <a:ext uri="{FF2B5EF4-FFF2-40B4-BE49-F238E27FC236}">
              <a16:creationId xmlns:a16="http://schemas.microsoft.com/office/drawing/2014/main" id="{00000000-0008-0000-0600-0000BD5CA500}"/>
            </a:ext>
          </a:extLst>
        </xdr:cNvPr>
        <xdr:cNvSpPr>
          <a:spLocks noChangeShapeType="1"/>
        </xdr:cNvSpPr>
      </xdr:nvSpPr>
      <xdr:spPr bwMode="auto">
        <a:xfrm>
          <a:off x="3181350" y="2714625"/>
          <a:ext cx="1066800" cy="6858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33</xdr:row>
      <xdr:rowOff>161925</xdr:rowOff>
    </xdr:from>
    <xdr:to>
      <xdr:col>11</xdr:col>
      <xdr:colOff>695325</xdr:colOff>
      <xdr:row>33</xdr:row>
      <xdr:rowOff>161925</xdr:rowOff>
    </xdr:to>
    <xdr:sp macro="" textlink="">
      <xdr:nvSpPr>
        <xdr:cNvPr id="10837182" name="Line 38">
          <a:extLst>
            <a:ext uri="{FF2B5EF4-FFF2-40B4-BE49-F238E27FC236}">
              <a16:creationId xmlns:a16="http://schemas.microsoft.com/office/drawing/2014/main" id="{00000000-0008-0000-0600-0000BE5CA500}"/>
            </a:ext>
          </a:extLst>
        </xdr:cNvPr>
        <xdr:cNvSpPr>
          <a:spLocks noChangeShapeType="1"/>
        </xdr:cNvSpPr>
      </xdr:nvSpPr>
      <xdr:spPr bwMode="auto">
        <a:xfrm>
          <a:off x="7458075" y="6391275"/>
          <a:ext cx="6286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25</xdr:row>
      <xdr:rowOff>0</xdr:rowOff>
    </xdr:from>
    <xdr:to>
      <xdr:col>9</xdr:col>
      <xdr:colOff>28575</xdr:colOff>
      <xdr:row>30</xdr:row>
      <xdr:rowOff>114300</xdr:rowOff>
    </xdr:to>
    <xdr:sp macro="" textlink="">
      <xdr:nvSpPr>
        <xdr:cNvPr id="10837183" name="Line 39">
          <a:extLst>
            <a:ext uri="{FF2B5EF4-FFF2-40B4-BE49-F238E27FC236}">
              <a16:creationId xmlns:a16="http://schemas.microsoft.com/office/drawing/2014/main" id="{00000000-0008-0000-0600-0000BF5CA500}"/>
            </a:ext>
          </a:extLst>
        </xdr:cNvPr>
        <xdr:cNvSpPr>
          <a:spLocks noChangeShapeType="1"/>
        </xdr:cNvSpPr>
      </xdr:nvSpPr>
      <xdr:spPr bwMode="auto">
        <a:xfrm flipH="1">
          <a:off x="5172075" y="4800600"/>
          <a:ext cx="876300" cy="9810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114300</xdr:colOff>
      <xdr:row>25</xdr:row>
      <xdr:rowOff>9525</xdr:rowOff>
    </xdr:from>
    <xdr:to>
      <xdr:col>12</xdr:col>
      <xdr:colOff>142875</xdr:colOff>
      <xdr:row>30</xdr:row>
      <xdr:rowOff>76200</xdr:rowOff>
    </xdr:to>
    <xdr:sp macro="" textlink="">
      <xdr:nvSpPr>
        <xdr:cNvPr id="10837184" name="Line 40">
          <a:extLst>
            <a:ext uri="{FF2B5EF4-FFF2-40B4-BE49-F238E27FC236}">
              <a16:creationId xmlns:a16="http://schemas.microsoft.com/office/drawing/2014/main" id="{00000000-0008-0000-0600-0000C05CA500}"/>
            </a:ext>
          </a:extLst>
        </xdr:cNvPr>
        <xdr:cNvSpPr>
          <a:spLocks noChangeShapeType="1"/>
        </xdr:cNvSpPr>
      </xdr:nvSpPr>
      <xdr:spPr bwMode="auto">
        <a:xfrm>
          <a:off x="7505700" y="4810125"/>
          <a:ext cx="809625" cy="933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52</xdr:row>
      <xdr:rowOff>104775</xdr:rowOff>
    </xdr:from>
    <xdr:to>
      <xdr:col>12</xdr:col>
      <xdr:colOff>561975</xdr:colOff>
      <xdr:row>52</xdr:row>
      <xdr:rowOff>114300</xdr:rowOff>
    </xdr:to>
    <xdr:sp macro="" textlink="">
      <xdr:nvSpPr>
        <xdr:cNvPr id="10837185" name="Arc 41">
          <a:extLst>
            <a:ext uri="{FF2B5EF4-FFF2-40B4-BE49-F238E27FC236}">
              <a16:creationId xmlns:a16="http://schemas.microsoft.com/office/drawing/2014/main" id="{00000000-0008-0000-0600-0000C15CA500}"/>
            </a:ext>
          </a:extLst>
        </xdr:cNvPr>
        <xdr:cNvSpPr>
          <a:spLocks/>
        </xdr:cNvSpPr>
      </xdr:nvSpPr>
      <xdr:spPr bwMode="auto">
        <a:xfrm flipV="1">
          <a:off x="8677275" y="9563100"/>
          <a:ext cx="57150" cy="95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85725</xdr:rowOff>
    </xdr:from>
    <xdr:to>
      <xdr:col>13</xdr:col>
      <xdr:colOff>152400</xdr:colOff>
      <xdr:row>52</xdr:row>
      <xdr:rowOff>85725</xdr:rowOff>
    </xdr:to>
    <xdr:sp macro="" textlink="">
      <xdr:nvSpPr>
        <xdr:cNvPr id="10837186" name="Arc 42">
          <a:extLst>
            <a:ext uri="{FF2B5EF4-FFF2-40B4-BE49-F238E27FC236}">
              <a16:creationId xmlns:a16="http://schemas.microsoft.com/office/drawing/2014/main" id="{00000000-0008-0000-0600-0000C25CA500}"/>
            </a:ext>
          </a:extLst>
        </xdr:cNvPr>
        <xdr:cNvSpPr>
          <a:spLocks/>
        </xdr:cNvSpPr>
      </xdr:nvSpPr>
      <xdr:spPr bwMode="auto">
        <a:xfrm flipH="1">
          <a:off x="8991600" y="954405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66675</xdr:rowOff>
    </xdr:from>
    <xdr:to>
      <xdr:col>13</xdr:col>
      <xdr:colOff>152400</xdr:colOff>
      <xdr:row>52</xdr:row>
      <xdr:rowOff>85725</xdr:rowOff>
    </xdr:to>
    <xdr:sp macro="" textlink="">
      <xdr:nvSpPr>
        <xdr:cNvPr id="10837187" name="Arc 43">
          <a:extLst>
            <a:ext uri="{FF2B5EF4-FFF2-40B4-BE49-F238E27FC236}">
              <a16:creationId xmlns:a16="http://schemas.microsoft.com/office/drawing/2014/main" id="{00000000-0008-0000-0600-0000C35CA500}"/>
            </a:ext>
          </a:extLst>
        </xdr:cNvPr>
        <xdr:cNvSpPr>
          <a:spLocks/>
        </xdr:cNvSpPr>
      </xdr:nvSpPr>
      <xdr:spPr bwMode="auto">
        <a:xfrm>
          <a:off x="8991600" y="9525000"/>
          <a:ext cx="28575" cy="190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4 h 21600"/>
            <a:gd name="T4" fmla="*/ 0 w 21600"/>
            <a:gd name="T5" fmla="*/ 4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66675</xdr:colOff>
      <xdr:row>52</xdr:row>
      <xdr:rowOff>104775</xdr:rowOff>
    </xdr:from>
    <xdr:to>
      <xdr:col>13</xdr:col>
      <xdr:colOff>123825</xdr:colOff>
      <xdr:row>58</xdr:row>
      <xdr:rowOff>38100</xdr:rowOff>
    </xdr:to>
    <xdr:sp macro="" textlink="">
      <xdr:nvSpPr>
        <xdr:cNvPr id="10837188" name="Arc 44">
          <a:extLst>
            <a:ext uri="{FF2B5EF4-FFF2-40B4-BE49-F238E27FC236}">
              <a16:creationId xmlns:a16="http://schemas.microsoft.com/office/drawing/2014/main" id="{00000000-0008-0000-0600-0000C45CA500}"/>
            </a:ext>
          </a:extLst>
        </xdr:cNvPr>
        <xdr:cNvSpPr>
          <a:spLocks/>
        </xdr:cNvSpPr>
      </xdr:nvSpPr>
      <xdr:spPr bwMode="auto">
        <a:xfrm flipV="1">
          <a:off x="6791325" y="9563100"/>
          <a:ext cx="2200275" cy="110490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676275</xdr:colOff>
      <xdr:row>38</xdr:row>
      <xdr:rowOff>28575</xdr:rowOff>
    </xdr:from>
    <xdr:to>
      <xdr:col>13</xdr:col>
      <xdr:colOff>0</xdr:colOff>
      <xdr:row>52</xdr:row>
      <xdr:rowOff>123825</xdr:rowOff>
    </xdr:to>
    <xdr:sp macro="" textlink="">
      <xdr:nvSpPr>
        <xdr:cNvPr id="10837189" name="Line 45">
          <a:extLst>
            <a:ext uri="{FF2B5EF4-FFF2-40B4-BE49-F238E27FC236}">
              <a16:creationId xmlns:a16="http://schemas.microsoft.com/office/drawing/2014/main" id="{00000000-0008-0000-0600-0000C55CA500}"/>
            </a:ext>
          </a:extLst>
        </xdr:cNvPr>
        <xdr:cNvSpPr>
          <a:spLocks noChangeShapeType="1"/>
        </xdr:cNvSpPr>
      </xdr:nvSpPr>
      <xdr:spPr bwMode="auto">
        <a:xfrm>
          <a:off x="8848725" y="7086600"/>
          <a:ext cx="19050" cy="24955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161925</xdr:colOff>
      <xdr:row>34</xdr:row>
      <xdr:rowOff>0</xdr:rowOff>
    </xdr:from>
    <xdr:to>
      <xdr:col>3</xdr:col>
      <xdr:colOff>142875</xdr:colOff>
      <xdr:row>34</xdr:row>
      <xdr:rowOff>0</xdr:rowOff>
    </xdr:to>
    <xdr:sp macro="" textlink="">
      <xdr:nvSpPr>
        <xdr:cNvPr id="10837190" name="Line 46">
          <a:extLst>
            <a:ext uri="{FF2B5EF4-FFF2-40B4-BE49-F238E27FC236}">
              <a16:creationId xmlns:a16="http://schemas.microsoft.com/office/drawing/2014/main" id="{00000000-0008-0000-0600-0000C65CA500}"/>
            </a:ext>
          </a:extLst>
        </xdr:cNvPr>
        <xdr:cNvSpPr>
          <a:spLocks noChangeShapeType="1"/>
        </xdr:cNvSpPr>
      </xdr:nvSpPr>
      <xdr:spPr bwMode="auto">
        <a:xfrm flipH="1">
          <a:off x="1104900" y="6410325"/>
          <a:ext cx="8191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600075</xdr:colOff>
      <xdr:row>61</xdr:row>
      <xdr:rowOff>114300</xdr:rowOff>
    </xdr:from>
    <xdr:to>
      <xdr:col>6</xdr:col>
      <xdr:colOff>152400</xdr:colOff>
      <xdr:row>66</xdr:row>
      <xdr:rowOff>142875</xdr:rowOff>
    </xdr:to>
    <xdr:sp macro="" textlink="">
      <xdr:nvSpPr>
        <xdr:cNvPr id="10837191" name="Oval 47">
          <a:extLst>
            <a:ext uri="{FF2B5EF4-FFF2-40B4-BE49-F238E27FC236}">
              <a16:creationId xmlns:a16="http://schemas.microsoft.com/office/drawing/2014/main" id="{00000000-0008-0000-0600-0000C75CA500}"/>
            </a:ext>
          </a:extLst>
        </xdr:cNvPr>
        <xdr:cNvSpPr>
          <a:spLocks noChangeArrowheads="1"/>
        </xdr:cNvSpPr>
      </xdr:nvSpPr>
      <xdr:spPr bwMode="auto">
        <a:xfrm>
          <a:off x="3076575" y="11249025"/>
          <a:ext cx="952500" cy="8953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581025</xdr:colOff>
      <xdr:row>61</xdr:row>
      <xdr:rowOff>28575</xdr:rowOff>
    </xdr:from>
    <xdr:to>
      <xdr:col>9</xdr:col>
      <xdr:colOff>180975</xdr:colOff>
      <xdr:row>66</xdr:row>
      <xdr:rowOff>101600</xdr:rowOff>
    </xdr:to>
    <xdr:sp macro="" textlink="">
      <xdr:nvSpPr>
        <xdr:cNvPr id="10837192" name="Oval 48">
          <a:extLst>
            <a:ext uri="{FF2B5EF4-FFF2-40B4-BE49-F238E27FC236}">
              <a16:creationId xmlns:a16="http://schemas.microsoft.com/office/drawing/2014/main" id="{00000000-0008-0000-0600-0000C85CA500}"/>
            </a:ext>
          </a:extLst>
        </xdr:cNvPr>
        <xdr:cNvSpPr>
          <a:spLocks noChangeArrowheads="1"/>
        </xdr:cNvSpPr>
      </xdr:nvSpPr>
      <xdr:spPr bwMode="auto">
        <a:xfrm>
          <a:off x="5216525" y="11306175"/>
          <a:ext cx="984250" cy="9112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101600</xdr:colOff>
      <xdr:row>38</xdr:row>
      <xdr:rowOff>50800</xdr:rowOff>
    </xdr:from>
    <xdr:to>
      <xdr:col>13</xdr:col>
      <xdr:colOff>381000</xdr:colOff>
      <xdr:row>52</xdr:row>
      <xdr:rowOff>88900</xdr:rowOff>
    </xdr:to>
    <xdr:sp macro="" textlink="">
      <xdr:nvSpPr>
        <xdr:cNvPr id="10837193" name="Line 49">
          <a:extLst>
            <a:ext uri="{FF2B5EF4-FFF2-40B4-BE49-F238E27FC236}">
              <a16:creationId xmlns:a16="http://schemas.microsoft.com/office/drawing/2014/main" id="{00000000-0008-0000-0600-0000C95CA500}"/>
            </a:ext>
          </a:extLst>
        </xdr:cNvPr>
        <xdr:cNvSpPr>
          <a:spLocks noChangeShapeType="1"/>
        </xdr:cNvSpPr>
      </xdr:nvSpPr>
      <xdr:spPr bwMode="auto">
        <a:xfrm>
          <a:off x="8991600" y="7239000"/>
          <a:ext cx="279400" cy="24638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619125</xdr:colOff>
      <xdr:row>38</xdr:row>
      <xdr:rowOff>38100</xdr:rowOff>
    </xdr:from>
    <xdr:to>
      <xdr:col>15</xdr:col>
      <xdr:colOff>609600</xdr:colOff>
      <xdr:row>52</xdr:row>
      <xdr:rowOff>114300</xdr:rowOff>
    </xdr:to>
    <xdr:sp macro="" textlink="">
      <xdr:nvSpPr>
        <xdr:cNvPr id="10837194" name="Line 50">
          <a:extLst>
            <a:ext uri="{FF2B5EF4-FFF2-40B4-BE49-F238E27FC236}">
              <a16:creationId xmlns:a16="http://schemas.microsoft.com/office/drawing/2014/main" id="{00000000-0008-0000-0600-0000CA5CA500}"/>
            </a:ext>
          </a:extLst>
        </xdr:cNvPr>
        <xdr:cNvSpPr>
          <a:spLocks noChangeShapeType="1"/>
        </xdr:cNvSpPr>
      </xdr:nvSpPr>
      <xdr:spPr bwMode="auto">
        <a:xfrm flipV="1">
          <a:off x="10353675" y="7096125"/>
          <a:ext cx="685800" cy="24765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18</xdr:row>
      <xdr:rowOff>104775</xdr:rowOff>
    </xdr:from>
    <xdr:to>
      <xdr:col>6</xdr:col>
      <xdr:colOff>0</xdr:colOff>
      <xdr:row>26</xdr:row>
      <xdr:rowOff>0</xdr:rowOff>
    </xdr:to>
    <xdr:sp macro="" textlink="">
      <xdr:nvSpPr>
        <xdr:cNvPr id="10837195" name="Oval 51">
          <a:extLst>
            <a:ext uri="{FF2B5EF4-FFF2-40B4-BE49-F238E27FC236}">
              <a16:creationId xmlns:a16="http://schemas.microsoft.com/office/drawing/2014/main" id="{00000000-0008-0000-0600-0000CB5CA500}"/>
            </a:ext>
          </a:extLst>
        </xdr:cNvPr>
        <xdr:cNvSpPr>
          <a:spLocks noChangeArrowheads="1"/>
        </xdr:cNvSpPr>
      </xdr:nvSpPr>
      <xdr:spPr bwMode="auto">
        <a:xfrm>
          <a:off x="2486025" y="3657600"/>
          <a:ext cx="1390650" cy="13335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66675</xdr:colOff>
      <xdr:row>16</xdr:row>
      <xdr:rowOff>76200</xdr:rowOff>
    </xdr:from>
    <xdr:to>
      <xdr:col>4</xdr:col>
      <xdr:colOff>266700</xdr:colOff>
      <xdr:row>19</xdr:row>
      <xdr:rowOff>38100</xdr:rowOff>
    </xdr:to>
    <xdr:sp macro="" textlink="">
      <xdr:nvSpPr>
        <xdr:cNvPr id="10837196" name="Line 52">
          <a:extLst>
            <a:ext uri="{FF2B5EF4-FFF2-40B4-BE49-F238E27FC236}">
              <a16:creationId xmlns:a16="http://schemas.microsoft.com/office/drawing/2014/main" id="{00000000-0008-0000-0600-0000CC5CA500}"/>
            </a:ext>
          </a:extLst>
        </xdr:cNvPr>
        <xdr:cNvSpPr>
          <a:spLocks noChangeShapeType="1"/>
        </xdr:cNvSpPr>
      </xdr:nvSpPr>
      <xdr:spPr bwMode="auto">
        <a:xfrm flipH="1" flipV="1">
          <a:off x="2543175" y="3305175"/>
          <a:ext cx="200025" cy="4667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15</xdr:row>
      <xdr:rowOff>123825</xdr:rowOff>
    </xdr:from>
    <xdr:to>
      <xdr:col>3</xdr:col>
      <xdr:colOff>533400</xdr:colOff>
      <xdr:row>30</xdr:row>
      <xdr:rowOff>104775</xdr:rowOff>
    </xdr:to>
    <xdr:sp macro="" textlink="">
      <xdr:nvSpPr>
        <xdr:cNvPr id="10837197" name="Line 53">
          <a:extLst>
            <a:ext uri="{FF2B5EF4-FFF2-40B4-BE49-F238E27FC236}">
              <a16:creationId xmlns:a16="http://schemas.microsoft.com/office/drawing/2014/main" id="{00000000-0008-0000-0600-0000CD5CA500}"/>
            </a:ext>
          </a:extLst>
        </xdr:cNvPr>
        <xdr:cNvSpPr>
          <a:spLocks noChangeShapeType="1"/>
        </xdr:cNvSpPr>
      </xdr:nvSpPr>
      <xdr:spPr bwMode="auto">
        <a:xfrm flipV="1">
          <a:off x="2266950" y="3190875"/>
          <a:ext cx="47625" cy="25812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485775</xdr:colOff>
      <xdr:row>41</xdr:row>
      <xdr:rowOff>9525</xdr:rowOff>
    </xdr:from>
    <xdr:to>
      <xdr:col>8</xdr:col>
      <xdr:colOff>200025</xdr:colOff>
      <xdr:row>47</xdr:row>
      <xdr:rowOff>76200</xdr:rowOff>
    </xdr:to>
    <xdr:sp macro="" textlink="">
      <xdr:nvSpPr>
        <xdr:cNvPr id="10837198" name="Oval 54">
          <a:extLst>
            <a:ext uri="{FF2B5EF4-FFF2-40B4-BE49-F238E27FC236}">
              <a16:creationId xmlns:a16="http://schemas.microsoft.com/office/drawing/2014/main" id="{00000000-0008-0000-0600-0000CE5CA500}"/>
            </a:ext>
          </a:extLst>
        </xdr:cNvPr>
        <xdr:cNvSpPr>
          <a:spLocks noChangeArrowheads="1"/>
        </xdr:cNvSpPr>
      </xdr:nvSpPr>
      <xdr:spPr bwMode="auto">
        <a:xfrm>
          <a:off x="3600450" y="7610475"/>
          <a:ext cx="1952625" cy="10572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695325</xdr:colOff>
      <xdr:row>36</xdr:row>
      <xdr:rowOff>104775</xdr:rowOff>
    </xdr:from>
    <xdr:to>
      <xdr:col>9</xdr:col>
      <xdr:colOff>95250</xdr:colOff>
      <xdr:row>42</xdr:row>
      <xdr:rowOff>38100</xdr:rowOff>
    </xdr:to>
    <xdr:sp macro="" textlink="">
      <xdr:nvSpPr>
        <xdr:cNvPr id="10837199" name="Line 55">
          <a:extLst>
            <a:ext uri="{FF2B5EF4-FFF2-40B4-BE49-F238E27FC236}">
              <a16:creationId xmlns:a16="http://schemas.microsoft.com/office/drawing/2014/main" id="{00000000-0008-0000-0600-0000CF5CA500}"/>
            </a:ext>
          </a:extLst>
        </xdr:cNvPr>
        <xdr:cNvSpPr>
          <a:spLocks noChangeShapeType="1"/>
        </xdr:cNvSpPr>
      </xdr:nvSpPr>
      <xdr:spPr bwMode="auto">
        <a:xfrm flipH="1">
          <a:off x="5334000" y="6838950"/>
          <a:ext cx="781050" cy="962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466725</xdr:colOff>
      <xdr:row>41</xdr:row>
      <xdr:rowOff>0</xdr:rowOff>
    </xdr:from>
    <xdr:to>
      <xdr:col>8</xdr:col>
      <xdr:colOff>190500</xdr:colOff>
      <xdr:row>59</xdr:row>
      <xdr:rowOff>28575</xdr:rowOff>
    </xdr:to>
    <xdr:sp macro="" textlink="">
      <xdr:nvSpPr>
        <xdr:cNvPr id="10837200" name="Rectangle 56">
          <a:extLst>
            <a:ext uri="{FF2B5EF4-FFF2-40B4-BE49-F238E27FC236}">
              <a16:creationId xmlns:a16="http://schemas.microsoft.com/office/drawing/2014/main" id="{00000000-0008-0000-0600-0000D05CA500}"/>
            </a:ext>
          </a:extLst>
        </xdr:cNvPr>
        <xdr:cNvSpPr>
          <a:spLocks noChangeArrowheads="1"/>
        </xdr:cNvSpPr>
      </xdr:nvSpPr>
      <xdr:spPr bwMode="auto">
        <a:xfrm>
          <a:off x="3581400" y="7600950"/>
          <a:ext cx="1962150" cy="32385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390525</xdr:colOff>
      <xdr:row>45</xdr:row>
      <xdr:rowOff>85725</xdr:rowOff>
    </xdr:from>
    <xdr:to>
      <xdr:col>5</xdr:col>
      <xdr:colOff>561975</xdr:colOff>
      <xdr:row>47</xdr:row>
      <xdr:rowOff>38100</xdr:rowOff>
    </xdr:to>
    <xdr:sp macro="" textlink="">
      <xdr:nvSpPr>
        <xdr:cNvPr id="10837201" name="Line 57">
          <a:extLst>
            <a:ext uri="{FF2B5EF4-FFF2-40B4-BE49-F238E27FC236}">
              <a16:creationId xmlns:a16="http://schemas.microsoft.com/office/drawing/2014/main" id="{00000000-0008-0000-0600-0000D15CA500}"/>
            </a:ext>
          </a:extLst>
        </xdr:cNvPr>
        <xdr:cNvSpPr>
          <a:spLocks noChangeShapeType="1"/>
        </xdr:cNvSpPr>
      </xdr:nvSpPr>
      <xdr:spPr bwMode="auto">
        <a:xfrm flipH="1">
          <a:off x="2867025" y="8334375"/>
          <a:ext cx="809625" cy="2952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</xdr:row>
      <xdr:rowOff>66675</xdr:rowOff>
    </xdr:from>
    <xdr:to>
      <xdr:col>7</xdr:col>
      <xdr:colOff>0</xdr:colOff>
      <xdr:row>41</xdr:row>
      <xdr:rowOff>9525</xdr:rowOff>
    </xdr:to>
    <xdr:sp macro="" textlink="">
      <xdr:nvSpPr>
        <xdr:cNvPr id="10837202" name="Line 58">
          <a:extLst>
            <a:ext uri="{FF2B5EF4-FFF2-40B4-BE49-F238E27FC236}">
              <a16:creationId xmlns:a16="http://schemas.microsoft.com/office/drawing/2014/main" id="{00000000-0008-0000-0600-0000D25CA500}"/>
            </a:ext>
          </a:extLst>
        </xdr:cNvPr>
        <xdr:cNvSpPr>
          <a:spLocks noChangeShapeType="1"/>
        </xdr:cNvSpPr>
      </xdr:nvSpPr>
      <xdr:spPr bwMode="auto">
        <a:xfrm>
          <a:off x="4638675" y="7124700"/>
          <a:ext cx="0" cy="4857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837203" name="Line 59">
          <a:extLst>
            <a:ext uri="{FF2B5EF4-FFF2-40B4-BE49-F238E27FC236}">
              <a16:creationId xmlns:a16="http://schemas.microsoft.com/office/drawing/2014/main" id="{00000000-0008-0000-0600-0000D35CA500}"/>
            </a:ext>
          </a:extLst>
        </xdr:cNvPr>
        <xdr:cNvSpPr>
          <a:spLocks noChangeShapeType="1"/>
        </xdr:cNvSpPr>
      </xdr:nvSpPr>
      <xdr:spPr bwMode="auto">
        <a:xfrm flipH="1">
          <a:off x="1329690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0</xdr:row>
      <xdr:rowOff>0</xdr:rowOff>
    </xdr:from>
    <xdr:to>
      <xdr:col>4</xdr:col>
      <xdr:colOff>371475</xdr:colOff>
      <xdr:row>0</xdr:row>
      <xdr:rowOff>0</xdr:rowOff>
    </xdr:to>
    <xdr:sp macro="" textlink="">
      <xdr:nvSpPr>
        <xdr:cNvPr id="10837204" name="Arc 60">
          <a:extLst>
            <a:ext uri="{FF2B5EF4-FFF2-40B4-BE49-F238E27FC236}">
              <a16:creationId xmlns:a16="http://schemas.microsoft.com/office/drawing/2014/main" id="{00000000-0008-0000-0600-0000D45CA500}"/>
            </a:ext>
          </a:extLst>
        </xdr:cNvPr>
        <xdr:cNvSpPr>
          <a:spLocks/>
        </xdr:cNvSpPr>
      </xdr:nvSpPr>
      <xdr:spPr bwMode="auto">
        <a:xfrm flipH="1" flipV="1">
          <a:off x="2838450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37205" name="Line 61">
          <a:extLst>
            <a:ext uri="{FF2B5EF4-FFF2-40B4-BE49-F238E27FC236}">
              <a16:creationId xmlns:a16="http://schemas.microsoft.com/office/drawing/2014/main" id="{00000000-0008-0000-0600-0000D55CA500}"/>
            </a:ext>
          </a:extLst>
        </xdr:cNvPr>
        <xdr:cNvSpPr>
          <a:spLocks noChangeShapeType="1"/>
        </xdr:cNvSpPr>
      </xdr:nvSpPr>
      <xdr:spPr bwMode="auto">
        <a:xfrm flipV="1">
          <a:off x="4638675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0</xdr:row>
      <xdr:rowOff>0</xdr:rowOff>
    </xdr:from>
    <xdr:to>
      <xdr:col>12</xdr:col>
      <xdr:colOff>561975</xdr:colOff>
      <xdr:row>0</xdr:row>
      <xdr:rowOff>0</xdr:rowOff>
    </xdr:to>
    <xdr:sp macro="" textlink="">
      <xdr:nvSpPr>
        <xdr:cNvPr id="10837206" name="Arc 62">
          <a:extLst>
            <a:ext uri="{FF2B5EF4-FFF2-40B4-BE49-F238E27FC236}">
              <a16:creationId xmlns:a16="http://schemas.microsoft.com/office/drawing/2014/main" id="{00000000-0008-0000-0600-0000D65CA500}"/>
            </a:ext>
          </a:extLst>
        </xdr:cNvPr>
        <xdr:cNvSpPr>
          <a:spLocks/>
        </xdr:cNvSpPr>
      </xdr:nvSpPr>
      <xdr:spPr bwMode="auto">
        <a:xfrm flipV="1">
          <a:off x="8677275" y="0"/>
          <a:ext cx="57150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37207" name="Arc 63">
          <a:extLst>
            <a:ext uri="{FF2B5EF4-FFF2-40B4-BE49-F238E27FC236}">
              <a16:creationId xmlns:a16="http://schemas.microsoft.com/office/drawing/2014/main" id="{00000000-0008-0000-0600-0000D75CA500}"/>
            </a:ext>
          </a:extLst>
        </xdr:cNvPr>
        <xdr:cNvSpPr>
          <a:spLocks/>
        </xdr:cNvSpPr>
      </xdr:nvSpPr>
      <xdr:spPr bwMode="auto">
        <a:xfrm flipH="1">
          <a:off x="8991600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37208" name="Arc 64">
          <a:extLst>
            <a:ext uri="{FF2B5EF4-FFF2-40B4-BE49-F238E27FC236}">
              <a16:creationId xmlns:a16="http://schemas.microsoft.com/office/drawing/2014/main" id="{00000000-0008-0000-0600-0000D85CA500}"/>
            </a:ext>
          </a:extLst>
        </xdr:cNvPr>
        <xdr:cNvSpPr>
          <a:spLocks/>
        </xdr:cNvSpPr>
      </xdr:nvSpPr>
      <xdr:spPr bwMode="auto">
        <a:xfrm>
          <a:off x="8991600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37209" name="Line 65">
          <a:extLst>
            <a:ext uri="{FF2B5EF4-FFF2-40B4-BE49-F238E27FC236}">
              <a16:creationId xmlns:a16="http://schemas.microsoft.com/office/drawing/2014/main" id="{00000000-0008-0000-0600-0000D95CA500}"/>
            </a:ext>
          </a:extLst>
        </xdr:cNvPr>
        <xdr:cNvSpPr>
          <a:spLocks noChangeShapeType="1"/>
        </xdr:cNvSpPr>
      </xdr:nvSpPr>
      <xdr:spPr bwMode="auto">
        <a:xfrm>
          <a:off x="4638675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7210" name="Line 66">
          <a:extLst>
            <a:ext uri="{FF2B5EF4-FFF2-40B4-BE49-F238E27FC236}">
              <a16:creationId xmlns:a16="http://schemas.microsoft.com/office/drawing/2014/main" id="{00000000-0008-0000-0600-0000DA5CA500}"/>
            </a:ext>
          </a:extLst>
        </xdr:cNvPr>
        <xdr:cNvSpPr>
          <a:spLocks noChangeShapeType="1"/>
        </xdr:cNvSpPr>
      </xdr:nvSpPr>
      <xdr:spPr bwMode="auto">
        <a:xfrm flipH="1">
          <a:off x="13296900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7211" name="Line 67">
          <a:extLst>
            <a:ext uri="{FF2B5EF4-FFF2-40B4-BE49-F238E27FC236}">
              <a16:creationId xmlns:a16="http://schemas.microsoft.com/office/drawing/2014/main" id="{00000000-0008-0000-0600-0000DB5CA500}"/>
            </a:ext>
          </a:extLst>
        </xdr:cNvPr>
        <xdr:cNvSpPr>
          <a:spLocks noChangeShapeType="1"/>
        </xdr:cNvSpPr>
      </xdr:nvSpPr>
      <xdr:spPr bwMode="auto">
        <a:xfrm flipH="1">
          <a:off x="4638675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37212" name="Arc 68">
          <a:extLst>
            <a:ext uri="{FF2B5EF4-FFF2-40B4-BE49-F238E27FC236}">
              <a16:creationId xmlns:a16="http://schemas.microsoft.com/office/drawing/2014/main" id="{00000000-0008-0000-0600-0000DC5CA500}"/>
            </a:ext>
          </a:extLst>
        </xdr:cNvPr>
        <xdr:cNvSpPr>
          <a:spLocks/>
        </xdr:cNvSpPr>
      </xdr:nvSpPr>
      <xdr:spPr bwMode="auto">
        <a:xfrm flipH="1" flipV="1">
          <a:off x="2838450" y="1238250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7213" name="Line 69">
          <a:extLst>
            <a:ext uri="{FF2B5EF4-FFF2-40B4-BE49-F238E27FC236}">
              <a16:creationId xmlns:a16="http://schemas.microsoft.com/office/drawing/2014/main" id="{00000000-0008-0000-0600-0000DD5CA500}"/>
            </a:ext>
          </a:extLst>
        </xdr:cNvPr>
        <xdr:cNvSpPr>
          <a:spLocks noChangeShapeType="1"/>
        </xdr:cNvSpPr>
      </xdr:nvSpPr>
      <xdr:spPr bwMode="auto">
        <a:xfrm flipV="1">
          <a:off x="4638675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7214" name="Line 70">
          <a:extLst>
            <a:ext uri="{FF2B5EF4-FFF2-40B4-BE49-F238E27FC236}">
              <a16:creationId xmlns:a16="http://schemas.microsoft.com/office/drawing/2014/main" id="{00000000-0008-0000-0600-0000DE5CA500}"/>
            </a:ext>
          </a:extLst>
        </xdr:cNvPr>
        <xdr:cNvSpPr>
          <a:spLocks noChangeShapeType="1"/>
        </xdr:cNvSpPr>
      </xdr:nvSpPr>
      <xdr:spPr bwMode="auto">
        <a:xfrm>
          <a:off x="4638675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7215" name="Line 71">
          <a:extLst>
            <a:ext uri="{FF2B5EF4-FFF2-40B4-BE49-F238E27FC236}">
              <a16:creationId xmlns:a16="http://schemas.microsoft.com/office/drawing/2014/main" id="{00000000-0008-0000-0600-0000DF5CA500}"/>
            </a:ext>
          </a:extLst>
        </xdr:cNvPr>
        <xdr:cNvSpPr>
          <a:spLocks noChangeShapeType="1"/>
        </xdr:cNvSpPr>
      </xdr:nvSpPr>
      <xdr:spPr bwMode="auto">
        <a:xfrm flipH="1">
          <a:off x="13296900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7216" name="Line 72">
          <a:extLst>
            <a:ext uri="{FF2B5EF4-FFF2-40B4-BE49-F238E27FC236}">
              <a16:creationId xmlns:a16="http://schemas.microsoft.com/office/drawing/2014/main" id="{00000000-0008-0000-0600-0000E05CA500}"/>
            </a:ext>
          </a:extLst>
        </xdr:cNvPr>
        <xdr:cNvSpPr>
          <a:spLocks noChangeShapeType="1"/>
        </xdr:cNvSpPr>
      </xdr:nvSpPr>
      <xdr:spPr bwMode="auto">
        <a:xfrm flipH="1">
          <a:off x="4638675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37217" name="Arc 73">
          <a:extLst>
            <a:ext uri="{FF2B5EF4-FFF2-40B4-BE49-F238E27FC236}">
              <a16:creationId xmlns:a16="http://schemas.microsoft.com/office/drawing/2014/main" id="{00000000-0008-0000-0600-0000E15CA500}"/>
            </a:ext>
          </a:extLst>
        </xdr:cNvPr>
        <xdr:cNvSpPr>
          <a:spLocks/>
        </xdr:cNvSpPr>
      </xdr:nvSpPr>
      <xdr:spPr bwMode="auto">
        <a:xfrm flipH="1" flipV="1">
          <a:off x="2838450" y="1238250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7218" name="Line 74">
          <a:extLst>
            <a:ext uri="{FF2B5EF4-FFF2-40B4-BE49-F238E27FC236}">
              <a16:creationId xmlns:a16="http://schemas.microsoft.com/office/drawing/2014/main" id="{00000000-0008-0000-0600-0000E25CA500}"/>
            </a:ext>
          </a:extLst>
        </xdr:cNvPr>
        <xdr:cNvSpPr>
          <a:spLocks noChangeShapeType="1"/>
        </xdr:cNvSpPr>
      </xdr:nvSpPr>
      <xdr:spPr bwMode="auto">
        <a:xfrm flipV="1">
          <a:off x="4638675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7219" name="Line 75">
          <a:extLst>
            <a:ext uri="{FF2B5EF4-FFF2-40B4-BE49-F238E27FC236}">
              <a16:creationId xmlns:a16="http://schemas.microsoft.com/office/drawing/2014/main" id="{00000000-0008-0000-0600-0000E35CA500}"/>
            </a:ext>
          </a:extLst>
        </xdr:cNvPr>
        <xdr:cNvSpPr>
          <a:spLocks noChangeShapeType="1"/>
        </xdr:cNvSpPr>
      </xdr:nvSpPr>
      <xdr:spPr bwMode="auto">
        <a:xfrm>
          <a:off x="4638675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7220" name="Line 76">
          <a:extLst>
            <a:ext uri="{FF2B5EF4-FFF2-40B4-BE49-F238E27FC236}">
              <a16:creationId xmlns:a16="http://schemas.microsoft.com/office/drawing/2014/main" id="{00000000-0008-0000-0600-0000E45CA500}"/>
            </a:ext>
          </a:extLst>
        </xdr:cNvPr>
        <xdr:cNvSpPr>
          <a:spLocks noChangeShapeType="1"/>
        </xdr:cNvSpPr>
      </xdr:nvSpPr>
      <xdr:spPr bwMode="auto">
        <a:xfrm flipH="1">
          <a:off x="13296900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7221" name="Line 77">
          <a:extLst>
            <a:ext uri="{FF2B5EF4-FFF2-40B4-BE49-F238E27FC236}">
              <a16:creationId xmlns:a16="http://schemas.microsoft.com/office/drawing/2014/main" id="{00000000-0008-0000-0600-0000E55CA500}"/>
            </a:ext>
          </a:extLst>
        </xdr:cNvPr>
        <xdr:cNvSpPr>
          <a:spLocks noChangeShapeType="1"/>
        </xdr:cNvSpPr>
      </xdr:nvSpPr>
      <xdr:spPr bwMode="auto">
        <a:xfrm flipH="1">
          <a:off x="4638675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7222" name="Line 78">
          <a:extLst>
            <a:ext uri="{FF2B5EF4-FFF2-40B4-BE49-F238E27FC236}">
              <a16:creationId xmlns:a16="http://schemas.microsoft.com/office/drawing/2014/main" id="{00000000-0008-0000-0600-0000E65CA500}"/>
            </a:ext>
          </a:extLst>
        </xdr:cNvPr>
        <xdr:cNvSpPr>
          <a:spLocks noChangeShapeType="1"/>
        </xdr:cNvSpPr>
      </xdr:nvSpPr>
      <xdr:spPr bwMode="auto">
        <a:xfrm flipV="1">
          <a:off x="4638675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7223" name="Line 79">
          <a:extLst>
            <a:ext uri="{FF2B5EF4-FFF2-40B4-BE49-F238E27FC236}">
              <a16:creationId xmlns:a16="http://schemas.microsoft.com/office/drawing/2014/main" id="{00000000-0008-0000-0600-0000E75CA500}"/>
            </a:ext>
          </a:extLst>
        </xdr:cNvPr>
        <xdr:cNvSpPr>
          <a:spLocks noChangeShapeType="1"/>
        </xdr:cNvSpPr>
      </xdr:nvSpPr>
      <xdr:spPr bwMode="auto">
        <a:xfrm>
          <a:off x="4638675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7224" name="Line 80">
          <a:extLst>
            <a:ext uri="{FF2B5EF4-FFF2-40B4-BE49-F238E27FC236}">
              <a16:creationId xmlns:a16="http://schemas.microsoft.com/office/drawing/2014/main" id="{00000000-0008-0000-0600-0000E85CA500}"/>
            </a:ext>
          </a:extLst>
        </xdr:cNvPr>
        <xdr:cNvSpPr>
          <a:spLocks noChangeShapeType="1"/>
        </xdr:cNvSpPr>
      </xdr:nvSpPr>
      <xdr:spPr bwMode="auto">
        <a:xfrm flipH="1">
          <a:off x="13296900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7225" name="Line 81">
          <a:extLst>
            <a:ext uri="{FF2B5EF4-FFF2-40B4-BE49-F238E27FC236}">
              <a16:creationId xmlns:a16="http://schemas.microsoft.com/office/drawing/2014/main" id="{00000000-0008-0000-0600-0000E95CA500}"/>
            </a:ext>
          </a:extLst>
        </xdr:cNvPr>
        <xdr:cNvSpPr>
          <a:spLocks noChangeShapeType="1"/>
        </xdr:cNvSpPr>
      </xdr:nvSpPr>
      <xdr:spPr bwMode="auto">
        <a:xfrm flipH="1">
          <a:off x="4638675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7226" name="Line 82">
          <a:extLst>
            <a:ext uri="{FF2B5EF4-FFF2-40B4-BE49-F238E27FC236}">
              <a16:creationId xmlns:a16="http://schemas.microsoft.com/office/drawing/2014/main" id="{00000000-0008-0000-0600-0000EA5CA500}"/>
            </a:ext>
          </a:extLst>
        </xdr:cNvPr>
        <xdr:cNvSpPr>
          <a:spLocks noChangeShapeType="1"/>
        </xdr:cNvSpPr>
      </xdr:nvSpPr>
      <xdr:spPr bwMode="auto">
        <a:xfrm flipV="1">
          <a:off x="4638675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7227" name="Line 83">
          <a:extLst>
            <a:ext uri="{FF2B5EF4-FFF2-40B4-BE49-F238E27FC236}">
              <a16:creationId xmlns:a16="http://schemas.microsoft.com/office/drawing/2014/main" id="{00000000-0008-0000-0600-0000EB5CA500}"/>
            </a:ext>
          </a:extLst>
        </xdr:cNvPr>
        <xdr:cNvSpPr>
          <a:spLocks noChangeShapeType="1"/>
        </xdr:cNvSpPr>
      </xdr:nvSpPr>
      <xdr:spPr bwMode="auto">
        <a:xfrm>
          <a:off x="4638675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809625</xdr:colOff>
      <xdr:row>76</xdr:row>
      <xdr:rowOff>9525</xdr:rowOff>
    </xdr:from>
    <xdr:to>
      <xdr:col>19</xdr:col>
      <xdr:colOff>9525</xdr:colOff>
      <xdr:row>76</xdr:row>
      <xdr:rowOff>9525</xdr:rowOff>
    </xdr:to>
    <xdr:sp macro="" textlink="">
      <xdr:nvSpPr>
        <xdr:cNvPr id="10837228" name="Line 84">
          <a:extLst>
            <a:ext uri="{FF2B5EF4-FFF2-40B4-BE49-F238E27FC236}">
              <a16:creationId xmlns:a16="http://schemas.microsoft.com/office/drawing/2014/main" id="{00000000-0008-0000-0600-0000EC5CA500}"/>
            </a:ext>
          </a:extLst>
        </xdr:cNvPr>
        <xdr:cNvSpPr>
          <a:spLocks noChangeShapeType="1"/>
        </xdr:cNvSpPr>
      </xdr:nvSpPr>
      <xdr:spPr bwMode="auto">
        <a:xfrm flipH="1">
          <a:off x="12677775" y="12715875"/>
          <a:ext cx="628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76</xdr:row>
      <xdr:rowOff>9525</xdr:rowOff>
    </xdr:from>
    <xdr:to>
      <xdr:col>16</xdr:col>
      <xdr:colOff>0</xdr:colOff>
      <xdr:row>76</xdr:row>
      <xdr:rowOff>9525</xdr:rowOff>
    </xdr:to>
    <xdr:sp macro="" textlink="">
      <xdr:nvSpPr>
        <xdr:cNvPr id="10837229" name="Line 85">
          <a:extLst>
            <a:ext uri="{FF2B5EF4-FFF2-40B4-BE49-F238E27FC236}">
              <a16:creationId xmlns:a16="http://schemas.microsoft.com/office/drawing/2014/main" id="{00000000-0008-0000-0600-0000ED5CA500}"/>
            </a:ext>
          </a:extLst>
        </xdr:cNvPr>
        <xdr:cNvSpPr>
          <a:spLocks noChangeShapeType="1"/>
        </xdr:cNvSpPr>
      </xdr:nvSpPr>
      <xdr:spPr bwMode="auto">
        <a:xfrm>
          <a:off x="10429875" y="12715875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75</xdr:row>
      <xdr:rowOff>9525</xdr:rowOff>
    </xdr:from>
    <xdr:to>
      <xdr:col>13</xdr:col>
      <xdr:colOff>0</xdr:colOff>
      <xdr:row>75</xdr:row>
      <xdr:rowOff>9525</xdr:rowOff>
    </xdr:to>
    <xdr:sp macro="" textlink="">
      <xdr:nvSpPr>
        <xdr:cNvPr id="10837230" name="Line 86">
          <a:extLst>
            <a:ext uri="{FF2B5EF4-FFF2-40B4-BE49-F238E27FC236}">
              <a16:creationId xmlns:a16="http://schemas.microsoft.com/office/drawing/2014/main" id="{00000000-0008-0000-0600-0000EE5CA500}"/>
            </a:ext>
          </a:extLst>
        </xdr:cNvPr>
        <xdr:cNvSpPr>
          <a:spLocks noChangeShapeType="1"/>
        </xdr:cNvSpPr>
      </xdr:nvSpPr>
      <xdr:spPr bwMode="auto">
        <a:xfrm>
          <a:off x="8172450" y="12553950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75</xdr:row>
      <xdr:rowOff>9525</xdr:rowOff>
    </xdr:from>
    <xdr:to>
      <xdr:col>9</xdr:col>
      <xdr:colOff>695325</xdr:colOff>
      <xdr:row>75</xdr:row>
      <xdr:rowOff>9525</xdr:rowOff>
    </xdr:to>
    <xdr:sp macro="" textlink="">
      <xdr:nvSpPr>
        <xdr:cNvPr id="10837231" name="Line 87">
          <a:extLst>
            <a:ext uri="{FF2B5EF4-FFF2-40B4-BE49-F238E27FC236}">
              <a16:creationId xmlns:a16="http://schemas.microsoft.com/office/drawing/2014/main" id="{00000000-0008-0000-0600-0000EF5CA500}"/>
            </a:ext>
          </a:extLst>
        </xdr:cNvPr>
        <xdr:cNvSpPr>
          <a:spLocks noChangeShapeType="1"/>
        </xdr:cNvSpPr>
      </xdr:nvSpPr>
      <xdr:spPr bwMode="auto">
        <a:xfrm flipH="1">
          <a:off x="6019800" y="12553950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8</xdr:row>
      <xdr:rowOff>114300</xdr:rowOff>
    </xdr:from>
    <xdr:to>
      <xdr:col>10</xdr:col>
      <xdr:colOff>333375</xdr:colOff>
      <xdr:row>15</xdr:row>
      <xdr:rowOff>9525</xdr:rowOff>
    </xdr:to>
    <xdr:sp macro="" textlink="">
      <xdr:nvSpPr>
        <xdr:cNvPr id="10837232" name="Rectangle 56">
          <a:extLst>
            <a:ext uri="{FF2B5EF4-FFF2-40B4-BE49-F238E27FC236}">
              <a16:creationId xmlns:a16="http://schemas.microsoft.com/office/drawing/2014/main" id="{00000000-0008-0000-0600-0000F05CA500}"/>
            </a:ext>
          </a:extLst>
        </xdr:cNvPr>
        <xdr:cNvSpPr>
          <a:spLocks noChangeArrowheads="1"/>
        </xdr:cNvSpPr>
      </xdr:nvSpPr>
      <xdr:spPr bwMode="auto">
        <a:xfrm>
          <a:off x="5353050" y="1866900"/>
          <a:ext cx="1704975" cy="120967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304800</xdr:colOff>
      <xdr:row>10</xdr:row>
      <xdr:rowOff>161925</xdr:rowOff>
    </xdr:from>
    <xdr:to>
      <xdr:col>8</xdr:col>
      <xdr:colOff>295275</xdr:colOff>
      <xdr:row>16</xdr:row>
      <xdr:rowOff>76200</xdr:rowOff>
    </xdr:to>
    <xdr:sp macro="" textlink="">
      <xdr:nvSpPr>
        <xdr:cNvPr id="10837233" name="Line 34">
          <a:extLst>
            <a:ext uri="{FF2B5EF4-FFF2-40B4-BE49-F238E27FC236}">
              <a16:creationId xmlns:a16="http://schemas.microsoft.com/office/drawing/2014/main" id="{00000000-0008-0000-0600-0000F15CA500}"/>
            </a:ext>
          </a:extLst>
        </xdr:cNvPr>
        <xdr:cNvSpPr>
          <a:spLocks noChangeShapeType="1"/>
        </xdr:cNvSpPr>
      </xdr:nvSpPr>
      <xdr:spPr bwMode="auto">
        <a:xfrm flipV="1">
          <a:off x="4943475" y="2276475"/>
          <a:ext cx="704850" cy="10287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419100</xdr:colOff>
      <xdr:row>12</xdr:row>
      <xdr:rowOff>76200</xdr:rowOff>
    </xdr:from>
    <xdr:to>
      <xdr:col>9</xdr:col>
      <xdr:colOff>28575</xdr:colOff>
      <xdr:row>16</xdr:row>
      <xdr:rowOff>123825</xdr:rowOff>
    </xdr:to>
    <xdr:sp macro="" textlink="">
      <xdr:nvSpPr>
        <xdr:cNvPr id="10837234" name="Line 34">
          <a:extLst>
            <a:ext uri="{FF2B5EF4-FFF2-40B4-BE49-F238E27FC236}">
              <a16:creationId xmlns:a16="http://schemas.microsoft.com/office/drawing/2014/main" id="{00000000-0008-0000-0600-0000F25CA500}"/>
            </a:ext>
          </a:extLst>
        </xdr:cNvPr>
        <xdr:cNvSpPr>
          <a:spLocks noChangeShapeType="1"/>
        </xdr:cNvSpPr>
      </xdr:nvSpPr>
      <xdr:spPr bwMode="auto">
        <a:xfrm flipV="1">
          <a:off x="5057775" y="2590800"/>
          <a:ext cx="990600" cy="7620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14</xdr:row>
      <xdr:rowOff>76200</xdr:rowOff>
    </xdr:from>
    <xdr:to>
      <xdr:col>9</xdr:col>
      <xdr:colOff>9525</xdr:colOff>
      <xdr:row>17</xdr:row>
      <xdr:rowOff>28575</xdr:rowOff>
    </xdr:to>
    <xdr:sp macro="" textlink="">
      <xdr:nvSpPr>
        <xdr:cNvPr id="10837235" name="Line 34">
          <a:extLst>
            <a:ext uri="{FF2B5EF4-FFF2-40B4-BE49-F238E27FC236}">
              <a16:creationId xmlns:a16="http://schemas.microsoft.com/office/drawing/2014/main" id="{00000000-0008-0000-0600-0000F35CA500}"/>
            </a:ext>
          </a:extLst>
        </xdr:cNvPr>
        <xdr:cNvSpPr>
          <a:spLocks noChangeShapeType="1"/>
        </xdr:cNvSpPr>
      </xdr:nvSpPr>
      <xdr:spPr bwMode="auto">
        <a:xfrm flipV="1">
          <a:off x="5172075" y="2981325"/>
          <a:ext cx="857250" cy="4381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676275</xdr:colOff>
      <xdr:row>54</xdr:row>
      <xdr:rowOff>12700</xdr:rowOff>
    </xdr:from>
    <xdr:to>
      <xdr:col>4</xdr:col>
      <xdr:colOff>85725</xdr:colOff>
      <xdr:row>58</xdr:row>
      <xdr:rowOff>88900</xdr:rowOff>
    </xdr:to>
    <xdr:sp macro="" textlink="">
      <xdr:nvSpPr>
        <xdr:cNvPr id="10837236" name="Oval 14">
          <a:extLst>
            <a:ext uri="{FF2B5EF4-FFF2-40B4-BE49-F238E27FC236}">
              <a16:creationId xmlns:a16="http://schemas.microsoft.com/office/drawing/2014/main" id="{00000000-0008-0000-0600-0000F45CA500}"/>
            </a:ext>
          </a:extLst>
        </xdr:cNvPr>
        <xdr:cNvSpPr>
          <a:spLocks noChangeArrowheads="1"/>
        </xdr:cNvSpPr>
      </xdr:nvSpPr>
      <xdr:spPr bwMode="auto">
        <a:xfrm>
          <a:off x="1616075" y="9982200"/>
          <a:ext cx="946150" cy="901700"/>
        </a:xfrm>
        <a:prstGeom prst="ellips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609600</xdr:colOff>
      <xdr:row>52</xdr:row>
      <xdr:rowOff>152400</xdr:rowOff>
    </xdr:from>
    <xdr:to>
      <xdr:col>3</xdr:col>
      <xdr:colOff>695325</xdr:colOff>
      <xdr:row>54</xdr:row>
      <xdr:rowOff>66675</xdr:rowOff>
    </xdr:to>
    <xdr:sp macro="" textlink="">
      <xdr:nvSpPr>
        <xdr:cNvPr id="10837237" name="Line 19">
          <a:extLst>
            <a:ext uri="{FF2B5EF4-FFF2-40B4-BE49-F238E27FC236}">
              <a16:creationId xmlns:a16="http://schemas.microsoft.com/office/drawing/2014/main" id="{00000000-0008-0000-0600-0000F55CA500}"/>
            </a:ext>
          </a:extLst>
        </xdr:cNvPr>
        <xdr:cNvSpPr>
          <a:spLocks noChangeShapeType="1"/>
        </xdr:cNvSpPr>
      </xdr:nvSpPr>
      <xdr:spPr bwMode="auto">
        <a:xfrm flipH="1">
          <a:off x="2390775" y="9610725"/>
          <a:ext cx="85725" cy="2667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219075</xdr:colOff>
      <xdr:row>56</xdr:row>
      <xdr:rowOff>9525</xdr:rowOff>
    </xdr:from>
    <xdr:to>
      <xdr:col>5</xdr:col>
      <xdr:colOff>647700</xdr:colOff>
      <xdr:row>56</xdr:row>
      <xdr:rowOff>9525</xdr:rowOff>
    </xdr:to>
    <xdr:sp macro="" textlink="">
      <xdr:nvSpPr>
        <xdr:cNvPr id="10837238" name="Line 19">
          <a:extLst>
            <a:ext uri="{FF2B5EF4-FFF2-40B4-BE49-F238E27FC236}">
              <a16:creationId xmlns:a16="http://schemas.microsoft.com/office/drawing/2014/main" id="{00000000-0008-0000-0600-0000F65CA500}"/>
            </a:ext>
          </a:extLst>
        </xdr:cNvPr>
        <xdr:cNvSpPr>
          <a:spLocks noChangeShapeType="1"/>
        </xdr:cNvSpPr>
      </xdr:nvSpPr>
      <xdr:spPr bwMode="auto">
        <a:xfrm flipH="1">
          <a:off x="2695575" y="10220325"/>
          <a:ext cx="10668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698500</xdr:colOff>
      <xdr:row>53</xdr:row>
      <xdr:rowOff>25401</xdr:rowOff>
    </xdr:from>
    <xdr:to>
      <xdr:col>5</xdr:col>
      <xdr:colOff>485775</xdr:colOff>
      <xdr:row>59</xdr:row>
      <xdr:rowOff>25401</xdr:rowOff>
    </xdr:to>
    <xdr:sp macro="" textlink="">
      <xdr:nvSpPr>
        <xdr:cNvPr id="96" name="Rectangle 56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rrowheads="1"/>
        </xdr:cNvSpPr>
      </xdr:nvSpPr>
      <xdr:spPr bwMode="auto">
        <a:xfrm>
          <a:off x="1638300" y="9829801"/>
          <a:ext cx="1958975" cy="11684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66675</xdr:rowOff>
    </xdr:from>
    <xdr:to>
      <xdr:col>8</xdr:col>
      <xdr:colOff>180975</xdr:colOff>
      <xdr:row>25</xdr:row>
      <xdr:rowOff>0</xdr:rowOff>
    </xdr:to>
    <xdr:sp macro="" textlink="">
      <xdr:nvSpPr>
        <xdr:cNvPr id="10839105" name="Oval 1">
          <a:extLst>
            <a:ext uri="{FF2B5EF4-FFF2-40B4-BE49-F238E27FC236}">
              <a16:creationId xmlns:a16="http://schemas.microsoft.com/office/drawing/2014/main" id="{00000000-0008-0000-0700-00004164A500}"/>
            </a:ext>
          </a:extLst>
        </xdr:cNvPr>
        <xdr:cNvSpPr>
          <a:spLocks noChangeArrowheads="1"/>
        </xdr:cNvSpPr>
      </xdr:nvSpPr>
      <xdr:spPr bwMode="auto">
        <a:xfrm>
          <a:off x="3810000" y="3295650"/>
          <a:ext cx="16573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552450</xdr:colOff>
      <xdr:row>29</xdr:row>
      <xdr:rowOff>38100</xdr:rowOff>
    </xdr:from>
    <xdr:to>
      <xdr:col>8</xdr:col>
      <xdr:colOff>66675</xdr:colOff>
      <xdr:row>37</xdr:row>
      <xdr:rowOff>152400</xdr:rowOff>
    </xdr:to>
    <xdr:sp macro="" textlink="">
      <xdr:nvSpPr>
        <xdr:cNvPr id="10839106" name="Oval 2">
          <a:extLst>
            <a:ext uri="{FF2B5EF4-FFF2-40B4-BE49-F238E27FC236}">
              <a16:creationId xmlns:a16="http://schemas.microsoft.com/office/drawing/2014/main" id="{00000000-0008-0000-0700-00004264A500}"/>
            </a:ext>
          </a:extLst>
        </xdr:cNvPr>
        <xdr:cNvSpPr>
          <a:spLocks noChangeArrowheads="1"/>
        </xdr:cNvSpPr>
      </xdr:nvSpPr>
      <xdr:spPr bwMode="auto">
        <a:xfrm>
          <a:off x="3600450" y="5543550"/>
          <a:ext cx="175260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609600</xdr:colOff>
      <xdr:row>50</xdr:row>
      <xdr:rowOff>152400</xdr:rowOff>
    </xdr:from>
    <xdr:to>
      <xdr:col>8</xdr:col>
      <xdr:colOff>123825</xdr:colOff>
      <xdr:row>59</xdr:row>
      <xdr:rowOff>28575</xdr:rowOff>
    </xdr:to>
    <xdr:sp macro="" textlink="">
      <xdr:nvSpPr>
        <xdr:cNvPr id="10839107" name="Oval 3">
          <a:extLst>
            <a:ext uri="{FF2B5EF4-FFF2-40B4-BE49-F238E27FC236}">
              <a16:creationId xmlns:a16="http://schemas.microsoft.com/office/drawing/2014/main" id="{00000000-0008-0000-0700-00004364A500}"/>
            </a:ext>
          </a:extLst>
        </xdr:cNvPr>
        <xdr:cNvSpPr>
          <a:spLocks noChangeArrowheads="1"/>
        </xdr:cNvSpPr>
      </xdr:nvSpPr>
      <xdr:spPr bwMode="auto">
        <a:xfrm>
          <a:off x="3657600" y="9267825"/>
          <a:ext cx="1752600" cy="15716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552450</xdr:colOff>
      <xdr:row>29</xdr:row>
      <xdr:rowOff>38100</xdr:rowOff>
    </xdr:from>
    <xdr:to>
      <xdr:col>11</xdr:col>
      <xdr:colOff>76200</xdr:colOff>
      <xdr:row>38</xdr:row>
      <xdr:rowOff>28575</xdr:rowOff>
    </xdr:to>
    <xdr:sp macro="" textlink="">
      <xdr:nvSpPr>
        <xdr:cNvPr id="10839108" name="Oval 4">
          <a:extLst>
            <a:ext uri="{FF2B5EF4-FFF2-40B4-BE49-F238E27FC236}">
              <a16:creationId xmlns:a16="http://schemas.microsoft.com/office/drawing/2014/main" id="{00000000-0008-0000-0700-00004464A500}"/>
            </a:ext>
          </a:extLst>
        </xdr:cNvPr>
        <xdr:cNvSpPr>
          <a:spLocks noChangeArrowheads="1"/>
        </xdr:cNvSpPr>
      </xdr:nvSpPr>
      <xdr:spPr bwMode="auto">
        <a:xfrm>
          <a:off x="5838825" y="5543550"/>
          <a:ext cx="1562100" cy="15430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685800</xdr:colOff>
      <xdr:row>29</xdr:row>
      <xdr:rowOff>66675</xdr:rowOff>
    </xdr:from>
    <xdr:to>
      <xdr:col>14</xdr:col>
      <xdr:colOff>28575</xdr:colOff>
      <xdr:row>38</xdr:row>
      <xdr:rowOff>19050</xdr:rowOff>
    </xdr:to>
    <xdr:sp macro="" textlink="">
      <xdr:nvSpPr>
        <xdr:cNvPr id="10839109" name="Oval 5">
          <a:extLst>
            <a:ext uri="{FF2B5EF4-FFF2-40B4-BE49-F238E27FC236}">
              <a16:creationId xmlns:a16="http://schemas.microsoft.com/office/drawing/2014/main" id="{00000000-0008-0000-0700-00004564A500}"/>
            </a:ext>
          </a:extLst>
        </xdr:cNvPr>
        <xdr:cNvSpPr>
          <a:spLocks noChangeArrowheads="1"/>
        </xdr:cNvSpPr>
      </xdr:nvSpPr>
      <xdr:spPr bwMode="auto">
        <a:xfrm>
          <a:off x="8010525" y="5572125"/>
          <a:ext cx="168592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552450</xdr:colOff>
      <xdr:row>29</xdr:row>
      <xdr:rowOff>38100</xdr:rowOff>
    </xdr:from>
    <xdr:to>
      <xdr:col>17</xdr:col>
      <xdr:colOff>66675</xdr:colOff>
      <xdr:row>38</xdr:row>
      <xdr:rowOff>38100</xdr:rowOff>
    </xdr:to>
    <xdr:sp macro="" textlink="">
      <xdr:nvSpPr>
        <xdr:cNvPr id="10839110" name="Oval 6">
          <a:extLst>
            <a:ext uri="{FF2B5EF4-FFF2-40B4-BE49-F238E27FC236}">
              <a16:creationId xmlns:a16="http://schemas.microsoft.com/office/drawing/2014/main" id="{00000000-0008-0000-0700-00004664A500}"/>
            </a:ext>
          </a:extLst>
        </xdr:cNvPr>
        <xdr:cNvSpPr>
          <a:spLocks noChangeArrowheads="1"/>
        </xdr:cNvSpPr>
      </xdr:nvSpPr>
      <xdr:spPr bwMode="auto">
        <a:xfrm>
          <a:off x="10220325" y="5543550"/>
          <a:ext cx="1695450" cy="15525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552450</xdr:colOff>
      <xdr:row>29</xdr:row>
      <xdr:rowOff>38100</xdr:rowOff>
    </xdr:from>
    <xdr:to>
      <xdr:col>20</xdr:col>
      <xdr:colOff>66675</xdr:colOff>
      <xdr:row>38</xdr:row>
      <xdr:rowOff>28575</xdr:rowOff>
    </xdr:to>
    <xdr:sp macro="" textlink="">
      <xdr:nvSpPr>
        <xdr:cNvPr id="10839111" name="Oval 7">
          <a:extLst>
            <a:ext uri="{FF2B5EF4-FFF2-40B4-BE49-F238E27FC236}">
              <a16:creationId xmlns:a16="http://schemas.microsoft.com/office/drawing/2014/main" id="{00000000-0008-0000-0700-00004764A500}"/>
            </a:ext>
          </a:extLst>
        </xdr:cNvPr>
        <xdr:cNvSpPr>
          <a:spLocks noChangeArrowheads="1"/>
        </xdr:cNvSpPr>
      </xdr:nvSpPr>
      <xdr:spPr bwMode="auto">
        <a:xfrm>
          <a:off x="12401550" y="5543550"/>
          <a:ext cx="1657350" cy="15430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38</xdr:row>
      <xdr:rowOff>28575</xdr:rowOff>
    </xdr:from>
    <xdr:to>
      <xdr:col>19</xdr:col>
      <xdr:colOff>0</xdr:colOff>
      <xdr:row>45</xdr:row>
      <xdr:rowOff>152400</xdr:rowOff>
    </xdr:to>
    <xdr:sp macro="" textlink="">
      <xdr:nvSpPr>
        <xdr:cNvPr id="10839112" name="Line 8">
          <a:extLst>
            <a:ext uri="{FF2B5EF4-FFF2-40B4-BE49-F238E27FC236}">
              <a16:creationId xmlns:a16="http://schemas.microsoft.com/office/drawing/2014/main" id="{00000000-0008-0000-0700-00004864A500}"/>
            </a:ext>
          </a:extLst>
        </xdr:cNvPr>
        <xdr:cNvSpPr>
          <a:spLocks noChangeShapeType="1"/>
        </xdr:cNvSpPr>
      </xdr:nvSpPr>
      <xdr:spPr bwMode="auto">
        <a:xfrm flipH="1">
          <a:off x="13230225" y="7086600"/>
          <a:ext cx="0" cy="1314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38100</xdr:colOff>
      <xdr:row>34</xdr:row>
      <xdr:rowOff>9525</xdr:rowOff>
    </xdr:from>
    <xdr:to>
      <xdr:col>17</xdr:col>
      <xdr:colOff>542925</xdr:colOff>
      <xdr:row>34</xdr:row>
      <xdr:rowOff>9525</xdr:rowOff>
    </xdr:to>
    <xdr:sp macro="" textlink="">
      <xdr:nvSpPr>
        <xdr:cNvPr id="10839113" name="Line 9">
          <a:extLst>
            <a:ext uri="{FF2B5EF4-FFF2-40B4-BE49-F238E27FC236}">
              <a16:creationId xmlns:a16="http://schemas.microsoft.com/office/drawing/2014/main" id="{00000000-0008-0000-0700-00004964A500}"/>
            </a:ext>
          </a:extLst>
        </xdr:cNvPr>
        <xdr:cNvSpPr>
          <a:spLocks noChangeShapeType="1"/>
        </xdr:cNvSpPr>
      </xdr:nvSpPr>
      <xdr:spPr bwMode="auto">
        <a:xfrm flipH="1" flipV="1">
          <a:off x="11887200" y="6419850"/>
          <a:ext cx="50482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</xdr:colOff>
      <xdr:row>34</xdr:row>
      <xdr:rowOff>0</xdr:rowOff>
    </xdr:from>
    <xdr:to>
      <xdr:col>14</xdr:col>
      <xdr:colOff>561975</xdr:colOff>
      <xdr:row>34</xdr:row>
      <xdr:rowOff>0</xdr:rowOff>
    </xdr:to>
    <xdr:sp macro="" textlink="">
      <xdr:nvSpPr>
        <xdr:cNvPr id="10839114" name="Line 10">
          <a:extLst>
            <a:ext uri="{FF2B5EF4-FFF2-40B4-BE49-F238E27FC236}">
              <a16:creationId xmlns:a16="http://schemas.microsoft.com/office/drawing/2014/main" id="{00000000-0008-0000-0700-00004A64A500}"/>
            </a:ext>
          </a:extLst>
        </xdr:cNvPr>
        <xdr:cNvSpPr>
          <a:spLocks noChangeShapeType="1"/>
        </xdr:cNvSpPr>
      </xdr:nvSpPr>
      <xdr:spPr bwMode="auto">
        <a:xfrm>
          <a:off x="9696450" y="6410325"/>
          <a:ext cx="5334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47</xdr:row>
      <xdr:rowOff>85725</xdr:rowOff>
    </xdr:from>
    <xdr:to>
      <xdr:col>7</xdr:col>
      <xdr:colOff>0</xdr:colOff>
      <xdr:row>50</xdr:row>
      <xdr:rowOff>142875</xdr:rowOff>
    </xdr:to>
    <xdr:sp macro="" textlink="">
      <xdr:nvSpPr>
        <xdr:cNvPr id="10839115" name="Line 11">
          <a:extLst>
            <a:ext uri="{FF2B5EF4-FFF2-40B4-BE49-F238E27FC236}">
              <a16:creationId xmlns:a16="http://schemas.microsoft.com/office/drawing/2014/main" id="{00000000-0008-0000-0700-00004B64A500}"/>
            </a:ext>
          </a:extLst>
        </xdr:cNvPr>
        <xdr:cNvSpPr>
          <a:spLocks noChangeShapeType="1"/>
        </xdr:cNvSpPr>
      </xdr:nvSpPr>
      <xdr:spPr bwMode="auto">
        <a:xfrm flipH="1">
          <a:off x="4572000" y="8677275"/>
          <a:ext cx="0" cy="581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30</xdr:row>
      <xdr:rowOff>66675</xdr:rowOff>
    </xdr:from>
    <xdr:to>
      <xdr:col>4</xdr:col>
      <xdr:colOff>571500</xdr:colOff>
      <xdr:row>37</xdr:row>
      <xdr:rowOff>9525</xdr:rowOff>
    </xdr:to>
    <xdr:sp macro="" textlink="">
      <xdr:nvSpPr>
        <xdr:cNvPr id="10839116" name="Oval 12">
          <a:extLst>
            <a:ext uri="{FF2B5EF4-FFF2-40B4-BE49-F238E27FC236}">
              <a16:creationId xmlns:a16="http://schemas.microsoft.com/office/drawing/2014/main" id="{00000000-0008-0000-0700-00004C64A500}"/>
            </a:ext>
          </a:extLst>
        </xdr:cNvPr>
        <xdr:cNvSpPr>
          <a:spLocks noChangeArrowheads="1"/>
        </xdr:cNvSpPr>
      </xdr:nvSpPr>
      <xdr:spPr bwMode="auto">
        <a:xfrm>
          <a:off x="1857375" y="5734050"/>
          <a:ext cx="1123950" cy="11715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571500</xdr:colOff>
      <xdr:row>34</xdr:row>
      <xdr:rowOff>0</xdr:rowOff>
    </xdr:from>
    <xdr:to>
      <xdr:col>5</xdr:col>
      <xdr:colOff>542925</xdr:colOff>
      <xdr:row>34</xdr:row>
      <xdr:rowOff>0</xdr:rowOff>
    </xdr:to>
    <xdr:sp macro="" textlink="">
      <xdr:nvSpPr>
        <xdr:cNvPr id="10839117" name="Line 13">
          <a:extLst>
            <a:ext uri="{FF2B5EF4-FFF2-40B4-BE49-F238E27FC236}">
              <a16:creationId xmlns:a16="http://schemas.microsoft.com/office/drawing/2014/main" id="{00000000-0008-0000-0700-00004D64A500}"/>
            </a:ext>
          </a:extLst>
        </xdr:cNvPr>
        <xdr:cNvSpPr>
          <a:spLocks noChangeShapeType="1"/>
        </xdr:cNvSpPr>
      </xdr:nvSpPr>
      <xdr:spPr bwMode="auto">
        <a:xfrm flipH="1">
          <a:off x="2981325" y="6410325"/>
          <a:ext cx="6096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</xdr:colOff>
      <xdr:row>46</xdr:row>
      <xdr:rowOff>76200</xdr:rowOff>
    </xdr:from>
    <xdr:to>
      <xdr:col>4</xdr:col>
      <xdr:colOff>571500</xdr:colOff>
      <xdr:row>52</xdr:row>
      <xdr:rowOff>142875</xdr:rowOff>
    </xdr:to>
    <xdr:sp macro="" textlink="">
      <xdr:nvSpPr>
        <xdr:cNvPr id="10839118" name="Oval 14">
          <a:extLst>
            <a:ext uri="{FF2B5EF4-FFF2-40B4-BE49-F238E27FC236}">
              <a16:creationId xmlns:a16="http://schemas.microsoft.com/office/drawing/2014/main" id="{00000000-0008-0000-0700-00004E64A500}"/>
            </a:ext>
          </a:extLst>
        </xdr:cNvPr>
        <xdr:cNvSpPr>
          <a:spLocks noChangeArrowheads="1"/>
        </xdr:cNvSpPr>
      </xdr:nvSpPr>
      <xdr:spPr bwMode="auto">
        <a:xfrm>
          <a:off x="1876425" y="8505825"/>
          <a:ext cx="1104900" cy="10953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371475</xdr:colOff>
      <xdr:row>36</xdr:row>
      <xdr:rowOff>104775</xdr:rowOff>
    </xdr:from>
    <xdr:to>
      <xdr:col>6</xdr:col>
      <xdr:colOff>123825</xdr:colOff>
      <xdr:row>47</xdr:row>
      <xdr:rowOff>28575</xdr:rowOff>
    </xdr:to>
    <xdr:sp macro="" textlink="">
      <xdr:nvSpPr>
        <xdr:cNvPr id="10839119" name="Line 15">
          <a:extLst>
            <a:ext uri="{FF2B5EF4-FFF2-40B4-BE49-F238E27FC236}">
              <a16:creationId xmlns:a16="http://schemas.microsoft.com/office/drawing/2014/main" id="{00000000-0008-0000-0700-00004F64A500}"/>
            </a:ext>
          </a:extLst>
        </xdr:cNvPr>
        <xdr:cNvSpPr>
          <a:spLocks noChangeShapeType="1"/>
        </xdr:cNvSpPr>
      </xdr:nvSpPr>
      <xdr:spPr bwMode="auto">
        <a:xfrm flipH="1">
          <a:off x="2781300" y="6838950"/>
          <a:ext cx="1152525" cy="17811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581025</xdr:colOff>
      <xdr:row>50</xdr:row>
      <xdr:rowOff>9525</xdr:rowOff>
    </xdr:from>
    <xdr:to>
      <xdr:col>6</xdr:col>
      <xdr:colOff>9525</xdr:colOff>
      <xdr:row>52</xdr:row>
      <xdr:rowOff>142875</xdr:rowOff>
    </xdr:to>
    <xdr:sp macro="" textlink="">
      <xdr:nvSpPr>
        <xdr:cNvPr id="10839120" name="Line 16">
          <a:extLst>
            <a:ext uri="{FF2B5EF4-FFF2-40B4-BE49-F238E27FC236}">
              <a16:creationId xmlns:a16="http://schemas.microsoft.com/office/drawing/2014/main" id="{00000000-0008-0000-0700-00005064A500}"/>
            </a:ext>
          </a:extLst>
        </xdr:cNvPr>
        <xdr:cNvSpPr>
          <a:spLocks noChangeShapeType="1"/>
        </xdr:cNvSpPr>
      </xdr:nvSpPr>
      <xdr:spPr bwMode="auto">
        <a:xfrm flipH="1" flipV="1">
          <a:off x="2990850" y="9124950"/>
          <a:ext cx="828675" cy="4762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47</xdr:row>
      <xdr:rowOff>9525</xdr:rowOff>
    </xdr:from>
    <xdr:to>
      <xdr:col>4</xdr:col>
      <xdr:colOff>371475</xdr:colOff>
      <xdr:row>47</xdr:row>
      <xdr:rowOff>19050</xdr:rowOff>
    </xdr:to>
    <xdr:sp macro="" textlink="">
      <xdr:nvSpPr>
        <xdr:cNvPr id="10839121" name="Arc 17">
          <a:extLst>
            <a:ext uri="{FF2B5EF4-FFF2-40B4-BE49-F238E27FC236}">
              <a16:creationId xmlns:a16="http://schemas.microsoft.com/office/drawing/2014/main" id="{00000000-0008-0000-0700-00005164A500}"/>
            </a:ext>
          </a:extLst>
        </xdr:cNvPr>
        <xdr:cNvSpPr>
          <a:spLocks/>
        </xdr:cNvSpPr>
      </xdr:nvSpPr>
      <xdr:spPr bwMode="auto">
        <a:xfrm flipH="1" flipV="1">
          <a:off x="2771775" y="8601075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171450</xdr:colOff>
      <xdr:row>47</xdr:row>
      <xdr:rowOff>9525</xdr:rowOff>
    </xdr:from>
    <xdr:to>
      <xdr:col>4</xdr:col>
      <xdr:colOff>352425</xdr:colOff>
      <xdr:row>49</xdr:row>
      <xdr:rowOff>152400</xdr:rowOff>
    </xdr:to>
    <xdr:sp macro="" textlink="">
      <xdr:nvSpPr>
        <xdr:cNvPr id="10839122" name="Line 18">
          <a:extLst>
            <a:ext uri="{FF2B5EF4-FFF2-40B4-BE49-F238E27FC236}">
              <a16:creationId xmlns:a16="http://schemas.microsoft.com/office/drawing/2014/main" id="{00000000-0008-0000-0700-00005264A500}"/>
            </a:ext>
          </a:extLst>
        </xdr:cNvPr>
        <xdr:cNvSpPr>
          <a:spLocks noChangeShapeType="1"/>
        </xdr:cNvSpPr>
      </xdr:nvSpPr>
      <xdr:spPr bwMode="auto">
        <a:xfrm flipH="1">
          <a:off x="1885950" y="8601075"/>
          <a:ext cx="876300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50</xdr:row>
      <xdr:rowOff>0</xdr:rowOff>
    </xdr:from>
    <xdr:to>
      <xdr:col>3</xdr:col>
      <xdr:colOff>171450</xdr:colOff>
      <xdr:row>50</xdr:row>
      <xdr:rowOff>0</xdr:rowOff>
    </xdr:to>
    <xdr:sp macro="" textlink="">
      <xdr:nvSpPr>
        <xdr:cNvPr id="10839123" name="Line 19">
          <a:extLst>
            <a:ext uri="{FF2B5EF4-FFF2-40B4-BE49-F238E27FC236}">
              <a16:creationId xmlns:a16="http://schemas.microsoft.com/office/drawing/2014/main" id="{00000000-0008-0000-0700-00005364A500}"/>
            </a:ext>
          </a:extLst>
        </xdr:cNvPr>
        <xdr:cNvSpPr>
          <a:spLocks noChangeShapeType="1"/>
        </xdr:cNvSpPr>
      </xdr:nvSpPr>
      <xdr:spPr bwMode="auto">
        <a:xfrm flipH="1">
          <a:off x="1171575" y="9115425"/>
          <a:ext cx="71437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352425</xdr:colOff>
      <xdr:row>47</xdr:row>
      <xdr:rowOff>19050</xdr:rowOff>
    </xdr:from>
    <xdr:to>
      <xdr:col>4</xdr:col>
      <xdr:colOff>581025</xdr:colOff>
      <xdr:row>50</xdr:row>
      <xdr:rowOff>0</xdr:rowOff>
    </xdr:to>
    <xdr:sp macro="" textlink="">
      <xdr:nvSpPr>
        <xdr:cNvPr id="10839124" name="Arc 20">
          <a:extLst>
            <a:ext uri="{FF2B5EF4-FFF2-40B4-BE49-F238E27FC236}">
              <a16:creationId xmlns:a16="http://schemas.microsoft.com/office/drawing/2014/main" id="{00000000-0008-0000-0700-00005464A500}"/>
            </a:ext>
          </a:extLst>
        </xdr:cNvPr>
        <xdr:cNvSpPr>
          <a:spLocks/>
        </xdr:cNvSpPr>
      </xdr:nvSpPr>
      <xdr:spPr bwMode="auto">
        <a:xfrm flipH="1" flipV="1">
          <a:off x="2762250" y="8610600"/>
          <a:ext cx="228600" cy="5048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228600</xdr:colOff>
      <xdr:row>10</xdr:row>
      <xdr:rowOff>66675</xdr:rowOff>
    </xdr:from>
    <xdr:to>
      <xdr:col>5</xdr:col>
      <xdr:colOff>57150</xdr:colOff>
      <xdr:row>16</xdr:row>
      <xdr:rowOff>57150</xdr:rowOff>
    </xdr:to>
    <xdr:sp macro="" textlink="">
      <xdr:nvSpPr>
        <xdr:cNvPr id="10839125" name="Oval 21">
          <a:extLst>
            <a:ext uri="{FF2B5EF4-FFF2-40B4-BE49-F238E27FC236}">
              <a16:creationId xmlns:a16="http://schemas.microsoft.com/office/drawing/2014/main" id="{00000000-0008-0000-0700-00005564A500}"/>
            </a:ext>
          </a:extLst>
        </xdr:cNvPr>
        <xdr:cNvSpPr>
          <a:spLocks noChangeArrowheads="1"/>
        </xdr:cNvSpPr>
      </xdr:nvSpPr>
      <xdr:spPr bwMode="auto">
        <a:xfrm>
          <a:off x="1943100" y="2181225"/>
          <a:ext cx="1162050" cy="11049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342900</xdr:colOff>
      <xdr:row>24</xdr:row>
      <xdr:rowOff>28575</xdr:rowOff>
    </xdr:from>
    <xdr:to>
      <xdr:col>6</xdr:col>
      <xdr:colOff>352425</xdr:colOff>
      <xdr:row>30</xdr:row>
      <xdr:rowOff>180975</xdr:rowOff>
    </xdr:to>
    <xdr:sp macro="" textlink="">
      <xdr:nvSpPr>
        <xdr:cNvPr id="10839126" name="Line 22">
          <a:extLst>
            <a:ext uri="{FF2B5EF4-FFF2-40B4-BE49-F238E27FC236}">
              <a16:creationId xmlns:a16="http://schemas.microsoft.com/office/drawing/2014/main" id="{00000000-0008-0000-0700-00005664A500}"/>
            </a:ext>
          </a:extLst>
        </xdr:cNvPr>
        <xdr:cNvSpPr>
          <a:spLocks noChangeShapeType="1"/>
        </xdr:cNvSpPr>
      </xdr:nvSpPr>
      <xdr:spPr bwMode="auto">
        <a:xfrm flipH="1">
          <a:off x="2752725" y="4657725"/>
          <a:ext cx="1409700" cy="11906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52</xdr:row>
      <xdr:rowOff>38100</xdr:rowOff>
    </xdr:from>
    <xdr:to>
      <xdr:col>14</xdr:col>
      <xdr:colOff>9525</xdr:colOff>
      <xdr:row>60</xdr:row>
      <xdr:rowOff>28575</xdr:rowOff>
    </xdr:to>
    <xdr:sp macro="" textlink="">
      <xdr:nvSpPr>
        <xdr:cNvPr id="10839127" name="Arc 23">
          <a:extLst>
            <a:ext uri="{FF2B5EF4-FFF2-40B4-BE49-F238E27FC236}">
              <a16:creationId xmlns:a16="http://schemas.microsoft.com/office/drawing/2014/main" id="{00000000-0008-0000-0700-00005764A500}"/>
            </a:ext>
          </a:extLst>
        </xdr:cNvPr>
        <xdr:cNvSpPr>
          <a:spLocks/>
        </xdr:cNvSpPr>
      </xdr:nvSpPr>
      <xdr:spPr bwMode="auto">
        <a:xfrm flipH="1">
          <a:off x="6657975" y="9496425"/>
          <a:ext cx="3019425" cy="15049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600075</xdr:colOff>
      <xdr:row>52</xdr:row>
      <xdr:rowOff>38100</xdr:rowOff>
    </xdr:from>
    <xdr:to>
      <xdr:col>17</xdr:col>
      <xdr:colOff>571500</xdr:colOff>
      <xdr:row>60</xdr:row>
      <xdr:rowOff>38100</xdr:rowOff>
    </xdr:to>
    <xdr:sp macro="" textlink="">
      <xdr:nvSpPr>
        <xdr:cNvPr id="10839128" name="Arc 24">
          <a:extLst>
            <a:ext uri="{FF2B5EF4-FFF2-40B4-BE49-F238E27FC236}">
              <a16:creationId xmlns:a16="http://schemas.microsoft.com/office/drawing/2014/main" id="{00000000-0008-0000-0700-00005864A500}"/>
            </a:ext>
          </a:extLst>
        </xdr:cNvPr>
        <xdr:cNvSpPr>
          <a:spLocks/>
        </xdr:cNvSpPr>
      </xdr:nvSpPr>
      <xdr:spPr bwMode="auto">
        <a:xfrm>
          <a:off x="9401175" y="9496425"/>
          <a:ext cx="3019425" cy="151447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638175</xdr:colOff>
      <xdr:row>58</xdr:row>
      <xdr:rowOff>85725</xdr:rowOff>
    </xdr:from>
    <xdr:to>
      <xdr:col>6</xdr:col>
      <xdr:colOff>238125</xdr:colOff>
      <xdr:row>61</xdr:row>
      <xdr:rowOff>152400</xdr:rowOff>
    </xdr:to>
    <xdr:sp macro="" textlink="">
      <xdr:nvSpPr>
        <xdr:cNvPr id="10839129" name="Line 25">
          <a:extLst>
            <a:ext uri="{FF2B5EF4-FFF2-40B4-BE49-F238E27FC236}">
              <a16:creationId xmlns:a16="http://schemas.microsoft.com/office/drawing/2014/main" id="{00000000-0008-0000-0700-00005964A500}"/>
            </a:ext>
          </a:extLst>
        </xdr:cNvPr>
        <xdr:cNvSpPr>
          <a:spLocks noChangeShapeType="1"/>
        </xdr:cNvSpPr>
      </xdr:nvSpPr>
      <xdr:spPr bwMode="auto">
        <a:xfrm flipH="1">
          <a:off x="3686175" y="10715625"/>
          <a:ext cx="361950" cy="5715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152400</xdr:colOff>
      <xdr:row>38</xdr:row>
      <xdr:rowOff>9525</xdr:rowOff>
    </xdr:from>
    <xdr:to>
      <xdr:col>17</xdr:col>
      <xdr:colOff>104775</xdr:colOff>
      <xdr:row>46</xdr:row>
      <xdr:rowOff>0</xdr:rowOff>
    </xdr:to>
    <xdr:sp macro="" textlink="">
      <xdr:nvSpPr>
        <xdr:cNvPr id="10839130" name="Line 26">
          <a:extLst>
            <a:ext uri="{FF2B5EF4-FFF2-40B4-BE49-F238E27FC236}">
              <a16:creationId xmlns:a16="http://schemas.microsoft.com/office/drawing/2014/main" id="{00000000-0008-0000-0700-00005A64A500}"/>
            </a:ext>
          </a:extLst>
        </xdr:cNvPr>
        <xdr:cNvSpPr>
          <a:spLocks noChangeShapeType="1"/>
        </xdr:cNvSpPr>
      </xdr:nvSpPr>
      <xdr:spPr bwMode="auto">
        <a:xfrm>
          <a:off x="11315700" y="7067550"/>
          <a:ext cx="638175" cy="13620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76200</xdr:colOff>
      <xdr:row>38</xdr:row>
      <xdr:rowOff>0</xdr:rowOff>
    </xdr:from>
    <xdr:to>
      <xdr:col>11</xdr:col>
      <xdr:colOff>666750</xdr:colOff>
      <xdr:row>53</xdr:row>
      <xdr:rowOff>133350</xdr:rowOff>
    </xdr:to>
    <xdr:sp macro="" textlink="">
      <xdr:nvSpPr>
        <xdr:cNvPr id="10839131" name="Line 27">
          <a:extLst>
            <a:ext uri="{FF2B5EF4-FFF2-40B4-BE49-F238E27FC236}">
              <a16:creationId xmlns:a16="http://schemas.microsoft.com/office/drawing/2014/main" id="{00000000-0008-0000-0700-00005B64A500}"/>
            </a:ext>
          </a:extLst>
        </xdr:cNvPr>
        <xdr:cNvSpPr>
          <a:spLocks noChangeShapeType="1"/>
        </xdr:cNvSpPr>
      </xdr:nvSpPr>
      <xdr:spPr bwMode="auto">
        <a:xfrm>
          <a:off x="6734175" y="7058025"/>
          <a:ext cx="1257300" cy="27241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152400</xdr:colOff>
      <xdr:row>45</xdr:row>
      <xdr:rowOff>47625</xdr:rowOff>
    </xdr:from>
    <xdr:to>
      <xdr:col>11</xdr:col>
      <xdr:colOff>314325</xdr:colOff>
      <xdr:row>54</xdr:row>
      <xdr:rowOff>47625</xdr:rowOff>
    </xdr:to>
    <xdr:sp macro="" textlink="">
      <xdr:nvSpPr>
        <xdr:cNvPr id="10839132" name="Line 28">
          <a:extLst>
            <a:ext uri="{FF2B5EF4-FFF2-40B4-BE49-F238E27FC236}">
              <a16:creationId xmlns:a16="http://schemas.microsoft.com/office/drawing/2014/main" id="{00000000-0008-0000-0700-00005C64A500}"/>
            </a:ext>
          </a:extLst>
        </xdr:cNvPr>
        <xdr:cNvSpPr>
          <a:spLocks noChangeShapeType="1"/>
        </xdr:cNvSpPr>
      </xdr:nvSpPr>
      <xdr:spPr bwMode="auto">
        <a:xfrm>
          <a:off x="5438775" y="8296275"/>
          <a:ext cx="2200275" cy="15621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25</xdr:row>
      <xdr:rowOff>0</xdr:rowOff>
    </xdr:from>
    <xdr:to>
      <xdr:col>11</xdr:col>
      <xdr:colOff>123825</xdr:colOff>
      <xdr:row>25</xdr:row>
      <xdr:rowOff>0</xdr:rowOff>
    </xdr:to>
    <xdr:sp macro="" textlink="">
      <xdr:nvSpPr>
        <xdr:cNvPr id="10839133" name="Line 29">
          <a:extLst>
            <a:ext uri="{FF2B5EF4-FFF2-40B4-BE49-F238E27FC236}">
              <a16:creationId xmlns:a16="http://schemas.microsoft.com/office/drawing/2014/main" id="{00000000-0008-0000-0700-00005D64A500}"/>
            </a:ext>
          </a:extLst>
        </xdr:cNvPr>
        <xdr:cNvSpPr>
          <a:spLocks noChangeShapeType="1"/>
        </xdr:cNvSpPr>
      </xdr:nvSpPr>
      <xdr:spPr bwMode="auto">
        <a:xfrm>
          <a:off x="5962650" y="4800600"/>
          <a:ext cx="14859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600075</xdr:colOff>
      <xdr:row>20</xdr:row>
      <xdr:rowOff>0</xdr:rowOff>
    </xdr:from>
    <xdr:to>
      <xdr:col>13</xdr:col>
      <xdr:colOff>9525</xdr:colOff>
      <xdr:row>29</xdr:row>
      <xdr:rowOff>47625</xdr:rowOff>
    </xdr:to>
    <xdr:sp macro="" textlink="">
      <xdr:nvSpPr>
        <xdr:cNvPr id="10839134" name="Line 30">
          <a:extLst>
            <a:ext uri="{FF2B5EF4-FFF2-40B4-BE49-F238E27FC236}">
              <a16:creationId xmlns:a16="http://schemas.microsoft.com/office/drawing/2014/main" id="{00000000-0008-0000-0700-00005E64A500}"/>
            </a:ext>
          </a:extLst>
        </xdr:cNvPr>
        <xdr:cNvSpPr>
          <a:spLocks noChangeShapeType="1"/>
        </xdr:cNvSpPr>
      </xdr:nvSpPr>
      <xdr:spPr bwMode="auto">
        <a:xfrm>
          <a:off x="7924800" y="3924300"/>
          <a:ext cx="885825" cy="16287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171450</xdr:colOff>
      <xdr:row>19</xdr:row>
      <xdr:rowOff>171450</xdr:rowOff>
    </xdr:from>
    <xdr:to>
      <xdr:col>11</xdr:col>
      <xdr:colOff>619125</xdr:colOff>
      <xdr:row>19</xdr:row>
      <xdr:rowOff>171450</xdr:rowOff>
    </xdr:to>
    <xdr:sp macro="" textlink="">
      <xdr:nvSpPr>
        <xdr:cNvPr id="10839135" name="Line 31">
          <a:extLst>
            <a:ext uri="{FF2B5EF4-FFF2-40B4-BE49-F238E27FC236}">
              <a16:creationId xmlns:a16="http://schemas.microsoft.com/office/drawing/2014/main" id="{00000000-0008-0000-0700-00005F64A500}"/>
            </a:ext>
          </a:extLst>
        </xdr:cNvPr>
        <xdr:cNvSpPr>
          <a:spLocks noChangeShapeType="1"/>
        </xdr:cNvSpPr>
      </xdr:nvSpPr>
      <xdr:spPr bwMode="auto">
        <a:xfrm flipH="1">
          <a:off x="5457825" y="3905250"/>
          <a:ext cx="248602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504825</xdr:colOff>
      <xdr:row>58</xdr:row>
      <xdr:rowOff>38100</xdr:rowOff>
    </xdr:from>
    <xdr:to>
      <xdr:col>8</xdr:col>
      <xdr:colOff>257175</xdr:colOff>
      <xdr:row>61</xdr:row>
      <xdr:rowOff>28575</xdr:rowOff>
    </xdr:to>
    <xdr:sp macro="" textlink="">
      <xdr:nvSpPr>
        <xdr:cNvPr id="10839136" name="Line 32">
          <a:extLst>
            <a:ext uri="{FF2B5EF4-FFF2-40B4-BE49-F238E27FC236}">
              <a16:creationId xmlns:a16="http://schemas.microsoft.com/office/drawing/2014/main" id="{00000000-0008-0000-0700-00006064A500}"/>
            </a:ext>
          </a:extLst>
        </xdr:cNvPr>
        <xdr:cNvSpPr>
          <a:spLocks noChangeShapeType="1"/>
        </xdr:cNvSpPr>
      </xdr:nvSpPr>
      <xdr:spPr bwMode="auto">
        <a:xfrm flipH="1" flipV="1">
          <a:off x="5076825" y="10668000"/>
          <a:ext cx="466725" cy="495300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25</xdr:row>
      <xdr:rowOff>9525</xdr:rowOff>
    </xdr:from>
    <xdr:to>
      <xdr:col>7</xdr:col>
      <xdr:colOff>9525</xdr:colOff>
      <xdr:row>29</xdr:row>
      <xdr:rowOff>38100</xdr:rowOff>
    </xdr:to>
    <xdr:sp macro="" textlink="">
      <xdr:nvSpPr>
        <xdr:cNvPr id="10839137" name="Line 33">
          <a:extLst>
            <a:ext uri="{FF2B5EF4-FFF2-40B4-BE49-F238E27FC236}">
              <a16:creationId xmlns:a16="http://schemas.microsoft.com/office/drawing/2014/main" id="{00000000-0008-0000-0700-00006164A500}"/>
            </a:ext>
          </a:extLst>
        </xdr:cNvPr>
        <xdr:cNvSpPr>
          <a:spLocks noChangeShapeType="1"/>
        </xdr:cNvSpPr>
      </xdr:nvSpPr>
      <xdr:spPr bwMode="auto">
        <a:xfrm flipH="1">
          <a:off x="4572000" y="4810125"/>
          <a:ext cx="9525" cy="7334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247650</xdr:colOff>
      <xdr:row>11</xdr:row>
      <xdr:rowOff>0</xdr:rowOff>
    </xdr:from>
    <xdr:to>
      <xdr:col>6</xdr:col>
      <xdr:colOff>657225</xdr:colOff>
      <xdr:row>16</xdr:row>
      <xdr:rowOff>57150</xdr:rowOff>
    </xdr:to>
    <xdr:sp macro="" textlink="">
      <xdr:nvSpPr>
        <xdr:cNvPr id="10839138" name="Line 34">
          <a:extLst>
            <a:ext uri="{FF2B5EF4-FFF2-40B4-BE49-F238E27FC236}">
              <a16:creationId xmlns:a16="http://schemas.microsoft.com/office/drawing/2014/main" id="{00000000-0008-0000-0700-00006264A500}"/>
            </a:ext>
          </a:extLst>
        </xdr:cNvPr>
        <xdr:cNvSpPr>
          <a:spLocks noChangeShapeType="1"/>
        </xdr:cNvSpPr>
      </xdr:nvSpPr>
      <xdr:spPr bwMode="auto">
        <a:xfrm flipH="1" flipV="1">
          <a:off x="4057650" y="2314575"/>
          <a:ext cx="409575" cy="9715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66675</xdr:colOff>
      <xdr:row>34</xdr:row>
      <xdr:rowOff>9525</xdr:rowOff>
    </xdr:from>
    <xdr:to>
      <xdr:col>8</xdr:col>
      <xdr:colOff>571500</xdr:colOff>
      <xdr:row>34</xdr:row>
      <xdr:rowOff>9525</xdr:rowOff>
    </xdr:to>
    <xdr:sp macro="" textlink="">
      <xdr:nvSpPr>
        <xdr:cNvPr id="10839139" name="Line 35">
          <a:extLst>
            <a:ext uri="{FF2B5EF4-FFF2-40B4-BE49-F238E27FC236}">
              <a16:creationId xmlns:a16="http://schemas.microsoft.com/office/drawing/2014/main" id="{00000000-0008-0000-0700-00006364A500}"/>
            </a:ext>
          </a:extLst>
        </xdr:cNvPr>
        <xdr:cNvSpPr>
          <a:spLocks noChangeShapeType="1"/>
        </xdr:cNvSpPr>
      </xdr:nvSpPr>
      <xdr:spPr bwMode="auto">
        <a:xfrm>
          <a:off x="5353050" y="6419850"/>
          <a:ext cx="50482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523875</xdr:colOff>
      <xdr:row>38</xdr:row>
      <xdr:rowOff>28575</xdr:rowOff>
    </xdr:from>
    <xdr:to>
      <xdr:col>15</xdr:col>
      <xdr:colOff>466725</xdr:colOff>
      <xdr:row>52</xdr:row>
      <xdr:rowOff>85725</xdr:rowOff>
    </xdr:to>
    <xdr:sp macro="" textlink="">
      <xdr:nvSpPr>
        <xdr:cNvPr id="10839140" name="Line 36">
          <a:extLst>
            <a:ext uri="{FF2B5EF4-FFF2-40B4-BE49-F238E27FC236}">
              <a16:creationId xmlns:a16="http://schemas.microsoft.com/office/drawing/2014/main" id="{00000000-0008-0000-0700-00006464A500}"/>
            </a:ext>
          </a:extLst>
        </xdr:cNvPr>
        <xdr:cNvSpPr>
          <a:spLocks noChangeShapeType="1"/>
        </xdr:cNvSpPr>
      </xdr:nvSpPr>
      <xdr:spPr bwMode="auto">
        <a:xfrm flipV="1">
          <a:off x="10191750" y="7086600"/>
          <a:ext cx="638175" cy="2457450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</xdr:colOff>
      <xdr:row>13</xdr:row>
      <xdr:rowOff>0</xdr:rowOff>
    </xdr:from>
    <xdr:to>
      <xdr:col>6</xdr:col>
      <xdr:colOff>428625</xdr:colOff>
      <xdr:row>16</xdr:row>
      <xdr:rowOff>152400</xdr:rowOff>
    </xdr:to>
    <xdr:sp macro="" textlink="">
      <xdr:nvSpPr>
        <xdr:cNvPr id="10839141" name="Line 37">
          <a:extLst>
            <a:ext uri="{FF2B5EF4-FFF2-40B4-BE49-F238E27FC236}">
              <a16:creationId xmlns:a16="http://schemas.microsoft.com/office/drawing/2014/main" id="{00000000-0008-0000-0700-00006564A500}"/>
            </a:ext>
          </a:extLst>
        </xdr:cNvPr>
        <xdr:cNvSpPr>
          <a:spLocks noChangeShapeType="1"/>
        </xdr:cNvSpPr>
      </xdr:nvSpPr>
      <xdr:spPr bwMode="auto">
        <a:xfrm>
          <a:off x="3114675" y="2705100"/>
          <a:ext cx="1123950" cy="6762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33</xdr:row>
      <xdr:rowOff>161925</xdr:rowOff>
    </xdr:from>
    <xdr:to>
      <xdr:col>11</xdr:col>
      <xdr:colOff>695325</xdr:colOff>
      <xdr:row>33</xdr:row>
      <xdr:rowOff>161925</xdr:rowOff>
    </xdr:to>
    <xdr:sp macro="" textlink="">
      <xdr:nvSpPr>
        <xdr:cNvPr id="10839142" name="Line 38">
          <a:extLst>
            <a:ext uri="{FF2B5EF4-FFF2-40B4-BE49-F238E27FC236}">
              <a16:creationId xmlns:a16="http://schemas.microsoft.com/office/drawing/2014/main" id="{00000000-0008-0000-0700-00006664A500}"/>
            </a:ext>
          </a:extLst>
        </xdr:cNvPr>
        <xdr:cNvSpPr>
          <a:spLocks noChangeShapeType="1"/>
        </xdr:cNvSpPr>
      </xdr:nvSpPr>
      <xdr:spPr bwMode="auto">
        <a:xfrm>
          <a:off x="7391400" y="6391275"/>
          <a:ext cx="6286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25</xdr:row>
      <xdr:rowOff>0</xdr:rowOff>
    </xdr:from>
    <xdr:to>
      <xdr:col>9</xdr:col>
      <xdr:colOff>28575</xdr:colOff>
      <xdr:row>30</xdr:row>
      <xdr:rowOff>114300</xdr:rowOff>
    </xdr:to>
    <xdr:sp macro="" textlink="">
      <xdr:nvSpPr>
        <xdr:cNvPr id="10839143" name="Line 39">
          <a:extLst>
            <a:ext uri="{FF2B5EF4-FFF2-40B4-BE49-F238E27FC236}">
              <a16:creationId xmlns:a16="http://schemas.microsoft.com/office/drawing/2014/main" id="{00000000-0008-0000-0700-00006764A500}"/>
            </a:ext>
          </a:extLst>
        </xdr:cNvPr>
        <xdr:cNvSpPr>
          <a:spLocks noChangeShapeType="1"/>
        </xdr:cNvSpPr>
      </xdr:nvSpPr>
      <xdr:spPr bwMode="auto">
        <a:xfrm flipH="1">
          <a:off x="5105400" y="4800600"/>
          <a:ext cx="876300" cy="9810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114300</xdr:colOff>
      <xdr:row>25</xdr:row>
      <xdr:rowOff>9525</xdr:rowOff>
    </xdr:from>
    <xdr:to>
      <xdr:col>12</xdr:col>
      <xdr:colOff>142875</xdr:colOff>
      <xdr:row>30</xdr:row>
      <xdr:rowOff>76200</xdr:rowOff>
    </xdr:to>
    <xdr:sp macro="" textlink="">
      <xdr:nvSpPr>
        <xdr:cNvPr id="10839144" name="Line 40">
          <a:extLst>
            <a:ext uri="{FF2B5EF4-FFF2-40B4-BE49-F238E27FC236}">
              <a16:creationId xmlns:a16="http://schemas.microsoft.com/office/drawing/2014/main" id="{00000000-0008-0000-0700-00006864A500}"/>
            </a:ext>
          </a:extLst>
        </xdr:cNvPr>
        <xdr:cNvSpPr>
          <a:spLocks noChangeShapeType="1"/>
        </xdr:cNvSpPr>
      </xdr:nvSpPr>
      <xdr:spPr bwMode="auto">
        <a:xfrm>
          <a:off x="7439025" y="4810125"/>
          <a:ext cx="809625" cy="933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52</xdr:row>
      <xdr:rowOff>104775</xdr:rowOff>
    </xdr:from>
    <xdr:to>
      <xdr:col>12</xdr:col>
      <xdr:colOff>561975</xdr:colOff>
      <xdr:row>52</xdr:row>
      <xdr:rowOff>114300</xdr:rowOff>
    </xdr:to>
    <xdr:sp macro="" textlink="">
      <xdr:nvSpPr>
        <xdr:cNvPr id="10839145" name="Arc 41">
          <a:extLst>
            <a:ext uri="{FF2B5EF4-FFF2-40B4-BE49-F238E27FC236}">
              <a16:creationId xmlns:a16="http://schemas.microsoft.com/office/drawing/2014/main" id="{00000000-0008-0000-0700-00006964A500}"/>
            </a:ext>
          </a:extLst>
        </xdr:cNvPr>
        <xdr:cNvSpPr>
          <a:spLocks/>
        </xdr:cNvSpPr>
      </xdr:nvSpPr>
      <xdr:spPr bwMode="auto">
        <a:xfrm flipV="1">
          <a:off x="8610600" y="9563100"/>
          <a:ext cx="57150" cy="95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85725</xdr:rowOff>
    </xdr:from>
    <xdr:to>
      <xdr:col>13</xdr:col>
      <xdr:colOff>152400</xdr:colOff>
      <xdr:row>52</xdr:row>
      <xdr:rowOff>85725</xdr:rowOff>
    </xdr:to>
    <xdr:sp macro="" textlink="">
      <xdr:nvSpPr>
        <xdr:cNvPr id="10839146" name="Arc 42">
          <a:extLst>
            <a:ext uri="{FF2B5EF4-FFF2-40B4-BE49-F238E27FC236}">
              <a16:creationId xmlns:a16="http://schemas.microsoft.com/office/drawing/2014/main" id="{00000000-0008-0000-0700-00006A64A500}"/>
            </a:ext>
          </a:extLst>
        </xdr:cNvPr>
        <xdr:cNvSpPr>
          <a:spLocks/>
        </xdr:cNvSpPr>
      </xdr:nvSpPr>
      <xdr:spPr bwMode="auto">
        <a:xfrm flipH="1">
          <a:off x="8924925" y="954405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66675</xdr:rowOff>
    </xdr:from>
    <xdr:to>
      <xdr:col>13</xdr:col>
      <xdr:colOff>152400</xdr:colOff>
      <xdr:row>52</xdr:row>
      <xdr:rowOff>85725</xdr:rowOff>
    </xdr:to>
    <xdr:sp macro="" textlink="">
      <xdr:nvSpPr>
        <xdr:cNvPr id="10839147" name="Arc 43">
          <a:extLst>
            <a:ext uri="{FF2B5EF4-FFF2-40B4-BE49-F238E27FC236}">
              <a16:creationId xmlns:a16="http://schemas.microsoft.com/office/drawing/2014/main" id="{00000000-0008-0000-0700-00006B64A500}"/>
            </a:ext>
          </a:extLst>
        </xdr:cNvPr>
        <xdr:cNvSpPr>
          <a:spLocks/>
        </xdr:cNvSpPr>
      </xdr:nvSpPr>
      <xdr:spPr bwMode="auto">
        <a:xfrm>
          <a:off x="8924925" y="9525000"/>
          <a:ext cx="28575" cy="190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4 h 21600"/>
            <a:gd name="T4" fmla="*/ 0 w 21600"/>
            <a:gd name="T5" fmla="*/ 4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104775</xdr:colOff>
      <xdr:row>52</xdr:row>
      <xdr:rowOff>66675</xdr:rowOff>
    </xdr:from>
    <xdr:to>
      <xdr:col>13</xdr:col>
      <xdr:colOff>161925</xdr:colOff>
      <xdr:row>58</xdr:row>
      <xdr:rowOff>0</xdr:rowOff>
    </xdr:to>
    <xdr:sp macro="" textlink="">
      <xdr:nvSpPr>
        <xdr:cNvPr id="10839148" name="Arc 44">
          <a:extLst>
            <a:ext uri="{FF2B5EF4-FFF2-40B4-BE49-F238E27FC236}">
              <a16:creationId xmlns:a16="http://schemas.microsoft.com/office/drawing/2014/main" id="{00000000-0008-0000-0700-00006C64A500}"/>
            </a:ext>
          </a:extLst>
        </xdr:cNvPr>
        <xdr:cNvSpPr>
          <a:spLocks/>
        </xdr:cNvSpPr>
      </xdr:nvSpPr>
      <xdr:spPr bwMode="auto">
        <a:xfrm flipV="1">
          <a:off x="6762750" y="9525000"/>
          <a:ext cx="2200275" cy="110490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676275</xdr:colOff>
      <xdr:row>38</xdr:row>
      <xdr:rowOff>28575</xdr:rowOff>
    </xdr:from>
    <xdr:to>
      <xdr:col>13</xdr:col>
      <xdr:colOff>0</xdr:colOff>
      <xdr:row>52</xdr:row>
      <xdr:rowOff>76200</xdr:rowOff>
    </xdr:to>
    <xdr:sp macro="" textlink="">
      <xdr:nvSpPr>
        <xdr:cNvPr id="10839149" name="Line 45">
          <a:extLst>
            <a:ext uri="{FF2B5EF4-FFF2-40B4-BE49-F238E27FC236}">
              <a16:creationId xmlns:a16="http://schemas.microsoft.com/office/drawing/2014/main" id="{00000000-0008-0000-0700-00006D64A500}"/>
            </a:ext>
          </a:extLst>
        </xdr:cNvPr>
        <xdr:cNvSpPr>
          <a:spLocks noChangeShapeType="1"/>
        </xdr:cNvSpPr>
      </xdr:nvSpPr>
      <xdr:spPr bwMode="auto">
        <a:xfrm>
          <a:off x="8782050" y="7086600"/>
          <a:ext cx="19050" cy="24479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161925</xdr:colOff>
      <xdr:row>34</xdr:row>
      <xdr:rowOff>0</xdr:rowOff>
    </xdr:from>
    <xdr:to>
      <xdr:col>3</xdr:col>
      <xdr:colOff>142875</xdr:colOff>
      <xdr:row>34</xdr:row>
      <xdr:rowOff>0</xdr:rowOff>
    </xdr:to>
    <xdr:sp macro="" textlink="">
      <xdr:nvSpPr>
        <xdr:cNvPr id="10839150" name="Line 46">
          <a:extLst>
            <a:ext uri="{FF2B5EF4-FFF2-40B4-BE49-F238E27FC236}">
              <a16:creationId xmlns:a16="http://schemas.microsoft.com/office/drawing/2014/main" id="{00000000-0008-0000-0700-00006E64A500}"/>
            </a:ext>
          </a:extLst>
        </xdr:cNvPr>
        <xdr:cNvSpPr>
          <a:spLocks noChangeShapeType="1"/>
        </xdr:cNvSpPr>
      </xdr:nvSpPr>
      <xdr:spPr bwMode="auto">
        <a:xfrm flipH="1">
          <a:off x="1038225" y="6410325"/>
          <a:ext cx="8191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552450</xdr:colOff>
      <xdr:row>61</xdr:row>
      <xdr:rowOff>95250</xdr:rowOff>
    </xdr:from>
    <xdr:to>
      <xdr:col>6</xdr:col>
      <xdr:colOff>95250</xdr:colOff>
      <xdr:row>66</xdr:row>
      <xdr:rowOff>123825</xdr:rowOff>
    </xdr:to>
    <xdr:sp macro="" textlink="">
      <xdr:nvSpPr>
        <xdr:cNvPr id="10839151" name="Oval 47">
          <a:extLst>
            <a:ext uri="{FF2B5EF4-FFF2-40B4-BE49-F238E27FC236}">
              <a16:creationId xmlns:a16="http://schemas.microsoft.com/office/drawing/2014/main" id="{00000000-0008-0000-0700-00006F64A500}"/>
            </a:ext>
          </a:extLst>
        </xdr:cNvPr>
        <xdr:cNvSpPr>
          <a:spLocks noChangeArrowheads="1"/>
        </xdr:cNvSpPr>
      </xdr:nvSpPr>
      <xdr:spPr bwMode="auto">
        <a:xfrm>
          <a:off x="2962275" y="11229975"/>
          <a:ext cx="942975" cy="8953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581025</xdr:colOff>
      <xdr:row>61</xdr:row>
      <xdr:rowOff>28575</xdr:rowOff>
    </xdr:from>
    <xdr:to>
      <xdr:col>9</xdr:col>
      <xdr:colOff>180975</xdr:colOff>
      <xdr:row>66</xdr:row>
      <xdr:rowOff>101600</xdr:rowOff>
    </xdr:to>
    <xdr:sp macro="" textlink="">
      <xdr:nvSpPr>
        <xdr:cNvPr id="10839152" name="Oval 48">
          <a:extLst>
            <a:ext uri="{FF2B5EF4-FFF2-40B4-BE49-F238E27FC236}">
              <a16:creationId xmlns:a16="http://schemas.microsoft.com/office/drawing/2014/main" id="{00000000-0008-0000-0700-00007064A500}"/>
            </a:ext>
          </a:extLst>
        </xdr:cNvPr>
        <xdr:cNvSpPr>
          <a:spLocks noChangeArrowheads="1"/>
        </xdr:cNvSpPr>
      </xdr:nvSpPr>
      <xdr:spPr bwMode="auto">
        <a:xfrm>
          <a:off x="5153025" y="11306175"/>
          <a:ext cx="984250" cy="9112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114300</xdr:colOff>
      <xdr:row>38</xdr:row>
      <xdr:rowOff>0</xdr:rowOff>
    </xdr:from>
    <xdr:to>
      <xdr:col>13</xdr:col>
      <xdr:colOff>355600</xdr:colOff>
      <xdr:row>52</xdr:row>
      <xdr:rowOff>76200</xdr:rowOff>
    </xdr:to>
    <xdr:sp macro="" textlink="">
      <xdr:nvSpPr>
        <xdr:cNvPr id="10839153" name="Line 49">
          <a:extLst>
            <a:ext uri="{FF2B5EF4-FFF2-40B4-BE49-F238E27FC236}">
              <a16:creationId xmlns:a16="http://schemas.microsoft.com/office/drawing/2014/main" id="{00000000-0008-0000-0700-00007164A500}"/>
            </a:ext>
          </a:extLst>
        </xdr:cNvPr>
        <xdr:cNvSpPr>
          <a:spLocks noChangeShapeType="1"/>
        </xdr:cNvSpPr>
      </xdr:nvSpPr>
      <xdr:spPr bwMode="auto">
        <a:xfrm>
          <a:off x="8940800" y="7188200"/>
          <a:ext cx="241300" cy="25019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619125</xdr:colOff>
      <xdr:row>38</xdr:row>
      <xdr:rowOff>47625</xdr:rowOff>
    </xdr:from>
    <xdr:to>
      <xdr:col>15</xdr:col>
      <xdr:colOff>600075</xdr:colOff>
      <xdr:row>52</xdr:row>
      <xdr:rowOff>123825</xdr:rowOff>
    </xdr:to>
    <xdr:sp macro="" textlink="">
      <xdr:nvSpPr>
        <xdr:cNvPr id="10839154" name="Line 50">
          <a:extLst>
            <a:ext uri="{FF2B5EF4-FFF2-40B4-BE49-F238E27FC236}">
              <a16:creationId xmlns:a16="http://schemas.microsoft.com/office/drawing/2014/main" id="{00000000-0008-0000-0700-00007264A500}"/>
            </a:ext>
          </a:extLst>
        </xdr:cNvPr>
        <xdr:cNvSpPr>
          <a:spLocks noChangeShapeType="1"/>
        </xdr:cNvSpPr>
      </xdr:nvSpPr>
      <xdr:spPr bwMode="auto">
        <a:xfrm flipV="1">
          <a:off x="10287000" y="7105650"/>
          <a:ext cx="676275" cy="24765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18</xdr:row>
      <xdr:rowOff>104775</xdr:rowOff>
    </xdr:from>
    <xdr:to>
      <xdr:col>6</xdr:col>
      <xdr:colOff>0</xdr:colOff>
      <xdr:row>26</xdr:row>
      <xdr:rowOff>0</xdr:rowOff>
    </xdr:to>
    <xdr:sp macro="" textlink="">
      <xdr:nvSpPr>
        <xdr:cNvPr id="10839155" name="Oval 51">
          <a:extLst>
            <a:ext uri="{FF2B5EF4-FFF2-40B4-BE49-F238E27FC236}">
              <a16:creationId xmlns:a16="http://schemas.microsoft.com/office/drawing/2014/main" id="{00000000-0008-0000-0700-00007364A500}"/>
            </a:ext>
          </a:extLst>
        </xdr:cNvPr>
        <xdr:cNvSpPr>
          <a:spLocks noChangeArrowheads="1"/>
        </xdr:cNvSpPr>
      </xdr:nvSpPr>
      <xdr:spPr bwMode="auto">
        <a:xfrm>
          <a:off x="2419350" y="3657600"/>
          <a:ext cx="1390650" cy="13335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47625</xdr:colOff>
      <xdr:row>16</xdr:row>
      <xdr:rowOff>38100</xdr:rowOff>
    </xdr:from>
    <xdr:to>
      <xdr:col>4</xdr:col>
      <xdr:colOff>257175</xdr:colOff>
      <xdr:row>19</xdr:row>
      <xdr:rowOff>76200</xdr:rowOff>
    </xdr:to>
    <xdr:sp macro="" textlink="">
      <xdr:nvSpPr>
        <xdr:cNvPr id="10839156" name="Line 52">
          <a:extLst>
            <a:ext uri="{FF2B5EF4-FFF2-40B4-BE49-F238E27FC236}">
              <a16:creationId xmlns:a16="http://schemas.microsoft.com/office/drawing/2014/main" id="{00000000-0008-0000-0700-00007464A500}"/>
            </a:ext>
          </a:extLst>
        </xdr:cNvPr>
        <xdr:cNvSpPr>
          <a:spLocks noChangeShapeType="1"/>
        </xdr:cNvSpPr>
      </xdr:nvSpPr>
      <xdr:spPr bwMode="auto">
        <a:xfrm flipH="1" flipV="1">
          <a:off x="2457450" y="3267075"/>
          <a:ext cx="209550" cy="5429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15</xdr:row>
      <xdr:rowOff>123825</xdr:rowOff>
    </xdr:from>
    <xdr:to>
      <xdr:col>3</xdr:col>
      <xdr:colOff>533400</xdr:colOff>
      <xdr:row>30</xdr:row>
      <xdr:rowOff>104775</xdr:rowOff>
    </xdr:to>
    <xdr:sp macro="" textlink="">
      <xdr:nvSpPr>
        <xdr:cNvPr id="10839157" name="Line 53">
          <a:extLst>
            <a:ext uri="{FF2B5EF4-FFF2-40B4-BE49-F238E27FC236}">
              <a16:creationId xmlns:a16="http://schemas.microsoft.com/office/drawing/2014/main" id="{00000000-0008-0000-0700-00007564A500}"/>
            </a:ext>
          </a:extLst>
        </xdr:cNvPr>
        <xdr:cNvSpPr>
          <a:spLocks noChangeShapeType="1"/>
        </xdr:cNvSpPr>
      </xdr:nvSpPr>
      <xdr:spPr bwMode="auto">
        <a:xfrm flipV="1">
          <a:off x="2200275" y="3190875"/>
          <a:ext cx="47625" cy="25812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485775</xdr:colOff>
      <xdr:row>41</xdr:row>
      <xdr:rowOff>9525</xdr:rowOff>
    </xdr:from>
    <xdr:to>
      <xdr:col>8</xdr:col>
      <xdr:colOff>200025</xdr:colOff>
      <xdr:row>47</xdr:row>
      <xdr:rowOff>76200</xdr:rowOff>
    </xdr:to>
    <xdr:sp macro="" textlink="">
      <xdr:nvSpPr>
        <xdr:cNvPr id="10839158" name="Oval 54">
          <a:extLst>
            <a:ext uri="{FF2B5EF4-FFF2-40B4-BE49-F238E27FC236}">
              <a16:creationId xmlns:a16="http://schemas.microsoft.com/office/drawing/2014/main" id="{00000000-0008-0000-0700-00007664A500}"/>
            </a:ext>
          </a:extLst>
        </xdr:cNvPr>
        <xdr:cNvSpPr>
          <a:spLocks noChangeArrowheads="1"/>
        </xdr:cNvSpPr>
      </xdr:nvSpPr>
      <xdr:spPr bwMode="auto">
        <a:xfrm>
          <a:off x="3533775" y="7610475"/>
          <a:ext cx="1952625" cy="10572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695325</xdr:colOff>
      <xdr:row>36</xdr:row>
      <xdr:rowOff>104775</xdr:rowOff>
    </xdr:from>
    <xdr:to>
      <xdr:col>9</xdr:col>
      <xdr:colOff>95250</xdr:colOff>
      <xdr:row>42</xdr:row>
      <xdr:rowOff>38100</xdr:rowOff>
    </xdr:to>
    <xdr:sp macro="" textlink="">
      <xdr:nvSpPr>
        <xdr:cNvPr id="10839159" name="Line 55">
          <a:extLst>
            <a:ext uri="{FF2B5EF4-FFF2-40B4-BE49-F238E27FC236}">
              <a16:creationId xmlns:a16="http://schemas.microsoft.com/office/drawing/2014/main" id="{00000000-0008-0000-0700-00007764A500}"/>
            </a:ext>
          </a:extLst>
        </xdr:cNvPr>
        <xdr:cNvSpPr>
          <a:spLocks noChangeShapeType="1"/>
        </xdr:cNvSpPr>
      </xdr:nvSpPr>
      <xdr:spPr bwMode="auto">
        <a:xfrm flipH="1">
          <a:off x="5267325" y="6838950"/>
          <a:ext cx="781050" cy="962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466725</xdr:colOff>
      <xdr:row>41</xdr:row>
      <xdr:rowOff>0</xdr:rowOff>
    </xdr:from>
    <xdr:to>
      <xdr:col>8</xdr:col>
      <xdr:colOff>190500</xdr:colOff>
      <xdr:row>59</xdr:row>
      <xdr:rowOff>28575</xdr:rowOff>
    </xdr:to>
    <xdr:sp macro="" textlink="">
      <xdr:nvSpPr>
        <xdr:cNvPr id="10839160" name="Rectangle 56">
          <a:extLst>
            <a:ext uri="{FF2B5EF4-FFF2-40B4-BE49-F238E27FC236}">
              <a16:creationId xmlns:a16="http://schemas.microsoft.com/office/drawing/2014/main" id="{00000000-0008-0000-0700-00007864A500}"/>
            </a:ext>
          </a:extLst>
        </xdr:cNvPr>
        <xdr:cNvSpPr>
          <a:spLocks noChangeArrowheads="1"/>
        </xdr:cNvSpPr>
      </xdr:nvSpPr>
      <xdr:spPr bwMode="auto">
        <a:xfrm>
          <a:off x="3514725" y="7600950"/>
          <a:ext cx="1962150" cy="32385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352425</xdr:colOff>
      <xdr:row>45</xdr:row>
      <xdr:rowOff>85725</xdr:rowOff>
    </xdr:from>
    <xdr:to>
      <xdr:col>5</xdr:col>
      <xdr:colOff>561975</xdr:colOff>
      <xdr:row>47</xdr:row>
      <xdr:rowOff>38100</xdr:rowOff>
    </xdr:to>
    <xdr:sp macro="" textlink="">
      <xdr:nvSpPr>
        <xdr:cNvPr id="10839161" name="Line 57">
          <a:extLst>
            <a:ext uri="{FF2B5EF4-FFF2-40B4-BE49-F238E27FC236}">
              <a16:creationId xmlns:a16="http://schemas.microsoft.com/office/drawing/2014/main" id="{00000000-0008-0000-0700-00007964A500}"/>
            </a:ext>
          </a:extLst>
        </xdr:cNvPr>
        <xdr:cNvSpPr>
          <a:spLocks noChangeShapeType="1"/>
        </xdr:cNvSpPr>
      </xdr:nvSpPr>
      <xdr:spPr bwMode="auto">
        <a:xfrm flipH="1">
          <a:off x="2762250" y="8334375"/>
          <a:ext cx="847725" cy="2952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</xdr:row>
      <xdr:rowOff>0</xdr:rowOff>
    </xdr:from>
    <xdr:to>
      <xdr:col>7</xdr:col>
      <xdr:colOff>0</xdr:colOff>
      <xdr:row>41</xdr:row>
      <xdr:rowOff>9525</xdr:rowOff>
    </xdr:to>
    <xdr:sp macro="" textlink="">
      <xdr:nvSpPr>
        <xdr:cNvPr id="10839162" name="Line 58">
          <a:extLst>
            <a:ext uri="{FF2B5EF4-FFF2-40B4-BE49-F238E27FC236}">
              <a16:creationId xmlns:a16="http://schemas.microsoft.com/office/drawing/2014/main" id="{00000000-0008-0000-0700-00007A64A500}"/>
            </a:ext>
          </a:extLst>
        </xdr:cNvPr>
        <xdr:cNvSpPr>
          <a:spLocks noChangeShapeType="1"/>
        </xdr:cNvSpPr>
      </xdr:nvSpPr>
      <xdr:spPr bwMode="auto">
        <a:xfrm>
          <a:off x="4572000" y="7058025"/>
          <a:ext cx="0" cy="552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839163" name="Line 59">
          <a:extLst>
            <a:ext uri="{FF2B5EF4-FFF2-40B4-BE49-F238E27FC236}">
              <a16:creationId xmlns:a16="http://schemas.microsoft.com/office/drawing/2014/main" id="{00000000-0008-0000-0700-00007B64A500}"/>
            </a:ext>
          </a:extLst>
        </xdr:cNvPr>
        <xdr:cNvSpPr>
          <a:spLocks noChangeShapeType="1"/>
        </xdr:cNvSpPr>
      </xdr:nvSpPr>
      <xdr:spPr bwMode="auto">
        <a:xfrm flipH="1">
          <a:off x="13230225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0</xdr:row>
      <xdr:rowOff>0</xdr:rowOff>
    </xdr:from>
    <xdr:to>
      <xdr:col>4</xdr:col>
      <xdr:colOff>371475</xdr:colOff>
      <xdr:row>0</xdr:row>
      <xdr:rowOff>0</xdr:rowOff>
    </xdr:to>
    <xdr:sp macro="" textlink="">
      <xdr:nvSpPr>
        <xdr:cNvPr id="10839164" name="Arc 60">
          <a:extLst>
            <a:ext uri="{FF2B5EF4-FFF2-40B4-BE49-F238E27FC236}">
              <a16:creationId xmlns:a16="http://schemas.microsoft.com/office/drawing/2014/main" id="{00000000-0008-0000-0700-00007C64A500}"/>
            </a:ext>
          </a:extLst>
        </xdr:cNvPr>
        <xdr:cNvSpPr>
          <a:spLocks/>
        </xdr:cNvSpPr>
      </xdr:nvSpPr>
      <xdr:spPr bwMode="auto">
        <a:xfrm flipH="1" flipV="1">
          <a:off x="2771775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39165" name="Line 61">
          <a:extLst>
            <a:ext uri="{FF2B5EF4-FFF2-40B4-BE49-F238E27FC236}">
              <a16:creationId xmlns:a16="http://schemas.microsoft.com/office/drawing/2014/main" id="{00000000-0008-0000-0700-00007D64A500}"/>
            </a:ext>
          </a:extLst>
        </xdr:cNvPr>
        <xdr:cNvSpPr>
          <a:spLocks noChangeShapeType="1"/>
        </xdr:cNvSpPr>
      </xdr:nvSpPr>
      <xdr:spPr bwMode="auto">
        <a:xfrm flipV="1">
          <a:off x="457200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0</xdr:row>
      <xdr:rowOff>0</xdr:rowOff>
    </xdr:from>
    <xdr:to>
      <xdr:col>12</xdr:col>
      <xdr:colOff>561975</xdr:colOff>
      <xdr:row>0</xdr:row>
      <xdr:rowOff>0</xdr:rowOff>
    </xdr:to>
    <xdr:sp macro="" textlink="">
      <xdr:nvSpPr>
        <xdr:cNvPr id="10839166" name="Arc 62">
          <a:extLst>
            <a:ext uri="{FF2B5EF4-FFF2-40B4-BE49-F238E27FC236}">
              <a16:creationId xmlns:a16="http://schemas.microsoft.com/office/drawing/2014/main" id="{00000000-0008-0000-0700-00007E64A500}"/>
            </a:ext>
          </a:extLst>
        </xdr:cNvPr>
        <xdr:cNvSpPr>
          <a:spLocks/>
        </xdr:cNvSpPr>
      </xdr:nvSpPr>
      <xdr:spPr bwMode="auto">
        <a:xfrm flipV="1">
          <a:off x="8610600" y="0"/>
          <a:ext cx="57150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39167" name="Arc 63">
          <a:extLst>
            <a:ext uri="{FF2B5EF4-FFF2-40B4-BE49-F238E27FC236}">
              <a16:creationId xmlns:a16="http://schemas.microsoft.com/office/drawing/2014/main" id="{00000000-0008-0000-0700-00007F64A500}"/>
            </a:ext>
          </a:extLst>
        </xdr:cNvPr>
        <xdr:cNvSpPr>
          <a:spLocks/>
        </xdr:cNvSpPr>
      </xdr:nvSpPr>
      <xdr:spPr bwMode="auto">
        <a:xfrm flipH="1">
          <a:off x="8924925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39168" name="Arc 64">
          <a:extLst>
            <a:ext uri="{FF2B5EF4-FFF2-40B4-BE49-F238E27FC236}">
              <a16:creationId xmlns:a16="http://schemas.microsoft.com/office/drawing/2014/main" id="{00000000-0008-0000-0700-00008064A500}"/>
            </a:ext>
          </a:extLst>
        </xdr:cNvPr>
        <xdr:cNvSpPr>
          <a:spLocks/>
        </xdr:cNvSpPr>
      </xdr:nvSpPr>
      <xdr:spPr bwMode="auto">
        <a:xfrm>
          <a:off x="8924925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39169" name="Line 65">
          <a:extLst>
            <a:ext uri="{FF2B5EF4-FFF2-40B4-BE49-F238E27FC236}">
              <a16:creationId xmlns:a16="http://schemas.microsoft.com/office/drawing/2014/main" id="{00000000-0008-0000-0700-00008164A500}"/>
            </a:ext>
          </a:extLst>
        </xdr:cNvPr>
        <xdr:cNvSpPr>
          <a:spLocks noChangeShapeType="1"/>
        </xdr:cNvSpPr>
      </xdr:nvSpPr>
      <xdr:spPr bwMode="auto">
        <a:xfrm>
          <a:off x="457200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9170" name="Line 66">
          <a:extLst>
            <a:ext uri="{FF2B5EF4-FFF2-40B4-BE49-F238E27FC236}">
              <a16:creationId xmlns:a16="http://schemas.microsoft.com/office/drawing/2014/main" id="{00000000-0008-0000-0700-00008264A500}"/>
            </a:ext>
          </a:extLst>
        </xdr:cNvPr>
        <xdr:cNvSpPr>
          <a:spLocks noChangeShapeType="1"/>
        </xdr:cNvSpPr>
      </xdr:nvSpPr>
      <xdr:spPr bwMode="auto">
        <a:xfrm flipH="1">
          <a:off x="13230225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9171" name="Line 67">
          <a:extLst>
            <a:ext uri="{FF2B5EF4-FFF2-40B4-BE49-F238E27FC236}">
              <a16:creationId xmlns:a16="http://schemas.microsoft.com/office/drawing/2014/main" id="{00000000-0008-0000-0700-00008364A500}"/>
            </a:ext>
          </a:extLst>
        </xdr:cNvPr>
        <xdr:cNvSpPr>
          <a:spLocks noChangeShapeType="1"/>
        </xdr:cNvSpPr>
      </xdr:nvSpPr>
      <xdr:spPr bwMode="auto">
        <a:xfrm flipH="1">
          <a:off x="4572000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39172" name="Arc 68">
          <a:extLst>
            <a:ext uri="{FF2B5EF4-FFF2-40B4-BE49-F238E27FC236}">
              <a16:creationId xmlns:a16="http://schemas.microsoft.com/office/drawing/2014/main" id="{00000000-0008-0000-0700-00008464A500}"/>
            </a:ext>
          </a:extLst>
        </xdr:cNvPr>
        <xdr:cNvSpPr>
          <a:spLocks/>
        </xdr:cNvSpPr>
      </xdr:nvSpPr>
      <xdr:spPr bwMode="auto">
        <a:xfrm flipH="1" flipV="1">
          <a:off x="2771775" y="1238250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9173" name="Line 69">
          <a:extLst>
            <a:ext uri="{FF2B5EF4-FFF2-40B4-BE49-F238E27FC236}">
              <a16:creationId xmlns:a16="http://schemas.microsoft.com/office/drawing/2014/main" id="{00000000-0008-0000-0700-00008564A500}"/>
            </a:ext>
          </a:extLst>
        </xdr:cNvPr>
        <xdr:cNvSpPr>
          <a:spLocks noChangeShapeType="1"/>
        </xdr:cNvSpPr>
      </xdr:nvSpPr>
      <xdr:spPr bwMode="auto">
        <a:xfrm flipV="1">
          <a:off x="4572000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9174" name="Line 70">
          <a:extLst>
            <a:ext uri="{FF2B5EF4-FFF2-40B4-BE49-F238E27FC236}">
              <a16:creationId xmlns:a16="http://schemas.microsoft.com/office/drawing/2014/main" id="{00000000-0008-0000-0700-00008664A500}"/>
            </a:ext>
          </a:extLst>
        </xdr:cNvPr>
        <xdr:cNvSpPr>
          <a:spLocks noChangeShapeType="1"/>
        </xdr:cNvSpPr>
      </xdr:nvSpPr>
      <xdr:spPr bwMode="auto">
        <a:xfrm>
          <a:off x="4572000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9175" name="Line 71">
          <a:extLst>
            <a:ext uri="{FF2B5EF4-FFF2-40B4-BE49-F238E27FC236}">
              <a16:creationId xmlns:a16="http://schemas.microsoft.com/office/drawing/2014/main" id="{00000000-0008-0000-0700-00008764A500}"/>
            </a:ext>
          </a:extLst>
        </xdr:cNvPr>
        <xdr:cNvSpPr>
          <a:spLocks noChangeShapeType="1"/>
        </xdr:cNvSpPr>
      </xdr:nvSpPr>
      <xdr:spPr bwMode="auto">
        <a:xfrm flipH="1">
          <a:off x="13230225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9176" name="Line 72">
          <a:extLst>
            <a:ext uri="{FF2B5EF4-FFF2-40B4-BE49-F238E27FC236}">
              <a16:creationId xmlns:a16="http://schemas.microsoft.com/office/drawing/2014/main" id="{00000000-0008-0000-0700-00008864A500}"/>
            </a:ext>
          </a:extLst>
        </xdr:cNvPr>
        <xdr:cNvSpPr>
          <a:spLocks noChangeShapeType="1"/>
        </xdr:cNvSpPr>
      </xdr:nvSpPr>
      <xdr:spPr bwMode="auto">
        <a:xfrm flipH="1">
          <a:off x="4572000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39177" name="Arc 73">
          <a:extLst>
            <a:ext uri="{FF2B5EF4-FFF2-40B4-BE49-F238E27FC236}">
              <a16:creationId xmlns:a16="http://schemas.microsoft.com/office/drawing/2014/main" id="{00000000-0008-0000-0700-00008964A500}"/>
            </a:ext>
          </a:extLst>
        </xdr:cNvPr>
        <xdr:cNvSpPr>
          <a:spLocks/>
        </xdr:cNvSpPr>
      </xdr:nvSpPr>
      <xdr:spPr bwMode="auto">
        <a:xfrm flipH="1" flipV="1">
          <a:off x="2771775" y="1238250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9178" name="Line 74">
          <a:extLst>
            <a:ext uri="{FF2B5EF4-FFF2-40B4-BE49-F238E27FC236}">
              <a16:creationId xmlns:a16="http://schemas.microsoft.com/office/drawing/2014/main" id="{00000000-0008-0000-0700-00008A64A500}"/>
            </a:ext>
          </a:extLst>
        </xdr:cNvPr>
        <xdr:cNvSpPr>
          <a:spLocks noChangeShapeType="1"/>
        </xdr:cNvSpPr>
      </xdr:nvSpPr>
      <xdr:spPr bwMode="auto">
        <a:xfrm flipV="1">
          <a:off x="4572000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9179" name="Line 75">
          <a:extLst>
            <a:ext uri="{FF2B5EF4-FFF2-40B4-BE49-F238E27FC236}">
              <a16:creationId xmlns:a16="http://schemas.microsoft.com/office/drawing/2014/main" id="{00000000-0008-0000-0700-00008B64A500}"/>
            </a:ext>
          </a:extLst>
        </xdr:cNvPr>
        <xdr:cNvSpPr>
          <a:spLocks noChangeShapeType="1"/>
        </xdr:cNvSpPr>
      </xdr:nvSpPr>
      <xdr:spPr bwMode="auto">
        <a:xfrm>
          <a:off x="4572000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9180" name="Line 76">
          <a:extLst>
            <a:ext uri="{FF2B5EF4-FFF2-40B4-BE49-F238E27FC236}">
              <a16:creationId xmlns:a16="http://schemas.microsoft.com/office/drawing/2014/main" id="{00000000-0008-0000-0700-00008C64A500}"/>
            </a:ext>
          </a:extLst>
        </xdr:cNvPr>
        <xdr:cNvSpPr>
          <a:spLocks noChangeShapeType="1"/>
        </xdr:cNvSpPr>
      </xdr:nvSpPr>
      <xdr:spPr bwMode="auto">
        <a:xfrm flipH="1">
          <a:off x="13230225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9181" name="Line 77">
          <a:extLst>
            <a:ext uri="{FF2B5EF4-FFF2-40B4-BE49-F238E27FC236}">
              <a16:creationId xmlns:a16="http://schemas.microsoft.com/office/drawing/2014/main" id="{00000000-0008-0000-0700-00008D64A500}"/>
            </a:ext>
          </a:extLst>
        </xdr:cNvPr>
        <xdr:cNvSpPr>
          <a:spLocks noChangeShapeType="1"/>
        </xdr:cNvSpPr>
      </xdr:nvSpPr>
      <xdr:spPr bwMode="auto">
        <a:xfrm flipH="1">
          <a:off x="4572000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9182" name="Line 78">
          <a:extLst>
            <a:ext uri="{FF2B5EF4-FFF2-40B4-BE49-F238E27FC236}">
              <a16:creationId xmlns:a16="http://schemas.microsoft.com/office/drawing/2014/main" id="{00000000-0008-0000-0700-00008E64A500}"/>
            </a:ext>
          </a:extLst>
        </xdr:cNvPr>
        <xdr:cNvSpPr>
          <a:spLocks noChangeShapeType="1"/>
        </xdr:cNvSpPr>
      </xdr:nvSpPr>
      <xdr:spPr bwMode="auto">
        <a:xfrm flipV="1">
          <a:off x="4572000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9183" name="Line 79">
          <a:extLst>
            <a:ext uri="{FF2B5EF4-FFF2-40B4-BE49-F238E27FC236}">
              <a16:creationId xmlns:a16="http://schemas.microsoft.com/office/drawing/2014/main" id="{00000000-0008-0000-0700-00008F64A500}"/>
            </a:ext>
          </a:extLst>
        </xdr:cNvPr>
        <xdr:cNvSpPr>
          <a:spLocks noChangeShapeType="1"/>
        </xdr:cNvSpPr>
      </xdr:nvSpPr>
      <xdr:spPr bwMode="auto">
        <a:xfrm>
          <a:off x="4572000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9184" name="Line 80">
          <a:extLst>
            <a:ext uri="{FF2B5EF4-FFF2-40B4-BE49-F238E27FC236}">
              <a16:creationId xmlns:a16="http://schemas.microsoft.com/office/drawing/2014/main" id="{00000000-0008-0000-0700-00009064A500}"/>
            </a:ext>
          </a:extLst>
        </xdr:cNvPr>
        <xdr:cNvSpPr>
          <a:spLocks noChangeShapeType="1"/>
        </xdr:cNvSpPr>
      </xdr:nvSpPr>
      <xdr:spPr bwMode="auto">
        <a:xfrm flipH="1">
          <a:off x="13230225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9185" name="Line 81">
          <a:extLst>
            <a:ext uri="{FF2B5EF4-FFF2-40B4-BE49-F238E27FC236}">
              <a16:creationId xmlns:a16="http://schemas.microsoft.com/office/drawing/2014/main" id="{00000000-0008-0000-0700-00009164A500}"/>
            </a:ext>
          </a:extLst>
        </xdr:cNvPr>
        <xdr:cNvSpPr>
          <a:spLocks noChangeShapeType="1"/>
        </xdr:cNvSpPr>
      </xdr:nvSpPr>
      <xdr:spPr bwMode="auto">
        <a:xfrm flipH="1">
          <a:off x="4572000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9186" name="Line 82">
          <a:extLst>
            <a:ext uri="{FF2B5EF4-FFF2-40B4-BE49-F238E27FC236}">
              <a16:creationId xmlns:a16="http://schemas.microsoft.com/office/drawing/2014/main" id="{00000000-0008-0000-0700-00009264A500}"/>
            </a:ext>
          </a:extLst>
        </xdr:cNvPr>
        <xdr:cNvSpPr>
          <a:spLocks noChangeShapeType="1"/>
        </xdr:cNvSpPr>
      </xdr:nvSpPr>
      <xdr:spPr bwMode="auto">
        <a:xfrm flipV="1">
          <a:off x="4572000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9187" name="Line 83">
          <a:extLst>
            <a:ext uri="{FF2B5EF4-FFF2-40B4-BE49-F238E27FC236}">
              <a16:creationId xmlns:a16="http://schemas.microsoft.com/office/drawing/2014/main" id="{00000000-0008-0000-0700-00009364A500}"/>
            </a:ext>
          </a:extLst>
        </xdr:cNvPr>
        <xdr:cNvSpPr>
          <a:spLocks noChangeShapeType="1"/>
        </xdr:cNvSpPr>
      </xdr:nvSpPr>
      <xdr:spPr bwMode="auto">
        <a:xfrm>
          <a:off x="4572000" y="1238250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809625</xdr:colOff>
      <xdr:row>76</xdr:row>
      <xdr:rowOff>9525</xdr:rowOff>
    </xdr:from>
    <xdr:to>
      <xdr:col>19</xdr:col>
      <xdr:colOff>9525</xdr:colOff>
      <xdr:row>76</xdr:row>
      <xdr:rowOff>9525</xdr:rowOff>
    </xdr:to>
    <xdr:sp macro="" textlink="">
      <xdr:nvSpPr>
        <xdr:cNvPr id="10839188" name="Line 84">
          <a:extLst>
            <a:ext uri="{FF2B5EF4-FFF2-40B4-BE49-F238E27FC236}">
              <a16:creationId xmlns:a16="http://schemas.microsoft.com/office/drawing/2014/main" id="{00000000-0008-0000-0700-00009464A500}"/>
            </a:ext>
          </a:extLst>
        </xdr:cNvPr>
        <xdr:cNvSpPr>
          <a:spLocks noChangeShapeType="1"/>
        </xdr:cNvSpPr>
      </xdr:nvSpPr>
      <xdr:spPr bwMode="auto">
        <a:xfrm flipH="1">
          <a:off x="12611100" y="12715875"/>
          <a:ext cx="628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76</xdr:row>
      <xdr:rowOff>9525</xdr:rowOff>
    </xdr:from>
    <xdr:to>
      <xdr:col>16</xdr:col>
      <xdr:colOff>0</xdr:colOff>
      <xdr:row>76</xdr:row>
      <xdr:rowOff>9525</xdr:rowOff>
    </xdr:to>
    <xdr:sp macro="" textlink="">
      <xdr:nvSpPr>
        <xdr:cNvPr id="10839189" name="Line 85">
          <a:extLst>
            <a:ext uri="{FF2B5EF4-FFF2-40B4-BE49-F238E27FC236}">
              <a16:creationId xmlns:a16="http://schemas.microsoft.com/office/drawing/2014/main" id="{00000000-0008-0000-0700-00009564A500}"/>
            </a:ext>
          </a:extLst>
        </xdr:cNvPr>
        <xdr:cNvSpPr>
          <a:spLocks noChangeShapeType="1"/>
        </xdr:cNvSpPr>
      </xdr:nvSpPr>
      <xdr:spPr bwMode="auto">
        <a:xfrm>
          <a:off x="10363200" y="12715875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75</xdr:row>
      <xdr:rowOff>9525</xdr:rowOff>
    </xdr:from>
    <xdr:to>
      <xdr:col>13</xdr:col>
      <xdr:colOff>0</xdr:colOff>
      <xdr:row>75</xdr:row>
      <xdr:rowOff>9525</xdr:rowOff>
    </xdr:to>
    <xdr:sp macro="" textlink="">
      <xdr:nvSpPr>
        <xdr:cNvPr id="10839190" name="Line 86">
          <a:extLst>
            <a:ext uri="{FF2B5EF4-FFF2-40B4-BE49-F238E27FC236}">
              <a16:creationId xmlns:a16="http://schemas.microsoft.com/office/drawing/2014/main" id="{00000000-0008-0000-0700-00009664A500}"/>
            </a:ext>
          </a:extLst>
        </xdr:cNvPr>
        <xdr:cNvSpPr>
          <a:spLocks noChangeShapeType="1"/>
        </xdr:cNvSpPr>
      </xdr:nvSpPr>
      <xdr:spPr bwMode="auto">
        <a:xfrm>
          <a:off x="8105775" y="12553950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75</xdr:row>
      <xdr:rowOff>9525</xdr:rowOff>
    </xdr:from>
    <xdr:to>
      <xdr:col>9</xdr:col>
      <xdr:colOff>695325</xdr:colOff>
      <xdr:row>75</xdr:row>
      <xdr:rowOff>9525</xdr:rowOff>
    </xdr:to>
    <xdr:sp macro="" textlink="">
      <xdr:nvSpPr>
        <xdr:cNvPr id="10839191" name="Line 87">
          <a:extLst>
            <a:ext uri="{FF2B5EF4-FFF2-40B4-BE49-F238E27FC236}">
              <a16:creationId xmlns:a16="http://schemas.microsoft.com/office/drawing/2014/main" id="{00000000-0008-0000-0700-00009764A500}"/>
            </a:ext>
          </a:extLst>
        </xdr:cNvPr>
        <xdr:cNvSpPr>
          <a:spLocks noChangeShapeType="1"/>
        </xdr:cNvSpPr>
      </xdr:nvSpPr>
      <xdr:spPr bwMode="auto">
        <a:xfrm flipH="1">
          <a:off x="5953125" y="12553950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8</xdr:row>
      <xdr:rowOff>114300</xdr:rowOff>
    </xdr:from>
    <xdr:to>
      <xdr:col>10</xdr:col>
      <xdr:colOff>333375</xdr:colOff>
      <xdr:row>15</xdr:row>
      <xdr:rowOff>9525</xdr:rowOff>
    </xdr:to>
    <xdr:sp macro="" textlink="">
      <xdr:nvSpPr>
        <xdr:cNvPr id="10839192" name="Rectangle 56">
          <a:extLst>
            <a:ext uri="{FF2B5EF4-FFF2-40B4-BE49-F238E27FC236}">
              <a16:creationId xmlns:a16="http://schemas.microsoft.com/office/drawing/2014/main" id="{00000000-0008-0000-0700-00009864A500}"/>
            </a:ext>
          </a:extLst>
        </xdr:cNvPr>
        <xdr:cNvSpPr>
          <a:spLocks noChangeArrowheads="1"/>
        </xdr:cNvSpPr>
      </xdr:nvSpPr>
      <xdr:spPr bwMode="auto">
        <a:xfrm>
          <a:off x="5286375" y="1866900"/>
          <a:ext cx="1704975" cy="120967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180975</xdr:colOff>
      <xdr:row>10</xdr:row>
      <xdr:rowOff>190500</xdr:rowOff>
    </xdr:from>
    <xdr:to>
      <xdr:col>8</xdr:col>
      <xdr:colOff>276225</xdr:colOff>
      <xdr:row>16</xdr:row>
      <xdr:rowOff>66675</xdr:rowOff>
    </xdr:to>
    <xdr:sp macro="" textlink="">
      <xdr:nvSpPr>
        <xdr:cNvPr id="10839193" name="Line 34">
          <a:extLst>
            <a:ext uri="{FF2B5EF4-FFF2-40B4-BE49-F238E27FC236}">
              <a16:creationId xmlns:a16="http://schemas.microsoft.com/office/drawing/2014/main" id="{00000000-0008-0000-0700-00009964A500}"/>
            </a:ext>
          </a:extLst>
        </xdr:cNvPr>
        <xdr:cNvSpPr>
          <a:spLocks noChangeShapeType="1"/>
        </xdr:cNvSpPr>
      </xdr:nvSpPr>
      <xdr:spPr bwMode="auto">
        <a:xfrm flipV="1">
          <a:off x="4752975" y="2305050"/>
          <a:ext cx="809625" cy="9906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304800</xdr:colOff>
      <xdr:row>12</xdr:row>
      <xdr:rowOff>104775</xdr:rowOff>
    </xdr:from>
    <xdr:to>
      <xdr:col>9</xdr:col>
      <xdr:colOff>9525</xdr:colOff>
      <xdr:row>16</xdr:row>
      <xdr:rowOff>114300</xdr:rowOff>
    </xdr:to>
    <xdr:sp macro="" textlink="">
      <xdr:nvSpPr>
        <xdr:cNvPr id="10839194" name="Line 34">
          <a:extLst>
            <a:ext uri="{FF2B5EF4-FFF2-40B4-BE49-F238E27FC236}">
              <a16:creationId xmlns:a16="http://schemas.microsoft.com/office/drawing/2014/main" id="{00000000-0008-0000-0700-00009A64A500}"/>
            </a:ext>
          </a:extLst>
        </xdr:cNvPr>
        <xdr:cNvSpPr>
          <a:spLocks noChangeShapeType="1"/>
        </xdr:cNvSpPr>
      </xdr:nvSpPr>
      <xdr:spPr bwMode="auto">
        <a:xfrm flipV="1">
          <a:off x="4876800" y="2619375"/>
          <a:ext cx="1085850" cy="7239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457200</xdr:colOff>
      <xdr:row>14</xdr:row>
      <xdr:rowOff>85725</xdr:rowOff>
    </xdr:from>
    <xdr:to>
      <xdr:col>9</xdr:col>
      <xdr:colOff>9525</xdr:colOff>
      <xdr:row>17</xdr:row>
      <xdr:rowOff>0</xdr:rowOff>
    </xdr:to>
    <xdr:sp macro="" textlink="">
      <xdr:nvSpPr>
        <xdr:cNvPr id="10839195" name="Line 34">
          <a:extLst>
            <a:ext uri="{FF2B5EF4-FFF2-40B4-BE49-F238E27FC236}">
              <a16:creationId xmlns:a16="http://schemas.microsoft.com/office/drawing/2014/main" id="{00000000-0008-0000-0700-00009B64A500}"/>
            </a:ext>
          </a:extLst>
        </xdr:cNvPr>
        <xdr:cNvSpPr>
          <a:spLocks noChangeShapeType="1"/>
        </xdr:cNvSpPr>
      </xdr:nvSpPr>
      <xdr:spPr bwMode="auto">
        <a:xfrm flipV="1">
          <a:off x="5029200" y="2990850"/>
          <a:ext cx="933450" cy="4000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723900</xdr:colOff>
      <xdr:row>53</xdr:row>
      <xdr:rowOff>139700</xdr:rowOff>
    </xdr:from>
    <xdr:to>
      <xdr:col>4</xdr:col>
      <xdr:colOff>133350</xdr:colOff>
      <xdr:row>58</xdr:row>
      <xdr:rowOff>53975</xdr:rowOff>
    </xdr:to>
    <xdr:sp macro="" textlink="">
      <xdr:nvSpPr>
        <xdr:cNvPr id="10839196" name="Oval 14">
          <a:extLst>
            <a:ext uri="{FF2B5EF4-FFF2-40B4-BE49-F238E27FC236}">
              <a16:creationId xmlns:a16="http://schemas.microsoft.com/office/drawing/2014/main" id="{00000000-0008-0000-0700-00009C64A500}"/>
            </a:ext>
          </a:extLst>
        </xdr:cNvPr>
        <xdr:cNvSpPr>
          <a:spLocks noChangeArrowheads="1"/>
        </xdr:cNvSpPr>
      </xdr:nvSpPr>
      <xdr:spPr bwMode="auto">
        <a:xfrm>
          <a:off x="1600200" y="9944100"/>
          <a:ext cx="946150" cy="904875"/>
        </a:xfrm>
        <a:prstGeom prst="ellips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600075</xdr:colOff>
      <xdr:row>52</xdr:row>
      <xdr:rowOff>114300</xdr:rowOff>
    </xdr:from>
    <xdr:to>
      <xdr:col>3</xdr:col>
      <xdr:colOff>685800</xdr:colOff>
      <xdr:row>54</xdr:row>
      <xdr:rowOff>28575</xdr:rowOff>
    </xdr:to>
    <xdr:sp macro="" textlink="">
      <xdr:nvSpPr>
        <xdr:cNvPr id="10839197" name="Line 19">
          <a:extLst>
            <a:ext uri="{FF2B5EF4-FFF2-40B4-BE49-F238E27FC236}">
              <a16:creationId xmlns:a16="http://schemas.microsoft.com/office/drawing/2014/main" id="{00000000-0008-0000-0700-00009D64A500}"/>
            </a:ext>
          </a:extLst>
        </xdr:cNvPr>
        <xdr:cNvSpPr>
          <a:spLocks noChangeShapeType="1"/>
        </xdr:cNvSpPr>
      </xdr:nvSpPr>
      <xdr:spPr bwMode="auto">
        <a:xfrm flipH="1">
          <a:off x="2314575" y="9572625"/>
          <a:ext cx="85725" cy="2667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190500</xdr:colOff>
      <xdr:row>56</xdr:row>
      <xdr:rowOff>9525</xdr:rowOff>
    </xdr:from>
    <xdr:to>
      <xdr:col>5</xdr:col>
      <xdr:colOff>619125</xdr:colOff>
      <xdr:row>56</xdr:row>
      <xdr:rowOff>9525</xdr:rowOff>
    </xdr:to>
    <xdr:sp macro="" textlink="">
      <xdr:nvSpPr>
        <xdr:cNvPr id="10839198" name="Line 19">
          <a:extLst>
            <a:ext uri="{FF2B5EF4-FFF2-40B4-BE49-F238E27FC236}">
              <a16:creationId xmlns:a16="http://schemas.microsoft.com/office/drawing/2014/main" id="{00000000-0008-0000-0700-00009E64A500}"/>
            </a:ext>
          </a:extLst>
        </xdr:cNvPr>
        <xdr:cNvSpPr>
          <a:spLocks noChangeShapeType="1"/>
        </xdr:cNvSpPr>
      </xdr:nvSpPr>
      <xdr:spPr bwMode="auto">
        <a:xfrm flipH="1">
          <a:off x="2600325" y="10220325"/>
          <a:ext cx="10668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762000</xdr:colOff>
      <xdr:row>53</xdr:row>
      <xdr:rowOff>12701</xdr:rowOff>
    </xdr:from>
    <xdr:to>
      <xdr:col>5</xdr:col>
      <xdr:colOff>469901</xdr:colOff>
      <xdr:row>59</xdr:row>
      <xdr:rowOff>25401</xdr:rowOff>
    </xdr:to>
    <xdr:sp macro="" textlink="">
      <xdr:nvSpPr>
        <xdr:cNvPr id="96" name="Rectangle 56">
          <a:extLst>
            <a:ext uri="{FF2B5EF4-FFF2-40B4-BE49-F238E27FC236}">
              <a16:creationId xmlns:a16="http://schemas.microsoft.com/office/drawing/2014/main" id="{00000000-0008-0000-0700-000060000000}"/>
            </a:ext>
          </a:extLst>
        </xdr:cNvPr>
        <xdr:cNvSpPr>
          <a:spLocks noChangeArrowheads="1"/>
        </xdr:cNvSpPr>
      </xdr:nvSpPr>
      <xdr:spPr bwMode="auto">
        <a:xfrm>
          <a:off x="1638300" y="9817101"/>
          <a:ext cx="1879601" cy="11811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66675</xdr:rowOff>
    </xdr:from>
    <xdr:to>
      <xdr:col>8</xdr:col>
      <xdr:colOff>180975</xdr:colOff>
      <xdr:row>25</xdr:row>
      <xdr:rowOff>0</xdr:rowOff>
    </xdr:to>
    <xdr:sp macro="" textlink="">
      <xdr:nvSpPr>
        <xdr:cNvPr id="10834167" name="Oval 1">
          <a:extLst>
            <a:ext uri="{FF2B5EF4-FFF2-40B4-BE49-F238E27FC236}">
              <a16:creationId xmlns:a16="http://schemas.microsoft.com/office/drawing/2014/main" id="{00000000-0008-0000-0800-0000F750A500}"/>
            </a:ext>
          </a:extLst>
        </xdr:cNvPr>
        <xdr:cNvSpPr>
          <a:spLocks noChangeArrowheads="1"/>
        </xdr:cNvSpPr>
      </xdr:nvSpPr>
      <xdr:spPr bwMode="auto">
        <a:xfrm>
          <a:off x="3848100" y="3267075"/>
          <a:ext cx="159067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552450</xdr:colOff>
      <xdr:row>29</xdr:row>
      <xdr:rowOff>38100</xdr:rowOff>
    </xdr:from>
    <xdr:to>
      <xdr:col>8</xdr:col>
      <xdr:colOff>66675</xdr:colOff>
      <xdr:row>37</xdr:row>
      <xdr:rowOff>152400</xdr:rowOff>
    </xdr:to>
    <xdr:sp macro="" textlink="">
      <xdr:nvSpPr>
        <xdr:cNvPr id="10834168" name="Oval 2">
          <a:extLst>
            <a:ext uri="{FF2B5EF4-FFF2-40B4-BE49-F238E27FC236}">
              <a16:creationId xmlns:a16="http://schemas.microsoft.com/office/drawing/2014/main" id="{00000000-0008-0000-0800-0000F850A500}"/>
            </a:ext>
          </a:extLst>
        </xdr:cNvPr>
        <xdr:cNvSpPr>
          <a:spLocks noChangeArrowheads="1"/>
        </xdr:cNvSpPr>
      </xdr:nvSpPr>
      <xdr:spPr bwMode="auto">
        <a:xfrm>
          <a:off x="3638550" y="5591175"/>
          <a:ext cx="168592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609600</xdr:colOff>
      <xdr:row>50</xdr:row>
      <xdr:rowOff>152400</xdr:rowOff>
    </xdr:from>
    <xdr:to>
      <xdr:col>8</xdr:col>
      <xdr:colOff>123825</xdr:colOff>
      <xdr:row>59</xdr:row>
      <xdr:rowOff>28575</xdr:rowOff>
    </xdr:to>
    <xdr:sp macro="" textlink="">
      <xdr:nvSpPr>
        <xdr:cNvPr id="10834169" name="Oval 3">
          <a:extLst>
            <a:ext uri="{FF2B5EF4-FFF2-40B4-BE49-F238E27FC236}">
              <a16:creationId xmlns:a16="http://schemas.microsoft.com/office/drawing/2014/main" id="{00000000-0008-0000-0800-0000F950A500}"/>
            </a:ext>
          </a:extLst>
        </xdr:cNvPr>
        <xdr:cNvSpPr>
          <a:spLocks noChangeArrowheads="1"/>
        </xdr:cNvSpPr>
      </xdr:nvSpPr>
      <xdr:spPr bwMode="auto">
        <a:xfrm>
          <a:off x="3695700" y="9363075"/>
          <a:ext cx="1685925" cy="15716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552450</xdr:colOff>
      <xdr:row>29</xdr:row>
      <xdr:rowOff>38100</xdr:rowOff>
    </xdr:from>
    <xdr:to>
      <xdr:col>11</xdr:col>
      <xdr:colOff>76200</xdr:colOff>
      <xdr:row>38</xdr:row>
      <xdr:rowOff>28575</xdr:rowOff>
    </xdr:to>
    <xdr:sp macro="" textlink="">
      <xdr:nvSpPr>
        <xdr:cNvPr id="10834170" name="Oval 4">
          <a:extLst>
            <a:ext uri="{FF2B5EF4-FFF2-40B4-BE49-F238E27FC236}">
              <a16:creationId xmlns:a16="http://schemas.microsoft.com/office/drawing/2014/main" id="{00000000-0008-0000-0800-0000FA50A500}"/>
            </a:ext>
          </a:extLst>
        </xdr:cNvPr>
        <xdr:cNvSpPr>
          <a:spLocks noChangeArrowheads="1"/>
        </xdr:cNvSpPr>
      </xdr:nvSpPr>
      <xdr:spPr bwMode="auto">
        <a:xfrm>
          <a:off x="5810250" y="5591175"/>
          <a:ext cx="1562100" cy="15430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685800</xdr:colOff>
      <xdr:row>29</xdr:row>
      <xdr:rowOff>66675</xdr:rowOff>
    </xdr:from>
    <xdr:to>
      <xdr:col>14</xdr:col>
      <xdr:colOff>28575</xdr:colOff>
      <xdr:row>38</xdr:row>
      <xdr:rowOff>19050</xdr:rowOff>
    </xdr:to>
    <xdr:sp macro="" textlink="">
      <xdr:nvSpPr>
        <xdr:cNvPr id="10834171" name="Oval 5">
          <a:extLst>
            <a:ext uri="{FF2B5EF4-FFF2-40B4-BE49-F238E27FC236}">
              <a16:creationId xmlns:a16="http://schemas.microsoft.com/office/drawing/2014/main" id="{00000000-0008-0000-0800-0000FB50A500}"/>
            </a:ext>
          </a:extLst>
        </xdr:cNvPr>
        <xdr:cNvSpPr>
          <a:spLocks noChangeArrowheads="1"/>
        </xdr:cNvSpPr>
      </xdr:nvSpPr>
      <xdr:spPr bwMode="auto">
        <a:xfrm>
          <a:off x="7981950" y="5619750"/>
          <a:ext cx="168592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552450</xdr:colOff>
      <xdr:row>29</xdr:row>
      <xdr:rowOff>38100</xdr:rowOff>
    </xdr:from>
    <xdr:to>
      <xdr:col>17</xdr:col>
      <xdr:colOff>66675</xdr:colOff>
      <xdr:row>37</xdr:row>
      <xdr:rowOff>152400</xdr:rowOff>
    </xdr:to>
    <xdr:sp macro="" textlink="">
      <xdr:nvSpPr>
        <xdr:cNvPr id="10834172" name="Oval 6">
          <a:extLst>
            <a:ext uri="{FF2B5EF4-FFF2-40B4-BE49-F238E27FC236}">
              <a16:creationId xmlns:a16="http://schemas.microsoft.com/office/drawing/2014/main" id="{00000000-0008-0000-0800-0000FC50A500}"/>
            </a:ext>
          </a:extLst>
        </xdr:cNvPr>
        <xdr:cNvSpPr>
          <a:spLocks noChangeArrowheads="1"/>
        </xdr:cNvSpPr>
      </xdr:nvSpPr>
      <xdr:spPr bwMode="auto">
        <a:xfrm>
          <a:off x="10191750" y="5591175"/>
          <a:ext cx="16954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552450</xdr:colOff>
      <xdr:row>29</xdr:row>
      <xdr:rowOff>38100</xdr:rowOff>
    </xdr:from>
    <xdr:to>
      <xdr:col>20</xdr:col>
      <xdr:colOff>66675</xdr:colOff>
      <xdr:row>37</xdr:row>
      <xdr:rowOff>152400</xdr:rowOff>
    </xdr:to>
    <xdr:sp macro="" textlink="">
      <xdr:nvSpPr>
        <xdr:cNvPr id="10834173" name="Oval 7">
          <a:extLst>
            <a:ext uri="{FF2B5EF4-FFF2-40B4-BE49-F238E27FC236}">
              <a16:creationId xmlns:a16="http://schemas.microsoft.com/office/drawing/2014/main" id="{00000000-0008-0000-0800-0000FD50A500}"/>
            </a:ext>
          </a:extLst>
        </xdr:cNvPr>
        <xdr:cNvSpPr>
          <a:spLocks noChangeArrowheads="1"/>
        </xdr:cNvSpPr>
      </xdr:nvSpPr>
      <xdr:spPr bwMode="auto">
        <a:xfrm>
          <a:off x="12372975" y="5591175"/>
          <a:ext cx="16573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38</xdr:row>
      <xdr:rowOff>28575</xdr:rowOff>
    </xdr:from>
    <xdr:to>
      <xdr:col>19</xdr:col>
      <xdr:colOff>0</xdr:colOff>
      <xdr:row>45</xdr:row>
      <xdr:rowOff>152400</xdr:rowOff>
    </xdr:to>
    <xdr:sp macro="" textlink="">
      <xdr:nvSpPr>
        <xdr:cNvPr id="10834174" name="Line 8">
          <a:extLst>
            <a:ext uri="{FF2B5EF4-FFF2-40B4-BE49-F238E27FC236}">
              <a16:creationId xmlns:a16="http://schemas.microsoft.com/office/drawing/2014/main" id="{00000000-0008-0000-0800-0000FE50A500}"/>
            </a:ext>
          </a:extLst>
        </xdr:cNvPr>
        <xdr:cNvSpPr>
          <a:spLocks noChangeShapeType="1"/>
        </xdr:cNvSpPr>
      </xdr:nvSpPr>
      <xdr:spPr bwMode="auto">
        <a:xfrm flipH="1">
          <a:off x="13201650" y="7134225"/>
          <a:ext cx="0" cy="13620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66675</xdr:colOff>
      <xdr:row>34</xdr:row>
      <xdr:rowOff>9525</xdr:rowOff>
    </xdr:from>
    <xdr:to>
      <xdr:col>17</xdr:col>
      <xdr:colOff>542925</xdr:colOff>
      <xdr:row>34</xdr:row>
      <xdr:rowOff>9525</xdr:rowOff>
    </xdr:to>
    <xdr:sp macro="" textlink="">
      <xdr:nvSpPr>
        <xdr:cNvPr id="10834175" name="Line 9">
          <a:extLst>
            <a:ext uri="{FF2B5EF4-FFF2-40B4-BE49-F238E27FC236}">
              <a16:creationId xmlns:a16="http://schemas.microsoft.com/office/drawing/2014/main" id="{00000000-0008-0000-0800-0000FF50A500}"/>
            </a:ext>
          </a:extLst>
        </xdr:cNvPr>
        <xdr:cNvSpPr>
          <a:spLocks noChangeShapeType="1"/>
        </xdr:cNvSpPr>
      </xdr:nvSpPr>
      <xdr:spPr bwMode="auto">
        <a:xfrm flipH="1">
          <a:off x="11887200" y="6467475"/>
          <a:ext cx="4762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</xdr:colOff>
      <xdr:row>34</xdr:row>
      <xdr:rowOff>0</xdr:rowOff>
    </xdr:from>
    <xdr:to>
      <xdr:col>14</xdr:col>
      <xdr:colOff>561975</xdr:colOff>
      <xdr:row>34</xdr:row>
      <xdr:rowOff>0</xdr:rowOff>
    </xdr:to>
    <xdr:sp macro="" textlink="">
      <xdr:nvSpPr>
        <xdr:cNvPr id="10834176" name="Line 10">
          <a:extLst>
            <a:ext uri="{FF2B5EF4-FFF2-40B4-BE49-F238E27FC236}">
              <a16:creationId xmlns:a16="http://schemas.microsoft.com/office/drawing/2014/main" id="{00000000-0008-0000-0800-00000051A500}"/>
            </a:ext>
          </a:extLst>
        </xdr:cNvPr>
        <xdr:cNvSpPr>
          <a:spLocks noChangeShapeType="1"/>
        </xdr:cNvSpPr>
      </xdr:nvSpPr>
      <xdr:spPr bwMode="auto">
        <a:xfrm>
          <a:off x="9667875" y="6457950"/>
          <a:ext cx="5334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47</xdr:row>
      <xdr:rowOff>85725</xdr:rowOff>
    </xdr:from>
    <xdr:to>
      <xdr:col>7</xdr:col>
      <xdr:colOff>0</xdr:colOff>
      <xdr:row>50</xdr:row>
      <xdr:rowOff>142875</xdr:rowOff>
    </xdr:to>
    <xdr:sp macro="" textlink="">
      <xdr:nvSpPr>
        <xdr:cNvPr id="10834177" name="Line 11">
          <a:extLst>
            <a:ext uri="{FF2B5EF4-FFF2-40B4-BE49-F238E27FC236}">
              <a16:creationId xmlns:a16="http://schemas.microsoft.com/office/drawing/2014/main" id="{00000000-0008-0000-0800-00000151A500}"/>
            </a:ext>
          </a:extLst>
        </xdr:cNvPr>
        <xdr:cNvSpPr>
          <a:spLocks noChangeShapeType="1"/>
        </xdr:cNvSpPr>
      </xdr:nvSpPr>
      <xdr:spPr bwMode="auto">
        <a:xfrm flipH="1">
          <a:off x="4543425" y="8772525"/>
          <a:ext cx="0" cy="581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30</xdr:row>
      <xdr:rowOff>66675</xdr:rowOff>
    </xdr:from>
    <xdr:to>
      <xdr:col>4</xdr:col>
      <xdr:colOff>571500</xdr:colOff>
      <xdr:row>37</xdr:row>
      <xdr:rowOff>9525</xdr:rowOff>
    </xdr:to>
    <xdr:sp macro="" textlink="">
      <xdr:nvSpPr>
        <xdr:cNvPr id="10834178" name="Oval 12">
          <a:extLst>
            <a:ext uri="{FF2B5EF4-FFF2-40B4-BE49-F238E27FC236}">
              <a16:creationId xmlns:a16="http://schemas.microsoft.com/office/drawing/2014/main" id="{00000000-0008-0000-0800-00000251A500}"/>
            </a:ext>
          </a:extLst>
        </xdr:cNvPr>
        <xdr:cNvSpPr>
          <a:spLocks noChangeArrowheads="1"/>
        </xdr:cNvSpPr>
      </xdr:nvSpPr>
      <xdr:spPr bwMode="auto">
        <a:xfrm>
          <a:off x="1895475" y="5781675"/>
          <a:ext cx="1123950" cy="11715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571500</xdr:colOff>
      <xdr:row>34</xdr:row>
      <xdr:rowOff>0</xdr:rowOff>
    </xdr:from>
    <xdr:to>
      <xdr:col>5</xdr:col>
      <xdr:colOff>542925</xdr:colOff>
      <xdr:row>34</xdr:row>
      <xdr:rowOff>0</xdr:rowOff>
    </xdr:to>
    <xdr:sp macro="" textlink="">
      <xdr:nvSpPr>
        <xdr:cNvPr id="10834179" name="Line 13">
          <a:extLst>
            <a:ext uri="{FF2B5EF4-FFF2-40B4-BE49-F238E27FC236}">
              <a16:creationId xmlns:a16="http://schemas.microsoft.com/office/drawing/2014/main" id="{00000000-0008-0000-0800-00000351A500}"/>
            </a:ext>
          </a:extLst>
        </xdr:cNvPr>
        <xdr:cNvSpPr>
          <a:spLocks noChangeShapeType="1"/>
        </xdr:cNvSpPr>
      </xdr:nvSpPr>
      <xdr:spPr bwMode="auto">
        <a:xfrm flipH="1">
          <a:off x="3019425" y="6457950"/>
          <a:ext cx="6096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</xdr:colOff>
      <xdr:row>46</xdr:row>
      <xdr:rowOff>76200</xdr:rowOff>
    </xdr:from>
    <xdr:to>
      <xdr:col>4</xdr:col>
      <xdr:colOff>571500</xdr:colOff>
      <xdr:row>52</xdr:row>
      <xdr:rowOff>161925</xdr:rowOff>
    </xdr:to>
    <xdr:sp macro="" textlink="">
      <xdr:nvSpPr>
        <xdr:cNvPr id="10834180" name="Oval 14">
          <a:extLst>
            <a:ext uri="{FF2B5EF4-FFF2-40B4-BE49-F238E27FC236}">
              <a16:creationId xmlns:a16="http://schemas.microsoft.com/office/drawing/2014/main" id="{00000000-0008-0000-0800-00000451A500}"/>
            </a:ext>
          </a:extLst>
        </xdr:cNvPr>
        <xdr:cNvSpPr>
          <a:spLocks noChangeArrowheads="1"/>
        </xdr:cNvSpPr>
      </xdr:nvSpPr>
      <xdr:spPr bwMode="auto">
        <a:xfrm>
          <a:off x="1914525" y="8601075"/>
          <a:ext cx="1104900" cy="11144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342900</xdr:colOff>
      <xdr:row>36</xdr:row>
      <xdr:rowOff>152400</xdr:rowOff>
    </xdr:from>
    <xdr:to>
      <xdr:col>6</xdr:col>
      <xdr:colOff>104775</xdr:colOff>
      <xdr:row>47</xdr:row>
      <xdr:rowOff>28575</xdr:rowOff>
    </xdr:to>
    <xdr:sp macro="" textlink="">
      <xdr:nvSpPr>
        <xdr:cNvPr id="10834181" name="Line 15">
          <a:extLst>
            <a:ext uri="{FF2B5EF4-FFF2-40B4-BE49-F238E27FC236}">
              <a16:creationId xmlns:a16="http://schemas.microsoft.com/office/drawing/2014/main" id="{00000000-0008-0000-0800-00000551A500}"/>
            </a:ext>
          </a:extLst>
        </xdr:cNvPr>
        <xdr:cNvSpPr>
          <a:spLocks noChangeShapeType="1"/>
        </xdr:cNvSpPr>
      </xdr:nvSpPr>
      <xdr:spPr bwMode="auto">
        <a:xfrm flipH="1">
          <a:off x="2790825" y="6934200"/>
          <a:ext cx="1162050" cy="17811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571500</xdr:colOff>
      <xdr:row>50</xdr:row>
      <xdr:rowOff>0</xdr:rowOff>
    </xdr:from>
    <xdr:to>
      <xdr:col>6</xdr:col>
      <xdr:colOff>0</xdr:colOff>
      <xdr:row>52</xdr:row>
      <xdr:rowOff>142875</xdr:rowOff>
    </xdr:to>
    <xdr:sp macro="" textlink="">
      <xdr:nvSpPr>
        <xdr:cNvPr id="10834182" name="Line 16">
          <a:extLst>
            <a:ext uri="{FF2B5EF4-FFF2-40B4-BE49-F238E27FC236}">
              <a16:creationId xmlns:a16="http://schemas.microsoft.com/office/drawing/2014/main" id="{00000000-0008-0000-0800-00000651A500}"/>
            </a:ext>
          </a:extLst>
        </xdr:cNvPr>
        <xdr:cNvSpPr>
          <a:spLocks noChangeShapeType="1"/>
        </xdr:cNvSpPr>
      </xdr:nvSpPr>
      <xdr:spPr bwMode="auto">
        <a:xfrm flipH="1" flipV="1">
          <a:off x="3019425" y="9210675"/>
          <a:ext cx="828675" cy="4857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47</xdr:row>
      <xdr:rowOff>9525</xdr:rowOff>
    </xdr:from>
    <xdr:to>
      <xdr:col>4</xdr:col>
      <xdr:colOff>371475</xdr:colOff>
      <xdr:row>47</xdr:row>
      <xdr:rowOff>19050</xdr:rowOff>
    </xdr:to>
    <xdr:sp macro="" textlink="">
      <xdr:nvSpPr>
        <xdr:cNvPr id="10834183" name="Arc 17">
          <a:extLst>
            <a:ext uri="{FF2B5EF4-FFF2-40B4-BE49-F238E27FC236}">
              <a16:creationId xmlns:a16="http://schemas.microsoft.com/office/drawing/2014/main" id="{00000000-0008-0000-0800-00000751A500}"/>
            </a:ext>
          </a:extLst>
        </xdr:cNvPr>
        <xdr:cNvSpPr>
          <a:spLocks/>
        </xdr:cNvSpPr>
      </xdr:nvSpPr>
      <xdr:spPr bwMode="auto">
        <a:xfrm flipH="1" flipV="1">
          <a:off x="2809875" y="8696325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171450</xdr:colOff>
      <xdr:row>47</xdr:row>
      <xdr:rowOff>9525</xdr:rowOff>
    </xdr:from>
    <xdr:to>
      <xdr:col>4</xdr:col>
      <xdr:colOff>352425</xdr:colOff>
      <xdr:row>49</xdr:row>
      <xdr:rowOff>152400</xdr:rowOff>
    </xdr:to>
    <xdr:sp macro="" textlink="">
      <xdr:nvSpPr>
        <xdr:cNvPr id="10834184" name="Line 18">
          <a:extLst>
            <a:ext uri="{FF2B5EF4-FFF2-40B4-BE49-F238E27FC236}">
              <a16:creationId xmlns:a16="http://schemas.microsoft.com/office/drawing/2014/main" id="{00000000-0008-0000-0800-00000851A500}"/>
            </a:ext>
          </a:extLst>
        </xdr:cNvPr>
        <xdr:cNvSpPr>
          <a:spLocks noChangeShapeType="1"/>
        </xdr:cNvSpPr>
      </xdr:nvSpPr>
      <xdr:spPr bwMode="auto">
        <a:xfrm flipH="1">
          <a:off x="1924050" y="8696325"/>
          <a:ext cx="876300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50</xdr:row>
      <xdr:rowOff>0</xdr:rowOff>
    </xdr:from>
    <xdr:to>
      <xdr:col>3</xdr:col>
      <xdr:colOff>171450</xdr:colOff>
      <xdr:row>50</xdr:row>
      <xdr:rowOff>0</xdr:rowOff>
    </xdr:to>
    <xdr:sp macro="" textlink="">
      <xdr:nvSpPr>
        <xdr:cNvPr id="10834185" name="Line 19">
          <a:extLst>
            <a:ext uri="{FF2B5EF4-FFF2-40B4-BE49-F238E27FC236}">
              <a16:creationId xmlns:a16="http://schemas.microsoft.com/office/drawing/2014/main" id="{00000000-0008-0000-0800-00000951A500}"/>
            </a:ext>
          </a:extLst>
        </xdr:cNvPr>
        <xdr:cNvSpPr>
          <a:spLocks noChangeShapeType="1"/>
        </xdr:cNvSpPr>
      </xdr:nvSpPr>
      <xdr:spPr bwMode="auto">
        <a:xfrm flipH="1">
          <a:off x="1209675" y="9210675"/>
          <a:ext cx="71437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352425</xdr:colOff>
      <xdr:row>47</xdr:row>
      <xdr:rowOff>19050</xdr:rowOff>
    </xdr:from>
    <xdr:to>
      <xdr:col>4</xdr:col>
      <xdr:colOff>581025</xdr:colOff>
      <xdr:row>50</xdr:row>
      <xdr:rowOff>0</xdr:rowOff>
    </xdr:to>
    <xdr:sp macro="" textlink="">
      <xdr:nvSpPr>
        <xdr:cNvPr id="10834186" name="Arc 20">
          <a:extLst>
            <a:ext uri="{FF2B5EF4-FFF2-40B4-BE49-F238E27FC236}">
              <a16:creationId xmlns:a16="http://schemas.microsoft.com/office/drawing/2014/main" id="{00000000-0008-0000-0800-00000A51A500}"/>
            </a:ext>
          </a:extLst>
        </xdr:cNvPr>
        <xdr:cNvSpPr>
          <a:spLocks/>
        </xdr:cNvSpPr>
      </xdr:nvSpPr>
      <xdr:spPr bwMode="auto">
        <a:xfrm flipH="1" flipV="1">
          <a:off x="2800350" y="8705850"/>
          <a:ext cx="228600" cy="5048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228600</xdr:colOff>
      <xdr:row>10</xdr:row>
      <xdr:rowOff>66675</xdr:rowOff>
    </xdr:from>
    <xdr:to>
      <xdr:col>5</xdr:col>
      <xdr:colOff>57150</xdr:colOff>
      <xdr:row>16</xdr:row>
      <xdr:rowOff>57150</xdr:rowOff>
    </xdr:to>
    <xdr:sp macro="" textlink="">
      <xdr:nvSpPr>
        <xdr:cNvPr id="10834187" name="Oval 21">
          <a:extLst>
            <a:ext uri="{FF2B5EF4-FFF2-40B4-BE49-F238E27FC236}">
              <a16:creationId xmlns:a16="http://schemas.microsoft.com/office/drawing/2014/main" id="{00000000-0008-0000-0800-00000B51A500}"/>
            </a:ext>
          </a:extLst>
        </xdr:cNvPr>
        <xdr:cNvSpPr>
          <a:spLocks noChangeArrowheads="1"/>
        </xdr:cNvSpPr>
      </xdr:nvSpPr>
      <xdr:spPr bwMode="auto">
        <a:xfrm>
          <a:off x="1981200" y="2152650"/>
          <a:ext cx="1162050" cy="11049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381000</xdr:colOff>
      <xdr:row>24</xdr:row>
      <xdr:rowOff>76200</xdr:rowOff>
    </xdr:from>
    <xdr:to>
      <xdr:col>6</xdr:col>
      <xdr:colOff>352425</xdr:colOff>
      <xdr:row>31</xdr:row>
      <xdr:rowOff>28575</xdr:rowOff>
    </xdr:to>
    <xdr:sp macro="" textlink="">
      <xdr:nvSpPr>
        <xdr:cNvPr id="10834188" name="Line 22">
          <a:extLst>
            <a:ext uri="{FF2B5EF4-FFF2-40B4-BE49-F238E27FC236}">
              <a16:creationId xmlns:a16="http://schemas.microsoft.com/office/drawing/2014/main" id="{00000000-0008-0000-0800-00000C51A500}"/>
            </a:ext>
          </a:extLst>
        </xdr:cNvPr>
        <xdr:cNvSpPr>
          <a:spLocks noChangeShapeType="1"/>
        </xdr:cNvSpPr>
      </xdr:nvSpPr>
      <xdr:spPr bwMode="auto">
        <a:xfrm flipH="1">
          <a:off x="2828925" y="4676775"/>
          <a:ext cx="1371600" cy="12573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52</xdr:row>
      <xdr:rowOff>38100</xdr:rowOff>
    </xdr:from>
    <xdr:to>
      <xdr:col>14</xdr:col>
      <xdr:colOff>9525</xdr:colOff>
      <xdr:row>60</xdr:row>
      <xdr:rowOff>28575</xdr:rowOff>
    </xdr:to>
    <xdr:sp macro="" textlink="">
      <xdr:nvSpPr>
        <xdr:cNvPr id="10834189" name="Arc 23">
          <a:extLst>
            <a:ext uri="{FF2B5EF4-FFF2-40B4-BE49-F238E27FC236}">
              <a16:creationId xmlns:a16="http://schemas.microsoft.com/office/drawing/2014/main" id="{00000000-0008-0000-0800-00000D51A500}"/>
            </a:ext>
          </a:extLst>
        </xdr:cNvPr>
        <xdr:cNvSpPr>
          <a:spLocks/>
        </xdr:cNvSpPr>
      </xdr:nvSpPr>
      <xdr:spPr bwMode="auto">
        <a:xfrm flipH="1">
          <a:off x="6629400" y="9591675"/>
          <a:ext cx="3019425" cy="15049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600075</xdr:colOff>
      <xdr:row>52</xdr:row>
      <xdr:rowOff>38100</xdr:rowOff>
    </xdr:from>
    <xdr:to>
      <xdr:col>17</xdr:col>
      <xdr:colOff>571500</xdr:colOff>
      <xdr:row>60</xdr:row>
      <xdr:rowOff>38100</xdr:rowOff>
    </xdr:to>
    <xdr:sp macro="" textlink="">
      <xdr:nvSpPr>
        <xdr:cNvPr id="10834190" name="Arc 24">
          <a:extLst>
            <a:ext uri="{FF2B5EF4-FFF2-40B4-BE49-F238E27FC236}">
              <a16:creationId xmlns:a16="http://schemas.microsoft.com/office/drawing/2014/main" id="{00000000-0008-0000-0800-00000E51A500}"/>
            </a:ext>
          </a:extLst>
        </xdr:cNvPr>
        <xdr:cNvSpPr>
          <a:spLocks/>
        </xdr:cNvSpPr>
      </xdr:nvSpPr>
      <xdr:spPr bwMode="auto">
        <a:xfrm>
          <a:off x="9372600" y="9591675"/>
          <a:ext cx="3019425" cy="151447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685800</xdr:colOff>
      <xdr:row>58</xdr:row>
      <xdr:rowOff>66675</xdr:rowOff>
    </xdr:from>
    <xdr:to>
      <xdr:col>6</xdr:col>
      <xdr:colOff>238125</xdr:colOff>
      <xdr:row>62</xdr:row>
      <xdr:rowOff>28575</xdr:rowOff>
    </xdr:to>
    <xdr:sp macro="" textlink="">
      <xdr:nvSpPr>
        <xdr:cNvPr id="10834191" name="Line 25">
          <a:extLst>
            <a:ext uri="{FF2B5EF4-FFF2-40B4-BE49-F238E27FC236}">
              <a16:creationId xmlns:a16="http://schemas.microsoft.com/office/drawing/2014/main" id="{00000000-0008-0000-0800-00000F51A500}"/>
            </a:ext>
          </a:extLst>
        </xdr:cNvPr>
        <xdr:cNvSpPr>
          <a:spLocks noChangeShapeType="1"/>
        </xdr:cNvSpPr>
      </xdr:nvSpPr>
      <xdr:spPr bwMode="auto">
        <a:xfrm flipH="1">
          <a:off x="3771900" y="10791825"/>
          <a:ext cx="314325" cy="6477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161925</xdr:colOff>
      <xdr:row>37</xdr:row>
      <xdr:rowOff>114300</xdr:rowOff>
    </xdr:from>
    <xdr:to>
      <xdr:col>17</xdr:col>
      <xdr:colOff>123825</xdr:colOff>
      <xdr:row>45</xdr:row>
      <xdr:rowOff>152400</xdr:rowOff>
    </xdr:to>
    <xdr:sp macro="" textlink="">
      <xdr:nvSpPr>
        <xdr:cNvPr id="10834192" name="Line 26">
          <a:extLst>
            <a:ext uri="{FF2B5EF4-FFF2-40B4-BE49-F238E27FC236}">
              <a16:creationId xmlns:a16="http://schemas.microsoft.com/office/drawing/2014/main" id="{00000000-0008-0000-0800-00001051A500}"/>
            </a:ext>
          </a:extLst>
        </xdr:cNvPr>
        <xdr:cNvSpPr>
          <a:spLocks noChangeShapeType="1"/>
        </xdr:cNvSpPr>
      </xdr:nvSpPr>
      <xdr:spPr bwMode="auto">
        <a:xfrm>
          <a:off x="11296650" y="7058025"/>
          <a:ext cx="647700" cy="14382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142875</xdr:colOff>
      <xdr:row>38</xdr:row>
      <xdr:rowOff>0</xdr:rowOff>
    </xdr:from>
    <xdr:to>
      <xdr:col>11</xdr:col>
      <xdr:colOff>600075</xdr:colOff>
      <xdr:row>53</xdr:row>
      <xdr:rowOff>123825</xdr:rowOff>
    </xdr:to>
    <xdr:sp macro="" textlink="">
      <xdr:nvSpPr>
        <xdr:cNvPr id="10834193" name="Line 27">
          <a:extLst>
            <a:ext uri="{FF2B5EF4-FFF2-40B4-BE49-F238E27FC236}">
              <a16:creationId xmlns:a16="http://schemas.microsoft.com/office/drawing/2014/main" id="{00000000-0008-0000-0800-00001151A500}"/>
            </a:ext>
          </a:extLst>
        </xdr:cNvPr>
        <xdr:cNvSpPr>
          <a:spLocks noChangeShapeType="1"/>
        </xdr:cNvSpPr>
      </xdr:nvSpPr>
      <xdr:spPr bwMode="auto">
        <a:xfrm>
          <a:off x="6772275" y="7105650"/>
          <a:ext cx="1123950" cy="27622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152400</xdr:colOff>
      <xdr:row>45</xdr:row>
      <xdr:rowOff>47625</xdr:rowOff>
    </xdr:from>
    <xdr:to>
      <xdr:col>11</xdr:col>
      <xdr:colOff>295275</xdr:colOff>
      <xdr:row>54</xdr:row>
      <xdr:rowOff>76200</xdr:rowOff>
    </xdr:to>
    <xdr:sp macro="" textlink="">
      <xdr:nvSpPr>
        <xdr:cNvPr id="10834194" name="Line 28">
          <a:extLst>
            <a:ext uri="{FF2B5EF4-FFF2-40B4-BE49-F238E27FC236}">
              <a16:creationId xmlns:a16="http://schemas.microsoft.com/office/drawing/2014/main" id="{00000000-0008-0000-0800-00001251A500}"/>
            </a:ext>
          </a:extLst>
        </xdr:cNvPr>
        <xdr:cNvSpPr>
          <a:spLocks noChangeShapeType="1"/>
        </xdr:cNvSpPr>
      </xdr:nvSpPr>
      <xdr:spPr bwMode="auto">
        <a:xfrm>
          <a:off x="5410200" y="8391525"/>
          <a:ext cx="2181225" cy="15906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25</xdr:row>
      <xdr:rowOff>0</xdr:rowOff>
    </xdr:from>
    <xdr:to>
      <xdr:col>11</xdr:col>
      <xdr:colOff>123825</xdr:colOff>
      <xdr:row>25</xdr:row>
      <xdr:rowOff>0</xdr:rowOff>
    </xdr:to>
    <xdr:sp macro="" textlink="">
      <xdr:nvSpPr>
        <xdr:cNvPr id="10834195" name="Line 29">
          <a:extLst>
            <a:ext uri="{FF2B5EF4-FFF2-40B4-BE49-F238E27FC236}">
              <a16:creationId xmlns:a16="http://schemas.microsoft.com/office/drawing/2014/main" id="{00000000-0008-0000-0800-00001351A500}"/>
            </a:ext>
          </a:extLst>
        </xdr:cNvPr>
        <xdr:cNvSpPr>
          <a:spLocks noChangeShapeType="1"/>
        </xdr:cNvSpPr>
      </xdr:nvSpPr>
      <xdr:spPr bwMode="auto">
        <a:xfrm>
          <a:off x="5934075" y="4772025"/>
          <a:ext cx="14859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600075</xdr:colOff>
      <xdr:row>20</xdr:row>
      <xdr:rowOff>0</xdr:rowOff>
    </xdr:from>
    <xdr:to>
      <xdr:col>13</xdr:col>
      <xdr:colOff>9525</xdr:colOff>
      <xdr:row>29</xdr:row>
      <xdr:rowOff>47625</xdr:rowOff>
    </xdr:to>
    <xdr:sp macro="" textlink="">
      <xdr:nvSpPr>
        <xdr:cNvPr id="10834196" name="Line 30">
          <a:extLst>
            <a:ext uri="{FF2B5EF4-FFF2-40B4-BE49-F238E27FC236}">
              <a16:creationId xmlns:a16="http://schemas.microsoft.com/office/drawing/2014/main" id="{00000000-0008-0000-0800-00001451A500}"/>
            </a:ext>
          </a:extLst>
        </xdr:cNvPr>
        <xdr:cNvSpPr>
          <a:spLocks noChangeShapeType="1"/>
        </xdr:cNvSpPr>
      </xdr:nvSpPr>
      <xdr:spPr bwMode="auto">
        <a:xfrm>
          <a:off x="7896225" y="3895725"/>
          <a:ext cx="885825" cy="17049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171450</xdr:colOff>
      <xdr:row>19</xdr:row>
      <xdr:rowOff>171450</xdr:rowOff>
    </xdr:from>
    <xdr:to>
      <xdr:col>11</xdr:col>
      <xdr:colOff>619125</xdr:colOff>
      <xdr:row>19</xdr:row>
      <xdr:rowOff>171450</xdr:rowOff>
    </xdr:to>
    <xdr:sp macro="" textlink="">
      <xdr:nvSpPr>
        <xdr:cNvPr id="10834197" name="Line 31">
          <a:extLst>
            <a:ext uri="{FF2B5EF4-FFF2-40B4-BE49-F238E27FC236}">
              <a16:creationId xmlns:a16="http://schemas.microsoft.com/office/drawing/2014/main" id="{00000000-0008-0000-0800-00001551A500}"/>
            </a:ext>
          </a:extLst>
        </xdr:cNvPr>
        <xdr:cNvSpPr>
          <a:spLocks noChangeShapeType="1"/>
        </xdr:cNvSpPr>
      </xdr:nvSpPr>
      <xdr:spPr bwMode="auto">
        <a:xfrm flipH="1">
          <a:off x="5429250" y="3876675"/>
          <a:ext cx="248602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523875</xdr:colOff>
      <xdr:row>58</xdr:row>
      <xdr:rowOff>38100</xdr:rowOff>
    </xdr:from>
    <xdr:to>
      <xdr:col>8</xdr:col>
      <xdr:colOff>257175</xdr:colOff>
      <xdr:row>61</xdr:row>
      <xdr:rowOff>28575</xdr:rowOff>
    </xdr:to>
    <xdr:sp macro="" textlink="">
      <xdr:nvSpPr>
        <xdr:cNvPr id="10834198" name="Line 32">
          <a:extLst>
            <a:ext uri="{FF2B5EF4-FFF2-40B4-BE49-F238E27FC236}">
              <a16:creationId xmlns:a16="http://schemas.microsoft.com/office/drawing/2014/main" id="{00000000-0008-0000-0800-00001651A500}"/>
            </a:ext>
          </a:extLst>
        </xdr:cNvPr>
        <xdr:cNvSpPr>
          <a:spLocks noChangeShapeType="1"/>
        </xdr:cNvSpPr>
      </xdr:nvSpPr>
      <xdr:spPr bwMode="auto">
        <a:xfrm flipH="1" flipV="1">
          <a:off x="5067300" y="10763250"/>
          <a:ext cx="447675" cy="495300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</xdr:row>
      <xdr:rowOff>152400</xdr:rowOff>
    </xdr:from>
    <xdr:to>
      <xdr:col>7</xdr:col>
      <xdr:colOff>9525</xdr:colOff>
      <xdr:row>29</xdr:row>
      <xdr:rowOff>38100</xdr:rowOff>
    </xdr:to>
    <xdr:sp macro="" textlink="">
      <xdr:nvSpPr>
        <xdr:cNvPr id="10834199" name="Line 33">
          <a:extLst>
            <a:ext uri="{FF2B5EF4-FFF2-40B4-BE49-F238E27FC236}">
              <a16:creationId xmlns:a16="http://schemas.microsoft.com/office/drawing/2014/main" id="{00000000-0008-0000-0800-00001751A500}"/>
            </a:ext>
          </a:extLst>
        </xdr:cNvPr>
        <xdr:cNvSpPr>
          <a:spLocks noChangeShapeType="1"/>
        </xdr:cNvSpPr>
      </xdr:nvSpPr>
      <xdr:spPr bwMode="auto">
        <a:xfrm flipH="1">
          <a:off x="4543425" y="4752975"/>
          <a:ext cx="9525" cy="8382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247650</xdr:colOff>
      <xdr:row>11</xdr:row>
      <xdr:rowOff>0</xdr:rowOff>
    </xdr:from>
    <xdr:to>
      <xdr:col>6</xdr:col>
      <xdr:colOff>657225</xdr:colOff>
      <xdr:row>16</xdr:row>
      <xdr:rowOff>57150</xdr:rowOff>
    </xdr:to>
    <xdr:sp macro="" textlink="">
      <xdr:nvSpPr>
        <xdr:cNvPr id="10834200" name="Line 34">
          <a:extLst>
            <a:ext uri="{FF2B5EF4-FFF2-40B4-BE49-F238E27FC236}">
              <a16:creationId xmlns:a16="http://schemas.microsoft.com/office/drawing/2014/main" id="{00000000-0008-0000-0800-00001851A500}"/>
            </a:ext>
          </a:extLst>
        </xdr:cNvPr>
        <xdr:cNvSpPr>
          <a:spLocks noChangeShapeType="1"/>
        </xdr:cNvSpPr>
      </xdr:nvSpPr>
      <xdr:spPr bwMode="auto">
        <a:xfrm flipH="1" flipV="1">
          <a:off x="4095750" y="2286000"/>
          <a:ext cx="409575" cy="9715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34</xdr:row>
      <xdr:rowOff>0</xdr:rowOff>
    </xdr:from>
    <xdr:to>
      <xdr:col>8</xdr:col>
      <xdr:colOff>561975</xdr:colOff>
      <xdr:row>34</xdr:row>
      <xdr:rowOff>9525</xdr:rowOff>
    </xdr:to>
    <xdr:sp macro="" textlink="">
      <xdr:nvSpPr>
        <xdr:cNvPr id="10834201" name="Line 35">
          <a:extLst>
            <a:ext uri="{FF2B5EF4-FFF2-40B4-BE49-F238E27FC236}">
              <a16:creationId xmlns:a16="http://schemas.microsoft.com/office/drawing/2014/main" id="{00000000-0008-0000-0800-00001951A500}"/>
            </a:ext>
          </a:extLst>
        </xdr:cNvPr>
        <xdr:cNvSpPr>
          <a:spLocks noChangeShapeType="1"/>
        </xdr:cNvSpPr>
      </xdr:nvSpPr>
      <xdr:spPr bwMode="auto">
        <a:xfrm flipV="1">
          <a:off x="5295900" y="6457950"/>
          <a:ext cx="523875" cy="95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504825</xdr:colOff>
      <xdr:row>37</xdr:row>
      <xdr:rowOff>152400</xdr:rowOff>
    </xdr:from>
    <xdr:to>
      <xdr:col>15</xdr:col>
      <xdr:colOff>495300</xdr:colOff>
      <xdr:row>52</xdr:row>
      <xdr:rowOff>76200</xdr:rowOff>
    </xdr:to>
    <xdr:sp macro="" textlink="">
      <xdr:nvSpPr>
        <xdr:cNvPr id="10834202" name="Line 36">
          <a:extLst>
            <a:ext uri="{FF2B5EF4-FFF2-40B4-BE49-F238E27FC236}">
              <a16:creationId xmlns:a16="http://schemas.microsoft.com/office/drawing/2014/main" id="{00000000-0008-0000-0800-00001A51A500}"/>
            </a:ext>
          </a:extLst>
        </xdr:cNvPr>
        <xdr:cNvSpPr>
          <a:spLocks noChangeShapeType="1"/>
        </xdr:cNvSpPr>
      </xdr:nvSpPr>
      <xdr:spPr bwMode="auto">
        <a:xfrm flipV="1">
          <a:off x="10144125" y="7096125"/>
          <a:ext cx="685800" cy="2533650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</xdr:colOff>
      <xdr:row>12</xdr:row>
      <xdr:rowOff>180975</xdr:rowOff>
    </xdr:from>
    <xdr:to>
      <xdr:col>6</xdr:col>
      <xdr:colOff>371475</xdr:colOff>
      <xdr:row>17</xdr:row>
      <xdr:rowOff>0</xdr:rowOff>
    </xdr:to>
    <xdr:sp macro="" textlink="">
      <xdr:nvSpPr>
        <xdr:cNvPr id="10834203" name="Line 37">
          <a:extLst>
            <a:ext uri="{FF2B5EF4-FFF2-40B4-BE49-F238E27FC236}">
              <a16:creationId xmlns:a16="http://schemas.microsoft.com/office/drawing/2014/main" id="{00000000-0008-0000-0800-00001B51A500}"/>
            </a:ext>
          </a:extLst>
        </xdr:cNvPr>
        <xdr:cNvSpPr>
          <a:spLocks noChangeShapeType="1"/>
        </xdr:cNvSpPr>
      </xdr:nvSpPr>
      <xdr:spPr bwMode="auto">
        <a:xfrm>
          <a:off x="3152775" y="2667000"/>
          <a:ext cx="1066800" cy="6953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33</xdr:row>
      <xdr:rowOff>161925</xdr:rowOff>
    </xdr:from>
    <xdr:to>
      <xdr:col>11</xdr:col>
      <xdr:colOff>695325</xdr:colOff>
      <xdr:row>33</xdr:row>
      <xdr:rowOff>161925</xdr:rowOff>
    </xdr:to>
    <xdr:sp macro="" textlink="">
      <xdr:nvSpPr>
        <xdr:cNvPr id="10834204" name="Line 38">
          <a:extLst>
            <a:ext uri="{FF2B5EF4-FFF2-40B4-BE49-F238E27FC236}">
              <a16:creationId xmlns:a16="http://schemas.microsoft.com/office/drawing/2014/main" id="{00000000-0008-0000-0800-00001C51A500}"/>
            </a:ext>
          </a:extLst>
        </xdr:cNvPr>
        <xdr:cNvSpPr>
          <a:spLocks noChangeShapeType="1"/>
        </xdr:cNvSpPr>
      </xdr:nvSpPr>
      <xdr:spPr bwMode="auto">
        <a:xfrm>
          <a:off x="7362825" y="6438900"/>
          <a:ext cx="6286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25</xdr:row>
      <xdr:rowOff>0</xdr:rowOff>
    </xdr:from>
    <xdr:to>
      <xdr:col>9</xdr:col>
      <xdr:colOff>28575</xdr:colOff>
      <xdr:row>30</xdr:row>
      <xdr:rowOff>114300</xdr:rowOff>
    </xdr:to>
    <xdr:sp macro="" textlink="">
      <xdr:nvSpPr>
        <xdr:cNvPr id="10834205" name="Line 39">
          <a:extLst>
            <a:ext uri="{FF2B5EF4-FFF2-40B4-BE49-F238E27FC236}">
              <a16:creationId xmlns:a16="http://schemas.microsoft.com/office/drawing/2014/main" id="{00000000-0008-0000-0800-00001D51A500}"/>
            </a:ext>
          </a:extLst>
        </xdr:cNvPr>
        <xdr:cNvSpPr>
          <a:spLocks noChangeShapeType="1"/>
        </xdr:cNvSpPr>
      </xdr:nvSpPr>
      <xdr:spPr bwMode="auto">
        <a:xfrm flipH="1">
          <a:off x="5076825" y="4772025"/>
          <a:ext cx="876300" cy="10572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114300</xdr:colOff>
      <xdr:row>25</xdr:row>
      <xdr:rowOff>9525</xdr:rowOff>
    </xdr:from>
    <xdr:to>
      <xdr:col>12</xdr:col>
      <xdr:colOff>142875</xdr:colOff>
      <xdr:row>30</xdr:row>
      <xdr:rowOff>76200</xdr:rowOff>
    </xdr:to>
    <xdr:sp macro="" textlink="">
      <xdr:nvSpPr>
        <xdr:cNvPr id="10834206" name="Line 40">
          <a:extLst>
            <a:ext uri="{FF2B5EF4-FFF2-40B4-BE49-F238E27FC236}">
              <a16:creationId xmlns:a16="http://schemas.microsoft.com/office/drawing/2014/main" id="{00000000-0008-0000-0800-00001E51A500}"/>
            </a:ext>
          </a:extLst>
        </xdr:cNvPr>
        <xdr:cNvSpPr>
          <a:spLocks noChangeShapeType="1"/>
        </xdr:cNvSpPr>
      </xdr:nvSpPr>
      <xdr:spPr bwMode="auto">
        <a:xfrm>
          <a:off x="7410450" y="4781550"/>
          <a:ext cx="809625" cy="10096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52</xdr:row>
      <xdr:rowOff>104775</xdr:rowOff>
    </xdr:from>
    <xdr:to>
      <xdr:col>12</xdr:col>
      <xdr:colOff>561975</xdr:colOff>
      <xdr:row>52</xdr:row>
      <xdr:rowOff>114300</xdr:rowOff>
    </xdr:to>
    <xdr:sp macro="" textlink="">
      <xdr:nvSpPr>
        <xdr:cNvPr id="10834207" name="Arc 41">
          <a:extLst>
            <a:ext uri="{FF2B5EF4-FFF2-40B4-BE49-F238E27FC236}">
              <a16:creationId xmlns:a16="http://schemas.microsoft.com/office/drawing/2014/main" id="{00000000-0008-0000-0800-00001F51A500}"/>
            </a:ext>
          </a:extLst>
        </xdr:cNvPr>
        <xdr:cNvSpPr>
          <a:spLocks/>
        </xdr:cNvSpPr>
      </xdr:nvSpPr>
      <xdr:spPr bwMode="auto">
        <a:xfrm flipV="1">
          <a:off x="8582025" y="9658350"/>
          <a:ext cx="57150" cy="95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85725</xdr:rowOff>
    </xdr:from>
    <xdr:to>
      <xdr:col>13</xdr:col>
      <xdr:colOff>152400</xdr:colOff>
      <xdr:row>52</xdr:row>
      <xdr:rowOff>85725</xdr:rowOff>
    </xdr:to>
    <xdr:sp macro="" textlink="">
      <xdr:nvSpPr>
        <xdr:cNvPr id="10834208" name="Arc 42">
          <a:extLst>
            <a:ext uri="{FF2B5EF4-FFF2-40B4-BE49-F238E27FC236}">
              <a16:creationId xmlns:a16="http://schemas.microsoft.com/office/drawing/2014/main" id="{00000000-0008-0000-0800-00002051A500}"/>
            </a:ext>
          </a:extLst>
        </xdr:cNvPr>
        <xdr:cNvSpPr>
          <a:spLocks/>
        </xdr:cNvSpPr>
      </xdr:nvSpPr>
      <xdr:spPr bwMode="auto">
        <a:xfrm flipH="1">
          <a:off x="8896350" y="963930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66675</xdr:rowOff>
    </xdr:from>
    <xdr:to>
      <xdr:col>13</xdr:col>
      <xdr:colOff>152400</xdr:colOff>
      <xdr:row>52</xdr:row>
      <xdr:rowOff>85725</xdr:rowOff>
    </xdr:to>
    <xdr:sp macro="" textlink="">
      <xdr:nvSpPr>
        <xdr:cNvPr id="10834209" name="Arc 43">
          <a:extLst>
            <a:ext uri="{FF2B5EF4-FFF2-40B4-BE49-F238E27FC236}">
              <a16:creationId xmlns:a16="http://schemas.microsoft.com/office/drawing/2014/main" id="{00000000-0008-0000-0800-00002151A500}"/>
            </a:ext>
          </a:extLst>
        </xdr:cNvPr>
        <xdr:cNvSpPr>
          <a:spLocks/>
        </xdr:cNvSpPr>
      </xdr:nvSpPr>
      <xdr:spPr bwMode="auto">
        <a:xfrm>
          <a:off x="8896350" y="9620250"/>
          <a:ext cx="28575" cy="190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4 h 21600"/>
            <a:gd name="T4" fmla="*/ 0 w 21600"/>
            <a:gd name="T5" fmla="*/ 4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57150</xdr:colOff>
      <xdr:row>52</xdr:row>
      <xdr:rowOff>95250</xdr:rowOff>
    </xdr:from>
    <xdr:to>
      <xdr:col>13</xdr:col>
      <xdr:colOff>114300</xdr:colOff>
      <xdr:row>58</xdr:row>
      <xdr:rowOff>28575</xdr:rowOff>
    </xdr:to>
    <xdr:sp macro="" textlink="">
      <xdr:nvSpPr>
        <xdr:cNvPr id="10834210" name="Arc 44">
          <a:extLst>
            <a:ext uri="{FF2B5EF4-FFF2-40B4-BE49-F238E27FC236}">
              <a16:creationId xmlns:a16="http://schemas.microsoft.com/office/drawing/2014/main" id="{00000000-0008-0000-0800-00002251A500}"/>
            </a:ext>
          </a:extLst>
        </xdr:cNvPr>
        <xdr:cNvSpPr>
          <a:spLocks/>
        </xdr:cNvSpPr>
      </xdr:nvSpPr>
      <xdr:spPr bwMode="auto">
        <a:xfrm flipV="1">
          <a:off x="6686550" y="9648825"/>
          <a:ext cx="2200275" cy="110490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657225</xdr:colOff>
      <xdr:row>38</xdr:row>
      <xdr:rowOff>9525</xdr:rowOff>
    </xdr:from>
    <xdr:to>
      <xdr:col>12</xdr:col>
      <xdr:colOff>676275</xdr:colOff>
      <xdr:row>52</xdr:row>
      <xdr:rowOff>114300</xdr:rowOff>
    </xdr:to>
    <xdr:sp macro="" textlink="">
      <xdr:nvSpPr>
        <xdr:cNvPr id="10834211" name="Line 45">
          <a:extLst>
            <a:ext uri="{FF2B5EF4-FFF2-40B4-BE49-F238E27FC236}">
              <a16:creationId xmlns:a16="http://schemas.microsoft.com/office/drawing/2014/main" id="{00000000-0008-0000-0800-00002351A500}"/>
            </a:ext>
          </a:extLst>
        </xdr:cNvPr>
        <xdr:cNvSpPr>
          <a:spLocks noChangeShapeType="1"/>
        </xdr:cNvSpPr>
      </xdr:nvSpPr>
      <xdr:spPr bwMode="auto">
        <a:xfrm flipH="1">
          <a:off x="8734425" y="7115175"/>
          <a:ext cx="19050" cy="25527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161925</xdr:colOff>
      <xdr:row>34</xdr:row>
      <xdr:rowOff>0</xdr:rowOff>
    </xdr:from>
    <xdr:to>
      <xdr:col>3</xdr:col>
      <xdr:colOff>142875</xdr:colOff>
      <xdr:row>34</xdr:row>
      <xdr:rowOff>0</xdr:rowOff>
    </xdr:to>
    <xdr:sp macro="" textlink="">
      <xdr:nvSpPr>
        <xdr:cNvPr id="10834212" name="Line 46">
          <a:extLst>
            <a:ext uri="{FF2B5EF4-FFF2-40B4-BE49-F238E27FC236}">
              <a16:creationId xmlns:a16="http://schemas.microsoft.com/office/drawing/2014/main" id="{00000000-0008-0000-0800-00002451A500}"/>
            </a:ext>
          </a:extLst>
        </xdr:cNvPr>
        <xdr:cNvSpPr>
          <a:spLocks noChangeShapeType="1"/>
        </xdr:cNvSpPr>
      </xdr:nvSpPr>
      <xdr:spPr bwMode="auto">
        <a:xfrm flipH="1">
          <a:off x="1076325" y="6457950"/>
          <a:ext cx="8191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590550</xdr:colOff>
      <xdr:row>61</xdr:row>
      <xdr:rowOff>114300</xdr:rowOff>
    </xdr:from>
    <xdr:to>
      <xdr:col>6</xdr:col>
      <xdr:colOff>133350</xdr:colOff>
      <xdr:row>66</xdr:row>
      <xdr:rowOff>142875</xdr:rowOff>
    </xdr:to>
    <xdr:sp macro="" textlink="">
      <xdr:nvSpPr>
        <xdr:cNvPr id="10834213" name="Oval 47">
          <a:extLst>
            <a:ext uri="{FF2B5EF4-FFF2-40B4-BE49-F238E27FC236}">
              <a16:creationId xmlns:a16="http://schemas.microsoft.com/office/drawing/2014/main" id="{00000000-0008-0000-0800-00002551A500}"/>
            </a:ext>
          </a:extLst>
        </xdr:cNvPr>
        <xdr:cNvSpPr>
          <a:spLocks noChangeArrowheads="1"/>
        </xdr:cNvSpPr>
      </xdr:nvSpPr>
      <xdr:spPr bwMode="auto">
        <a:xfrm>
          <a:off x="3038475" y="11344275"/>
          <a:ext cx="942975" cy="8953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581025</xdr:colOff>
      <xdr:row>61</xdr:row>
      <xdr:rowOff>28575</xdr:rowOff>
    </xdr:from>
    <xdr:to>
      <xdr:col>9</xdr:col>
      <xdr:colOff>180975</xdr:colOff>
      <xdr:row>66</xdr:row>
      <xdr:rowOff>114300</xdr:rowOff>
    </xdr:to>
    <xdr:sp macro="" textlink="">
      <xdr:nvSpPr>
        <xdr:cNvPr id="10834214" name="Oval 48">
          <a:extLst>
            <a:ext uri="{FF2B5EF4-FFF2-40B4-BE49-F238E27FC236}">
              <a16:creationId xmlns:a16="http://schemas.microsoft.com/office/drawing/2014/main" id="{00000000-0008-0000-0800-00002651A500}"/>
            </a:ext>
          </a:extLst>
        </xdr:cNvPr>
        <xdr:cNvSpPr>
          <a:spLocks noChangeArrowheads="1"/>
        </xdr:cNvSpPr>
      </xdr:nvSpPr>
      <xdr:spPr bwMode="auto">
        <a:xfrm>
          <a:off x="5127625" y="11407775"/>
          <a:ext cx="984250" cy="9239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104775</xdr:colOff>
      <xdr:row>38</xdr:row>
      <xdr:rowOff>19050</xdr:rowOff>
    </xdr:from>
    <xdr:to>
      <xdr:col>13</xdr:col>
      <xdr:colOff>390525</xdr:colOff>
      <xdr:row>52</xdr:row>
      <xdr:rowOff>66675</xdr:rowOff>
    </xdr:to>
    <xdr:sp macro="" textlink="">
      <xdr:nvSpPr>
        <xdr:cNvPr id="10834215" name="Line 49">
          <a:extLst>
            <a:ext uri="{FF2B5EF4-FFF2-40B4-BE49-F238E27FC236}">
              <a16:creationId xmlns:a16="http://schemas.microsoft.com/office/drawing/2014/main" id="{00000000-0008-0000-0800-00002751A500}"/>
            </a:ext>
          </a:extLst>
        </xdr:cNvPr>
        <xdr:cNvSpPr>
          <a:spLocks noChangeShapeType="1"/>
        </xdr:cNvSpPr>
      </xdr:nvSpPr>
      <xdr:spPr bwMode="auto">
        <a:xfrm>
          <a:off x="8877300" y="7124700"/>
          <a:ext cx="285750" cy="24955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638175</xdr:colOff>
      <xdr:row>38</xdr:row>
      <xdr:rowOff>0</xdr:rowOff>
    </xdr:from>
    <xdr:to>
      <xdr:col>15</xdr:col>
      <xdr:colOff>647700</xdr:colOff>
      <xdr:row>52</xdr:row>
      <xdr:rowOff>123825</xdr:rowOff>
    </xdr:to>
    <xdr:sp macro="" textlink="">
      <xdr:nvSpPr>
        <xdr:cNvPr id="10834216" name="Line 50">
          <a:extLst>
            <a:ext uri="{FF2B5EF4-FFF2-40B4-BE49-F238E27FC236}">
              <a16:creationId xmlns:a16="http://schemas.microsoft.com/office/drawing/2014/main" id="{00000000-0008-0000-0800-00002851A500}"/>
            </a:ext>
          </a:extLst>
        </xdr:cNvPr>
        <xdr:cNvSpPr>
          <a:spLocks noChangeShapeType="1"/>
        </xdr:cNvSpPr>
      </xdr:nvSpPr>
      <xdr:spPr bwMode="auto">
        <a:xfrm flipV="1">
          <a:off x="10277475" y="7105650"/>
          <a:ext cx="704850" cy="25717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18</xdr:row>
      <xdr:rowOff>104775</xdr:rowOff>
    </xdr:from>
    <xdr:to>
      <xdr:col>6</xdr:col>
      <xdr:colOff>0</xdr:colOff>
      <xdr:row>26</xdr:row>
      <xdr:rowOff>0</xdr:rowOff>
    </xdr:to>
    <xdr:sp macro="" textlink="">
      <xdr:nvSpPr>
        <xdr:cNvPr id="10834217" name="Oval 51">
          <a:extLst>
            <a:ext uri="{FF2B5EF4-FFF2-40B4-BE49-F238E27FC236}">
              <a16:creationId xmlns:a16="http://schemas.microsoft.com/office/drawing/2014/main" id="{00000000-0008-0000-0800-00002951A500}"/>
            </a:ext>
          </a:extLst>
        </xdr:cNvPr>
        <xdr:cNvSpPr>
          <a:spLocks noChangeArrowheads="1"/>
        </xdr:cNvSpPr>
      </xdr:nvSpPr>
      <xdr:spPr bwMode="auto">
        <a:xfrm>
          <a:off x="2457450" y="3629025"/>
          <a:ext cx="1390650" cy="13335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142875</xdr:colOff>
      <xdr:row>16</xdr:row>
      <xdr:rowOff>47625</xdr:rowOff>
    </xdr:from>
    <xdr:to>
      <xdr:col>4</xdr:col>
      <xdr:colOff>295275</xdr:colOff>
      <xdr:row>19</xdr:row>
      <xdr:rowOff>47625</xdr:rowOff>
    </xdr:to>
    <xdr:sp macro="" textlink="">
      <xdr:nvSpPr>
        <xdr:cNvPr id="10834218" name="Line 52">
          <a:extLst>
            <a:ext uri="{FF2B5EF4-FFF2-40B4-BE49-F238E27FC236}">
              <a16:creationId xmlns:a16="http://schemas.microsoft.com/office/drawing/2014/main" id="{00000000-0008-0000-0800-00002A51A500}"/>
            </a:ext>
          </a:extLst>
        </xdr:cNvPr>
        <xdr:cNvSpPr>
          <a:spLocks noChangeShapeType="1"/>
        </xdr:cNvSpPr>
      </xdr:nvSpPr>
      <xdr:spPr bwMode="auto">
        <a:xfrm flipH="1" flipV="1">
          <a:off x="2590800" y="3248025"/>
          <a:ext cx="152400" cy="5048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15</xdr:row>
      <xdr:rowOff>123825</xdr:rowOff>
    </xdr:from>
    <xdr:to>
      <xdr:col>3</xdr:col>
      <xdr:colOff>533400</xdr:colOff>
      <xdr:row>30</xdr:row>
      <xdr:rowOff>104775</xdr:rowOff>
    </xdr:to>
    <xdr:sp macro="" textlink="">
      <xdr:nvSpPr>
        <xdr:cNvPr id="10834219" name="Line 53">
          <a:extLst>
            <a:ext uri="{FF2B5EF4-FFF2-40B4-BE49-F238E27FC236}">
              <a16:creationId xmlns:a16="http://schemas.microsoft.com/office/drawing/2014/main" id="{00000000-0008-0000-0800-00002B51A500}"/>
            </a:ext>
          </a:extLst>
        </xdr:cNvPr>
        <xdr:cNvSpPr>
          <a:spLocks noChangeShapeType="1"/>
        </xdr:cNvSpPr>
      </xdr:nvSpPr>
      <xdr:spPr bwMode="auto">
        <a:xfrm flipV="1">
          <a:off x="2238375" y="3162300"/>
          <a:ext cx="47625" cy="26574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485775</xdr:colOff>
      <xdr:row>41</xdr:row>
      <xdr:rowOff>9525</xdr:rowOff>
    </xdr:from>
    <xdr:to>
      <xdr:col>8</xdr:col>
      <xdr:colOff>200025</xdr:colOff>
      <xdr:row>47</xdr:row>
      <xdr:rowOff>76200</xdr:rowOff>
    </xdr:to>
    <xdr:sp macro="" textlink="">
      <xdr:nvSpPr>
        <xdr:cNvPr id="10834220" name="Oval 54">
          <a:extLst>
            <a:ext uri="{FF2B5EF4-FFF2-40B4-BE49-F238E27FC236}">
              <a16:creationId xmlns:a16="http://schemas.microsoft.com/office/drawing/2014/main" id="{00000000-0008-0000-0800-00002C51A500}"/>
            </a:ext>
          </a:extLst>
        </xdr:cNvPr>
        <xdr:cNvSpPr>
          <a:spLocks noChangeArrowheads="1"/>
        </xdr:cNvSpPr>
      </xdr:nvSpPr>
      <xdr:spPr bwMode="auto">
        <a:xfrm>
          <a:off x="3571875" y="7705725"/>
          <a:ext cx="1885950" cy="10572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695325</xdr:colOff>
      <xdr:row>36</xdr:row>
      <xdr:rowOff>104775</xdr:rowOff>
    </xdr:from>
    <xdr:to>
      <xdr:col>9</xdr:col>
      <xdr:colOff>95250</xdr:colOff>
      <xdr:row>42</xdr:row>
      <xdr:rowOff>38100</xdr:rowOff>
    </xdr:to>
    <xdr:sp macro="" textlink="">
      <xdr:nvSpPr>
        <xdr:cNvPr id="10834221" name="Line 55">
          <a:extLst>
            <a:ext uri="{FF2B5EF4-FFF2-40B4-BE49-F238E27FC236}">
              <a16:creationId xmlns:a16="http://schemas.microsoft.com/office/drawing/2014/main" id="{00000000-0008-0000-0800-00002D51A500}"/>
            </a:ext>
          </a:extLst>
        </xdr:cNvPr>
        <xdr:cNvSpPr>
          <a:spLocks noChangeShapeType="1"/>
        </xdr:cNvSpPr>
      </xdr:nvSpPr>
      <xdr:spPr bwMode="auto">
        <a:xfrm flipH="1">
          <a:off x="5238750" y="6886575"/>
          <a:ext cx="781050" cy="10096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466725</xdr:colOff>
      <xdr:row>41</xdr:row>
      <xdr:rowOff>0</xdr:rowOff>
    </xdr:from>
    <xdr:to>
      <xdr:col>8</xdr:col>
      <xdr:colOff>190500</xdr:colOff>
      <xdr:row>59</xdr:row>
      <xdr:rowOff>28575</xdr:rowOff>
    </xdr:to>
    <xdr:sp macro="" textlink="">
      <xdr:nvSpPr>
        <xdr:cNvPr id="10834222" name="Rectangle 56">
          <a:extLst>
            <a:ext uri="{FF2B5EF4-FFF2-40B4-BE49-F238E27FC236}">
              <a16:creationId xmlns:a16="http://schemas.microsoft.com/office/drawing/2014/main" id="{00000000-0008-0000-0800-00002E51A500}"/>
            </a:ext>
          </a:extLst>
        </xdr:cNvPr>
        <xdr:cNvSpPr>
          <a:spLocks noChangeArrowheads="1"/>
        </xdr:cNvSpPr>
      </xdr:nvSpPr>
      <xdr:spPr bwMode="auto">
        <a:xfrm>
          <a:off x="3552825" y="7696200"/>
          <a:ext cx="1895475" cy="32385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381000</xdr:colOff>
      <xdr:row>45</xdr:row>
      <xdr:rowOff>85725</xdr:rowOff>
    </xdr:from>
    <xdr:to>
      <xdr:col>5</xdr:col>
      <xdr:colOff>561975</xdr:colOff>
      <xdr:row>47</xdr:row>
      <xdr:rowOff>9525</xdr:rowOff>
    </xdr:to>
    <xdr:sp macro="" textlink="">
      <xdr:nvSpPr>
        <xdr:cNvPr id="10834223" name="Line 57">
          <a:extLst>
            <a:ext uri="{FF2B5EF4-FFF2-40B4-BE49-F238E27FC236}">
              <a16:creationId xmlns:a16="http://schemas.microsoft.com/office/drawing/2014/main" id="{00000000-0008-0000-0800-00002F51A500}"/>
            </a:ext>
          </a:extLst>
        </xdr:cNvPr>
        <xdr:cNvSpPr>
          <a:spLocks noChangeShapeType="1"/>
        </xdr:cNvSpPr>
      </xdr:nvSpPr>
      <xdr:spPr bwMode="auto">
        <a:xfrm flipH="1">
          <a:off x="2828925" y="8429625"/>
          <a:ext cx="819150" cy="2667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</xdr:row>
      <xdr:rowOff>0</xdr:rowOff>
    </xdr:from>
    <xdr:to>
      <xdr:col>7</xdr:col>
      <xdr:colOff>0</xdr:colOff>
      <xdr:row>41</xdr:row>
      <xdr:rowOff>9525</xdr:rowOff>
    </xdr:to>
    <xdr:sp macro="" textlink="">
      <xdr:nvSpPr>
        <xdr:cNvPr id="10834224" name="Line 58">
          <a:extLst>
            <a:ext uri="{FF2B5EF4-FFF2-40B4-BE49-F238E27FC236}">
              <a16:creationId xmlns:a16="http://schemas.microsoft.com/office/drawing/2014/main" id="{00000000-0008-0000-0800-00003051A500}"/>
            </a:ext>
          </a:extLst>
        </xdr:cNvPr>
        <xdr:cNvSpPr>
          <a:spLocks noChangeShapeType="1"/>
        </xdr:cNvSpPr>
      </xdr:nvSpPr>
      <xdr:spPr bwMode="auto">
        <a:xfrm>
          <a:off x="4543425" y="7105650"/>
          <a:ext cx="0" cy="6000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834225" name="Line 59">
          <a:extLst>
            <a:ext uri="{FF2B5EF4-FFF2-40B4-BE49-F238E27FC236}">
              <a16:creationId xmlns:a16="http://schemas.microsoft.com/office/drawing/2014/main" id="{00000000-0008-0000-0800-00003151A500}"/>
            </a:ext>
          </a:extLst>
        </xdr:cNvPr>
        <xdr:cNvSpPr>
          <a:spLocks noChangeShapeType="1"/>
        </xdr:cNvSpPr>
      </xdr:nvSpPr>
      <xdr:spPr bwMode="auto">
        <a:xfrm flipH="1">
          <a:off x="1320165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0</xdr:row>
      <xdr:rowOff>0</xdr:rowOff>
    </xdr:from>
    <xdr:to>
      <xdr:col>4</xdr:col>
      <xdr:colOff>371475</xdr:colOff>
      <xdr:row>0</xdr:row>
      <xdr:rowOff>0</xdr:rowOff>
    </xdr:to>
    <xdr:sp macro="" textlink="">
      <xdr:nvSpPr>
        <xdr:cNvPr id="10834226" name="Arc 60">
          <a:extLst>
            <a:ext uri="{FF2B5EF4-FFF2-40B4-BE49-F238E27FC236}">
              <a16:creationId xmlns:a16="http://schemas.microsoft.com/office/drawing/2014/main" id="{00000000-0008-0000-0800-00003251A500}"/>
            </a:ext>
          </a:extLst>
        </xdr:cNvPr>
        <xdr:cNvSpPr>
          <a:spLocks/>
        </xdr:cNvSpPr>
      </xdr:nvSpPr>
      <xdr:spPr bwMode="auto">
        <a:xfrm flipH="1" flipV="1">
          <a:off x="2809875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34227" name="Line 61">
          <a:extLst>
            <a:ext uri="{FF2B5EF4-FFF2-40B4-BE49-F238E27FC236}">
              <a16:creationId xmlns:a16="http://schemas.microsoft.com/office/drawing/2014/main" id="{00000000-0008-0000-0800-00003351A500}"/>
            </a:ext>
          </a:extLst>
        </xdr:cNvPr>
        <xdr:cNvSpPr>
          <a:spLocks noChangeShapeType="1"/>
        </xdr:cNvSpPr>
      </xdr:nvSpPr>
      <xdr:spPr bwMode="auto">
        <a:xfrm flipV="1">
          <a:off x="4543425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0</xdr:row>
      <xdr:rowOff>0</xdr:rowOff>
    </xdr:from>
    <xdr:to>
      <xdr:col>12</xdr:col>
      <xdr:colOff>561975</xdr:colOff>
      <xdr:row>0</xdr:row>
      <xdr:rowOff>0</xdr:rowOff>
    </xdr:to>
    <xdr:sp macro="" textlink="">
      <xdr:nvSpPr>
        <xdr:cNvPr id="10834228" name="Arc 62">
          <a:extLst>
            <a:ext uri="{FF2B5EF4-FFF2-40B4-BE49-F238E27FC236}">
              <a16:creationId xmlns:a16="http://schemas.microsoft.com/office/drawing/2014/main" id="{00000000-0008-0000-0800-00003451A500}"/>
            </a:ext>
          </a:extLst>
        </xdr:cNvPr>
        <xdr:cNvSpPr>
          <a:spLocks/>
        </xdr:cNvSpPr>
      </xdr:nvSpPr>
      <xdr:spPr bwMode="auto">
        <a:xfrm flipV="1">
          <a:off x="8582025" y="0"/>
          <a:ext cx="57150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34229" name="Arc 63">
          <a:extLst>
            <a:ext uri="{FF2B5EF4-FFF2-40B4-BE49-F238E27FC236}">
              <a16:creationId xmlns:a16="http://schemas.microsoft.com/office/drawing/2014/main" id="{00000000-0008-0000-0800-00003551A500}"/>
            </a:ext>
          </a:extLst>
        </xdr:cNvPr>
        <xdr:cNvSpPr>
          <a:spLocks/>
        </xdr:cNvSpPr>
      </xdr:nvSpPr>
      <xdr:spPr bwMode="auto">
        <a:xfrm flipH="1">
          <a:off x="8896350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34230" name="Arc 64">
          <a:extLst>
            <a:ext uri="{FF2B5EF4-FFF2-40B4-BE49-F238E27FC236}">
              <a16:creationId xmlns:a16="http://schemas.microsoft.com/office/drawing/2014/main" id="{00000000-0008-0000-0800-00003651A500}"/>
            </a:ext>
          </a:extLst>
        </xdr:cNvPr>
        <xdr:cNvSpPr>
          <a:spLocks/>
        </xdr:cNvSpPr>
      </xdr:nvSpPr>
      <xdr:spPr bwMode="auto">
        <a:xfrm>
          <a:off x="8896350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34231" name="Line 65">
          <a:extLst>
            <a:ext uri="{FF2B5EF4-FFF2-40B4-BE49-F238E27FC236}">
              <a16:creationId xmlns:a16="http://schemas.microsoft.com/office/drawing/2014/main" id="{00000000-0008-0000-0800-00003751A500}"/>
            </a:ext>
          </a:extLst>
        </xdr:cNvPr>
        <xdr:cNvSpPr>
          <a:spLocks noChangeShapeType="1"/>
        </xdr:cNvSpPr>
      </xdr:nvSpPr>
      <xdr:spPr bwMode="auto">
        <a:xfrm>
          <a:off x="4543425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4232" name="Line 66">
          <a:extLst>
            <a:ext uri="{FF2B5EF4-FFF2-40B4-BE49-F238E27FC236}">
              <a16:creationId xmlns:a16="http://schemas.microsoft.com/office/drawing/2014/main" id="{00000000-0008-0000-0800-00003851A500}"/>
            </a:ext>
          </a:extLst>
        </xdr:cNvPr>
        <xdr:cNvSpPr>
          <a:spLocks noChangeShapeType="1"/>
        </xdr:cNvSpPr>
      </xdr:nvSpPr>
      <xdr:spPr bwMode="auto">
        <a:xfrm flipH="1">
          <a:off x="13201650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4233" name="Line 67">
          <a:extLst>
            <a:ext uri="{FF2B5EF4-FFF2-40B4-BE49-F238E27FC236}">
              <a16:creationId xmlns:a16="http://schemas.microsoft.com/office/drawing/2014/main" id="{00000000-0008-0000-0800-00003951A500}"/>
            </a:ext>
          </a:extLst>
        </xdr:cNvPr>
        <xdr:cNvSpPr>
          <a:spLocks noChangeShapeType="1"/>
        </xdr:cNvSpPr>
      </xdr:nvSpPr>
      <xdr:spPr bwMode="auto">
        <a:xfrm flipH="1">
          <a:off x="4543425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34234" name="Arc 68">
          <a:extLst>
            <a:ext uri="{FF2B5EF4-FFF2-40B4-BE49-F238E27FC236}">
              <a16:creationId xmlns:a16="http://schemas.microsoft.com/office/drawing/2014/main" id="{00000000-0008-0000-0800-00003A51A500}"/>
            </a:ext>
          </a:extLst>
        </xdr:cNvPr>
        <xdr:cNvSpPr>
          <a:spLocks/>
        </xdr:cNvSpPr>
      </xdr:nvSpPr>
      <xdr:spPr bwMode="auto">
        <a:xfrm flipH="1" flipV="1">
          <a:off x="2809875" y="1247775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4235" name="Line 69">
          <a:extLst>
            <a:ext uri="{FF2B5EF4-FFF2-40B4-BE49-F238E27FC236}">
              <a16:creationId xmlns:a16="http://schemas.microsoft.com/office/drawing/2014/main" id="{00000000-0008-0000-0800-00003B51A500}"/>
            </a:ext>
          </a:extLst>
        </xdr:cNvPr>
        <xdr:cNvSpPr>
          <a:spLocks noChangeShapeType="1"/>
        </xdr:cNvSpPr>
      </xdr:nvSpPr>
      <xdr:spPr bwMode="auto">
        <a:xfrm flipV="1">
          <a:off x="4543425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4236" name="Line 70">
          <a:extLst>
            <a:ext uri="{FF2B5EF4-FFF2-40B4-BE49-F238E27FC236}">
              <a16:creationId xmlns:a16="http://schemas.microsoft.com/office/drawing/2014/main" id="{00000000-0008-0000-0800-00003C51A500}"/>
            </a:ext>
          </a:extLst>
        </xdr:cNvPr>
        <xdr:cNvSpPr>
          <a:spLocks noChangeShapeType="1"/>
        </xdr:cNvSpPr>
      </xdr:nvSpPr>
      <xdr:spPr bwMode="auto">
        <a:xfrm>
          <a:off x="4543425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4237" name="Line 71">
          <a:extLst>
            <a:ext uri="{FF2B5EF4-FFF2-40B4-BE49-F238E27FC236}">
              <a16:creationId xmlns:a16="http://schemas.microsoft.com/office/drawing/2014/main" id="{00000000-0008-0000-0800-00003D51A500}"/>
            </a:ext>
          </a:extLst>
        </xdr:cNvPr>
        <xdr:cNvSpPr>
          <a:spLocks noChangeShapeType="1"/>
        </xdr:cNvSpPr>
      </xdr:nvSpPr>
      <xdr:spPr bwMode="auto">
        <a:xfrm flipH="1">
          <a:off x="13201650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4238" name="Line 72">
          <a:extLst>
            <a:ext uri="{FF2B5EF4-FFF2-40B4-BE49-F238E27FC236}">
              <a16:creationId xmlns:a16="http://schemas.microsoft.com/office/drawing/2014/main" id="{00000000-0008-0000-0800-00003E51A500}"/>
            </a:ext>
          </a:extLst>
        </xdr:cNvPr>
        <xdr:cNvSpPr>
          <a:spLocks noChangeShapeType="1"/>
        </xdr:cNvSpPr>
      </xdr:nvSpPr>
      <xdr:spPr bwMode="auto">
        <a:xfrm flipH="1">
          <a:off x="4543425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34239" name="Arc 73">
          <a:extLst>
            <a:ext uri="{FF2B5EF4-FFF2-40B4-BE49-F238E27FC236}">
              <a16:creationId xmlns:a16="http://schemas.microsoft.com/office/drawing/2014/main" id="{00000000-0008-0000-0800-00003F51A500}"/>
            </a:ext>
          </a:extLst>
        </xdr:cNvPr>
        <xdr:cNvSpPr>
          <a:spLocks/>
        </xdr:cNvSpPr>
      </xdr:nvSpPr>
      <xdr:spPr bwMode="auto">
        <a:xfrm flipH="1" flipV="1">
          <a:off x="2809875" y="1247775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4240" name="Line 74">
          <a:extLst>
            <a:ext uri="{FF2B5EF4-FFF2-40B4-BE49-F238E27FC236}">
              <a16:creationId xmlns:a16="http://schemas.microsoft.com/office/drawing/2014/main" id="{00000000-0008-0000-0800-00004051A500}"/>
            </a:ext>
          </a:extLst>
        </xdr:cNvPr>
        <xdr:cNvSpPr>
          <a:spLocks noChangeShapeType="1"/>
        </xdr:cNvSpPr>
      </xdr:nvSpPr>
      <xdr:spPr bwMode="auto">
        <a:xfrm flipV="1">
          <a:off x="4543425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4241" name="Line 75">
          <a:extLst>
            <a:ext uri="{FF2B5EF4-FFF2-40B4-BE49-F238E27FC236}">
              <a16:creationId xmlns:a16="http://schemas.microsoft.com/office/drawing/2014/main" id="{00000000-0008-0000-0800-00004151A500}"/>
            </a:ext>
          </a:extLst>
        </xdr:cNvPr>
        <xdr:cNvSpPr>
          <a:spLocks noChangeShapeType="1"/>
        </xdr:cNvSpPr>
      </xdr:nvSpPr>
      <xdr:spPr bwMode="auto">
        <a:xfrm>
          <a:off x="4543425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4242" name="Line 76">
          <a:extLst>
            <a:ext uri="{FF2B5EF4-FFF2-40B4-BE49-F238E27FC236}">
              <a16:creationId xmlns:a16="http://schemas.microsoft.com/office/drawing/2014/main" id="{00000000-0008-0000-0800-00004251A500}"/>
            </a:ext>
          </a:extLst>
        </xdr:cNvPr>
        <xdr:cNvSpPr>
          <a:spLocks noChangeShapeType="1"/>
        </xdr:cNvSpPr>
      </xdr:nvSpPr>
      <xdr:spPr bwMode="auto">
        <a:xfrm flipH="1">
          <a:off x="13201650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4243" name="Line 77">
          <a:extLst>
            <a:ext uri="{FF2B5EF4-FFF2-40B4-BE49-F238E27FC236}">
              <a16:creationId xmlns:a16="http://schemas.microsoft.com/office/drawing/2014/main" id="{00000000-0008-0000-0800-00004351A500}"/>
            </a:ext>
          </a:extLst>
        </xdr:cNvPr>
        <xdr:cNvSpPr>
          <a:spLocks noChangeShapeType="1"/>
        </xdr:cNvSpPr>
      </xdr:nvSpPr>
      <xdr:spPr bwMode="auto">
        <a:xfrm flipH="1">
          <a:off x="4543425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4244" name="Line 78">
          <a:extLst>
            <a:ext uri="{FF2B5EF4-FFF2-40B4-BE49-F238E27FC236}">
              <a16:creationId xmlns:a16="http://schemas.microsoft.com/office/drawing/2014/main" id="{00000000-0008-0000-0800-00004451A500}"/>
            </a:ext>
          </a:extLst>
        </xdr:cNvPr>
        <xdr:cNvSpPr>
          <a:spLocks noChangeShapeType="1"/>
        </xdr:cNvSpPr>
      </xdr:nvSpPr>
      <xdr:spPr bwMode="auto">
        <a:xfrm flipV="1">
          <a:off x="4543425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4245" name="Line 79">
          <a:extLst>
            <a:ext uri="{FF2B5EF4-FFF2-40B4-BE49-F238E27FC236}">
              <a16:creationId xmlns:a16="http://schemas.microsoft.com/office/drawing/2014/main" id="{00000000-0008-0000-0800-00004551A500}"/>
            </a:ext>
          </a:extLst>
        </xdr:cNvPr>
        <xdr:cNvSpPr>
          <a:spLocks noChangeShapeType="1"/>
        </xdr:cNvSpPr>
      </xdr:nvSpPr>
      <xdr:spPr bwMode="auto">
        <a:xfrm>
          <a:off x="4543425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4246" name="Line 80">
          <a:extLst>
            <a:ext uri="{FF2B5EF4-FFF2-40B4-BE49-F238E27FC236}">
              <a16:creationId xmlns:a16="http://schemas.microsoft.com/office/drawing/2014/main" id="{00000000-0008-0000-0800-00004651A500}"/>
            </a:ext>
          </a:extLst>
        </xdr:cNvPr>
        <xdr:cNvSpPr>
          <a:spLocks noChangeShapeType="1"/>
        </xdr:cNvSpPr>
      </xdr:nvSpPr>
      <xdr:spPr bwMode="auto">
        <a:xfrm flipH="1">
          <a:off x="13201650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4247" name="Line 81">
          <a:extLst>
            <a:ext uri="{FF2B5EF4-FFF2-40B4-BE49-F238E27FC236}">
              <a16:creationId xmlns:a16="http://schemas.microsoft.com/office/drawing/2014/main" id="{00000000-0008-0000-0800-00004751A500}"/>
            </a:ext>
          </a:extLst>
        </xdr:cNvPr>
        <xdr:cNvSpPr>
          <a:spLocks noChangeShapeType="1"/>
        </xdr:cNvSpPr>
      </xdr:nvSpPr>
      <xdr:spPr bwMode="auto">
        <a:xfrm flipH="1">
          <a:off x="4543425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4248" name="Line 82">
          <a:extLst>
            <a:ext uri="{FF2B5EF4-FFF2-40B4-BE49-F238E27FC236}">
              <a16:creationId xmlns:a16="http://schemas.microsoft.com/office/drawing/2014/main" id="{00000000-0008-0000-0800-00004851A500}"/>
            </a:ext>
          </a:extLst>
        </xdr:cNvPr>
        <xdr:cNvSpPr>
          <a:spLocks noChangeShapeType="1"/>
        </xdr:cNvSpPr>
      </xdr:nvSpPr>
      <xdr:spPr bwMode="auto">
        <a:xfrm flipV="1">
          <a:off x="4543425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4249" name="Line 83">
          <a:extLst>
            <a:ext uri="{FF2B5EF4-FFF2-40B4-BE49-F238E27FC236}">
              <a16:creationId xmlns:a16="http://schemas.microsoft.com/office/drawing/2014/main" id="{00000000-0008-0000-0800-00004951A500}"/>
            </a:ext>
          </a:extLst>
        </xdr:cNvPr>
        <xdr:cNvSpPr>
          <a:spLocks noChangeShapeType="1"/>
        </xdr:cNvSpPr>
      </xdr:nvSpPr>
      <xdr:spPr bwMode="auto">
        <a:xfrm>
          <a:off x="4543425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4250" name="Line 84">
          <a:extLst>
            <a:ext uri="{FF2B5EF4-FFF2-40B4-BE49-F238E27FC236}">
              <a16:creationId xmlns:a16="http://schemas.microsoft.com/office/drawing/2014/main" id="{00000000-0008-0000-0800-00004A51A500}"/>
            </a:ext>
          </a:extLst>
        </xdr:cNvPr>
        <xdr:cNvSpPr>
          <a:spLocks noChangeShapeType="1"/>
        </xdr:cNvSpPr>
      </xdr:nvSpPr>
      <xdr:spPr bwMode="auto">
        <a:xfrm flipH="1">
          <a:off x="13201650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4251" name="Line 85">
          <a:extLst>
            <a:ext uri="{FF2B5EF4-FFF2-40B4-BE49-F238E27FC236}">
              <a16:creationId xmlns:a16="http://schemas.microsoft.com/office/drawing/2014/main" id="{00000000-0008-0000-0800-00004B51A500}"/>
            </a:ext>
          </a:extLst>
        </xdr:cNvPr>
        <xdr:cNvSpPr>
          <a:spLocks noChangeShapeType="1"/>
        </xdr:cNvSpPr>
      </xdr:nvSpPr>
      <xdr:spPr bwMode="auto">
        <a:xfrm flipH="1">
          <a:off x="4543425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4252" name="Line 86">
          <a:extLst>
            <a:ext uri="{FF2B5EF4-FFF2-40B4-BE49-F238E27FC236}">
              <a16:creationId xmlns:a16="http://schemas.microsoft.com/office/drawing/2014/main" id="{00000000-0008-0000-0800-00004C51A500}"/>
            </a:ext>
          </a:extLst>
        </xdr:cNvPr>
        <xdr:cNvSpPr>
          <a:spLocks noChangeShapeType="1"/>
        </xdr:cNvSpPr>
      </xdr:nvSpPr>
      <xdr:spPr bwMode="auto">
        <a:xfrm flipV="1">
          <a:off x="4543425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4253" name="Line 87">
          <a:extLst>
            <a:ext uri="{FF2B5EF4-FFF2-40B4-BE49-F238E27FC236}">
              <a16:creationId xmlns:a16="http://schemas.microsoft.com/office/drawing/2014/main" id="{00000000-0008-0000-0800-00004D51A500}"/>
            </a:ext>
          </a:extLst>
        </xdr:cNvPr>
        <xdr:cNvSpPr>
          <a:spLocks noChangeShapeType="1"/>
        </xdr:cNvSpPr>
      </xdr:nvSpPr>
      <xdr:spPr bwMode="auto">
        <a:xfrm>
          <a:off x="4543425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34254" name="Line 88">
          <a:extLst>
            <a:ext uri="{FF2B5EF4-FFF2-40B4-BE49-F238E27FC236}">
              <a16:creationId xmlns:a16="http://schemas.microsoft.com/office/drawing/2014/main" id="{00000000-0008-0000-0800-00004E51A500}"/>
            </a:ext>
          </a:extLst>
        </xdr:cNvPr>
        <xdr:cNvSpPr>
          <a:spLocks noChangeShapeType="1"/>
        </xdr:cNvSpPr>
      </xdr:nvSpPr>
      <xdr:spPr bwMode="auto">
        <a:xfrm flipH="1">
          <a:off x="13201650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4255" name="Line 89">
          <a:extLst>
            <a:ext uri="{FF2B5EF4-FFF2-40B4-BE49-F238E27FC236}">
              <a16:creationId xmlns:a16="http://schemas.microsoft.com/office/drawing/2014/main" id="{00000000-0008-0000-0800-00004F51A500}"/>
            </a:ext>
          </a:extLst>
        </xdr:cNvPr>
        <xdr:cNvSpPr>
          <a:spLocks noChangeShapeType="1"/>
        </xdr:cNvSpPr>
      </xdr:nvSpPr>
      <xdr:spPr bwMode="auto">
        <a:xfrm flipH="1">
          <a:off x="4543425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4256" name="Line 90">
          <a:extLst>
            <a:ext uri="{FF2B5EF4-FFF2-40B4-BE49-F238E27FC236}">
              <a16:creationId xmlns:a16="http://schemas.microsoft.com/office/drawing/2014/main" id="{00000000-0008-0000-0800-00005051A500}"/>
            </a:ext>
          </a:extLst>
        </xdr:cNvPr>
        <xdr:cNvSpPr>
          <a:spLocks noChangeShapeType="1"/>
        </xdr:cNvSpPr>
      </xdr:nvSpPr>
      <xdr:spPr bwMode="auto">
        <a:xfrm flipV="1">
          <a:off x="4543425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34257" name="Line 91">
          <a:extLst>
            <a:ext uri="{FF2B5EF4-FFF2-40B4-BE49-F238E27FC236}">
              <a16:creationId xmlns:a16="http://schemas.microsoft.com/office/drawing/2014/main" id="{00000000-0008-0000-0800-00005151A500}"/>
            </a:ext>
          </a:extLst>
        </xdr:cNvPr>
        <xdr:cNvSpPr>
          <a:spLocks noChangeShapeType="1"/>
        </xdr:cNvSpPr>
      </xdr:nvSpPr>
      <xdr:spPr bwMode="auto">
        <a:xfrm>
          <a:off x="4543425" y="1247775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809625</xdr:colOff>
      <xdr:row>76</xdr:row>
      <xdr:rowOff>9525</xdr:rowOff>
    </xdr:from>
    <xdr:to>
      <xdr:col>19</xdr:col>
      <xdr:colOff>9525</xdr:colOff>
      <xdr:row>76</xdr:row>
      <xdr:rowOff>9525</xdr:rowOff>
    </xdr:to>
    <xdr:sp macro="" textlink="">
      <xdr:nvSpPr>
        <xdr:cNvPr id="10834258" name="Line 92">
          <a:extLst>
            <a:ext uri="{FF2B5EF4-FFF2-40B4-BE49-F238E27FC236}">
              <a16:creationId xmlns:a16="http://schemas.microsoft.com/office/drawing/2014/main" id="{00000000-0008-0000-0800-00005251A500}"/>
            </a:ext>
          </a:extLst>
        </xdr:cNvPr>
        <xdr:cNvSpPr>
          <a:spLocks noChangeShapeType="1"/>
        </xdr:cNvSpPr>
      </xdr:nvSpPr>
      <xdr:spPr bwMode="auto">
        <a:xfrm flipH="1">
          <a:off x="12582525" y="12811125"/>
          <a:ext cx="628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76</xdr:row>
      <xdr:rowOff>9525</xdr:rowOff>
    </xdr:from>
    <xdr:to>
      <xdr:col>16</xdr:col>
      <xdr:colOff>0</xdr:colOff>
      <xdr:row>76</xdr:row>
      <xdr:rowOff>9525</xdr:rowOff>
    </xdr:to>
    <xdr:sp macro="" textlink="">
      <xdr:nvSpPr>
        <xdr:cNvPr id="10834259" name="Line 93">
          <a:extLst>
            <a:ext uri="{FF2B5EF4-FFF2-40B4-BE49-F238E27FC236}">
              <a16:creationId xmlns:a16="http://schemas.microsoft.com/office/drawing/2014/main" id="{00000000-0008-0000-0800-00005351A500}"/>
            </a:ext>
          </a:extLst>
        </xdr:cNvPr>
        <xdr:cNvSpPr>
          <a:spLocks noChangeShapeType="1"/>
        </xdr:cNvSpPr>
      </xdr:nvSpPr>
      <xdr:spPr bwMode="auto">
        <a:xfrm>
          <a:off x="10334625" y="12811125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75</xdr:row>
      <xdr:rowOff>9525</xdr:rowOff>
    </xdr:from>
    <xdr:to>
      <xdr:col>13</xdr:col>
      <xdr:colOff>0</xdr:colOff>
      <xdr:row>75</xdr:row>
      <xdr:rowOff>9525</xdr:rowOff>
    </xdr:to>
    <xdr:sp macro="" textlink="">
      <xdr:nvSpPr>
        <xdr:cNvPr id="10834260" name="Line 94">
          <a:extLst>
            <a:ext uri="{FF2B5EF4-FFF2-40B4-BE49-F238E27FC236}">
              <a16:creationId xmlns:a16="http://schemas.microsoft.com/office/drawing/2014/main" id="{00000000-0008-0000-0800-00005451A500}"/>
            </a:ext>
          </a:extLst>
        </xdr:cNvPr>
        <xdr:cNvSpPr>
          <a:spLocks noChangeShapeType="1"/>
        </xdr:cNvSpPr>
      </xdr:nvSpPr>
      <xdr:spPr bwMode="auto">
        <a:xfrm>
          <a:off x="8077200" y="12649200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75</xdr:row>
      <xdr:rowOff>9525</xdr:rowOff>
    </xdr:from>
    <xdr:to>
      <xdr:col>9</xdr:col>
      <xdr:colOff>695325</xdr:colOff>
      <xdr:row>75</xdr:row>
      <xdr:rowOff>9525</xdr:rowOff>
    </xdr:to>
    <xdr:sp macro="" textlink="">
      <xdr:nvSpPr>
        <xdr:cNvPr id="10834261" name="Line 95">
          <a:extLst>
            <a:ext uri="{FF2B5EF4-FFF2-40B4-BE49-F238E27FC236}">
              <a16:creationId xmlns:a16="http://schemas.microsoft.com/office/drawing/2014/main" id="{00000000-0008-0000-0800-00005551A500}"/>
            </a:ext>
          </a:extLst>
        </xdr:cNvPr>
        <xdr:cNvSpPr>
          <a:spLocks noChangeShapeType="1"/>
        </xdr:cNvSpPr>
      </xdr:nvSpPr>
      <xdr:spPr bwMode="auto">
        <a:xfrm flipH="1">
          <a:off x="5924550" y="12649200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8</xdr:row>
      <xdr:rowOff>114300</xdr:rowOff>
    </xdr:from>
    <xdr:to>
      <xdr:col>10</xdr:col>
      <xdr:colOff>333375</xdr:colOff>
      <xdr:row>15</xdr:row>
      <xdr:rowOff>9525</xdr:rowOff>
    </xdr:to>
    <xdr:sp macro="" textlink="">
      <xdr:nvSpPr>
        <xdr:cNvPr id="10834262" name="Rectangle 56">
          <a:extLst>
            <a:ext uri="{FF2B5EF4-FFF2-40B4-BE49-F238E27FC236}">
              <a16:creationId xmlns:a16="http://schemas.microsoft.com/office/drawing/2014/main" id="{00000000-0008-0000-0800-00005651A500}"/>
            </a:ext>
          </a:extLst>
        </xdr:cNvPr>
        <xdr:cNvSpPr>
          <a:spLocks noChangeArrowheads="1"/>
        </xdr:cNvSpPr>
      </xdr:nvSpPr>
      <xdr:spPr bwMode="auto">
        <a:xfrm>
          <a:off x="5257800" y="1838325"/>
          <a:ext cx="1704975" cy="120967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114300</xdr:colOff>
      <xdr:row>10</xdr:row>
      <xdr:rowOff>180975</xdr:rowOff>
    </xdr:from>
    <xdr:to>
      <xdr:col>8</xdr:col>
      <xdr:colOff>314325</xdr:colOff>
      <xdr:row>16</xdr:row>
      <xdr:rowOff>47625</xdr:rowOff>
    </xdr:to>
    <xdr:sp macro="" textlink="">
      <xdr:nvSpPr>
        <xdr:cNvPr id="10834263" name="Line 34">
          <a:extLst>
            <a:ext uri="{FF2B5EF4-FFF2-40B4-BE49-F238E27FC236}">
              <a16:creationId xmlns:a16="http://schemas.microsoft.com/office/drawing/2014/main" id="{00000000-0008-0000-0800-00005751A500}"/>
            </a:ext>
          </a:extLst>
        </xdr:cNvPr>
        <xdr:cNvSpPr>
          <a:spLocks noChangeShapeType="1"/>
        </xdr:cNvSpPr>
      </xdr:nvSpPr>
      <xdr:spPr bwMode="auto">
        <a:xfrm flipV="1">
          <a:off x="4657725" y="2266950"/>
          <a:ext cx="914400" cy="9810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257175</xdr:colOff>
      <xdr:row>12</xdr:row>
      <xdr:rowOff>104775</xdr:rowOff>
    </xdr:from>
    <xdr:to>
      <xdr:col>9</xdr:col>
      <xdr:colOff>28575</xdr:colOff>
      <xdr:row>16</xdr:row>
      <xdr:rowOff>76200</xdr:rowOff>
    </xdr:to>
    <xdr:sp macro="" textlink="">
      <xdr:nvSpPr>
        <xdr:cNvPr id="10834264" name="Line 34">
          <a:extLst>
            <a:ext uri="{FF2B5EF4-FFF2-40B4-BE49-F238E27FC236}">
              <a16:creationId xmlns:a16="http://schemas.microsoft.com/office/drawing/2014/main" id="{00000000-0008-0000-0800-00005851A500}"/>
            </a:ext>
          </a:extLst>
        </xdr:cNvPr>
        <xdr:cNvSpPr>
          <a:spLocks noChangeShapeType="1"/>
        </xdr:cNvSpPr>
      </xdr:nvSpPr>
      <xdr:spPr bwMode="auto">
        <a:xfrm flipV="1">
          <a:off x="4800600" y="2590800"/>
          <a:ext cx="1152525" cy="6858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419100</xdr:colOff>
      <xdr:row>14</xdr:row>
      <xdr:rowOff>85725</xdr:rowOff>
    </xdr:from>
    <xdr:to>
      <xdr:col>9</xdr:col>
      <xdr:colOff>9525</xdr:colOff>
      <xdr:row>16</xdr:row>
      <xdr:rowOff>114300</xdr:rowOff>
    </xdr:to>
    <xdr:sp macro="" textlink="">
      <xdr:nvSpPr>
        <xdr:cNvPr id="10834265" name="Line 34">
          <a:extLst>
            <a:ext uri="{FF2B5EF4-FFF2-40B4-BE49-F238E27FC236}">
              <a16:creationId xmlns:a16="http://schemas.microsoft.com/office/drawing/2014/main" id="{00000000-0008-0000-0800-00005951A500}"/>
            </a:ext>
          </a:extLst>
        </xdr:cNvPr>
        <xdr:cNvSpPr>
          <a:spLocks noChangeShapeType="1"/>
        </xdr:cNvSpPr>
      </xdr:nvSpPr>
      <xdr:spPr bwMode="auto">
        <a:xfrm flipV="1">
          <a:off x="4962525" y="2962275"/>
          <a:ext cx="971550" cy="3524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54</xdr:row>
      <xdr:rowOff>47625</xdr:rowOff>
    </xdr:from>
    <xdr:to>
      <xdr:col>4</xdr:col>
      <xdr:colOff>127000</xdr:colOff>
      <xdr:row>58</xdr:row>
      <xdr:rowOff>133350</xdr:rowOff>
    </xdr:to>
    <xdr:sp macro="" textlink="">
      <xdr:nvSpPr>
        <xdr:cNvPr id="10834266" name="Oval 14">
          <a:extLst>
            <a:ext uri="{FF2B5EF4-FFF2-40B4-BE49-F238E27FC236}">
              <a16:creationId xmlns:a16="http://schemas.microsoft.com/office/drawing/2014/main" id="{00000000-0008-0000-0800-00005A51A500}"/>
            </a:ext>
          </a:extLst>
        </xdr:cNvPr>
        <xdr:cNvSpPr>
          <a:spLocks noChangeArrowheads="1"/>
        </xdr:cNvSpPr>
      </xdr:nvSpPr>
      <xdr:spPr bwMode="auto">
        <a:xfrm>
          <a:off x="1666875" y="10118725"/>
          <a:ext cx="911225" cy="911225"/>
        </a:xfrm>
        <a:prstGeom prst="ellips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165100</xdr:colOff>
      <xdr:row>56</xdr:row>
      <xdr:rowOff>9524</xdr:rowOff>
    </xdr:from>
    <xdr:to>
      <xdr:col>5</xdr:col>
      <xdr:colOff>628650</xdr:colOff>
      <xdr:row>56</xdr:row>
      <xdr:rowOff>12699</xdr:rowOff>
    </xdr:to>
    <xdr:sp macro="" textlink="">
      <xdr:nvSpPr>
        <xdr:cNvPr id="10834267" name="Line 19">
          <a:extLst>
            <a:ext uri="{FF2B5EF4-FFF2-40B4-BE49-F238E27FC236}">
              <a16:creationId xmlns:a16="http://schemas.microsoft.com/office/drawing/2014/main" id="{00000000-0008-0000-0800-00005B51A500}"/>
            </a:ext>
          </a:extLst>
        </xdr:cNvPr>
        <xdr:cNvSpPr>
          <a:spLocks noChangeShapeType="1"/>
        </xdr:cNvSpPr>
      </xdr:nvSpPr>
      <xdr:spPr bwMode="auto">
        <a:xfrm flipH="1">
          <a:off x="2616200" y="10487024"/>
          <a:ext cx="1098550" cy="31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600075</xdr:colOff>
      <xdr:row>52</xdr:row>
      <xdr:rowOff>161925</xdr:rowOff>
    </xdr:from>
    <xdr:to>
      <xdr:col>3</xdr:col>
      <xdr:colOff>685800</xdr:colOff>
      <xdr:row>54</xdr:row>
      <xdr:rowOff>76200</xdr:rowOff>
    </xdr:to>
    <xdr:sp macro="" textlink="">
      <xdr:nvSpPr>
        <xdr:cNvPr id="10834268" name="Line 19">
          <a:extLst>
            <a:ext uri="{FF2B5EF4-FFF2-40B4-BE49-F238E27FC236}">
              <a16:creationId xmlns:a16="http://schemas.microsoft.com/office/drawing/2014/main" id="{00000000-0008-0000-0800-00005C51A500}"/>
            </a:ext>
          </a:extLst>
        </xdr:cNvPr>
        <xdr:cNvSpPr>
          <a:spLocks noChangeShapeType="1"/>
        </xdr:cNvSpPr>
      </xdr:nvSpPr>
      <xdr:spPr bwMode="auto">
        <a:xfrm flipH="1">
          <a:off x="2352675" y="9715500"/>
          <a:ext cx="85725" cy="2667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736600</xdr:colOff>
      <xdr:row>54</xdr:row>
      <xdr:rowOff>1</xdr:rowOff>
    </xdr:from>
    <xdr:to>
      <xdr:col>5</xdr:col>
      <xdr:colOff>469901</xdr:colOff>
      <xdr:row>59</xdr:row>
      <xdr:rowOff>25401</xdr:rowOff>
    </xdr:to>
    <xdr:sp macro="" textlink="">
      <xdr:nvSpPr>
        <xdr:cNvPr id="104" name="Rectangle 56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SpPr>
          <a:spLocks noChangeArrowheads="1"/>
        </xdr:cNvSpPr>
      </xdr:nvSpPr>
      <xdr:spPr bwMode="auto">
        <a:xfrm>
          <a:off x="1651000" y="10071101"/>
          <a:ext cx="1905001" cy="10287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66675</xdr:rowOff>
    </xdr:from>
    <xdr:to>
      <xdr:col>8</xdr:col>
      <xdr:colOff>180975</xdr:colOff>
      <xdr:row>25</xdr:row>
      <xdr:rowOff>0</xdr:rowOff>
    </xdr:to>
    <xdr:sp macro="" textlink="">
      <xdr:nvSpPr>
        <xdr:cNvPr id="10828306" name="Oval 1">
          <a:extLst>
            <a:ext uri="{FF2B5EF4-FFF2-40B4-BE49-F238E27FC236}">
              <a16:creationId xmlns:a16="http://schemas.microsoft.com/office/drawing/2014/main" id="{00000000-0008-0000-0900-0000123AA500}"/>
            </a:ext>
          </a:extLst>
        </xdr:cNvPr>
        <xdr:cNvSpPr>
          <a:spLocks noChangeArrowheads="1"/>
        </xdr:cNvSpPr>
      </xdr:nvSpPr>
      <xdr:spPr bwMode="auto">
        <a:xfrm>
          <a:off x="3886200" y="3295650"/>
          <a:ext cx="159067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552450</xdr:colOff>
      <xdr:row>29</xdr:row>
      <xdr:rowOff>38100</xdr:rowOff>
    </xdr:from>
    <xdr:to>
      <xdr:col>8</xdr:col>
      <xdr:colOff>66675</xdr:colOff>
      <xdr:row>37</xdr:row>
      <xdr:rowOff>152400</xdr:rowOff>
    </xdr:to>
    <xdr:sp macro="" textlink="">
      <xdr:nvSpPr>
        <xdr:cNvPr id="10828307" name="Oval 2">
          <a:extLst>
            <a:ext uri="{FF2B5EF4-FFF2-40B4-BE49-F238E27FC236}">
              <a16:creationId xmlns:a16="http://schemas.microsoft.com/office/drawing/2014/main" id="{00000000-0008-0000-0900-0000133AA500}"/>
            </a:ext>
          </a:extLst>
        </xdr:cNvPr>
        <xdr:cNvSpPr>
          <a:spLocks noChangeArrowheads="1"/>
        </xdr:cNvSpPr>
      </xdr:nvSpPr>
      <xdr:spPr bwMode="auto">
        <a:xfrm>
          <a:off x="3676650" y="5619750"/>
          <a:ext cx="168592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609600</xdr:colOff>
      <xdr:row>50</xdr:row>
      <xdr:rowOff>152400</xdr:rowOff>
    </xdr:from>
    <xdr:to>
      <xdr:col>8</xdr:col>
      <xdr:colOff>123825</xdr:colOff>
      <xdr:row>59</xdr:row>
      <xdr:rowOff>28575</xdr:rowOff>
    </xdr:to>
    <xdr:sp macro="" textlink="">
      <xdr:nvSpPr>
        <xdr:cNvPr id="10828308" name="Oval 3">
          <a:extLst>
            <a:ext uri="{FF2B5EF4-FFF2-40B4-BE49-F238E27FC236}">
              <a16:creationId xmlns:a16="http://schemas.microsoft.com/office/drawing/2014/main" id="{00000000-0008-0000-0900-0000143AA500}"/>
            </a:ext>
          </a:extLst>
        </xdr:cNvPr>
        <xdr:cNvSpPr>
          <a:spLocks noChangeArrowheads="1"/>
        </xdr:cNvSpPr>
      </xdr:nvSpPr>
      <xdr:spPr bwMode="auto">
        <a:xfrm>
          <a:off x="3733800" y="9344025"/>
          <a:ext cx="1685925" cy="15716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552450</xdr:colOff>
      <xdr:row>29</xdr:row>
      <xdr:rowOff>38100</xdr:rowOff>
    </xdr:from>
    <xdr:to>
      <xdr:col>11</xdr:col>
      <xdr:colOff>76200</xdr:colOff>
      <xdr:row>38</xdr:row>
      <xdr:rowOff>28575</xdr:rowOff>
    </xdr:to>
    <xdr:sp macro="" textlink="">
      <xdr:nvSpPr>
        <xdr:cNvPr id="10828309" name="Oval 4">
          <a:extLst>
            <a:ext uri="{FF2B5EF4-FFF2-40B4-BE49-F238E27FC236}">
              <a16:creationId xmlns:a16="http://schemas.microsoft.com/office/drawing/2014/main" id="{00000000-0008-0000-0900-0000153AA500}"/>
            </a:ext>
          </a:extLst>
        </xdr:cNvPr>
        <xdr:cNvSpPr>
          <a:spLocks noChangeArrowheads="1"/>
        </xdr:cNvSpPr>
      </xdr:nvSpPr>
      <xdr:spPr bwMode="auto">
        <a:xfrm>
          <a:off x="5848350" y="5619750"/>
          <a:ext cx="1562100" cy="15430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685800</xdr:colOff>
      <xdr:row>29</xdr:row>
      <xdr:rowOff>66675</xdr:rowOff>
    </xdr:from>
    <xdr:to>
      <xdr:col>14</xdr:col>
      <xdr:colOff>28575</xdr:colOff>
      <xdr:row>38</xdr:row>
      <xdr:rowOff>19050</xdr:rowOff>
    </xdr:to>
    <xdr:sp macro="" textlink="">
      <xdr:nvSpPr>
        <xdr:cNvPr id="10828310" name="Oval 5">
          <a:extLst>
            <a:ext uri="{FF2B5EF4-FFF2-40B4-BE49-F238E27FC236}">
              <a16:creationId xmlns:a16="http://schemas.microsoft.com/office/drawing/2014/main" id="{00000000-0008-0000-0900-0000163AA500}"/>
            </a:ext>
          </a:extLst>
        </xdr:cNvPr>
        <xdr:cNvSpPr>
          <a:spLocks noChangeArrowheads="1"/>
        </xdr:cNvSpPr>
      </xdr:nvSpPr>
      <xdr:spPr bwMode="auto">
        <a:xfrm>
          <a:off x="8020050" y="5648325"/>
          <a:ext cx="168592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552450</xdr:colOff>
      <xdr:row>29</xdr:row>
      <xdr:rowOff>38100</xdr:rowOff>
    </xdr:from>
    <xdr:to>
      <xdr:col>17</xdr:col>
      <xdr:colOff>66675</xdr:colOff>
      <xdr:row>37</xdr:row>
      <xdr:rowOff>152400</xdr:rowOff>
    </xdr:to>
    <xdr:sp macro="" textlink="">
      <xdr:nvSpPr>
        <xdr:cNvPr id="10828311" name="Oval 6">
          <a:extLst>
            <a:ext uri="{FF2B5EF4-FFF2-40B4-BE49-F238E27FC236}">
              <a16:creationId xmlns:a16="http://schemas.microsoft.com/office/drawing/2014/main" id="{00000000-0008-0000-0900-0000173AA500}"/>
            </a:ext>
          </a:extLst>
        </xdr:cNvPr>
        <xdr:cNvSpPr>
          <a:spLocks noChangeArrowheads="1"/>
        </xdr:cNvSpPr>
      </xdr:nvSpPr>
      <xdr:spPr bwMode="auto">
        <a:xfrm>
          <a:off x="10229850" y="5619750"/>
          <a:ext cx="16954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552450</xdr:colOff>
      <xdr:row>29</xdr:row>
      <xdr:rowOff>38100</xdr:rowOff>
    </xdr:from>
    <xdr:to>
      <xdr:col>20</xdr:col>
      <xdr:colOff>66675</xdr:colOff>
      <xdr:row>37</xdr:row>
      <xdr:rowOff>152400</xdr:rowOff>
    </xdr:to>
    <xdr:sp macro="" textlink="">
      <xdr:nvSpPr>
        <xdr:cNvPr id="10828312" name="Oval 7">
          <a:extLst>
            <a:ext uri="{FF2B5EF4-FFF2-40B4-BE49-F238E27FC236}">
              <a16:creationId xmlns:a16="http://schemas.microsoft.com/office/drawing/2014/main" id="{00000000-0008-0000-0900-0000183AA500}"/>
            </a:ext>
          </a:extLst>
        </xdr:cNvPr>
        <xdr:cNvSpPr>
          <a:spLocks noChangeArrowheads="1"/>
        </xdr:cNvSpPr>
      </xdr:nvSpPr>
      <xdr:spPr bwMode="auto">
        <a:xfrm>
          <a:off x="12411075" y="5619750"/>
          <a:ext cx="16573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38</xdr:row>
      <xdr:rowOff>28575</xdr:rowOff>
    </xdr:from>
    <xdr:to>
      <xdr:col>19</xdr:col>
      <xdr:colOff>0</xdr:colOff>
      <xdr:row>45</xdr:row>
      <xdr:rowOff>152400</xdr:rowOff>
    </xdr:to>
    <xdr:sp macro="" textlink="">
      <xdr:nvSpPr>
        <xdr:cNvPr id="10828313" name="Line 8">
          <a:extLst>
            <a:ext uri="{FF2B5EF4-FFF2-40B4-BE49-F238E27FC236}">
              <a16:creationId xmlns:a16="http://schemas.microsoft.com/office/drawing/2014/main" id="{00000000-0008-0000-0900-0000193AA500}"/>
            </a:ext>
          </a:extLst>
        </xdr:cNvPr>
        <xdr:cNvSpPr>
          <a:spLocks noChangeShapeType="1"/>
        </xdr:cNvSpPr>
      </xdr:nvSpPr>
      <xdr:spPr bwMode="auto">
        <a:xfrm flipH="1">
          <a:off x="13239750" y="7162800"/>
          <a:ext cx="0" cy="1314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66675</xdr:colOff>
      <xdr:row>33</xdr:row>
      <xdr:rowOff>152400</xdr:rowOff>
    </xdr:from>
    <xdr:to>
      <xdr:col>17</xdr:col>
      <xdr:colOff>542925</xdr:colOff>
      <xdr:row>33</xdr:row>
      <xdr:rowOff>152400</xdr:rowOff>
    </xdr:to>
    <xdr:sp macro="" textlink="">
      <xdr:nvSpPr>
        <xdr:cNvPr id="10828314" name="Line 9">
          <a:extLst>
            <a:ext uri="{FF2B5EF4-FFF2-40B4-BE49-F238E27FC236}">
              <a16:creationId xmlns:a16="http://schemas.microsoft.com/office/drawing/2014/main" id="{00000000-0008-0000-0900-00001A3AA500}"/>
            </a:ext>
          </a:extLst>
        </xdr:cNvPr>
        <xdr:cNvSpPr>
          <a:spLocks noChangeShapeType="1"/>
        </xdr:cNvSpPr>
      </xdr:nvSpPr>
      <xdr:spPr bwMode="auto">
        <a:xfrm flipH="1">
          <a:off x="11925300" y="6457950"/>
          <a:ext cx="4762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</xdr:colOff>
      <xdr:row>34</xdr:row>
      <xdr:rowOff>0</xdr:rowOff>
    </xdr:from>
    <xdr:to>
      <xdr:col>14</xdr:col>
      <xdr:colOff>561975</xdr:colOff>
      <xdr:row>34</xdr:row>
      <xdr:rowOff>0</xdr:rowOff>
    </xdr:to>
    <xdr:sp macro="" textlink="">
      <xdr:nvSpPr>
        <xdr:cNvPr id="10828315" name="Line 10">
          <a:extLst>
            <a:ext uri="{FF2B5EF4-FFF2-40B4-BE49-F238E27FC236}">
              <a16:creationId xmlns:a16="http://schemas.microsoft.com/office/drawing/2014/main" id="{00000000-0008-0000-0900-00001B3AA500}"/>
            </a:ext>
          </a:extLst>
        </xdr:cNvPr>
        <xdr:cNvSpPr>
          <a:spLocks noChangeShapeType="1"/>
        </xdr:cNvSpPr>
      </xdr:nvSpPr>
      <xdr:spPr bwMode="auto">
        <a:xfrm>
          <a:off x="9705975" y="6486525"/>
          <a:ext cx="5334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47</xdr:row>
      <xdr:rowOff>85725</xdr:rowOff>
    </xdr:from>
    <xdr:to>
      <xdr:col>7</xdr:col>
      <xdr:colOff>0</xdr:colOff>
      <xdr:row>50</xdr:row>
      <xdr:rowOff>142875</xdr:rowOff>
    </xdr:to>
    <xdr:sp macro="" textlink="">
      <xdr:nvSpPr>
        <xdr:cNvPr id="10828316" name="Line 11">
          <a:extLst>
            <a:ext uri="{FF2B5EF4-FFF2-40B4-BE49-F238E27FC236}">
              <a16:creationId xmlns:a16="http://schemas.microsoft.com/office/drawing/2014/main" id="{00000000-0008-0000-0900-00001C3AA500}"/>
            </a:ext>
          </a:extLst>
        </xdr:cNvPr>
        <xdr:cNvSpPr>
          <a:spLocks noChangeShapeType="1"/>
        </xdr:cNvSpPr>
      </xdr:nvSpPr>
      <xdr:spPr bwMode="auto">
        <a:xfrm flipH="1">
          <a:off x="4581525" y="8753475"/>
          <a:ext cx="0" cy="581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30</xdr:row>
      <xdr:rowOff>66675</xdr:rowOff>
    </xdr:from>
    <xdr:to>
      <xdr:col>4</xdr:col>
      <xdr:colOff>571500</xdr:colOff>
      <xdr:row>37</xdr:row>
      <xdr:rowOff>9525</xdr:rowOff>
    </xdr:to>
    <xdr:sp macro="" textlink="">
      <xdr:nvSpPr>
        <xdr:cNvPr id="10828317" name="Oval 12">
          <a:extLst>
            <a:ext uri="{FF2B5EF4-FFF2-40B4-BE49-F238E27FC236}">
              <a16:creationId xmlns:a16="http://schemas.microsoft.com/office/drawing/2014/main" id="{00000000-0008-0000-0900-00001D3AA500}"/>
            </a:ext>
          </a:extLst>
        </xdr:cNvPr>
        <xdr:cNvSpPr>
          <a:spLocks noChangeArrowheads="1"/>
        </xdr:cNvSpPr>
      </xdr:nvSpPr>
      <xdr:spPr bwMode="auto">
        <a:xfrm>
          <a:off x="1933575" y="5810250"/>
          <a:ext cx="1123950" cy="11715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571500</xdr:colOff>
      <xdr:row>34</xdr:row>
      <xdr:rowOff>0</xdr:rowOff>
    </xdr:from>
    <xdr:to>
      <xdr:col>5</xdr:col>
      <xdr:colOff>542925</xdr:colOff>
      <xdr:row>34</xdr:row>
      <xdr:rowOff>0</xdr:rowOff>
    </xdr:to>
    <xdr:sp macro="" textlink="">
      <xdr:nvSpPr>
        <xdr:cNvPr id="10828318" name="Line 13">
          <a:extLst>
            <a:ext uri="{FF2B5EF4-FFF2-40B4-BE49-F238E27FC236}">
              <a16:creationId xmlns:a16="http://schemas.microsoft.com/office/drawing/2014/main" id="{00000000-0008-0000-0900-00001E3AA500}"/>
            </a:ext>
          </a:extLst>
        </xdr:cNvPr>
        <xdr:cNvSpPr>
          <a:spLocks noChangeShapeType="1"/>
        </xdr:cNvSpPr>
      </xdr:nvSpPr>
      <xdr:spPr bwMode="auto">
        <a:xfrm flipH="1">
          <a:off x="3057525" y="6486525"/>
          <a:ext cx="6096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</xdr:colOff>
      <xdr:row>46</xdr:row>
      <xdr:rowOff>47625</xdr:rowOff>
    </xdr:from>
    <xdr:to>
      <xdr:col>4</xdr:col>
      <xdr:colOff>571500</xdr:colOff>
      <xdr:row>52</xdr:row>
      <xdr:rowOff>114300</xdr:rowOff>
    </xdr:to>
    <xdr:sp macro="" textlink="">
      <xdr:nvSpPr>
        <xdr:cNvPr id="10828319" name="Oval 14">
          <a:extLst>
            <a:ext uri="{FF2B5EF4-FFF2-40B4-BE49-F238E27FC236}">
              <a16:creationId xmlns:a16="http://schemas.microsoft.com/office/drawing/2014/main" id="{00000000-0008-0000-0900-00001F3AA500}"/>
            </a:ext>
          </a:extLst>
        </xdr:cNvPr>
        <xdr:cNvSpPr>
          <a:spLocks noChangeArrowheads="1"/>
        </xdr:cNvSpPr>
      </xdr:nvSpPr>
      <xdr:spPr bwMode="auto">
        <a:xfrm>
          <a:off x="1952625" y="8553450"/>
          <a:ext cx="1104900" cy="10953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371475</xdr:colOff>
      <xdr:row>36</xdr:row>
      <xdr:rowOff>123825</xdr:rowOff>
    </xdr:from>
    <xdr:to>
      <xdr:col>6</xdr:col>
      <xdr:colOff>114300</xdr:colOff>
      <xdr:row>46</xdr:row>
      <xdr:rowOff>171450</xdr:rowOff>
    </xdr:to>
    <xdr:sp macro="" textlink="">
      <xdr:nvSpPr>
        <xdr:cNvPr id="10828320" name="Line 15">
          <a:extLst>
            <a:ext uri="{FF2B5EF4-FFF2-40B4-BE49-F238E27FC236}">
              <a16:creationId xmlns:a16="http://schemas.microsoft.com/office/drawing/2014/main" id="{00000000-0008-0000-0900-0000203AA500}"/>
            </a:ext>
          </a:extLst>
        </xdr:cNvPr>
        <xdr:cNvSpPr>
          <a:spLocks noChangeShapeType="1"/>
        </xdr:cNvSpPr>
      </xdr:nvSpPr>
      <xdr:spPr bwMode="auto">
        <a:xfrm flipH="1">
          <a:off x="2857500" y="6934200"/>
          <a:ext cx="1143000" cy="17335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571500</xdr:colOff>
      <xdr:row>50</xdr:row>
      <xdr:rowOff>9525</xdr:rowOff>
    </xdr:from>
    <xdr:to>
      <xdr:col>5</xdr:col>
      <xdr:colOff>752475</xdr:colOff>
      <xdr:row>52</xdr:row>
      <xdr:rowOff>142875</xdr:rowOff>
    </xdr:to>
    <xdr:sp macro="" textlink="">
      <xdr:nvSpPr>
        <xdr:cNvPr id="10828321" name="Line 16">
          <a:extLst>
            <a:ext uri="{FF2B5EF4-FFF2-40B4-BE49-F238E27FC236}">
              <a16:creationId xmlns:a16="http://schemas.microsoft.com/office/drawing/2014/main" id="{00000000-0008-0000-0900-0000213AA500}"/>
            </a:ext>
          </a:extLst>
        </xdr:cNvPr>
        <xdr:cNvSpPr>
          <a:spLocks noChangeShapeType="1"/>
        </xdr:cNvSpPr>
      </xdr:nvSpPr>
      <xdr:spPr bwMode="auto">
        <a:xfrm flipH="1" flipV="1">
          <a:off x="3057525" y="9201150"/>
          <a:ext cx="819150" cy="4762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47</xdr:row>
      <xdr:rowOff>9525</xdr:rowOff>
    </xdr:from>
    <xdr:to>
      <xdr:col>4</xdr:col>
      <xdr:colOff>371475</xdr:colOff>
      <xdr:row>47</xdr:row>
      <xdr:rowOff>19050</xdr:rowOff>
    </xdr:to>
    <xdr:sp macro="" textlink="">
      <xdr:nvSpPr>
        <xdr:cNvPr id="10828322" name="Arc 17">
          <a:extLst>
            <a:ext uri="{FF2B5EF4-FFF2-40B4-BE49-F238E27FC236}">
              <a16:creationId xmlns:a16="http://schemas.microsoft.com/office/drawing/2014/main" id="{00000000-0008-0000-0900-0000223AA500}"/>
            </a:ext>
          </a:extLst>
        </xdr:cNvPr>
        <xdr:cNvSpPr>
          <a:spLocks/>
        </xdr:cNvSpPr>
      </xdr:nvSpPr>
      <xdr:spPr bwMode="auto">
        <a:xfrm flipH="1" flipV="1">
          <a:off x="2847975" y="8677275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171450</xdr:colOff>
      <xdr:row>47</xdr:row>
      <xdr:rowOff>9525</xdr:rowOff>
    </xdr:from>
    <xdr:to>
      <xdr:col>4</xdr:col>
      <xdr:colOff>352425</xdr:colOff>
      <xdr:row>49</xdr:row>
      <xdr:rowOff>152400</xdr:rowOff>
    </xdr:to>
    <xdr:sp macro="" textlink="">
      <xdr:nvSpPr>
        <xdr:cNvPr id="10828323" name="Line 18">
          <a:extLst>
            <a:ext uri="{FF2B5EF4-FFF2-40B4-BE49-F238E27FC236}">
              <a16:creationId xmlns:a16="http://schemas.microsoft.com/office/drawing/2014/main" id="{00000000-0008-0000-0900-0000233AA500}"/>
            </a:ext>
          </a:extLst>
        </xdr:cNvPr>
        <xdr:cNvSpPr>
          <a:spLocks noChangeShapeType="1"/>
        </xdr:cNvSpPr>
      </xdr:nvSpPr>
      <xdr:spPr bwMode="auto">
        <a:xfrm flipH="1">
          <a:off x="1962150" y="8677275"/>
          <a:ext cx="876300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50</xdr:row>
      <xdr:rowOff>0</xdr:rowOff>
    </xdr:from>
    <xdr:to>
      <xdr:col>3</xdr:col>
      <xdr:colOff>171450</xdr:colOff>
      <xdr:row>50</xdr:row>
      <xdr:rowOff>0</xdr:rowOff>
    </xdr:to>
    <xdr:sp macro="" textlink="">
      <xdr:nvSpPr>
        <xdr:cNvPr id="10828324" name="Line 19">
          <a:extLst>
            <a:ext uri="{FF2B5EF4-FFF2-40B4-BE49-F238E27FC236}">
              <a16:creationId xmlns:a16="http://schemas.microsoft.com/office/drawing/2014/main" id="{00000000-0008-0000-0900-0000243AA500}"/>
            </a:ext>
          </a:extLst>
        </xdr:cNvPr>
        <xdr:cNvSpPr>
          <a:spLocks noChangeShapeType="1"/>
        </xdr:cNvSpPr>
      </xdr:nvSpPr>
      <xdr:spPr bwMode="auto">
        <a:xfrm flipH="1">
          <a:off x="1247775" y="9191625"/>
          <a:ext cx="71437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352425</xdr:colOff>
      <xdr:row>47</xdr:row>
      <xdr:rowOff>19050</xdr:rowOff>
    </xdr:from>
    <xdr:to>
      <xdr:col>4</xdr:col>
      <xdr:colOff>581025</xdr:colOff>
      <xdr:row>50</xdr:row>
      <xdr:rowOff>0</xdr:rowOff>
    </xdr:to>
    <xdr:sp macro="" textlink="">
      <xdr:nvSpPr>
        <xdr:cNvPr id="10828325" name="Arc 20">
          <a:extLst>
            <a:ext uri="{FF2B5EF4-FFF2-40B4-BE49-F238E27FC236}">
              <a16:creationId xmlns:a16="http://schemas.microsoft.com/office/drawing/2014/main" id="{00000000-0008-0000-0900-0000253AA500}"/>
            </a:ext>
          </a:extLst>
        </xdr:cNvPr>
        <xdr:cNvSpPr>
          <a:spLocks/>
        </xdr:cNvSpPr>
      </xdr:nvSpPr>
      <xdr:spPr bwMode="auto">
        <a:xfrm flipH="1" flipV="1">
          <a:off x="2838450" y="8686800"/>
          <a:ext cx="228600" cy="5048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228600</xdr:colOff>
      <xdr:row>10</xdr:row>
      <xdr:rowOff>66675</xdr:rowOff>
    </xdr:from>
    <xdr:to>
      <xdr:col>5</xdr:col>
      <xdr:colOff>57150</xdr:colOff>
      <xdr:row>16</xdr:row>
      <xdr:rowOff>57150</xdr:rowOff>
    </xdr:to>
    <xdr:sp macro="" textlink="">
      <xdr:nvSpPr>
        <xdr:cNvPr id="10828326" name="Oval 21">
          <a:extLst>
            <a:ext uri="{FF2B5EF4-FFF2-40B4-BE49-F238E27FC236}">
              <a16:creationId xmlns:a16="http://schemas.microsoft.com/office/drawing/2014/main" id="{00000000-0008-0000-0900-0000263AA500}"/>
            </a:ext>
          </a:extLst>
        </xdr:cNvPr>
        <xdr:cNvSpPr>
          <a:spLocks noChangeArrowheads="1"/>
        </xdr:cNvSpPr>
      </xdr:nvSpPr>
      <xdr:spPr bwMode="auto">
        <a:xfrm>
          <a:off x="2019300" y="2181225"/>
          <a:ext cx="1162050" cy="11049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381000</xdr:colOff>
      <xdr:row>24</xdr:row>
      <xdr:rowOff>28575</xdr:rowOff>
    </xdr:from>
    <xdr:to>
      <xdr:col>6</xdr:col>
      <xdr:colOff>295275</xdr:colOff>
      <xdr:row>31</xdr:row>
      <xdr:rowOff>38100</xdr:rowOff>
    </xdr:to>
    <xdr:sp macro="" textlink="">
      <xdr:nvSpPr>
        <xdr:cNvPr id="10828327" name="Line 22">
          <a:extLst>
            <a:ext uri="{FF2B5EF4-FFF2-40B4-BE49-F238E27FC236}">
              <a16:creationId xmlns:a16="http://schemas.microsoft.com/office/drawing/2014/main" id="{00000000-0008-0000-0900-0000273AA500}"/>
            </a:ext>
          </a:extLst>
        </xdr:cNvPr>
        <xdr:cNvSpPr>
          <a:spLocks noChangeShapeType="1"/>
        </xdr:cNvSpPr>
      </xdr:nvSpPr>
      <xdr:spPr bwMode="auto">
        <a:xfrm flipH="1">
          <a:off x="2867025" y="4657725"/>
          <a:ext cx="1314450" cy="1314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52</xdr:row>
      <xdr:rowOff>38100</xdr:rowOff>
    </xdr:from>
    <xdr:to>
      <xdr:col>14</xdr:col>
      <xdr:colOff>9525</xdr:colOff>
      <xdr:row>60</xdr:row>
      <xdr:rowOff>28575</xdr:rowOff>
    </xdr:to>
    <xdr:sp macro="" textlink="">
      <xdr:nvSpPr>
        <xdr:cNvPr id="10828328" name="Arc 23">
          <a:extLst>
            <a:ext uri="{FF2B5EF4-FFF2-40B4-BE49-F238E27FC236}">
              <a16:creationId xmlns:a16="http://schemas.microsoft.com/office/drawing/2014/main" id="{00000000-0008-0000-0900-0000283AA500}"/>
            </a:ext>
          </a:extLst>
        </xdr:cNvPr>
        <xdr:cNvSpPr>
          <a:spLocks/>
        </xdr:cNvSpPr>
      </xdr:nvSpPr>
      <xdr:spPr bwMode="auto">
        <a:xfrm flipH="1">
          <a:off x="6667500" y="9572625"/>
          <a:ext cx="3019425" cy="15049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600075</xdr:colOff>
      <xdr:row>52</xdr:row>
      <xdr:rowOff>38100</xdr:rowOff>
    </xdr:from>
    <xdr:to>
      <xdr:col>17</xdr:col>
      <xdr:colOff>571500</xdr:colOff>
      <xdr:row>60</xdr:row>
      <xdr:rowOff>38100</xdr:rowOff>
    </xdr:to>
    <xdr:sp macro="" textlink="">
      <xdr:nvSpPr>
        <xdr:cNvPr id="10828329" name="Arc 24">
          <a:extLst>
            <a:ext uri="{FF2B5EF4-FFF2-40B4-BE49-F238E27FC236}">
              <a16:creationId xmlns:a16="http://schemas.microsoft.com/office/drawing/2014/main" id="{00000000-0008-0000-0900-0000293AA500}"/>
            </a:ext>
          </a:extLst>
        </xdr:cNvPr>
        <xdr:cNvSpPr>
          <a:spLocks/>
        </xdr:cNvSpPr>
      </xdr:nvSpPr>
      <xdr:spPr bwMode="auto">
        <a:xfrm>
          <a:off x="9410700" y="9572625"/>
          <a:ext cx="3019425" cy="151447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647700</xdr:colOff>
      <xdr:row>58</xdr:row>
      <xdr:rowOff>47625</xdr:rowOff>
    </xdr:from>
    <xdr:to>
      <xdr:col>6</xdr:col>
      <xdr:colOff>200025</xdr:colOff>
      <xdr:row>62</xdr:row>
      <xdr:rowOff>9525</xdr:rowOff>
    </xdr:to>
    <xdr:sp macro="" textlink="">
      <xdr:nvSpPr>
        <xdr:cNvPr id="10828330" name="Line 25">
          <a:extLst>
            <a:ext uri="{FF2B5EF4-FFF2-40B4-BE49-F238E27FC236}">
              <a16:creationId xmlns:a16="http://schemas.microsoft.com/office/drawing/2014/main" id="{00000000-0008-0000-0900-00002A3AA500}"/>
            </a:ext>
          </a:extLst>
        </xdr:cNvPr>
        <xdr:cNvSpPr>
          <a:spLocks noChangeShapeType="1"/>
        </xdr:cNvSpPr>
      </xdr:nvSpPr>
      <xdr:spPr bwMode="auto">
        <a:xfrm flipH="1">
          <a:off x="3771900" y="10753725"/>
          <a:ext cx="314325" cy="6477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180975</xdr:colOff>
      <xdr:row>37</xdr:row>
      <xdr:rowOff>76200</xdr:rowOff>
    </xdr:from>
    <xdr:to>
      <xdr:col>17</xdr:col>
      <xdr:colOff>152400</xdr:colOff>
      <xdr:row>45</xdr:row>
      <xdr:rowOff>152400</xdr:rowOff>
    </xdr:to>
    <xdr:sp macro="" textlink="">
      <xdr:nvSpPr>
        <xdr:cNvPr id="10828331" name="Line 26">
          <a:extLst>
            <a:ext uri="{FF2B5EF4-FFF2-40B4-BE49-F238E27FC236}">
              <a16:creationId xmlns:a16="http://schemas.microsoft.com/office/drawing/2014/main" id="{00000000-0008-0000-0900-00002B3AA500}"/>
            </a:ext>
          </a:extLst>
        </xdr:cNvPr>
        <xdr:cNvSpPr>
          <a:spLocks noChangeShapeType="1"/>
        </xdr:cNvSpPr>
      </xdr:nvSpPr>
      <xdr:spPr bwMode="auto">
        <a:xfrm>
          <a:off x="11353800" y="7048500"/>
          <a:ext cx="657225" cy="14287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38</xdr:row>
      <xdr:rowOff>0</xdr:rowOff>
    </xdr:from>
    <xdr:to>
      <xdr:col>11</xdr:col>
      <xdr:colOff>533400</xdr:colOff>
      <xdr:row>54</xdr:row>
      <xdr:rowOff>9525</xdr:rowOff>
    </xdr:to>
    <xdr:sp macro="" textlink="">
      <xdr:nvSpPr>
        <xdr:cNvPr id="10828332" name="Line 27">
          <a:extLst>
            <a:ext uri="{FF2B5EF4-FFF2-40B4-BE49-F238E27FC236}">
              <a16:creationId xmlns:a16="http://schemas.microsoft.com/office/drawing/2014/main" id="{00000000-0008-0000-0900-00002C3AA500}"/>
            </a:ext>
          </a:extLst>
        </xdr:cNvPr>
        <xdr:cNvSpPr>
          <a:spLocks noChangeShapeType="1"/>
        </xdr:cNvSpPr>
      </xdr:nvSpPr>
      <xdr:spPr bwMode="auto">
        <a:xfrm>
          <a:off x="6753225" y="7134225"/>
          <a:ext cx="1114425" cy="27622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152400</xdr:colOff>
      <xdr:row>45</xdr:row>
      <xdr:rowOff>47625</xdr:rowOff>
    </xdr:from>
    <xdr:to>
      <xdr:col>11</xdr:col>
      <xdr:colOff>400050</xdr:colOff>
      <xdr:row>54</xdr:row>
      <xdr:rowOff>47625</xdr:rowOff>
    </xdr:to>
    <xdr:sp macro="" textlink="">
      <xdr:nvSpPr>
        <xdr:cNvPr id="10828333" name="Line 28">
          <a:extLst>
            <a:ext uri="{FF2B5EF4-FFF2-40B4-BE49-F238E27FC236}">
              <a16:creationId xmlns:a16="http://schemas.microsoft.com/office/drawing/2014/main" id="{00000000-0008-0000-0900-00002D3AA500}"/>
            </a:ext>
          </a:extLst>
        </xdr:cNvPr>
        <xdr:cNvSpPr>
          <a:spLocks noChangeShapeType="1"/>
        </xdr:cNvSpPr>
      </xdr:nvSpPr>
      <xdr:spPr bwMode="auto">
        <a:xfrm>
          <a:off x="5448300" y="8372475"/>
          <a:ext cx="2286000" cy="15621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25</xdr:row>
      <xdr:rowOff>0</xdr:rowOff>
    </xdr:from>
    <xdr:to>
      <xdr:col>11</xdr:col>
      <xdr:colOff>123825</xdr:colOff>
      <xdr:row>25</xdr:row>
      <xdr:rowOff>0</xdr:rowOff>
    </xdr:to>
    <xdr:sp macro="" textlink="">
      <xdr:nvSpPr>
        <xdr:cNvPr id="10828334" name="Line 29">
          <a:extLst>
            <a:ext uri="{FF2B5EF4-FFF2-40B4-BE49-F238E27FC236}">
              <a16:creationId xmlns:a16="http://schemas.microsoft.com/office/drawing/2014/main" id="{00000000-0008-0000-0900-00002E3AA500}"/>
            </a:ext>
          </a:extLst>
        </xdr:cNvPr>
        <xdr:cNvSpPr>
          <a:spLocks noChangeShapeType="1"/>
        </xdr:cNvSpPr>
      </xdr:nvSpPr>
      <xdr:spPr bwMode="auto">
        <a:xfrm>
          <a:off x="5972175" y="4800600"/>
          <a:ext cx="14859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600075</xdr:colOff>
      <xdr:row>20</xdr:row>
      <xdr:rowOff>0</xdr:rowOff>
    </xdr:from>
    <xdr:to>
      <xdr:col>13</xdr:col>
      <xdr:colOff>9525</xdr:colOff>
      <xdr:row>29</xdr:row>
      <xdr:rowOff>47625</xdr:rowOff>
    </xdr:to>
    <xdr:sp macro="" textlink="">
      <xdr:nvSpPr>
        <xdr:cNvPr id="10828335" name="Line 30">
          <a:extLst>
            <a:ext uri="{FF2B5EF4-FFF2-40B4-BE49-F238E27FC236}">
              <a16:creationId xmlns:a16="http://schemas.microsoft.com/office/drawing/2014/main" id="{00000000-0008-0000-0900-00002F3AA500}"/>
            </a:ext>
          </a:extLst>
        </xdr:cNvPr>
        <xdr:cNvSpPr>
          <a:spLocks noChangeShapeType="1"/>
        </xdr:cNvSpPr>
      </xdr:nvSpPr>
      <xdr:spPr bwMode="auto">
        <a:xfrm>
          <a:off x="7934325" y="3924300"/>
          <a:ext cx="885825" cy="17049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171450</xdr:colOff>
      <xdr:row>19</xdr:row>
      <xdr:rowOff>171450</xdr:rowOff>
    </xdr:from>
    <xdr:to>
      <xdr:col>11</xdr:col>
      <xdr:colOff>619125</xdr:colOff>
      <xdr:row>19</xdr:row>
      <xdr:rowOff>171450</xdr:rowOff>
    </xdr:to>
    <xdr:sp macro="" textlink="">
      <xdr:nvSpPr>
        <xdr:cNvPr id="10828336" name="Line 31">
          <a:extLst>
            <a:ext uri="{FF2B5EF4-FFF2-40B4-BE49-F238E27FC236}">
              <a16:creationId xmlns:a16="http://schemas.microsoft.com/office/drawing/2014/main" id="{00000000-0008-0000-0900-0000303AA500}"/>
            </a:ext>
          </a:extLst>
        </xdr:cNvPr>
        <xdr:cNvSpPr>
          <a:spLocks noChangeShapeType="1"/>
        </xdr:cNvSpPr>
      </xdr:nvSpPr>
      <xdr:spPr bwMode="auto">
        <a:xfrm flipH="1">
          <a:off x="5467350" y="3905250"/>
          <a:ext cx="248602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504825</xdr:colOff>
      <xdr:row>58</xdr:row>
      <xdr:rowOff>38100</xdr:rowOff>
    </xdr:from>
    <xdr:to>
      <xdr:col>8</xdr:col>
      <xdr:colOff>76200</xdr:colOff>
      <xdr:row>61</xdr:row>
      <xdr:rowOff>123825</xdr:rowOff>
    </xdr:to>
    <xdr:sp macro="" textlink="">
      <xdr:nvSpPr>
        <xdr:cNvPr id="10828337" name="Line 32">
          <a:extLst>
            <a:ext uri="{FF2B5EF4-FFF2-40B4-BE49-F238E27FC236}">
              <a16:creationId xmlns:a16="http://schemas.microsoft.com/office/drawing/2014/main" id="{00000000-0008-0000-0900-0000313AA500}"/>
            </a:ext>
          </a:extLst>
        </xdr:cNvPr>
        <xdr:cNvSpPr>
          <a:spLocks noChangeShapeType="1"/>
        </xdr:cNvSpPr>
      </xdr:nvSpPr>
      <xdr:spPr bwMode="auto">
        <a:xfrm flipH="1" flipV="1">
          <a:off x="5086350" y="10744200"/>
          <a:ext cx="285750" cy="590550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24</xdr:row>
      <xdr:rowOff>171450</xdr:rowOff>
    </xdr:from>
    <xdr:to>
      <xdr:col>7</xdr:col>
      <xdr:colOff>28575</xdr:colOff>
      <xdr:row>29</xdr:row>
      <xdr:rowOff>47625</xdr:rowOff>
    </xdr:to>
    <xdr:sp macro="" textlink="">
      <xdr:nvSpPr>
        <xdr:cNvPr id="10828338" name="Line 33">
          <a:extLst>
            <a:ext uri="{FF2B5EF4-FFF2-40B4-BE49-F238E27FC236}">
              <a16:creationId xmlns:a16="http://schemas.microsoft.com/office/drawing/2014/main" id="{00000000-0008-0000-0900-0000323AA500}"/>
            </a:ext>
          </a:extLst>
        </xdr:cNvPr>
        <xdr:cNvSpPr>
          <a:spLocks noChangeShapeType="1"/>
        </xdr:cNvSpPr>
      </xdr:nvSpPr>
      <xdr:spPr bwMode="auto">
        <a:xfrm flipH="1">
          <a:off x="4591050" y="4800600"/>
          <a:ext cx="19050" cy="8286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247650</xdr:colOff>
      <xdr:row>11</xdr:row>
      <xdr:rowOff>0</xdr:rowOff>
    </xdr:from>
    <xdr:to>
      <xdr:col>6</xdr:col>
      <xdr:colOff>657225</xdr:colOff>
      <xdr:row>16</xdr:row>
      <xdr:rowOff>57150</xdr:rowOff>
    </xdr:to>
    <xdr:sp macro="" textlink="">
      <xdr:nvSpPr>
        <xdr:cNvPr id="10828339" name="Line 34">
          <a:extLst>
            <a:ext uri="{FF2B5EF4-FFF2-40B4-BE49-F238E27FC236}">
              <a16:creationId xmlns:a16="http://schemas.microsoft.com/office/drawing/2014/main" id="{00000000-0008-0000-0900-0000333AA500}"/>
            </a:ext>
          </a:extLst>
        </xdr:cNvPr>
        <xdr:cNvSpPr>
          <a:spLocks noChangeShapeType="1"/>
        </xdr:cNvSpPr>
      </xdr:nvSpPr>
      <xdr:spPr bwMode="auto">
        <a:xfrm flipH="1" flipV="1">
          <a:off x="4133850" y="2314575"/>
          <a:ext cx="409575" cy="9715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34</xdr:row>
      <xdr:rowOff>9525</xdr:rowOff>
    </xdr:from>
    <xdr:to>
      <xdr:col>8</xdr:col>
      <xdr:colOff>561975</xdr:colOff>
      <xdr:row>34</xdr:row>
      <xdr:rowOff>9525</xdr:rowOff>
    </xdr:to>
    <xdr:sp macro="" textlink="">
      <xdr:nvSpPr>
        <xdr:cNvPr id="10828340" name="Line 35">
          <a:extLst>
            <a:ext uri="{FF2B5EF4-FFF2-40B4-BE49-F238E27FC236}">
              <a16:creationId xmlns:a16="http://schemas.microsoft.com/office/drawing/2014/main" id="{00000000-0008-0000-0900-0000343AA500}"/>
            </a:ext>
          </a:extLst>
        </xdr:cNvPr>
        <xdr:cNvSpPr>
          <a:spLocks noChangeShapeType="1"/>
        </xdr:cNvSpPr>
      </xdr:nvSpPr>
      <xdr:spPr bwMode="auto">
        <a:xfrm>
          <a:off x="5343525" y="6496050"/>
          <a:ext cx="5143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485775</xdr:colOff>
      <xdr:row>37</xdr:row>
      <xdr:rowOff>123825</xdr:rowOff>
    </xdr:from>
    <xdr:to>
      <xdr:col>15</xdr:col>
      <xdr:colOff>523875</xdr:colOff>
      <xdr:row>52</xdr:row>
      <xdr:rowOff>104775</xdr:rowOff>
    </xdr:to>
    <xdr:sp macro="" textlink="">
      <xdr:nvSpPr>
        <xdr:cNvPr id="10828341" name="Line 36">
          <a:extLst>
            <a:ext uri="{FF2B5EF4-FFF2-40B4-BE49-F238E27FC236}">
              <a16:creationId xmlns:a16="http://schemas.microsoft.com/office/drawing/2014/main" id="{00000000-0008-0000-0900-0000353AA500}"/>
            </a:ext>
          </a:extLst>
        </xdr:cNvPr>
        <xdr:cNvSpPr>
          <a:spLocks noChangeShapeType="1"/>
        </xdr:cNvSpPr>
      </xdr:nvSpPr>
      <xdr:spPr bwMode="auto">
        <a:xfrm flipV="1">
          <a:off x="10163175" y="7096125"/>
          <a:ext cx="733425" cy="2543175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</xdr:colOff>
      <xdr:row>13</xdr:row>
      <xdr:rowOff>0</xdr:rowOff>
    </xdr:from>
    <xdr:to>
      <xdr:col>6</xdr:col>
      <xdr:colOff>342900</xdr:colOff>
      <xdr:row>17</xdr:row>
      <xdr:rowOff>0</xdr:rowOff>
    </xdr:to>
    <xdr:sp macro="" textlink="">
      <xdr:nvSpPr>
        <xdr:cNvPr id="10828342" name="Line 37">
          <a:extLst>
            <a:ext uri="{FF2B5EF4-FFF2-40B4-BE49-F238E27FC236}">
              <a16:creationId xmlns:a16="http://schemas.microsoft.com/office/drawing/2014/main" id="{00000000-0008-0000-0900-0000363AA500}"/>
            </a:ext>
          </a:extLst>
        </xdr:cNvPr>
        <xdr:cNvSpPr>
          <a:spLocks noChangeShapeType="1"/>
        </xdr:cNvSpPr>
      </xdr:nvSpPr>
      <xdr:spPr bwMode="auto">
        <a:xfrm>
          <a:off x="3190875" y="2705100"/>
          <a:ext cx="1038225" cy="6858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33</xdr:row>
      <xdr:rowOff>161925</xdr:rowOff>
    </xdr:from>
    <xdr:to>
      <xdr:col>11</xdr:col>
      <xdr:colOff>695325</xdr:colOff>
      <xdr:row>33</xdr:row>
      <xdr:rowOff>161925</xdr:rowOff>
    </xdr:to>
    <xdr:sp macro="" textlink="">
      <xdr:nvSpPr>
        <xdr:cNvPr id="10828343" name="Line 38">
          <a:extLst>
            <a:ext uri="{FF2B5EF4-FFF2-40B4-BE49-F238E27FC236}">
              <a16:creationId xmlns:a16="http://schemas.microsoft.com/office/drawing/2014/main" id="{00000000-0008-0000-0900-0000373AA500}"/>
            </a:ext>
          </a:extLst>
        </xdr:cNvPr>
        <xdr:cNvSpPr>
          <a:spLocks noChangeShapeType="1"/>
        </xdr:cNvSpPr>
      </xdr:nvSpPr>
      <xdr:spPr bwMode="auto">
        <a:xfrm>
          <a:off x="7400925" y="6467475"/>
          <a:ext cx="6286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25</xdr:row>
      <xdr:rowOff>0</xdr:rowOff>
    </xdr:from>
    <xdr:to>
      <xdr:col>9</xdr:col>
      <xdr:colOff>28575</xdr:colOff>
      <xdr:row>30</xdr:row>
      <xdr:rowOff>114300</xdr:rowOff>
    </xdr:to>
    <xdr:sp macro="" textlink="">
      <xdr:nvSpPr>
        <xdr:cNvPr id="10828344" name="Line 39">
          <a:extLst>
            <a:ext uri="{FF2B5EF4-FFF2-40B4-BE49-F238E27FC236}">
              <a16:creationId xmlns:a16="http://schemas.microsoft.com/office/drawing/2014/main" id="{00000000-0008-0000-0900-0000383AA500}"/>
            </a:ext>
          </a:extLst>
        </xdr:cNvPr>
        <xdr:cNvSpPr>
          <a:spLocks noChangeShapeType="1"/>
        </xdr:cNvSpPr>
      </xdr:nvSpPr>
      <xdr:spPr bwMode="auto">
        <a:xfrm flipH="1">
          <a:off x="5114925" y="4800600"/>
          <a:ext cx="876300" cy="10572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114300</xdr:colOff>
      <xdr:row>25</xdr:row>
      <xdr:rowOff>9525</xdr:rowOff>
    </xdr:from>
    <xdr:to>
      <xdr:col>12</xdr:col>
      <xdr:colOff>142875</xdr:colOff>
      <xdr:row>30</xdr:row>
      <xdr:rowOff>76200</xdr:rowOff>
    </xdr:to>
    <xdr:sp macro="" textlink="">
      <xdr:nvSpPr>
        <xdr:cNvPr id="10828345" name="Line 40">
          <a:extLst>
            <a:ext uri="{FF2B5EF4-FFF2-40B4-BE49-F238E27FC236}">
              <a16:creationId xmlns:a16="http://schemas.microsoft.com/office/drawing/2014/main" id="{00000000-0008-0000-0900-0000393AA500}"/>
            </a:ext>
          </a:extLst>
        </xdr:cNvPr>
        <xdr:cNvSpPr>
          <a:spLocks noChangeShapeType="1"/>
        </xdr:cNvSpPr>
      </xdr:nvSpPr>
      <xdr:spPr bwMode="auto">
        <a:xfrm>
          <a:off x="7448550" y="4810125"/>
          <a:ext cx="809625" cy="10096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52</xdr:row>
      <xdr:rowOff>104775</xdr:rowOff>
    </xdr:from>
    <xdr:to>
      <xdr:col>12</xdr:col>
      <xdr:colOff>561975</xdr:colOff>
      <xdr:row>52</xdr:row>
      <xdr:rowOff>114300</xdr:rowOff>
    </xdr:to>
    <xdr:sp macro="" textlink="">
      <xdr:nvSpPr>
        <xdr:cNvPr id="10828346" name="Arc 41">
          <a:extLst>
            <a:ext uri="{FF2B5EF4-FFF2-40B4-BE49-F238E27FC236}">
              <a16:creationId xmlns:a16="http://schemas.microsoft.com/office/drawing/2014/main" id="{00000000-0008-0000-0900-00003A3AA500}"/>
            </a:ext>
          </a:extLst>
        </xdr:cNvPr>
        <xdr:cNvSpPr>
          <a:spLocks/>
        </xdr:cNvSpPr>
      </xdr:nvSpPr>
      <xdr:spPr bwMode="auto">
        <a:xfrm flipV="1">
          <a:off x="8620125" y="9639300"/>
          <a:ext cx="57150" cy="95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85725</xdr:rowOff>
    </xdr:from>
    <xdr:to>
      <xdr:col>13</xdr:col>
      <xdr:colOff>152400</xdr:colOff>
      <xdr:row>52</xdr:row>
      <xdr:rowOff>85725</xdr:rowOff>
    </xdr:to>
    <xdr:sp macro="" textlink="">
      <xdr:nvSpPr>
        <xdr:cNvPr id="10828347" name="Arc 42">
          <a:extLst>
            <a:ext uri="{FF2B5EF4-FFF2-40B4-BE49-F238E27FC236}">
              <a16:creationId xmlns:a16="http://schemas.microsoft.com/office/drawing/2014/main" id="{00000000-0008-0000-0900-00003B3AA500}"/>
            </a:ext>
          </a:extLst>
        </xdr:cNvPr>
        <xdr:cNvSpPr>
          <a:spLocks/>
        </xdr:cNvSpPr>
      </xdr:nvSpPr>
      <xdr:spPr bwMode="auto">
        <a:xfrm flipH="1">
          <a:off x="8934450" y="962025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66675</xdr:rowOff>
    </xdr:from>
    <xdr:to>
      <xdr:col>13</xdr:col>
      <xdr:colOff>152400</xdr:colOff>
      <xdr:row>52</xdr:row>
      <xdr:rowOff>85725</xdr:rowOff>
    </xdr:to>
    <xdr:sp macro="" textlink="">
      <xdr:nvSpPr>
        <xdr:cNvPr id="10828348" name="Arc 43">
          <a:extLst>
            <a:ext uri="{FF2B5EF4-FFF2-40B4-BE49-F238E27FC236}">
              <a16:creationId xmlns:a16="http://schemas.microsoft.com/office/drawing/2014/main" id="{00000000-0008-0000-0900-00003C3AA500}"/>
            </a:ext>
          </a:extLst>
        </xdr:cNvPr>
        <xdr:cNvSpPr>
          <a:spLocks/>
        </xdr:cNvSpPr>
      </xdr:nvSpPr>
      <xdr:spPr bwMode="auto">
        <a:xfrm>
          <a:off x="8934450" y="9601200"/>
          <a:ext cx="28575" cy="190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4 h 21600"/>
            <a:gd name="T4" fmla="*/ 0 w 21600"/>
            <a:gd name="T5" fmla="*/ 4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57150</xdr:colOff>
      <xdr:row>52</xdr:row>
      <xdr:rowOff>114300</xdr:rowOff>
    </xdr:from>
    <xdr:to>
      <xdr:col>13</xdr:col>
      <xdr:colOff>114300</xdr:colOff>
      <xdr:row>58</xdr:row>
      <xdr:rowOff>47625</xdr:rowOff>
    </xdr:to>
    <xdr:sp macro="" textlink="">
      <xdr:nvSpPr>
        <xdr:cNvPr id="10828349" name="Arc 44">
          <a:extLst>
            <a:ext uri="{FF2B5EF4-FFF2-40B4-BE49-F238E27FC236}">
              <a16:creationId xmlns:a16="http://schemas.microsoft.com/office/drawing/2014/main" id="{00000000-0008-0000-0900-00003D3AA500}"/>
            </a:ext>
          </a:extLst>
        </xdr:cNvPr>
        <xdr:cNvSpPr>
          <a:spLocks/>
        </xdr:cNvSpPr>
      </xdr:nvSpPr>
      <xdr:spPr bwMode="auto">
        <a:xfrm flipV="1">
          <a:off x="6724650" y="9648825"/>
          <a:ext cx="2200275" cy="110490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657225</xdr:colOff>
      <xdr:row>38</xdr:row>
      <xdr:rowOff>28575</xdr:rowOff>
    </xdr:from>
    <xdr:to>
      <xdr:col>12</xdr:col>
      <xdr:colOff>676275</xdr:colOff>
      <xdr:row>52</xdr:row>
      <xdr:rowOff>104775</xdr:rowOff>
    </xdr:to>
    <xdr:sp macro="" textlink="">
      <xdr:nvSpPr>
        <xdr:cNvPr id="10828350" name="Line 45">
          <a:extLst>
            <a:ext uri="{FF2B5EF4-FFF2-40B4-BE49-F238E27FC236}">
              <a16:creationId xmlns:a16="http://schemas.microsoft.com/office/drawing/2014/main" id="{00000000-0008-0000-0900-00003E3AA500}"/>
            </a:ext>
          </a:extLst>
        </xdr:cNvPr>
        <xdr:cNvSpPr>
          <a:spLocks noChangeShapeType="1"/>
        </xdr:cNvSpPr>
      </xdr:nvSpPr>
      <xdr:spPr bwMode="auto">
        <a:xfrm flipH="1">
          <a:off x="8772525" y="7162800"/>
          <a:ext cx="19050" cy="24765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161925</xdr:colOff>
      <xdr:row>34</xdr:row>
      <xdr:rowOff>0</xdr:rowOff>
    </xdr:from>
    <xdr:to>
      <xdr:col>3</xdr:col>
      <xdr:colOff>142875</xdr:colOff>
      <xdr:row>34</xdr:row>
      <xdr:rowOff>0</xdr:rowOff>
    </xdr:to>
    <xdr:sp macro="" textlink="">
      <xdr:nvSpPr>
        <xdr:cNvPr id="10828351" name="Line 46">
          <a:extLst>
            <a:ext uri="{FF2B5EF4-FFF2-40B4-BE49-F238E27FC236}">
              <a16:creationId xmlns:a16="http://schemas.microsoft.com/office/drawing/2014/main" id="{00000000-0008-0000-0900-00003F3AA500}"/>
            </a:ext>
          </a:extLst>
        </xdr:cNvPr>
        <xdr:cNvSpPr>
          <a:spLocks noChangeShapeType="1"/>
        </xdr:cNvSpPr>
      </xdr:nvSpPr>
      <xdr:spPr bwMode="auto">
        <a:xfrm flipH="1">
          <a:off x="1114425" y="6486525"/>
          <a:ext cx="8191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600075</xdr:colOff>
      <xdr:row>61</xdr:row>
      <xdr:rowOff>123825</xdr:rowOff>
    </xdr:from>
    <xdr:to>
      <xdr:col>6</xdr:col>
      <xdr:colOff>152400</xdr:colOff>
      <xdr:row>66</xdr:row>
      <xdr:rowOff>152400</xdr:rowOff>
    </xdr:to>
    <xdr:sp macro="" textlink="">
      <xdr:nvSpPr>
        <xdr:cNvPr id="10828352" name="Oval 47">
          <a:extLst>
            <a:ext uri="{FF2B5EF4-FFF2-40B4-BE49-F238E27FC236}">
              <a16:creationId xmlns:a16="http://schemas.microsoft.com/office/drawing/2014/main" id="{00000000-0008-0000-0900-0000403AA500}"/>
            </a:ext>
          </a:extLst>
        </xdr:cNvPr>
        <xdr:cNvSpPr>
          <a:spLocks noChangeArrowheads="1"/>
        </xdr:cNvSpPr>
      </xdr:nvSpPr>
      <xdr:spPr bwMode="auto">
        <a:xfrm>
          <a:off x="3086100" y="11334750"/>
          <a:ext cx="952500" cy="8858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581025</xdr:colOff>
      <xdr:row>61</xdr:row>
      <xdr:rowOff>28575</xdr:rowOff>
    </xdr:from>
    <xdr:to>
      <xdr:col>9</xdr:col>
      <xdr:colOff>180975</xdr:colOff>
      <xdr:row>66</xdr:row>
      <xdr:rowOff>88900</xdr:rowOff>
    </xdr:to>
    <xdr:sp macro="" textlink="">
      <xdr:nvSpPr>
        <xdr:cNvPr id="10828353" name="Oval 48">
          <a:extLst>
            <a:ext uri="{FF2B5EF4-FFF2-40B4-BE49-F238E27FC236}">
              <a16:creationId xmlns:a16="http://schemas.microsoft.com/office/drawing/2014/main" id="{00000000-0008-0000-0900-0000413AA500}"/>
            </a:ext>
          </a:extLst>
        </xdr:cNvPr>
        <xdr:cNvSpPr>
          <a:spLocks noChangeArrowheads="1"/>
        </xdr:cNvSpPr>
      </xdr:nvSpPr>
      <xdr:spPr bwMode="auto">
        <a:xfrm>
          <a:off x="5165725" y="11382375"/>
          <a:ext cx="984250" cy="8985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152400</xdr:colOff>
      <xdr:row>38</xdr:row>
      <xdr:rowOff>28575</xdr:rowOff>
    </xdr:from>
    <xdr:to>
      <xdr:col>13</xdr:col>
      <xdr:colOff>276225</xdr:colOff>
      <xdr:row>52</xdr:row>
      <xdr:rowOff>76200</xdr:rowOff>
    </xdr:to>
    <xdr:sp macro="" textlink="">
      <xdr:nvSpPr>
        <xdr:cNvPr id="10828354" name="Line 49">
          <a:extLst>
            <a:ext uri="{FF2B5EF4-FFF2-40B4-BE49-F238E27FC236}">
              <a16:creationId xmlns:a16="http://schemas.microsoft.com/office/drawing/2014/main" id="{00000000-0008-0000-0900-0000423AA500}"/>
            </a:ext>
          </a:extLst>
        </xdr:cNvPr>
        <xdr:cNvSpPr>
          <a:spLocks noChangeShapeType="1"/>
        </xdr:cNvSpPr>
      </xdr:nvSpPr>
      <xdr:spPr bwMode="auto">
        <a:xfrm>
          <a:off x="8963025" y="7162800"/>
          <a:ext cx="123825" cy="24479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647700</xdr:colOff>
      <xdr:row>37</xdr:row>
      <xdr:rowOff>142875</xdr:rowOff>
    </xdr:from>
    <xdr:to>
      <xdr:col>15</xdr:col>
      <xdr:colOff>657225</xdr:colOff>
      <xdr:row>52</xdr:row>
      <xdr:rowOff>114300</xdr:rowOff>
    </xdr:to>
    <xdr:sp macro="" textlink="">
      <xdr:nvSpPr>
        <xdr:cNvPr id="10828355" name="Line 50">
          <a:extLst>
            <a:ext uri="{FF2B5EF4-FFF2-40B4-BE49-F238E27FC236}">
              <a16:creationId xmlns:a16="http://schemas.microsoft.com/office/drawing/2014/main" id="{00000000-0008-0000-0900-0000433AA500}"/>
            </a:ext>
          </a:extLst>
        </xdr:cNvPr>
        <xdr:cNvSpPr>
          <a:spLocks noChangeShapeType="1"/>
        </xdr:cNvSpPr>
      </xdr:nvSpPr>
      <xdr:spPr bwMode="auto">
        <a:xfrm flipV="1">
          <a:off x="10325100" y="7115175"/>
          <a:ext cx="704850" cy="25336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18</xdr:row>
      <xdr:rowOff>104775</xdr:rowOff>
    </xdr:from>
    <xdr:to>
      <xdr:col>6</xdr:col>
      <xdr:colOff>0</xdr:colOff>
      <xdr:row>26</xdr:row>
      <xdr:rowOff>0</xdr:rowOff>
    </xdr:to>
    <xdr:sp macro="" textlink="">
      <xdr:nvSpPr>
        <xdr:cNvPr id="10828356" name="Oval 51">
          <a:extLst>
            <a:ext uri="{FF2B5EF4-FFF2-40B4-BE49-F238E27FC236}">
              <a16:creationId xmlns:a16="http://schemas.microsoft.com/office/drawing/2014/main" id="{00000000-0008-0000-0900-0000443AA500}"/>
            </a:ext>
          </a:extLst>
        </xdr:cNvPr>
        <xdr:cNvSpPr>
          <a:spLocks noChangeArrowheads="1"/>
        </xdr:cNvSpPr>
      </xdr:nvSpPr>
      <xdr:spPr bwMode="auto">
        <a:xfrm>
          <a:off x="2495550" y="3657600"/>
          <a:ext cx="1390650" cy="13335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16</xdr:row>
      <xdr:rowOff>76200</xdr:rowOff>
    </xdr:from>
    <xdr:to>
      <xdr:col>4</xdr:col>
      <xdr:colOff>295275</xdr:colOff>
      <xdr:row>19</xdr:row>
      <xdr:rowOff>47625</xdr:rowOff>
    </xdr:to>
    <xdr:sp macro="" textlink="">
      <xdr:nvSpPr>
        <xdr:cNvPr id="10828357" name="Line 52">
          <a:extLst>
            <a:ext uri="{FF2B5EF4-FFF2-40B4-BE49-F238E27FC236}">
              <a16:creationId xmlns:a16="http://schemas.microsoft.com/office/drawing/2014/main" id="{00000000-0008-0000-0900-0000453AA500}"/>
            </a:ext>
          </a:extLst>
        </xdr:cNvPr>
        <xdr:cNvSpPr>
          <a:spLocks noChangeShapeType="1"/>
        </xdr:cNvSpPr>
      </xdr:nvSpPr>
      <xdr:spPr bwMode="auto">
        <a:xfrm flipH="1" flipV="1">
          <a:off x="2562225" y="3305175"/>
          <a:ext cx="219075" cy="4762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15</xdr:row>
      <xdr:rowOff>123825</xdr:rowOff>
    </xdr:from>
    <xdr:to>
      <xdr:col>3</xdr:col>
      <xdr:colOff>533400</xdr:colOff>
      <xdr:row>30</xdr:row>
      <xdr:rowOff>104775</xdr:rowOff>
    </xdr:to>
    <xdr:sp macro="" textlink="">
      <xdr:nvSpPr>
        <xdr:cNvPr id="10828358" name="Line 53">
          <a:extLst>
            <a:ext uri="{FF2B5EF4-FFF2-40B4-BE49-F238E27FC236}">
              <a16:creationId xmlns:a16="http://schemas.microsoft.com/office/drawing/2014/main" id="{00000000-0008-0000-0900-0000463AA500}"/>
            </a:ext>
          </a:extLst>
        </xdr:cNvPr>
        <xdr:cNvSpPr>
          <a:spLocks noChangeShapeType="1"/>
        </xdr:cNvSpPr>
      </xdr:nvSpPr>
      <xdr:spPr bwMode="auto">
        <a:xfrm flipV="1">
          <a:off x="2276475" y="3190875"/>
          <a:ext cx="47625" cy="26574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485775</xdr:colOff>
      <xdr:row>41</xdr:row>
      <xdr:rowOff>9525</xdr:rowOff>
    </xdr:from>
    <xdr:to>
      <xdr:col>8</xdr:col>
      <xdr:colOff>200025</xdr:colOff>
      <xdr:row>47</xdr:row>
      <xdr:rowOff>76200</xdr:rowOff>
    </xdr:to>
    <xdr:sp macro="" textlink="">
      <xdr:nvSpPr>
        <xdr:cNvPr id="10828359" name="Oval 54">
          <a:extLst>
            <a:ext uri="{FF2B5EF4-FFF2-40B4-BE49-F238E27FC236}">
              <a16:creationId xmlns:a16="http://schemas.microsoft.com/office/drawing/2014/main" id="{00000000-0008-0000-0900-0000473AA500}"/>
            </a:ext>
          </a:extLst>
        </xdr:cNvPr>
        <xdr:cNvSpPr>
          <a:spLocks noChangeArrowheads="1"/>
        </xdr:cNvSpPr>
      </xdr:nvSpPr>
      <xdr:spPr bwMode="auto">
        <a:xfrm>
          <a:off x="3609975" y="7686675"/>
          <a:ext cx="1885950" cy="10572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695325</xdr:colOff>
      <xdr:row>36</xdr:row>
      <xdr:rowOff>104775</xdr:rowOff>
    </xdr:from>
    <xdr:to>
      <xdr:col>9</xdr:col>
      <xdr:colOff>95250</xdr:colOff>
      <xdr:row>42</xdr:row>
      <xdr:rowOff>38100</xdr:rowOff>
    </xdr:to>
    <xdr:sp macro="" textlink="">
      <xdr:nvSpPr>
        <xdr:cNvPr id="10828360" name="Line 55">
          <a:extLst>
            <a:ext uri="{FF2B5EF4-FFF2-40B4-BE49-F238E27FC236}">
              <a16:creationId xmlns:a16="http://schemas.microsoft.com/office/drawing/2014/main" id="{00000000-0008-0000-0900-0000483AA500}"/>
            </a:ext>
          </a:extLst>
        </xdr:cNvPr>
        <xdr:cNvSpPr>
          <a:spLocks noChangeShapeType="1"/>
        </xdr:cNvSpPr>
      </xdr:nvSpPr>
      <xdr:spPr bwMode="auto">
        <a:xfrm flipH="1">
          <a:off x="5276850" y="6915150"/>
          <a:ext cx="781050" cy="962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466725</xdr:colOff>
      <xdr:row>41</xdr:row>
      <xdr:rowOff>0</xdr:rowOff>
    </xdr:from>
    <xdr:to>
      <xdr:col>8</xdr:col>
      <xdr:colOff>190500</xdr:colOff>
      <xdr:row>59</xdr:row>
      <xdr:rowOff>28575</xdr:rowOff>
    </xdr:to>
    <xdr:sp macro="" textlink="">
      <xdr:nvSpPr>
        <xdr:cNvPr id="10828361" name="Rectangle 56">
          <a:extLst>
            <a:ext uri="{FF2B5EF4-FFF2-40B4-BE49-F238E27FC236}">
              <a16:creationId xmlns:a16="http://schemas.microsoft.com/office/drawing/2014/main" id="{00000000-0008-0000-0900-0000493AA500}"/>
            </a:ext>
          </a:extLst>
        </xdr:cNvPr>
        <xdr:cNvSpPr>
          <a:spLocks noChangeArrowheads="1"/>
        </xdr:cNvSpPr>
      </xdr:nvSpPr>
      <xdr:spPr bwMode="auto">
        <a:xfrm>
          <a:off x="3590925" y="7677150"/>
          <a:ext cx="1895475" cy="32385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390525</xdr:colOff>
      <xdr:row>45</xdr:row>
      <xdr:rowOff>85725</xdr:rowOff>
    </xdr:from>
    <xdr:to>
      <xdr:col>5</xdr:col>
      <xdr:colOff>561975</xdr:colOff>
      <xdr:row>47</xdr:row>
      <xdr:rowOff>0</xdr:rowOff>
    </xdr:to>
    <xdr:sp macro="" textlink="">
      <xdr:nvSpPr>
        <xdr:cNvPr id="10828362" name="Line 57">
          <a:extLst>
            <a:ext uri="{FF2B5EF4-FFF2-40B4-BE49-F238E27FC236}">
              <a16:creationId xmlns:a16="http://schemas.microsoft.com/office/drawing/2014/main" id="{00000000-0008-0000-0900-00004A3AA500}"/>
            </a:ext>
          </a:extLst>
        </xdr:cNvPr>
        <xdr:cNvSpPr>
          <a:spLocks noChangeShapeType="1"/>
        </xdr:cNvSpPr>
      </xdr:nvSpPr>
      <xdr:spPr bwMode="auto">
        <a:xfrm flipH="1">
          <a:off x="2876550" y="8410575"/>
          <a:ext cx="809625" cy="2571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</xdr:row>
      <xdr:rowOff>0</xdr:rowOff>
    </xdr:from>
    <xdr:to>
      <xdr:col>7</xdr:col>
      <xdr:colOff>0</xdr:colOff>
      <xdr:row>41</xdr:row>
      <xdr:rowOff>9525</xdr:rowOff>
    </xdr:to>
    <xdr:sp macro="" textlink="">
      <xdr:nvSpPr>
        <xdr:cNvPr id="10828363" name="Line 58">
          <a:extLst>
            <a:ext uri="{FF2B5EF4-FFF2-40B4-BE49-F238E27FC236}">
              <a16:creationId xmlns:a16="http://schemas.microsoft.com/office/drawing/2014/main" id="{00000000-0008-0000-0900-00004B3AA500}"/>
            </a:ext>
          </a:extLst>
        </xdr:cNvPr>
        <xdr:cNvSpPr>
          <a:spLocks noChangeShapeType="1"/>
        </xdr:cNvSpPr>
      </xdr:nvSpPr>
      <xdr:spPr bwMode="auto">
        <a:xfrm>
          <a:off x="4581525" y="7134225"/>
          <a:ext cx="0" cy="552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828364" name="Line 59">
          <a:extLst>
            <a:ext uri="{FF2B5EF4-FFF2-40B4-BE49-F238E27FC236}">
              <a16:creationId xmlns:a16="http://schemas.microsoft.com/office/drawing/2014/main" id="{00000000-0008-0000-0900-00004C3AA500}"/>
            </a:ext>
          </a:extLst>
        </xdr:cNvPr>
        <xdr:cNvSpPr>
          <a:spLocks noChangeShapeType="1"/>
        </xdr:cNvSpPr>
      </xdr:nvSpPr>
      <xdr:spPr bwMode="auto">
        <a:xfrm flipH="1">
          <a:off x="1323975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0</xdr:row>
      <xdr:rowOff>0</xdr:rowOff>
    </xdr:from>
    <xdr:to>
      <xdr:col>4</xdr:col>
      <xdr:colOff>371475</xdr:colOff>
      <xdr:row>0</xdr:row>
      <xdr:rowOff>0</xdr:rowOff>
    </xdr:to>
    <xdr:sp macro="" textlink="">
      <xdr:nvSpPr>
        <xdr:cNvPr id="10828365" name="Arc 60">
          <a:extLst>
            <a:ext uri="{FF2B5EF4-FFF2-40B4-BE49-F238E27FC236}">
              <a16:creationId xmlns:a16="http://schemas.microsoft.com/office/drawing/2014/main" id="{00000000-0008-0000-0900-00004D3AA500}"/>
            </a:ext>
          </a:extLst>
        </xdr:cNvPr>
        <xdr:cNvSpPr>
          <a:spLocks/>
        </xdr:cNvSpPr>
      </xdr:nvSpPr>
      <xdr:spPr bwMode="auto">
        <a:xfrm flipH="1" flipV="1">
          <a:off x="2847975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28366" name="Line 61">
          <a:extLst>
            <a:ext uri="{FF2B5EF4-FFF2-40B4-BE49-F238E27FC236}">
              <a16:creationId xmlns:a16="http://schemas.microsoft.com/office/drawing/2014/main" id="{00000000-0008-0000-0900-00004E3AA500}"/>
            </a:ext>
          </a:extLst>
        </xdr:cNvPr>
        <xdr:cNvSpPr>
          <a:spLocks noChangeShapeType="1"/>
        </xdr:cNvSpPr>
      </xdr:nvSpPr>
      <xdr:spPr bwMode="auto">
        <a:xfrm flipV="1">
          <a:off x="4581525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0</xdr:row>
      <xdr:rowOff>0</xdr:rowOff>
    </xdr:from>
    <xdr:to>
      <xdr:col>12</xdr:col>
      <xdr:colOff>561975</xdr:colOff>
      <xdr:row>0</xdr:row>
      <xdr:rowOff>0</xdr:rowOff>
    </xdr:to>
    <xdr:sp macro="" textlink="">
      <xdr:nvSpPr>
        <xdr:cNvPr id="10828367" name="Arc 62">
          <a:extLst>
            <a:ext uri="{FF2B5EF4-FFF2-40B4-BE49-F238E27FC236}">
              <a16:creationId xmlns:a16="http://schemas.microsoft.com/office/drawing/2014/main" id="{00000000-0008-0000-0900-00004F3AA500}"/>
            </a:ext>
          </a:extLst>
        </xdr:cNvPr>
        <xdr:cNvSpPr>
          <a:spLocks/>
        </xdr:cNvSpPr>
      </xdr:nvSpPr>
      <xdr:spPr bwMode="auto">
        <a:xfrm flipV="1">
          <a:off x="8620125" y="0"/>
          <a:ext cx="57150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28368" name="Arc 63">
          <a:extLst>
            <a:ext uri="{FF2B5EF4-FFF2-40B4-BE49-F238E27FC236}">
              <a16:creationId xmlns:a16="http://schemas.microsoft.com/office/drawing/2014/main" id="{00000000-0008-0000-0900-0000503AA500}"/>
            </a:ext>
          </a:extLst>
        </xdr:cNvPr>
        <xdr:cNvSpPr>
          <a:spLocks/>
        </xdr:cNvSpPr>
      </xdr:nvSpPr>
      <xdr:spPr bwMode="auto">
        <a:xfrm flipH="1">
          <a:off x="8934450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28369" name="Arc 64">
          <a:extLst>
            <a:ext uri="{FF2B5EF4-FFF2-40B4-BE49-F238E27FC236}">
              <a16:creationId xmlns:a16="http://schemas.microsoft.com/office/drawing/2014/main" id="{00000000-0008-0000-0900-0000513AA500}"/>
            </a:ext>
          </a:extLst>
        </xdr:cNvPr>
        <xdr:cNvSpPr>
          <a:spLocks/>
        </xdr:cNvSpPr>
      </xdr:nvSpPr>
      <xdr:spPr bwMode="auto">
        <a:xfrm>
          <a:off x="8934450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28370" name="Line 65">
          <a:extLst>
            <a:ext uri="{FF2B5EF4-FFF2-40B4-BE49-F238E27FC236}">
              <a16:creationId xmlns:a16="http://schemas.microsoft.com/office/drawing/2014/main" id="{00000000-0008-0000-0900-0000523AA500}"/>
            </a:ext>
          </a:extLst>
        </xdr:cNvPr>
        <xdr:cNvSpPr>
          <a:spLocks noChangeShapeType="1"/>
        </xdr:cNvSpPr>
      </xdr:nvSpPr>
      <xdr:spPr bwMode="auto">
        <a:xfrm>
          <a:off x="4581525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8371" name="Line 66">
          <a:extLst>
            <a:ext uri="{FF2B5EF4-FFF2-40B4-BE49-F238E27FC236}">
              <a16:creationId xmlns:a16="http://schemas.microsoft.com/office/drawing/2014/main" id="{00000000-0008-0000-0900-0000533AA500}"/>
            </a:ext>
          </a:extLst>
        </xdr:cNvPr>
        <xdr:cNvSpPr>
          <a:spLocks noChangeShapeType="1"/>
        </xdr:cNvSpPr>
      </xdr:nvSpPr>
      <xdr:spPr bwMode="auto">
        <a:xfrm flipH="1">
          <a:off x="13239750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372" name="Line 67">
          <a:extLst>
            <a:ext uri="{FF2B5EF4-FFF2-40B4-BE49-F238E27FC236}">
              <a16:creationId xmlns:a16="http://schemas.microsoft.com/office/drawing/2014/main" id="{00000000-0008-0000-0900-0000543AA500}"/>
            </a:ext>
          </a:extLst>
        </xdr:cNvPr>
        <xdr:cNvSpPr>
          <a:spLocks noChangeShapeType="1"/>
        </xdr:cNvSpPr>
      </xdr:nvSpPr>
      <xdr:spPr bwMode="auto">
        <a:xfrm flipH="1"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28373" name="Arc 68">
          <a:extLst>
            <a:ext uri="{FF2B5EF4-FFF2-40B4-BE49-F238E27FC236}">
              <a16:creationId xmlns:a16="http://schemas.microsoft.com/office/drawing/2014/main" id="{00000000-0008-0000-0900-0000553AA500}"/>
            </a:ext>
          </a:extLst>
        </xdr:cNvPr>
        <xdr:cNvSpPr>
          <a:spLocks/>
        </xdr:cNvSpPr>
      </xdr:nvSpPr>
      <xdr:spPr bwMode="auto">
        <a:xfrm flipH="1" flipV="1">
          <a:off x="2847975" y="12449175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374" name="Line 69">
          <a:extLst>
            <a:ext uri="{FF2B5EF4-FFF2-40B4-BE49-F238E27FC236}">
              <a16:creationId xmlns:a16="http://schemas.microsoft.com/office/drawing/2014/main" id="{00000000-0008-0000-0900-0000563AA500}"/>
            </a:ext>
          </a:extLst>
        </xdr:cNvPr>
        <xdr:cNvSpPr>
          <a:spLocks noChangeShapeType="1"/>
        </xdr:cNvSpPr>
      </xdr:nvSpPr>
      <xdr:spPr bwMode="auto">
        <a:xfrm flipV="1"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375" name="Line 70">
          <a:extLst>
            <a:ext uri="{FF2B5EF4-FFF2-40B4-BE49-F238E27FC236}">
              <a16:creationId xmlns:a16="http://schemas.microsoft.com/office/drawing/2014/main" id="{00000000-0008-0000-0900-0000573AA500}"/>
            </a:ext>
          </a:extLst>
        </xdr:cNvPr>
        <xdr:cNvSpPr>
          <a:spLocks noChangeShapeType="1"/>
        </xdr:cNvSpPr>
      </xdr:nvSpPr>
      <xdr:spPr bwMode="auto">
        <a:xfrm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8376" name="Line 71">
          <a:extLst>
            <a:ext uri="{FF2B5EF4-FFF2-40B4-BE49-F238E27FC236}">
              <a16:creationId xmlns:a16="http://schemas.microsoft.com/office/drawing/2014/main" id="{00000000-0008-0000-0900-0000583AA500}"/>
            </a:ext>
          </a:extLst>
        </xdr:cNvPr>
        <xdr:cNvSpPr>
          <a:spLocks noChangeShapeType="1"/>
        </xdr:cNvSpPr>
      </xdr:nvSpPr>
      <xdr:spPr bwMode="auto">
        <a:xfrm flipH="1">
          <a:off x="13239750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377" name="Line 72">
          <a:extLst>
            <a:ext uri="{FF2B5EF4-FFF2-40B4-BE49-F238E27FC236}">
              <a16:creationId xmlns:a16="http://schemas.microsoft.com/office/drawing/2014/main" id="{00000000-0008-0000-0900-0000593AA500}"/>
            </a:ext>
          </a:extLst>
        </xdr:cNvPr>
        <xdr:cNvSpPr>
          <a:spLocks noChangeShapeType="1"/>
        </xdr:cNvSpPr>
      </xdr:nvSpPr>
      <xdr:spPr bwMode="auto">
        <a:xfrm flipH="1"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28378" name="Arc 73">
          <a:extLst>
            <a:ext uri="{FF2B5EF4-FFF2-40B4-BE49-F238E27FC236}">
              <a16:creationId xmlns:a16="http://schemas.microsoft.com/office/drawing/2014/main" id="{00000000-0008-0000-0900-00005A3AA500}"/>
            </a:ext>
          </a:extLst>
        </xdr:cNvPr>
        <xdr:cNvSpPr>
          <a:spLocks/>
        </xdr:cNvSpPr>
      </xdr:nvSpPr>
      <xdr:spPr bwMode="auto">
        <a:xfrm flipH="1" flipV="1">
          <a:off x="2847975" y="12449175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379" name="Line 74">
          <a:extLst>
            <a:ext uri="{FF2B5EF4-FFF2-40B4-BE49-F238E27FC236}">
              <a16:creationId xmlns:a16="http://schemas.microsoft.com/office/drawing/2014/main" id="{00000000-0008-0000-0900-00005B3AA500}"/>
            </a:ext>
          </a:extLst>
        </xdr:cNvPr>
        <xdr:cNvSpPr>
          <a:spLocks noChangeShapeType="1"/>
        </xdr:cNvSpPr>
      </xdr:nvSpPr>
      <xdr:spPr bwMode="auto">
        <a:xfrm flipV="1"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380" name="Line 75">
          <a:extLst>
            <a:ext uri="{FF2B5EF4-FFF2-40B4-BE49-F238E27FC236}">
              <a16:creationId xmlns:a16="http://schemas.microsoft.com/office/drawing/2014/main" id="{00000000-0008-0000-0900-00005C3AA500}"/>
            </a:ext>
          </a:extLst>
        </xdr:cNvPr>
        <xdr:cNvSpPr>
          <a:spLocks noChangeShapeType="1"/>
        </xdr:cNvSpPr>
      </xdr:nvSpPr>
      <xdr:spPr bwMode="auto">
        <a:xfrm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8381" name="Line 76">
          <a:extLst>
            <a:ext uri="{FF2B5EF4-FFF2-40B4-BE49-F238E27FC236}">
              <a16:creationId xmlns:a16="http://schemas.microsoft.com/office/drawing/2014/main" id="{00000000-0008-0000-0900-00005D3AA500}"/>
            </a:ext>
          </a:extLst>
        </xdr:cNvPr>
        <xdr:cNvSpPr>
          <a:spLocks noChangeShapeType="1"/>
        </xdr:cNvSpPr>
      </xdr:nvSpPr>
      <xdr:spPr bwMode="auto">
        <a:xfrm flipH="1">
          <a:off x="13239750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382" name="Line 77">
          <a:extLst>
            <a:ext uri="{FF2B5EF4-FFF2-40B4-BE49-F238E27FC236}">
              <a16:creationId xmlns:a16="http://schemas.microsoft.com/office/drawing/2014/main" id="{00000000-0008-0000-0900-00005E3AA500}"/>
            </a:ext>
          </a:extLst>
        </xdr:cNvPr>
        <xdr:cNvSpPr>
          <a:spLocks noChangeShapeType="1"/>
        </xdr:cNvSpPr>
      </xdr:nvSpPr>
      <xdr:spPr bwMode="auto">
        <a:xfrm flipH="1"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383" name="Line 78">
          <a:extLst>
            <a:ext uri="{FF2B5EF4-FFF2-40B4-BE49-F238E27FC236}">
              <a16:creationId xmlns:a16="http://schemas.microsoft.com/office/drawing/2014/main" id="{00000000-0008-0000-0900-00005F3AA500}"/>
            </a:ext>
          </a:extLst>
        </xdr:cNvPr>
        <xdr:cNvSpPr>
          <a:spLocks noChangeShapeType="1"/>
        </xdr:cNvSpPr>
      </xdr:nvSpPr>
      <xdr:spPr bwMode="auto">
        <a:xfrm flipV="1"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384" name="Line 79">
          <a:extLst>
            <a:ext uri="{FF2B5EF4-FFF2-40B4-BE49-F238E27FC236}">
              <a16:creationId xmlns:a16="http://schemas.microsoft.com/office/drawing/2014/main" id="{00000000-0008-0000-0900-0000603AA500}"/>
            </a:ext>
          </a:extLst>
        </xdr:cNvPr>
        <xdr:cNvSpPr>
          <a:spLocks noChangeShapeType="1"/>
        </xdr:cNvSpPr>
      </xdr:nvSpPr>
      <xdr:spPr bwMode="auto">
        <a:xfrm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8385" name="Line 80">
          <a:extLst>
            <a:ext uri="{FF2B5EF4-FFF2-40B4-BE49-F238E27FC236}">
              <a16:creationId xmlns:a16="http://schemas.microsoft.com/office/drawing/2014/main" id="{00000000-0008-0000-0900-0000613AA500}"/>
            </a:ext>
          </a:extLst>
        </xdr:cNvPr>
        <xdr:cNvSpPr>
          <a:spLocks noChangeShapeType="1"/>
        </xdr:cNvSpPr>
      </xdr:nvSpPr>
      <xdr:spPr bwMode="auto">
        <a:xfrm flipH="1">
          <a:off x="13239750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386" name="Line 81">
          <a:extLst>
            <a:ext uri="{FF2B5EF4-FFF2-40B4-BE49-F238E27FC236}">
              <a16:creationId xmlns:a16="http://schemas.microsoft.com/office/drawing/2014/main" id="{00000000-0008-0000-0900-0000623AA500}"/>
            </a:ext>
          </a:extLst>
        </xdr:cNvPr>
        <xdr:cNvSpPr>
          <a:spLocks noChangeShapeType="1"/>
        </xdr:cNvSpPr>
      </xdr:nvSpPr>
      <xdr:spPr bwMode="auto">
        <a:xfrm flipH="1"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387" name="Line 82">
          <a:extLst>
            <a:ext uri="{FF2B5EF4-FFF2-40B4-BE49-F238E27FC236}">
              <a16:creationId xmlns:a16="http://schemas.microsoft.com/office/drawing/2014/main" id="{00000000-0008-0000-0900-0000633AA500}"/>
            </a:ext>
          </a:extLst>
        </xdr:cNvPr>
        <xdr:cNvSpPr>
          <a:spLocks noChangeShapeType="1"/>
        </xdr:cNvSpPr>
      </xdr:nvSpPr>
      <xdr:spPr bwMode="auto">
        <a:xfrm flipV="1"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388" name="Line 83">
          <a:extLst>
            <a:ext uri="{FF2B5EF4-FFF2-40B4-BE49-F238E27FC236}">
              <a16:creationId xmlns:a16="http://schemas.microsoft.com/office/drawing/2014/main" id="{00000000-0008-0000-0900-0000643AA500}"/>
            </a:ext>
          </a:extLst>
        </xdr:cNvPr>
        <xdr:cNvSpPr>
          <a:spLocks noChangeShapeType="1"/>
        </xdr:cNvSpPr>
      </xdr:nvSpPr>
      <xdr:spPr bwMode="auto">
        <a:xfrm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8389" name="Line 84">
          <a:extLst>
            <a:ext uri="{FF2B5EF4-FFF2-40B4-BE49-F238E27FC236}">
              <a16:creationId xmlns:a16="http://schemas.microsoft.com/office/drawing/2014/main" id="{00000000-0008-0000-0900-0000653AA500}"/>
            </a:ext>
          </a:extLst>
        </xdr:cNvPr>
        <xdr:cNvSpPr>
          <a:spLocks noChangeShapeType="1"/>
        </xdr:cNvSpPr>
      </xdr:nvSpPr>
      <xdr:spPr bwMode="auto">
        <a:xfrm flipH="1">
          <a:off x="13239750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390" name="Line 85">
          <a:extLst>
            <a:ext uri="{FF2B5EF4-FFF2-40B4-BE49-F238E27FC236}">
              <a16:creationId xmlns:a16="http://schemas.microsoft.com/office/drawing/2014/main" id="{00000000-0008-0000-0900-0000663AA500}"/>
            </a:ext>
          </a:extLst>
        </xdr:cNvPr>
        <xdr:cNvSpPr>
          <a:spLocks noChangeShapeType="1"/>
        </xdr:cNvSpPr>
      </xdr:nvSpPr>
      <xdr:spPr bwMode="auto">
        <a:xfrm flipH="1"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391" name="Line 86">
          <a:extLst>
            <a:ext uri="{FF2B5EF4-FFF2-40B4-BE49-F238E27FC236}">
              <a16:creationId xmlns:a16="http://schemas.microsoft.com/office/drawing/2014/main" id="{00000000-0008-0000-0900-0000673AA500}"/>
            </a:ext>
          </a:extLst>
        </xdr:cNvPr>
        <xdr:cNvSpPr>
          <a:spLocks noChangeShapeType="1"/>
        </xdr:cNvSpPr>
      </xdr:nvSpPr>
      <xdr:spPr bwMode="auto">
        <a:xfrm flipV="1"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392" name="Line 87">
          <a:extLst>
            <a:ext uri="{FF2B5EF4-FFF2-40B4-BE49-F238E27FC236}">
              <a16:creationId xmlns:a16="http://schemas.microsoft.com/office/drawing/2014/main" id="{00000000-0008-0000-0900-0000683AA500}"/>
            </a:ext>
          </a:extLst>
        </xdr:cNvPr>
        <xdr:cNvSpPr>
          <a:spLocks noChangeShapeType="1"/>
        </xdr:cNvSpPr>
      </xdr:nvSpPr>
      <xdr:spPr bwMode="auto">
        <a:xfrm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8393" name="Line 88">
          <a:extLst>
            <a:ext uri="{FF2B5EF4-FFF2-40B4-BE49-F238E27FC236}">
              <a16:creationId xmlns:a16="http://schemas.microsoft.com/office/drawing/2014/main" id="{00000000-0008-0000-0900-0000693AA500}"/>
            </a:ext>
          </a:extLst>
        </xdr:cNvPr>
        <xdr:cNvSpPr>
          <a:spLocks noChangeShapeType="1"/>
        </xdr:cNvSpPr>
      </xdr:nvSpPr>
      <xdr:spPr bwMode="auto">
        <a:xfrm flipH="1">
          <a:off x="13239750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394" name="Line 89">
          <a:extLst>
            <a:ext uri="{FF2B5EF4-FFF2-40B4-BE49-F238E27FC236}">
              <a16:creationId xmlns:a16="http://schemas.microsoft.com/office/drawing/2014/main" id="{00000000-0008-0000-0900-00006A3AA500}"/>
            </a:ext>
          </a:extLst>
        </xdr:cNvPr>
        <xdr:cNvSpPr>
          <a:spLocks noChangeShapeType="1"/>
        </xdr:cNvSpPr>
      </xdr:nvSpPr>
      <xdr:spPr bwMode="auto">
        <a:xfrm flipH="1"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395" name="Line 90">
          <a:extLst>
            <a:ext uri="{FF2B5EF4-FFF2-40B4-BE49-F238E27FC236}">
              <a16:creationId xmlns:a16="http://schemas.microsoft.com/office/drawing/2014/main" id="{00000000-0008-0000-0900-00006B3AA500}"/>
            </a:ext>
          </a:extLst>
        </xdr:cNvPr>
        <xdr:cNvSpPr>
          <a:spLocks noChangeShapeType="1"/>
        </xdr:cNvSpPr>
      </xdr:nvSpPr>
      <xdr:spPr bwMode="auto">
        <a:xfrm flipV="1"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396" name="Line 91">
          <a:extLst>
            <a:ext uri="{FF2B5EF4-FFF2-40B4-BE49-F238E27FC236}">
              <a16:creationId xmlns:a16="http://schemas.microsoft.com/office/drawing/2014/main" id="{00000000-0008-0000-0900-00006C3AA500}"/>
            </a:ext>
          </a:extLst>
        </xdr:cNvPr>
        <xdr:cNvSpPr>
          <a:spLocks noChangeShapeType="1"/>
        </xdr:cNvSpPr>
      </xdr:nvSpPr>
      <xdr:spPr bwMode="auto">
        <a:xfrm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8397" name="Line 92">
          <a:extLst>
            <a:ext uri="{FF2B5EF4-FFF2-40B4-BE49-F238E27FC236}">
              <a16:creationId xmlns:a16="http://schemas.microsoft.com/office/drawing/2014/main" id="{00000000-0008-0000-0900-00006D3AA500}"/>
            </a:ext>
          </a:extLst>
        </xdr:cNvPr>
        <xdr:cNvSpPr>
          <a:spLocks noChangeShapeType="1"/>
        </xdr:cNvSpPr>
      </xdr:nvSpPr>
      <xdr:spPr bwMode="auto">
        <a:xfrm flipH="1">
          <a:off x="13239750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398" name="Line 93">
          <a:extLst>
            <a:ext uri="{FF2B5EF4-FFF2-40B4-BE49-F238E27FC236}">
              <a16:creationId xmlns:a16="http://schemas.microsoft.com/office/drawing/2014/main" id="{00000000-0008-0000-0900-00006E3AA500}"/>
            </a:ext>
          </a:extLst>
        </xdr:cNvPr>
        <xdr:cNvSpPr>
          <a:spLocks noChangeShapeType="1"/>
        </xdr:cNvSpPr>
      </xdr:nvSpPr>
      <xdr:spPr bwMode="auto">
        <a:xfrm flipH="1"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399" name="Line 94">
          <a:extLst>
            <a:ext uri="{FF2B5EF4-FFF2-40B4-BE49-F238E27FC236}">
              <a16:creationId xmlns:a16="http://schemas.microsoft.com/office/drawing/2014/main" id="{00000000-0008-0000-0900-00006F3AA500}"/>
            </a:ext>
          </a:extLst>
        </xdr:cNvPr>
        <xdr:cNvSpPr>
          <a:spLocks noChangeShapeType="1"/>
        </xdr:cNvSpPr>
      </xdr:nvSpPr>
      <xdr:spPr bwMode="auto">
        <a:xfrm flipV="1"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400" name="Line 95">
          <a:extLst>
            <a:ext uri="{FF2B5EF4-FFF2-40B4-BE49-F238E27FC236}">
              <a16:creationId xmlns:a16="http://schemas.microsoft.com/office/drawing/2014/main" id="{00000000-0008-0000-0900-0000703AA500}"/>
            </a:ext>
          </a:extLst>
        </xdr:cNvPr>
        <xdr:cNvSpPr>
          <a:spLocks noChangeShapeType="1"/>
        </xdr:cNvSpPr>
      </xdr:nvSpPr>
      <xdr:spPr bwMode="auto">
        <a:xfrm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8401" name="Line 96">
          <a:extLst>
            <a:ext uri="{FF2B5EF4-FFF2-40B4-BE49-F238E27FC236}">
              <a16:creationId xmlns:a16="http://schemas.microsoft.com/office/drawing/2014/main" id="{00000000-0008-0000-0900-0000713AA500}"/>
            </a:ext>
          </a:extLst>
        </xdr:cNvPr>
        <xdr:cNvSpPr>
          <a:spLocks noChangeShapeType="1"/>
        </xdr:cNvSpPr>
      </xdr:nvSpPr>
      <xdr:spPr bwMode="auto">
        <a:xfrm flipH="1">
          <a:off x="13239750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402" name="Line 97">
          <a:extLst>
            <a:ext uri="{FF2B5EF4-FFF2-40B4-BE49-F238E27FC236}">
              <a16:creationId xmlns:a16="http://schemas.microsoft.com/office/drawing/2014/main" id="{00000000-0008-0000-0900-0000723AA500}"/>
            </a:ext>
          </a:extLst>
        </xdr:cNvPr>
        <xdr:cNvSpPr>
          <a:spLocks noChangeShapeType="1"/>
        </xdr:cNvSpPr>
      </xdr:nvSpPr>
      <xdr:spPr bwMode="auto">
        <a:xfrm flipH="1"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403" name="Line 98">
          <a:extLst>
            <a:ext uri="{FF2B5EF4-FFF2-40B4-BE49-F238E27FC236}">
              <a16:creationId xmlns:a16="http://schemas.microsoft.com/office/drawing/2014/main" id="{00000000-0008-0000-0900-0000733AA500}"/>
            </a:ext>
          </a:extLst>
        </xdr:cNvPr>
        <xdr:cNvSpPr>
          <a:spLocks noChangeShapeType="1"/>
        </xdr:cNvSpPr>
      </xdr:nvSpPr>
      <xdr:spPr bwMode="auto">
        <a:xfrm flipV="1"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8404" name="Line 99">
          <a:extLst>
            <a:ext uri="{FF2B5EF4-FFF2-40B4-BE49-F238E27FC236}">
              <a16:creationId xmlns:a16="http://schemas.microsoft.com/office/drawing/2014/main" id="{00000000-0008-0000-0900-0000743AA500}"/>
            </a:ext>
          </a:extLst>
        </xdr:cNvPr>
        <xdr:cNvSpPr>
          <a:spLocks noChangeShapeType="1"/>
        </xdr:cNvSpPr>
      </xdr:nvSpPr>
      <xdr:spPr bwMode="auto">
        <a:xfrm>
          <a:off x="458152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809625</xdr:colOff>
      <xdr:row>75</xdr:row>
      <xdr:rowOff>9525</xdr:rowOff>
    </xdr:from>
    <xdr:to>
      <xdr:col>19</xdr:col>
      <xdr:colOff>9525</xdr:colOff>
      <xdr:row>75</xdr:row>
      <xdr:rowOff>9525</xdr:rowOff>
    </xdr:to>
    <xdr:sp macro="" textlink="">
      <xdr:nvSpPr>
        <xdr:cNvPr id="10828405" name="Line 100">
          <a:extLst>
            <a:ext uri="{FF2B5EF4-FFF2-40B4-BE49-F238E27FC236}">
              <a16:creationId xmlns:a16="http://schemas.microsoft.com/office/drawing/2014/main" id="{00000000-0008-0000-0900-0000753AA500}"/>
            </a:ext>
          </a:extLst>
        </xdr:cNvPr>
        <xdr:cNvSpPr>
          <a:spLocks noChangeShapeType="1"/>
        </xdr:cNvSpPr>
      </xdr:nvSpPr>
      <xdr:spPr bwMode="auto">
        <a:xfrm flipH="1">
          <a:off x="12620625" y="12620625"/>
          <a:ext cx="628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75</xdr:row>
      <xdr:rowOff>9525</xdr:rowOff>
    </xdr:from>
    <xdr:to>
      <xdr:col>16</xdr:col>
      <xdr:colOff>0</xdr:colOff>
      <xdr:row>75</xdr:row>
      <xdr:rowOff>9525</xdr:rowOff>
    </xdr:to>
    <xdr:sp macro="" textlink="">
      <xdr:nvSpPr>
        <xdr:cNvPr id="10828406" name="Line 101">
          <a:extLst>
            <a:ext uri="{FF2B5EF4-FFF2-40B4-BE49-F238E27FC236}">
              <a16:creationId xmlns:a16="http://schemas.microsoft.com/office/drawing/2014/main" id="{00000000-0008-0000-0900-0000763AA500}"/>
            </a:ext>
          </a:extLst>
        </xdr:cNvPr>
        <xdr:cNvSpPr>
          <a:spLocks noChangeShapeType="1"/>
        </xdr:cNvSpPr>
      </xdr:nvSpPr>
      <xdr:spPr bwMode="auto">
        <a:xfrm>
          <a:off x="10372725" y="12620625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75</xdr:row>
      <xdr:rowOff>9525</xdr:rowOff>
    </xdr:from>
    <xdr:to>
      <xdr:col>13</xdr:col>
      <xdr:colOff>0</xdr:colOff>
      <xdr:row>75</xdr:row>
      <xdr:rowOff>9525</xdr:rowOff>
    </xdr:to>
    <xdr:sp macro="" textlink="">
      <xdr:nvSpPr>
        <xdr:cNvPr id="10828407" name="Line 102">
          <a:extLst>
            <a:ext uri="{FF2B5EF4-FFF2-40B4-BE49-F238E27FC236}">
              <a16:creationId xmlns:a16="http://schemas.microsoft.com/office/drawing/2014/main" id="{00000000-0008-0000-0900-0000773AA500}"/>
            </a:ext>
          </a:extLst>
        </xdr:cNvPr>
        <xdr:cNvSpPr>
          <a:spLocks noChangeShapeType="1"/>
        </xdr:cNvSpPr>
      </xdr:nvSpPr>
      <xdr:spPr bwMode="auto">
        <a:xfrm>
          <a:off x="8115300" y="12620625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75</xdr:row>
      <xdr:rowOff>9525</xdr:rowOff>
    </xdr:from>
    <xdr:to>
      <xdr:col>9</xdr:col>
      <xdr:colOff>695325</xdr:colOff>
      <xdr:row>75</xdr:row>
      <xdr:rowOff>9525</xdr:rowOff>
    </xdr:to>
    <xdr:sp macro="" textlink="">
      <xdr:nvSpPr>
        <xdr:cNvPr id="10828408" name="Line 103">
          <a:extLst>
            <a:ext uri="{FF2B5EF4-FFF2-40B4-BE49-F238E27FC236}">
              <a16:creationId xmlns:a16="http://schemas.microsoft.com/office/drawing/2014/main" id="{00000000-0008-0000-0900-0000783AA500}"/>
            </a:ext>
          </a:extLst>
        </xdr:cNvPr>
        <xdr:cNvSpPr>
          <a:spLocks noChangeShapeType="1"/>
        </xdr:cNvSpPr>
      </xdr:nvSpPr>
      <xdr:spPr bwMode="auto">
        <a:xfrm flipH="1">
          <a:off x="5962650" y="12620625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8</xdr:row>
      <xdr:rowOff>114300</xdr:rowOff>
    </xdr:from>
    <xdr:to>
      <xdr:col>10</xdr:col>
      <xdr:colOff>333375</xdr:colOff>
      <xdr:row>15</xdr:row>
      <xdr:rowOff>9525</xdr:rowOff>
    </xdr:to>
    <xdr:sp macro="" textlink="">
      <xdr:nvSpPr>
        <xdr:cNvPr id="10828409" name="Rectangle 56">
          <a:extLst>
            <a:ext uri="{FF2B5EF4-FFF2-40B4-BE49-F238E27FC236}">
              <a16:creationId xmlns:a16="http://schemas.microsoft.com/office/drawing/2014/main" id="{00000000-0008-0000-0900-0000793AA500}"/>
            </a:ext>
          </a:extLst>
        </xdr:cNvPr>
        <xdr:cNvSpPr>
          <a:spLocks noChangeArrowheads="1"/>
        </xdr:cNvSpPr>
      </xdr:nvSpPr>
      <xdr:spPr bwMode="auto">
        <a:xfrm>
          <a:off x="5295900" y="1866900"/>
          <a:ext cx="1704975" cy="120967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114300</xdr:colOff>
      <xdr:row>10</xdr:row>
      <xdr:rowOff>190500</xdr:rowOff>
    </xdr:from>
    <xdr:to>
      <xdr:col>8</xdr:col>
      <xdr:colOff>295275</xdr:colOff>
      <xdr:row>16</xdr:row>
      <xdr:rowOff>66675</xdr:rowOff>
    </xdr:to>
    <xdr:sp macro="" textlink="">
      <xdr:nvSpPr>
        <xdr:cNvPr id="10828410" name="Line 34">
          <a:extLst>
            <a:ext uri="{FF2B5EF4-FFF2-40B4-BE49-F238E27FC236}">
              <a16:creationId xmlns:a16="http://schemas.microsoft.com/office/drawing/2014/main" id="{00000000-0008-0000-0900-00007A3AA500}"/>
            </a:ext>
          </a:extLst>
        </xdr:cNvPr>
        <xdr:cNvSpPr>
          <a:spLocks noChangeShapeType="1"/>
        </xdr:cNvSpPr>
      </xdr:nvSpPr>
      <xdr:spPr bwMode="auto">
        <a:xfrm flipV="1">
          <a:off x="4695825" y="2305050"/>
          <a:ext cx="895350" cy="9906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295275</xdr:colOff>
      <xdr:row>12</xdr:row>
      <xdr:rowOff>76200</xdr:rowOff>
    </xdr:from>
    <xdr:to>
      <xdr:col>9</xdr:col>
      <xdr:colOff>0</xdr:colOff>
      <xdr:row>16</xdr:row>
      <xdr:rowOff>104775</xdr:rowOff>
    </xdr:to>
    <xdr:sp macro="" textlink="">
      <xdr:nvSpPr>
        <xdr:cNvPr id="10828411" name="Line 34">
          <a:extLst>
            <a:ext uri="{FF2B5EF4-FFF2-40B4-BE49-F238E27FC236}">
              <a16:creationId xmlns:a16="http://schemas.microsoft.com/office/drawing/2014/main" id="{00000000-0008-0000-0900-00007B3AA500}"/>
            </a:ext>
          </a:extLst>
        </xdr:cNvPr>
        <xdr:cNvSpPr>
          <a:spLocks noChangeShapeType="1"/>
        </xdr:cNvSpPr>
      </xdr:nvSpPr>
      <xdr:spPr bwMode="auto">
        <a:xfrm flipV="1">
          <a:off x="4876800" y="2590800"/>
          <a:ext cx="1085850" cy="7429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504825</xdr:colOff>
      <xdr:row>14</xdr:row>
      <xdr:rowOff>104775</xdr:rowOff>
    </xdr:from>
    <xdr:to>
      <xdr:col>9</xdr:col>
      <xdr:colOff>9525</xdr:colOff>
      <xdr:row>16</xdr:row>
      <xdr:rowOff>152400</xdr:rowOff>
    </xdr:to>
    <xdr:sp macro="" textlink="">
      <xdr:nvSpPr>
        <xdr:cNvPr id="10828412" name="Line 34">
          <a:extLst>
            <a:ext uri="{FF2B5EF4-FFF2-40B4-BE49-F238E27FC236}">
              <a16:creationId xmlns:a16="http://schemas.microsoft.com/office/drawing/2014/main" id="{00000000-0008-0000-0900-00007C3AA500}"/>
            </a:ext>
          </a:extLst>
        </xdr:cNvPr>
        <xdr:cNvSpPr>
          <a:spLocks noChangeShapeType="1"/>
        </xdr:cNvSpPr>
      </xdr:nvSpPr>
      <xdr:spPr bwMode="auto">
        <a:xfrm flipV="1">
          <a:off x="5086350" y="3009900"/>
          <a:ext cx="885825" cy="3714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746125</xdr:colOff>
      <xdr:row>54</xdr:row>
      <xdr:rowOff>38100</xdr:rowOff>
    </xdr:from>
    <xdr:to>
      <xdr:col>4</xdr:col>
      <xdr:colOff>155575</xdr:colOff>
      <xdr:row>58</xdr:row>
      <xdr:rowOff>76200</xdr:rowOff>
    </xdr:to>
    <xdr:sp macro="" textlink="">
      <xdr:nvSpPr>
        <xdr:cNvPr id="10828413" name="Oval 14">
          <a:extLst>
            <a:ext uri="{FF2B5EF4-FFF2-40B4-BE49-F238E27FC236}">
              <a16:creationId xmlns:a16="http://schemas.microsoft.com/office/drawing/2014/main" id="{00000000-0008-0000-0900-00007D3AA500}"/>
            </a:ext>
          </a:extLst>
        </xdr:cNvPr>
        <xdr:cNvSpPr>
          <a:spLocks noChangeArrowheads="1"/>
        </xdr:cNvSpPr>
      </xdr:nvSpPr>
      <xdr:spPr bwMode="auto">
        <a:xfrm>
          <a:off x="1698625" y="10033000"/>
          <a:ext cx="946150" cy="863600"/>
        </a:xfrm>
        <a:prstGeom prst="ellips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600075</xdr:colOff>
      <xdr:row>52</xdr:row>
      <xdr:rowOff>123825</xdr:rowOff>
    </xdr:from>
    <xdr:to>
      <xdr:col>3</xdr:col>
      <xdr:colOff>685800</xdr:colOff>
      <xdr:row>54</xdr:row>
      <xdr:rowOff>38100</xdr:rowOff>
    </xdr:to>
    <xdr:sp macro="" textlink="">
      <xdr:nvSpPr>
        <xdr:cNvPr id="10828414" name="Line 19">
          <a:extLst>
            <a:ext uri="{FF2B5EF4-FFF2-40B4-BE49-F238E27FC236}">
              <a16:creationId xmlns:a16="http://schemas.microsoft.com/office/drawing/2014/main" id="{00000000-0008-0000-0900-00007E3AA500}"/>
            </a:ext>
          </a:extLst>
        </xdr:cNvPr>
        <xdr:cNvSpPr>
          <a:spLocks noChangeShapeType="1"/>
        </xdr:cNvSpPr>
      </xdr:nvSpPr>
      <xdr:spPr bwMode="auto">
        <a:xfrm flipH="1">
          <a:off x="2390775" y="9658350"/>
          <a:ext cx="85725" cy="2667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180975</xdr:colOff>
      <xdr:row>56</xdr:row>
      <xdr:rowOff>9525</xdr:rowOff>
    </xdr:from>
    <xdr:to>
      <xdr:col>5</xdr:col>
      <xdr:colOff>609600</xdr:colOff>
      <xdr:row>56</xdr:row>
      <xdr:rowOff>9525</xdr:rowOff>
    </xdr:to>
    <xdr:sp macro="" textlink="">
      <xdr:nvSpPr>
        <xdr:cNvPr id="10828415" name="Line 19">
          <a:extLst>
            <a:ext uri="{FF2B5EF4-FFF2-40B4-BE49-F238E27FC236}">
              <a16:creationId xmlns:a16="http://schemas.microsoft.com/office/drawing/2014/main" id="{00000000-0008-0000-0900-00007F3AA500}"/>
            </a:ext>
          </a:extLst>
        </xdr:cNvPr>
        <xdr:cNvSpPr>
          <a:spLocks noChangeShapeType="1"/>
        </xdr:cNvSpPr>
      </xdr:nvSpPr>
      <xdr:spPr bwMode="auto">
        <a:xfrm flipH="1">
          <a:off x="2667000" y="10296525"/>
          <a:ext cx="10668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698500</xdr:colOff>
      <xdr:row>53</xdr:row>
      <xdr:rowOff>1</xdr:rowOff>
    </xdr:from>
    <xdr:to>
      <xdr:col>5</xdr:col>
      <xdr:colOff>469901</xdr:colOff>
      <xdr:row>59</xdr:row>
      <xdr:rowOff>25401</xdr:rowOff>
    </xdr:to>
    <xdr:sp macro="" textlink="">
      <xdr:nvSpPr>
        <xdr:cNvPr id="112" name="Rectangle 56"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SpPr>
          <a:spLocks noChangeArrowheads="1"/>
        </xdr:cNvSpPr>
      </xdr:nvSpPr>
      <xdr:spPr bwMode="auto">
        <a:xfrm>
          <a:off x="1651000" y="9880601"/>
          <a:ext cx="1943101" cy="11938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66675</xdr:rowOff>
    </xdr:from>
    <xdr:to>
      <xdr:col>8</xdr:col>
      <xdr:colOff>180975</xdr:colOff>
      <xdr:row>25</xdr:row>
      <xdr:rowOff>0</xdr:rowOff>
    </xdr:to>
    <xdr:sp macro="" textlink="">
      <xdr:nvSpPr>
        <xdr:cNvPr id="10826540" name="Oval 1">
          <a:extLst>
            <a:ext uri="{FF2B5EF4-FFF2-40B4-BE49-F238E27FC236}">
              <a16:creationId xmlns:a16="http://schemas.microsoft.com/office/drawing/2014/main" id="{00000000-0008-0000-0A00-00002C33A500}"/>
            </a:ext>
          </a:extLst>
        </xdr:cNvPr>
        <xdr:cNvSpPr>
          <a:spLocks noChangeArrowheads="1"/>
        </xdr:cNvSpPr>
      </xdr:nvSpPr>
      <xdr:spPr bwMode="auto">
        <a:xfrm>
          <a:off x="3876675" y="3295650"/>
          <a:ext cx="16573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552450</xdr:colOff>
      <xdr:row>29</xdr:row>
      <xdr:rowOff>38100</xdr:rowOff>
    </xdr:from>
    <xdr:to>
      <xdr:col>8</xdr:col>
      <xdr:colOff>66675</xdr:colOff>
      <xdr:row>37</xdr:row>
      <xdr:rowOff>152400</xdr:rowOff>
    </xdr:to>
    <xdr:sp macro="" textlink="">
      <xdr:nvSpPr>
        <xdr:cNvPr id="10826541" name="Oval 2">
          <a:extLst>
            <a:ext uri="{FF2B5EF4-FFF2-40B4-BE49-F238E27FC236}">
              <a16:creationId xmlns:a16="http://schemas.microsoft.com/office/drawing/2014/main" id="{00000000-0008-0000-0A00-00002D33A500}"/>
            </a:ext>
          </a:extLst>
        </xdr:cNvPr>
        <xdr:cNvSpPr>
          <a:spLocks noChangeArrowheads="1"/>
        </xdr:cNvSpPr>
      </xdr:nvSpPr>
      <xdr:spPr bwMode="auto">
        <a:xfrm>
          <a:off x="3667125" y="5619750"/>
          <a:ext cx="175260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609600</xdr:colOff>
      <xdr:row>50</xdr:row>
      <xdr:rowOff>152400</xdr:rowOff>
    </xdr:from>
    <xdr:to>
      <xdr:col>8</xdr:col>
      <xdr:colOff>123825</xdr:colOff>
      <xdr:row>59</xdr:row>
      <xdr:rowOff>28575</xdr:rowOff>
    </xdr:to>
    <xdr:sp macro="" textlink="">
      <xdr:nvSpPr>
        <xdr:cNvPr id="10826542" name="Oval 3">
          <a:extLst>
            <a:ext uri="{FF2B5EF4-FFF2-40B4-BE49-F238E27FC236}">
              <a16:creationId xmlns:a16="http://schemas.microsoft.com/office/drawing/2014/main" id="{00000000-0008-0000-0A00-00002E33A500}"/>
            </a:ext>
          </a:extLst>
        </xdr:cNvPr>
        <xdr:cNvSpPr>
          <a:spLocks noChangeArrowheads="1"/>
        </xdr:cNvSpPr>
      </xdr:nvSpPr>
      <xdr:spPr bwMode="auto">
        <a:xfrm>
          <a:off x="3724275" y="9344025"/>
          <a:ext cx="1752600" cy="15716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552450</xdr:colOff>
      <xdr:row>29</xdr:row>
      <xdr:rowOff>38100</xdr:rowOff>
    </xdr:from>
    <xdr:to>
      <xdr:col>11</xdr:col>
      <xdr:colOff>76200</xdr:colOff>
      <xdr:row>38</xdr:row>
      <xdr:rowOff>28575</xdr:rowOff>
    </xdr:to>
    <xdr:sp macro="" textlink="">
      <xdr:nvSpPr>
        <xdr:cNvPr id="10826543" name="Oval 4">
          <a:extLst>
            <a:ext uri="{FF2B5EF4-FFF2-40B4-BE49-F238E27FC236}">
              <a16:creationId xmlns:a16="http://schemas.microsoft.com/office/drawing/2014/main" id="{00000000-0008-0000-0A00-00002F33A500}"/>
            </a:ext>
          </a:extLst>
        </xdr:cNvPr>
        <xdr:cNvSpPr>
          <a:spLocks noChangeArrowheads="1"/>
        </xdr:cNvSpPr>
      </xdr:nvSpPr>
      <xdr:spPr bwMode="auto">
        <a:xfrm>
          <a:off x="5905500" y="5619750"/>
          <a:ext cx="1562100" cy="15430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685800</xdr:colOff>
      <xdr:row>29</xdr:row>
      <xdr:rowOff>66675</xdr:rowOff>
    </xdr:from>
    <xdr:to>
      <xdr:col>14</xdr:col>
      <xdr:colOff>28575</xdr:colOff>
      <xdr:row>38</xdr:row>
      <xdr:rowOff>19050</xdr:rowOff>
    </xdr:to>
    <xdr:sp macro="" textlink="">
      <xdr:nvSpPr>
        <xdr:cNvPr id="10826544" name="Oval 5">
          <a:extLst>
            <a:ext uri="{FF2B5EF4-FFF2-40B4-BE49-F238E27FC236}">
              <a16:creationId xmlns:a16="http://schemas.microsoft.com/office/drawing/2014/main" id="{00000000-0008-0000-0A00-00003033A500}"/>
            </a:ext>
          </a:extLst>
        </xdr:cNvPr>
        <xdr:cNvSpPr>
          <a:spLocks noChangeArrowheads="1"/>
        </xdr:cNvSpPr>
      </xdr:nvSpPr>
      <xdr:spPr bwMode="auto">
        <a:xfrm>
          <a:off x="8077200" y="5648325"/>
          <a:ext cx="168592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552450</xdr:colOff>
      <xdr:row>29</xdr:row>
      <xdr:rowOff>38100</xdr:rowOff>
    </xdr:from>
    <xdr:to>
      <xdr:col>17</xdr:col>
      <xdr:colOff>66675</xdr:colOff>
      <xdr:row>37</xdr:row>
      <xdr:rowOff>152400</xdr:rowOff>
    </xdr:to>
    <xdr:sp macro="" textlink="">
      <xdr:nvSpPr>
        <xdr:cNvPr id="10826545" name="Oval 6">
          <a:extLst>
            <a:ext uri="{FF2B5EF4-FFF2-40B4-BE49-F238E27FC236}">
              <a16:creationId xmlns:a16="http://schemas.microsoft.com/office/drawing/2014/main" id="{00000000-0008-0000-0A00-00003133A500}"/>
            </a:ext>
          </a:extLst>
        </xdr:cNvPr>
        <xdr:cNvSpPr>
          <a:spLocks noChangeArrowheads="1"/>
        </xdr:cNvSpPr>
      </xdr:nvSpPr>
      <xdr:spPr bwMode="auto">
        <a:xfrm>
          <a:off x="10287000" y="5619750"/>
          <a:ext cx="16954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552450</xdr:colOff>
      <xdr:row>29</xdr:row>
      <xdr:rowOff>38100</xdr:rowOff>
    </xdr:from>
    <xdr:to>
      <xdr:col>20</xdr:col>
      <xdr:colOff>66675</xdr:colOff>
      <xdr:row>37</xdr:row>
      <xdr:rowOff>152400</xdr:rowOff>
    </xdr:to>
    <xdr:sp macro="" textlink="">
      <xdr:nvSpPr>
        <xdr:cNvPr id="10826546" name="Oval 7">
          <a:extLst>
            <a:ext uri="{FF2B5EF4-FFF2-40B4-BE49-F238E27FC236}">
              <a16:creationId xmlns:a16="http://schemas.microsoft.com/office/drawing/2014/main" id="{00000000-0008-0000-0A00-00003233A500}"/>
            </a:ext>
          </a:extLst>
        </xdr:cNvPr>
        <xdr:cNvSpPr>
          <a:spLocks noChangeArrowheads="1"/>
        </xdr:cNvSpPr>
      </xdr:nvSpPr>
      <xdr:spPr bwMode="auto">
        <a:xfrm>
          <a:off x="12468225" y="5619750"/>
          <a:ext cx="16573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38</xdr:row>
      <xdr:rowOff>28575</xdr:rowOff>
    </xdr:from>
    <xdr:to>
      <xdr:col>19</xdr:col>
      <xdr:colOff>0</xdr:colOff>
      <xdr:row>45</xdr:row>
      <xdr:rowOff>152400</xdr:rowOff>
    </xdr:to>
    <xdr:sp macro="" textlink="">
      <xdr:nvSpPr>
        <xdr:cNvPr id="10826547" name="Line 8">
          <a:extLst>
            <a:ext uri="{FF2B5EF4-FFF2-40B4-BE49-F238E27FC236}">
              <a16:creationId xmlns:a16="http://schemas.microsoft.com/office/drawing/2014/main" id="{00000000-0008-0000-0A00-00003333A500}"/>
            </a:ext>
          </a:extLst>
        </xdr:cNvPr>
        <xdr:cNvSpPr>
          <a:spLocks noChangeShapeType="1"/>
        </xdr:cNvSpPr>
      </xdr:nvSpPr>
      <xdr:spPr bwMode="auto">
        <a:xfrm flipH="1">
          <a:off x="13296900" y="7162800"/>
          <a:ext cx="0" cy="1314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66675</xdr:colOff>
      <xdr:row>33</xdr:row>
      <xdr:rowOff>152400</xdr:rowOff>
    </xdr:from>
    <xdr:to>
      <xdr:col>17</xdr:col>
      <xdr:colOff>542925</xdr:colOff>
      <xdr:row>33</xdr:row>
      <xdr:rowOff>152400</xdr:rowOff>
    </xdr:to>
    <xdr:sp macro="" textlink="">
      <xdr:nvSpPr>
        <xdr:cNvPr id="10826548" name="Line 9">
          <a:extLst>
            <a:ext uri="{FF2B5EF4-FFF2-40B4-BE49-F238E27FC236}">
              <a16:creationId xmlns:a16="http://schemas.microsoft.com/office/drawing/2014/main" id="{00000000-0008-0000-0A00-00003433A500}"/>
            </a:ext>
          </a:extLst>
        </xdr:cNvPr>
        <xdr:cNvSpPr>
          <a:spLocks noChangeShapeType="1"/>
        </xdr:cNvSpPr>
      </xdr:nvSpPr>
      <xdr:spPr bwMode="auto">
        <a:xfrm flipH="1">
          <a:off x="11982450" y="6457950"/>
          <a:ext cx="4762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</xdr:colOff>
      <xdr:row>34</xdr:row>
      <xdr:rowOff>0</xdr:rowOff>
    </xdr:from>
    <xdr:to>
      <xdr:col>14</xdr:col>
      <xdr:colOff>561975</xdr:colOff>
      <xdr:row>34</xdr:row>
      <xdr:rowOff>0</xdr:rowOff>
    </xdr:to>
    <xdr:sp macro="" textlink="">
      <xdr:nvSpPr>
        <xdr:cNvPr id="10826549" name="Line 10">
          <a:extLst>
            <a:ext uri="{FF2B5EF4-FFF2-40B4-BE49-F238E27FC236}">
              <a16:creationId xmlns:a16="http://schemas.microsoft.com/office/drawing/2014/main" id="{00000000-0008-0000-0A00-00003533A500}"/>
            </a:ext>
          </a:extLst>
        </xdr:cNvPr>
        <xdr:cNvSpPr>
          <a:spLocks noChangeShapeType="1"/>
        </xdr:cNvSpPr>
      </xdr:nvSpPr>
      <xdr:spPr bwMode="auto">
        <a:xfrm>
          <a:off x="9763125" y="6486525"/>
          <a:ext cx="5334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47</xdr:row>
      <xdr:rowOff>85725</xdr:rowOff>
    </xdr:from>
    <xdr:to>
      <xdr:col>7</xdr:col>
      <xdr:colOff>0</xdr:colOff>
      <xdr:row>50</xdr:row>
      <xdr:rowOff>142875</xdr:rowOff>
    </xdr:to>
    <xdr:sp macro="" textlink="">
      <xdr:nvSpPr>
        <xdr:cNvPr id="10826550" name="Line 11">
          <a:extLst>
            <a:ext uri="{FF2B5EF4-FFF2-40B4-BE49-F238E27FC236}">
              <a16:creationId xmlns:a16="http://schemas.microsoft.com/office/drawing/2014/main" id="{00000000-0008-0000-0A00-00003633A500}"/>
            </a:ext>
          </a:extLst>
        </xdr:cNvPr>
        <xdr:cNvSpPr>
          <a:spLocks noChangeShapeType="1"/>
        </xdr:cNvSpPr>
      </xdr:nvSpPr>
      <xdr:spPr bwMode="auto">
        <a:xfrm flipH="1">
          <a:off x="4638675" y="8753475"/>
          <a:ext cx="0" cy="581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30</xdr:row>
      <xdr:rowOff>66675</xdr:rowOff>
    </xdr:from>
    <xdr:to>
      <xdr:col>4</xdr:col>
      <xdr:colOff>571500</xdr:colOff>
      <xdr:row>37</xdr:row>
      <xdr:rowOff>9525</xdr:rowOff>
    </xdr:to>
    <xdr:sp macro="" textlink="">
      <xdr:nvSpPr>
        <xdr:cNvPr id="10826551" name="Oval 12">
          <a:extLst>
            <a:ext uri="{FF2B5EF4-FFF2-40B4-BE49-F238E27FC236}">
              <a16:creationId xmlns:a16="http://schemas.microsoft.com/office/drawing/2014/main" id="{00000000-0008-0000-0A00-00003733A500}"/>
            </a:ext>
          </a:extLst>
        </xdr:cNvPr>
        <xdr:cNvSpPr>
          <a:spLocks noChangeArrowheads="1"/>
        </xdr:cNvSpPr>
      </xdr:nvSpPr>
      <xdr:spPr bwMode="auto">
        <a:xfrm>
          <a:off x="1924050" y="5810250"/>
          <a:ext cx="1123950" cy="11715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571500</xdr:colOff>
      <xdr:row>34</xdr:row>
      <xdr:rowOff>0</xdr:rowOff>
    </xdr:from>
    <xdr:to>
      <xdr:col>5</xdr:col>
      <xdr:colOff>542925</xdr:colOff>
      <xdr:row>34</xdr:row>
      <xdr:rowOff>0</xdr:rowOff>
    </xdr:to>
    <xdr:sp macro="" textlink="">
      <xdr:nvSpPr>
        <xdr:cNvPr id="10826552" name="Line 13">
          <a:extLst>
            <a:ext uri="{FF2B5EF4-FFF2-40B4-BE49-F238E27FC236}">
              <a16:creationId xmlns:a16="http://schemas.microsoft.com/office/drawing/2014/main" id="{00000000-0008-0000-0A00-00003833A500}"/>
            </a:ext>
          </a:extLst>
        </xdr:cNvPr>
        <xdr:cNvSpPr>
          <a:spLocks noChangeShapeType="1"/>
        </xdr:cNvSpPr>
      </xdr:nvSpPr>
      <xdr:spPr bwMode="auto">
        <a:xfrm flipH="1">
          <a:off x="3048000" y="6486525"/>
          <a:ext cx="6096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</xdr:colOff>
      <xdr:row>46</xdr:row>
      <xdr:rowOff>47625</xdr:rowOff>
    </xdr:from>
    <xdr:to>
      <xdr:col>4</xdr:col>
      <xdr:colOff>571500</xdr:colOff>
      <xdr:row>52</xdr:row>
      <xdr:rowOff>123825</xdr:rowOff>
    </xdr:to>
    <xdr:sp macro="" textlink="">
      <xdr:nvSpPr>
        <xdr:cNvPr id="10826553" name="Oval 14">
          <a:extLst>
            <a:ext uri="{FF2B5EF4-FFF2-40B4-BE49-F238E27FC236}">
              <a16:creationId xmlns:a16="http://schemas.microsoft.com/office/drawing/2014/main" id="{00000000-0008-0000-0A00-00003933A500}"/>
            </a:ext>
          </a:extLst>
        </xdr:cNvPr>
        <xdr:cNvSpPr>
          <a:spLocks noChangeArrowheads="1"/>
        </xdr:cNvSpPr>
      </xdr:nvSpPr>
      <xdr:spPr bwMode="auto">
        <a:xfrm>
          <a:off x="1943100" y="8553450"/>
          <a:ext cx="1104900" cy="11049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342900</xdr:colOff>
      <xdr:row>36</xdr:row>
      <xdr:rowOff>142875</xdr:rowOff>
    </xdr:from>
    <xdr:to>
      <xdr:col>6</xdr:col>
      <xdr:colOff>85725</xdr:colOff>
      <xdr:row>47</xdr:row>
      <xdr:rowOff>9525</xdr:rowOff>
    </xdr:to>
    <xdr:sp macro="" textlink="">
      <xdr:nvSpPr>
        <xdr:cNvPr id="10826554" name="Line 15">
          <a:extLst>
            <a:ext uri="{FF2B5EF4-FFF2-40B4-BE49-F238E27FC236}">
              <a16:creationId xmlns:a16="http://schemas.microsoft.com/office/drawing/2014/main" id="{00000000-0008-0000-0A00-00003A33A500}"/>
            </a:ext>
          </a:extLst>
        </xdr:cNvPr>
        <xdr:cNvSpPr>
          <a:spLocks noChangeShapeType="1"/>
        </xdr:cNvSpPr>
      </xdr:nvSpPr>
      <xdr:spPr bwMode="auto">
        <a:xfrm flipH="1">
          <a:off x="2819400" y="6953250"/>
          <a:ext cx="1143000" cy="1724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581025</xdr:colOff>
      <xdr:row>50</xdr:row>
      <xdr:rowOff>9525</xdr:rowOff>
    </xdr:from>
    <xdr:to>
      <xdr:col>5</xdr:col>
      <xdr:colOff>733425</xdr:colOff>
      <xdr:row>52</xdr:row>
      <xdr:rowOff>152400</xdr:rowOff>
    </xdr:to>
    <xdr:sp macro="" textlink="">
      <xdr:nvSpPr>
        <xdr:cNvPr id="10826555" name="Line 16">
          <a:extLst>
            <a:ext uri="{FF2B5EF4-FFF2-40B4-BE49-F238E27FC236}">
              <a16:creationId xmlns:a16="http://schemas.microsoft.com/office/drawing/2014/main" id="{00000000-0008-0000-0A00-00003B33A500}"/>
            </a:ext>
          </a:extLst>
        </xdr:cNvPr>
        <xdr:cNvSpPr>
          <a:spLocks noChangeShapeType="1"/>
        </xdr:cNvSpPr>
      </xdr:nvSpPr>
      <xdr:spPr bwMode="auto">
        <a:xfrm flipH="1" flipV="1">
          <a:off x="3057525" y="9201150"/>
          <a:ext cx="790575" cy="4857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47</xdr:row>
      <xdr:rowOff>9525</xdr:rowOff>
    </xdr:from>
    <xdr:to>
      <xdr:col>4</xdr:col>
      <xdr:colOff>371475</xdr:colOff>
      <xdr:row>47</xdr:row>
      <xdr:rowOff>19050</xdr:rowOff>
    </xdr:to>
    <xdr:sp macro="" textlink="">
      <xdr:nvSpPr>
        <xdr:cNvPr id="10826556" name="Arc 17">
          <a:extLst>
            <a:ext uri="{FF2B5EF4-FFF2-40B4-BE49-F238E27FC236}">
              <a16:creationId xmlns:a16="http://schemas.microsoft.com/office/drawing/2014/main" id="{00000000-0008-0000-0A00-00003C33A500}"/>
            </a:ext>
          </a:extLst>
        </xdr:cNvPr>
        <xdr:cNvSpPr>
          <a:spLocks/>
        </xdr:cNvSpPr>
      </xdr:nvSpPr>
      <xdr:spPr bwMode="auto">
        <a:xfrm flipH="1" flipV="1">
          <a:off x="2838450" y="8677275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171450</xdr:colOff>
      <xdr:row>47</xdr:row>
      <xdr:rowOff>9525</xdr:rowOff>
    </xdr:from>
    <xdr:to>
      <xdr:col>4</xdr:col>
      <xdr:colOff>352425</xdr:colOff>
      <xdr:row>49</xdr:row>
      <xdr:rowOff>152400</xdr:rowOff>
    </xdr:to>
    <xdr:sp macro="" textlink="">
      <xdr:nvSpPr>
        <xdr:cNvPr id="10826557" name="Line 18">
          <a:extLst>
            <a:ext uri="{FF2B5EF4-FFF2-40B4-BE49-F238E27FC236}">
              <a16:creationId xmlns:a16="http://schemas.microsoft.com/office/drawing/2014/main" id="{00000000-0008-0000-0A00-00003D33A500}"/>
            </a:ext>
          </a:extLst>
        </xdr:cNvPr>
        <xdr:cNvSpPr>
          <a:spLocks noChangeShapeType="1"/>
        </xdr:cNvSpPr>
      </xdr:nvSpPr>
      <xdr:spPr bwMode="auto">
        <a:xfrm flipH="1">
          <a:off x="1952625" y="8677275"/>
          <a:ext cx="876300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50</xdr:row>
      <xdr:rowOff>0</xdr:rowOff>
    </xdr:from>
    <xdr:to>
      <xdr:col>3</xdr:col>
      <xdr:colOff>171450</xdr:colOff>
      <xdr:row>50</xdr:row>
      <xdr:rowOff>0</xdr:rowOff>
    </xdr:to>
    <xdr:sp macro="" textlink="">
      <xdr:nvSpPr>
        <xdr:cNvPr id="10826558" name="Line 19">
          <a:extLst>
            <a:ext uri="{FF2B5EF4-FFF2-40B4-BE49-F238E27FC236}">
              <a16:creationId xmlns:a16="http://schemas.microsoft.com/office/drawing/2014/main" id="{00000000-0008-0000-0A00-00003E33A500}"/>
            </a:ext>
          </a:extLst>
        </xdr:cNvPr>
        <xdr:cNvSpPr>
          <a:spLocks noChangeShapeType="1"/>
        </xdr:cNvSpPr>
      </xdr:nvSpPr>
      <xdr:spPr bwMode="auto">
        <a:xfrm flipH="1">
          <a:off x="1238250" y="9191625"/>
          <a:ext cx="71437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352425</xdr:colOff>
      <xdr:row>47</xdr:row>
      <xdr:rowOff>19050</xdr:rowOff>
    </xdr:from>
    <xdr:to>
      <xdr:col>4</xdr:col>
      <xdr:colOff>581025</xdr:colOff>
      <xdr:row>50</xdr:row>
      <xdr:rowOff>0</xdr:rowOff>
    </xdr:to>
    <xdr:sp macro="" textlink="">
      <xdr:nvSpPr>
        <xdr:cNvPr id="10826559" name="Arc 20">
          <a:extLst>
            <a:ext uri="{FF2B5EF4-FFF2-40B4-BE49-F238E27FC236}">
              <a16:creationId xmlns:a16="http://schemas.microsoft.com/office/drawing/2014/main" id="{00000000-0008-0000-0A00-00003F33A500}"/>
            </a:ext>
          </a:extLst>
        </xdr:cNvPr>
        <xdr:cNvSpPr>
          <a:spLocks/>
        </xdr:cNvSpPr>
      </xdr:nvSpPr>
      <xdr:spPr bwMode="auto">
        <a:xfrm flipH="1" flipV="1">
          <a:off x="2828925" y="8686800"/>
          <a:ext cx="228600" cy="5048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228600</xdr:colOff>
      <xdr:row>10</xdr:row>
      <xdr:rowOff>66675</xdr:rowOff>
    </xdr:from>
    <xdr:to>
      <xdr:col>5</xdr:col>
      <xdr:colOff>57150</xdr:colOff>
      <xdr:row>16</xdr:row>
      <xdr:rowOff>57150</xdr:rowOff>
    </xdr:to>
    <xdr:sp macro="" textlink="">
      <xdr:nvSpPr>
        <xdr:cNvPr id="10826560" name="Oval 21">
          <a:extLst>
            <a:ext uri="{FF2B5EF4-FFF2-40B4-BE49-F238E27FC236}">
              <a16:creationId xmlns:a16="http://schemas.microsoft.com/office/drawing/2014/main" id="{00000000-0008-0000-0A00-00004033A500}"/>
            </a:ext>
          </a:extLst>
        </xdr:cNvPr>
        <xdr:cNvSpPr>
          <a:spLocks noChangeArrowheads="1"/>
        </xdr:cNvSpPr>
      </xdr:nvSpPr>
      <xdr:spPr bwMode="auto">
        <a:xfrm>
          <a:off x="2009775" y="2181225"/>
          <a:ext cx="1162050" cy="11049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342900</xdr:colOff>
      <xdr:row>23</xdr:row>
      <xdr:rowOff>152400</xdr:rowOff>
    </xdr:from>
    <xdr:to>
      <xdr:col>6</xdr:col>
      <xdr:colOff>276225</xdr:colOff>
      <xdr:row>30</xdr:row>
      <xdr:rowOff>180975</xdr:rowOff>
    </xdr:to>
    <xdr:sp macro="" textlink="">
      <xdr:nvSpPr>
        <xdr:cNvPr id="10826561" name="Line 22">
          <a:extLst>
            <a:ext uri="{FF2B5EF4-FFF2-40B4-BE49-F238E27FC236}">
              <a16:creationId xmlns:a16="http://schemas.microsoft.com/office/drawing/2014/main" id="{00000000-0008-0000-0A00-00004133A500}"/>
            </a:ext>
          </a:extLst>
        </xdr:cNvPr>
        <xdr:cNvSpPr>
          <a:spLocks noChangeShapeType="1"/>
        </xdr:cNvSpPr>
      </xdr:nvSpPr>
      <xdr:spPr bwMode="auto">
        <a:xfrm flipH="1">
          <a:off x="2819400" y="4619625"/>
          <a:ext cx="1333500" cy="13049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52</xdr:row>
      <xdr:rowOff>38100</xdr:rowOff>
    </xdr:from>
    <xdr:to>
      <xdr:col>14</xdr:col>
      <xdr:colOff>9525</xdr:colOff>
      <xdr:row>60</xdr:row>
      <xdr:rowOff>28575</xdr:rowOff>
    </xdr:to>
    <xdr:sp macro="" textlink="">
      <xdr:nvSpPr>
        <xdr:cNvPr id="10826562" name="Arc 23">
          <a:extLst>
            <a:ext uri="{FF2B5EF4-FFF2-40B4-BE49-F238E27FC236}">
              <a16:creationId xmlns:a16="http://schemas.microsoft.com/office/drawing/2014/main" id="{00000000-0008-0000-0A00-00004233A500}"/>
            </a:ext>
          </a:extLst>
        </xdr:cNvPr>
        <xdr:cNvSpPr>
          <a:spLocks/>
        </xdr:cNvSpPr>
      </xdr:nvSpPr>
      <xdr:spPr bwMode="auto">
        <a:xfrm flipH="1">
          <a:off x="6724650" y="9572625"/>
          <a:ext cx="3019425" cy="15049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600075</xdr:colOff>
      <xdr:row>52</xdr:row>
      <xdr:rowOff>38100</xdr:rowOff>
    </xdr:from>
    <xdr:to>
      <xdr:col>17</xdr:col>
      <xdr:colOff>571500</xdr:colOff>
      <xdr:row>60</xdr:row>
      <xdr:rowOff>38100</xdr:rowOff>
    </xdr:to>
    <xdr:sp macro="" textlink="">
      <xdr:nvSpPr>
        <xdr:cNvPr id="10826563" name="Arc 24">
          <a:extLst>
            <a:ext uri="{FF2B5EF4-FFF2-40B4-BE49-F238E27FC236}">
              <a16:creationId xmlns:a16="http://schemas.microsoft.com/office/drawing/2014/main" id="{00000000-0008-0000-0A00-00004333A500}"/>
            </a:ext>
          </a:extLst>
        </xdr:cNvPr>
        <xdr:cNvSpPr>
          <a:spLocks/>
        </xdr:cNvSpPr>
      </xdr:nvSpPr>
      <xdr:spPr bwMode="auto">
        <a:xfrm>
          <a:off x="9467850" y="9572625"/>
          <a:ext cx="3019425" cy="151447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714375</xdr:colOff>
      <xdr:row>58</xdr:row>
      <xdr:rowOff>76200</xdr:rowOff>
    </xdr:from>
    <xdr:to>
      <xdr:col>6</xdr:col>
      <xdr:colOff>228600</xdr:colOff>
      <xdr:row>62</xdr:row>
      <xdr:rowOff>9525</xdr:rowOff>
    </xdr:to>
    <xdr:sp macro="" textlink="">
      <xdr:nvSpPr>
        <xdr:cNvPr id="10826564" name="Line 25">
          <a:extLst>
            <a:ext uri="{FF2B5EF4-FFF2-40B4-BE49-F238E27FC236}">
              <a16:creationId xmlns:a16="http://schemas.microsoft.com/office/drawing/2014/main" id="{00000000-0008-0000-0A00-00004433A500}"/>
            </a:ext>
          </a:extLst>
        </xdr:cNvPr>
        <xdr:cNvSpPr>
          <a:spLocks noChangeShapeType="1"/>
        </xdr:cNvSpPr>
      </xdr:nvSpPr>
      <xdr:spPr bwMode="auto">
        <a:xfrm flipH="1">
          <a:off x="3829050" y="10782300"/>
          <a:ext cx="276225" cy="6191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180975</xdr:colOff>
      <xdr:row>37</xdr:row>
      <xdr:rowOff>76200</xdr:rowOff>
    </xdr:from>
    <xdr:to>
      <xdr:col>17</xdr:col>
      <xdr:colOff>152400</xdr:colOff>
      <xdr:row>45</xdr:row>
      <xdr:rowOff>152400</xdr:rowOff>
    </xdr:to>
    <xdr:sp macro="" textlink="">
      <xdr:nvSpPr>
        <xdr:cNvPr id="10826565" name="Line 26">
          <a:extLst>
            <a:ext uri="{FF2B5EF4-FFF2-40B4-BE49-F238E27FC236}">
              <a16:creationId xmlns:a16="http://schemas.microsoft.com/office/drawing/2014/main" id="{00000000-0008-0000-0A00-00004533A500}"/>
            </a:ext>
          </a:extLst>
        </xdr:cNvPr>
        <xdr:cNvSpPr>
          <a:spLocks noChangeShapeType="1"/>
        </xdr:cNvSpPr>
      </xdr:nvSpPr>
      <xdr:spPr bwMode="auto">
        <a:xfrm>
          <a:off x="11410950" y="7048500"/>
          <a:ext cx="657225" cy="14287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76200</xdr:colOff>
      <xdr:row>38</xdr:row>
      <xdr:rowOff>0</xdr:rowOff>
    </xdr:from>
    <xdr:to>
      <xdr:col>11</xdr:col>
      <xdr:colOff>666750</xdr:colOff>
      <xdr:row>53</xdr:row>
      <xdr:rowOff>133350</xdr:rowOff>
    </xdr:to>
    <xdr:sp macro="" textlink="">
      <xdr:nvSpPr>
        <xdr:cNvPr id="10826566" name="Line 27">
          <a:extLst>
            <a:ext uri="{FF2B5EF4-FFF2-40B4-BE49-F238E27FC236}">
              <a16:creationId xmlns:a16="http://schemas.microsoft.com/office/drawing/2014/main" id="{00000000-0008-0000-0A00-00004633A500}"/>
            </a:ext>
          </a:extLst>
        </xdr:cNvPr>
        <xdr:cNvSpPr>
          <a:spLocks noChangeShapeType="1"/>
        </xdr:cNvSpPr>
      </xdr:nvSpPr>
      <xdr:spPr bwMode="auto">
        <a:xfrm>
          <a:off x="6800850" y="7134225"/>
          <a:ext cx="1257300" cy="27241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152400</xdr:colOff>
      <xdr:row>45</xdr:row>
      <xdr:rowOff>47625</xdr:rowOff>
    </xdr:from>
    <xdr:to>
      <xdr:col>11</xdr:col>
      <xdr:colOff>333375</xdr:colOff>
      <xdr:row>54</xdr:row>
      <xdr:rowOff>76200</xdr:rowOff>
    </xdr:to>
    <xdr:sp macro="" textlink="">
      <xdr:nvSpPr>
        <xdr:cNvPr id="10826567" name="Line 28">
          <a:extLst>
            <a:ext uri="{FF2B5EF4-FFF2-40B4-BE49-F238E27FC236}">
              <a16:creationId xmlns:a16="http://schemas.microsoft.com/office/drawing/2014/main" id="{00000000-0008-0000-0A00-00004733A500}"/>
            </a:ext>
          </a:extLst>
        </xdr:cNvPr>
        <xdr:cNvSpPr>
          <a:spLocks noChangeShapeType="1"/>
        </xdr:cNvSpPr>
      </xdr:nvSpPr>
      <xdr:spPr bwMode="auto">
        <a:xfrm>
          <a:off x="5505450" y="8372475"/>
          <a:ext cx="2219325" cy="15906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25</xdr:row>
      <xdr:rowOff>0</xdr:rowOff>
    </xdr:from>
    <xdr:to>
      <xdr:col>11</xdr:col>
      <xdr:colOff>123825</xdr:colOff>
      <xdr:row>25</xdr:row>
      <xdr:rowOff>0</xdr:rowOff>
    </xdr:to>
    <xdr:sp macro="" textlink="">
      <xdr:nvSpPr>
        <xdr:cNvPr id="10826568" name="Line 29">
          <a:extLst>
            <a:ext uri="{FF2B5EF4-FFF2-40B4-BE49-F238E27FC236}">
              <a16:creationId xmlns:a16="http://schemas.microsoft.com/office/drawing/2014/main" id="{00000000-0008-0000-0A00-00004833A500}"/>
            </a:ext>
          </a:extLst>
        </xdr:cNvPr>
        <xdr:cNvSpPr>
          <a:spLocks noChangeShapeType="1"/>
        </xdr:cNvSpPr>
      </xdr:nvSpPr>
      <xdr:spPr bwMode="auto">
        <a:xfrm>
          <a:off x="6029325" y="4800600"/>
          <a:ext cx="14859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600075</xdr:colOff>
      <xdr:row>20</xdr:row>
      <xdr:rowOff>0</xdr:rowOff>
    </xdr:from>
    <xdr:to>
      <xdr:col>13</xdr:col>
      <xdr:colOff>9525</xdr:colOff>
      <xdr:row>29</xdr:row>
      <xdr:rowOff>47625</xdr:rowOff>
    </xdr:to>
    <xdr:sp macro="" textlink="">
      <xdr:nvSpPr>
        <xdr:cNvPr id="10826569" name="Line 30">
          <a:extLst>
            <a:ext uri="{FF2B5EF4-FFF2-40B4-BE49-F238E27FC236}">
              <a16:creationId xmlns:a16="http://schemas.microsoft.com/office/drawing/2014/main" id="{00000000-0008-0000-0A00-00004933A500}"/>
            </a:ext>
          </a:extLst>
        </xdr:cNvPr>
        <xdr:cNvSpPr>
          <a:spLocks noChangeShapeType="1"/>
        </xdr:cNvSpPr>
      </xdr:nvSpPr>
      <xdr:spPr bwMode="auto">
        <a:xfrm>
          <a:off x="7991475" y="3924300"/>
          <a:ext cx="885825" cy="17049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171450</xdr:colOff>
      <xdr:row>19</xdr:row>
      <xdr:rowOff>171450</xdr:rowOff>
    </xdr:from>
    <xdr:to>
      <xdr:col>11</xdr:col>
      <xdr:colOff>619125</xdr:colOff>
      <xdr:row>19</xdr:row>
      <xdr:rowOff>171450</xdr:rowOff>
    </xdr:to>
    <xdr:sp macro="" textlink="">
      <xdr:nvSpPr>
        <xdr:cNvPr id="10826570" name="Line 31">
          <a:extLst>
            <a:ext uri="{FF2B5EF4-FFF2-40B4-BE49-F238E27FC236}">
              <a16:creationId xmlns:a16="http://schemas.microsoft.com/office/drawing/2014/main" id="{00000000-0008-0000-0A00-00004A33A500}"/>
            </a:ext>
          </a:extLst>
        </xdr:cNvPr>
        <xdr:cNvSpPr>
          <a:spLocks noChangeShapeType="1"/>
        </xdr:cNvSpPr>
      </xdr:nvSpPr>
      <xdr:spPr bwMode="auto">
        <a:xfrm flipH="1">
          <a:off x="5524500" y="3905250"/>
          <a:ext cx="248602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561975</xdr:colOff>
      <xdr:row>57</xdr:row>
      <xdr:rowOff>257175</xdr:rowOff>
    </xdr:from>
    <xdr:to>
      <xdr:col>8</xdr:col>
      <xdr:colOff>161925</xdr:colOff>
      <xdr:row>61</xdr:row>
      <xdr:rowOff>76200</xdr:rowOff>
    </xdr:to>
    <xdr:sp macro="" textlink="">
      <xdr:nvSpPr>
        <xdr:cNvPr id="10826571" name="Line 32">
          <a:extLst>
            <a:ext uri="{FF2B5EF4-FFF2-40B4-BE49-F238E27FC236}">
              <a16:creationId xmlns:a16="http://schemas.microsoft.com/office/drawing/2014/main" id="{00000000-0008-0000-0A00-00004B33A500}"/>
            </a:ext>
          </a:extLst>
        </xdr:cNvPr>
        <xdr:cNvSpPr>
          <a:spLocks noChangeShapeType="1"/>
        </xdr:cNvSpPr>
      </xdr:nvSpPr>
      <xdr:spPr bwMode="auto">
        <a:xfrm flipH="1" flipV="1">
          <a:off x="5200650" y="10706100"/>
          <a:ext cx="314325" cy="581025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25</xdr:row>
      <xdr:rowOff>9525</xdr:rowOff>
    </xdr:from>
    <xdr:to>
      <xdr:col>7</xdr:col>
      <xdr:colOff>9525</xdr:colOff>
      <xdr:row>29</xdr:row>
      <xdr:rowOff>38100</xdr:rowOff>
    </xdr:to>
    <xdr:sp macro="" textlink="">
      <xdr:nvSpPr>
        <xdr:cNvPr id="10826572" name="Line 33">
          <a:extLst>
            <a:ext uri="{FF2B5EF4-FFF2-40B4-BE49-F238E27FC236}">
              <a16:creationId xmlns:a16="http://schemas.microsoft.com/office/drawing/2014/main" id="{00000000-0008-0000-0A00-00004C33A500}"/>
            </a:ext>
          </a:extLst>
        </xdr:cNvPr>
        <xdr:cNvSpPr>
          <a:spLocks noChangeShapeType="1"/>
        </xdr:cNvSpPr>
      </xdr:nvSpPr>
      <xdr:spPr bwMode="auto">
        <a:xfrm flipH="1">
          <a:off x="4638675" y="4810125"/>
          <a:ext cx="9525" cy="8096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247650</xdr:colOff>
      <xdr:row>11</xdr:row>
      <xdr:rowOff>0</xdr:rowOff>
    </xdr:from>
    <xdr:to>
      <xdr:col>6</xdr:col>
      <xdr:colOff>657225</xdr:colOff>
      <xdr:row>16</xdr:row>
      <xdr:rowOff>57150</xdr:rowOff>
    </xdr:to>
    <xdr:sp macro="" textlink="">
      <xdr:nvSpPr>
        <xdr:cNvPr id="10826573" name="Line 34">
          <a:extLst>
            <a:ext uri="{FF2B5EF4-FFF2-40B4-BE49-F238E27FC236}">
              <a16:creationId xmlns:a16="http://schemas.microsoft.com/office/drawing/2014/main" id="{00000000-0008-0000-0A00-00004D33A500}"/>
            </a:ext>
          </a:extLst>
        </xdr:cNvPr>
        <xdr:cNvSpPr>
          <a:spLocks noChangeShapeType="1"/>
        </xdr:cNvSpPr>
      </xdr:nvSpPr>
      <xdr:spPr bwMode="auto">
        <a:xfrm flipH="1" flipV="1">
          <a:off x="4124325" y="2314575"/>
          <a:ext cx="409575" cy="9715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34</xdr:row>
      <xdr:rowOff>9525</xdr:rowOff>
    </xdr:from>
    <xdr:to>
      <xdr:col>8</xdr:col>
      <xdr:colOff>581025</xdr:colOff>
      <xdr:row>34</xdr:row>
      <xdr:rowOff>28575</xdr:rowOff>
    </xdr:to>
    <xdr:sp macro="" textlink="">
      <xdr:nvSpPr>
        <xdr:cNvPr id="10826574" name="Line 35">
          <a:extLst>
            <a:ext uri="{FF2B5EF4-FFF2-40B4-BE49-F238E27FC236}">
              <a16:creationId xmlns:a16="http://schemas.microsoft.com/office/drawing/2014/main" id="{00000000-0008-0000-0A00-00004E33A500}"/>
            </a:ext>
          </a:extLst>
        </xdr:cNvPr>
        <xdr:cNvSpPr>
          <a:spLocks noChangeShapeType="1"/>
        </xdr:cNvSpPr>
      </xdr:nvSpPr>
      <xdr:spPr bwMode="auto">
        <a:xfrm flipV="1">
          <a:off x="5400675" y="6496050"/>
          <a:ext cx="533400" cy="190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504825</xdr:colOff>
      <xdr:row>37</xdr:row>
      <xdr:rowOff>142875</xdr:rowOff>
    </xdr:from>
    <xdr:to>
      <xdr:col>15</xdr:col>
      <xdr:colOff>523875</xdr:colOff>
      <xdr:row>52</xdr:row>
      <xdr:rowOff>76200</xdr:rowOff>
    </xdr:to>
    <xdr:sp macro="" textlink="">
      <xdr:nvSpPr>
        <xdr:cNvPr id="10826575" name="Line 36">
          <a:extLst>
            <a:ext uri="{FF2B5EF4-FFF2-40B4-BE49-F238E27FC236}">
              <a16:creationId xmlns:a16="http://schemas.microsoft.com/office/drawing/2014/main" id="{00000000-0008-0000-0A00-00004F33A500}"/>
            </a:ext>
          </a:extLst>
        </xdr:cNvPr>
        <xdr:cNvSpPr>
          <a:spLocks noChangeShapeType="1"/>
        </xdr:cNvSpPr>
      </xdr:nvSpPr>
      <xdr:spPr bwMode="auto">
        <a:xfrm flipV="1">
          <a:off x="10239375" y="7115175"/>
          <a:ext cx="714375" cy="2495550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</xdr:colOff>
      <xdr:row>12</xdr:row>
      <xdr:rowOff>180975</xdr:rowOff>
    </xdr:from>
    <xdr:to>
      <xdr:col>6</xdr:col>
      <xdr:colOff>333375</xdr:colOff>
      <xdr:row>17</xdr:row>
      <xdr:rowOff>38100</xdr:rowOff>
    </xdr:to>
    <xdr:sp macro="" textlink="">
      <xdr:nvSpPr>
        <xdr:cNvPr id="10826576" name="Line 37">
          <a:extLst>
            <a:ext uri="{FF2B5EF4-FFF2-40B4-BE49-F238E27FC236}">
              <a16:creationId xmlns:a16="http://schemas.microsoft.com/office/drawing/2014/main" id="{00000000-0008-0000-0A00-00005033A500}"/>
            </a:ext>
          </a:extLst>
        </xdr:cNvPr>
        <xdr:cNvSpPr>
          <a:spLocks noChangeShapeType="1"/>
        </xdr:cNvSpPr>
      </xdr:nvSpPr>
      <xdr:spPr bwMode="auto">
        <a:xfrm>
          <a:off x="3181350" y="2695575"/>
          <a:ext cx="1028700" cy="7334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33</xdr:row>
      <xdr:rowOff>161925</xdr:rowOff>
    </xdr:from>
    <xdr:to>
      <xdr:col>11</xdr:col>
      <xdr:colOff>695325</xdr:colOff>
      <xdr:row>33</xdr:row>
      <xdr:rowOff>161925</xdr:rowOff>
    </xdr:to>
    <xdr:sp macro="" textlink="">
      <xdr:nvSpPr>
        <xdr:cNvPr id="10826577" name="Line 38">
          <a:extLst>
            <a:ext uri="{FF2B5EF4-FFF2-40B4-BE49-F238E27FC236}">
              <a16:creationId xmlns:a16="http://schemas.microsoft.com/office/drawing/2014/main" id="{00000000-0008-0000-0A00-00005133A500}"/>
            </a:ext>
          </a:extLst>
        </xdr:cNvPr>
        <xdr:cNvSpPr>
          <a:spLocks noChangeShapeType="1"/>
        </xdr:cNvSpPr>
      </xdr:nvSpPr>
      <xdr:spPr bwMode="auto">
        <a:xfrm>
          <a:off x="7458075" y="6467475"/>
          <a:ext cx="6286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25</xdr:row>
      <xdr:rowOff>0</xdr:rowOff>
    </xdr:from>
    <xdr:to>
      <xdr:col>9</xdr:col>
      <xdr:colOff>28575</xdr:colOff>
      <xdr:row>30</xdr:row>
      <xdr:rowOff>114300</xdr:rowOff>
    </xdr:to>
    <xdr:sp macro="" textlink="">
      <xdr:nvSpPr>
        <xdr:cNvPr id="10826578" name="Line 39">
          <a:extLst>
            <a:ext uri="{FF2B5EF4-FFF2-40B4-BE49-F238E27FC236}">
              <a16:creationId xmlns:a16="http://schemas.microsoft.com/office/drawing/2014/main" id="{00000000-0008-0000-0A00-00005233A500}"/>
            </a:ext>
          </a:extLst>
        </xdr:cNvPr>
        <xdr:cNvSpPr>
          <a:spLocks noChangeShapeType="1"/>
        </xdr:cNvSpPr>
      </xdr:nvSpPr>
      <xdr:spPr bwMode="auto">
        <a:xfrm flipH="1">
          <a:off x="5172075" y="4800600"/>
          <a:ext cx="876300" cy="10572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114300</xdr:colOff>
      <xdr:row>25</xdr:row>
      <xdr:rowOff>9525</xdr:rowOff>
    </xdr:from>
    <xdr:to>
      <xdr:col>12</xdr:col>
      <xdr:colOff>142875</xdr:colOff>
      <xdr:row>30</xdr:row>
      <xdr:rowOff>76200</xdr:rowOff>
    </xdr:to>
    <xdr:sp macro="" textlink="">
      <xdr:nvSpPr>
        <xdr:cNvPr id="10826579" name="Line 40">
          <a:extLst>
            <a:ext uri="{FF2B5EF4-FFF2-40B4-BE49-F238E27FC236}">
              <a16:creationId xmlns:a16="http://schemas.microsoft.com/office/drawing/2014/main" id="{00000000-0008-0000-0A00-00005333A500}"/>
            </a:ext>
          </a:extLst>
        </xdr:cNvPr>
        <xdr:cNvSpPr>
          <a:spLocks noChangeShapeType="1"/>
        </xdr:cNvSpPr>
      </xdr:nvSpPr>
      <xdr:spPr bwMode="auto">
        <a:xfrm>
          <a:off x="7505700" y="4810125"/>
          <a:ext cx="809625" cy="10096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52</xdr:row>
      <xdr:rowOff>104775</xdr:rowOff>
    </xdr:from>
    <xdr:to>
      <xdr:col>12</xdr:col>
      <xdr:colOff>561975</xdr:colOff>
      <xdr:row>52</xdr:row>
      <xdr:rowOff>114300</xdr:rowOff>
    </xdr:to>
    <xdr:sp macro="" textlink="">
      <xdr:nvSpPr>
        <xdr:cNvPr id="10826580" name="Arc 41">
          <a:extLst>
            <a:ext uri="{FF2B5EF4-FFF2-40B4-BE49-F238E27FC236}">
              <a16:creationId xmlns:a16="http://schemas.microsoft.com/office/drawing/2014/main" id="{00000000-0008-0000-0A00-00005433A500}"/>
            </a:ext>
          </a:extLst>
        </xdr:cNvPr>
        <xdr:cNvSpPr>
          <a:spLocks/>
        </xdr:cNvSpPr>
      </xdr:nvSpPr>
      <xdr:spPr bwMode="auto">
        <a:xfrm flipV="1">
          <a:off x="8677275" y="9639300"/>
          <a:ext cx="57150" cy="95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85725</xdr:rowOff>
    </xdr:from>
    <xdr:to>
      <xdr:col>13</xdr:col>
      <xdr:colOff>152400</xdr:colOff>
      <xdr:row>52</xdr:row>
      <xdr:rowOff>85725</xdr:rowOff>
    </xdr:to>
    <xdr:sp macro="" textlink="">
      <xdr:nvSpPr>
        <xdr:cNvPr id="10826581" name="Arc 42">
          <a:extLst>
            <a:ext uri="{FF2B5EF4-FFF2-40B4-BE49-F238E27FC236}">
              <a16:creationId xmlns:a16="http://schemas.microsoft.com/office/drawing/2014/main" id="{00000000-0008-0000-0A00-00005533A500}"/>
            </a:ext>
          </a:extLst>
        </xdr:cNvPr>
        <xdr:cNvSpPr>
          <a:spLocks/>
        </xdr:cNvSpPr>
      </xdr:nvSpPr>
      <xdr:spPr bwMode="auto">
        <a:xfrm flipH="1">
          <a:off x="8991600" y="962025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66675</xdr:rowOff>
    </xdr:from>
    <xdr:to>
      <xdr:col>13</xdr:col>
      <xdr:colOff>152400</xdr:colOff>
      <xdr:row>52</xdr:row>
      <xdr:rowOff>85725</xdr:rowOff>
    </xdr:to>
    <xdr:sp macro="" textlink="">
      <xdr:nvSpPr>
        <xdr:cNvPr id="10826582" name="Arc 43">
          <a:extLst>
            <a:ext uri="{FF2B5EF4-FFF2-40B4-BE49-F238E27FC236}">
              <a16:creationId xmlns:a16="http://schemas.microsoft.com/office/drawing/2014/main" id="{00000000-0008-0000-0A00-00005633A500}"/>
            </a:ext>
          </a:extLst>
        </xdr:cNvPr>
        <xdr:cNvSpPr>
          <a:spLocks/>
        </xdr:cNvSpPr>
      </xdr:nvSpPr>
      <xdr:spPr bwMode="auto">
        <a:xfrm>
          <a:off x="8991600" y="9601200"/>
          <a:ext cx="28575" cy="190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4 h 21600"/>
            <a:gd name="T4" fmla="*/ 0 w 21600"/>
            <a:gd name="T5" fmla="*/ 4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104775</xdr:colOff>
      <xdr:row>52</xdr:row>
      <xdr:rowOff>66675</xdr:rowOff>
    </xdr:from>
    <xdr:to>
      <xdr:col>13</xdr:col>
      <xdr:colOff>161925</xdr:colOff>
      <xdr:row>58</xdr:row>
      <xdr:rowOff>0</xdr:rowOff>
    </xdr:to>
    <xdr:sp macro="" textlink="">
      <xdr:nvSpPr>
        <xdr:cNvPr id="10826583" name="Arc 44">
          <a:extLst>
            <a:ext uri="{FF2B5EF4-FFF2-40B4-BE49-F238E27FC236}">
              <a16:creationId xmlns:a16="http://schemas.microsoft.com/office/drawing/2014/main" id="{00000000-0008-0000-0A00-00005733A500}"/>
            </a:ext>
          </a:extLst>
        </xdr:cNvPr>
        <xdr:cNvSpPr>
          <a:spLocks/>
        </xdr:cNvSpPr>
      </xdr:nvSpPr>
      <xdr:spPr bwMode="auto">
        <a:xfrm flipV="1">
          <a:off x="6829425" y="9601200"/>
          <a:ext cx="2200275" cy="110490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676275</xdr:colOff>
      <xdr:row>38</xdr:row>
      <xdr:rowOff>28575</xdr:rowOff>
    </xdr:from>
    <xdr:to>
      <xdr:col>12</xdr:col>
      <xdr:colOff>685800</xdr:colOff>
      <xdr:row>52</xdr:row>
      <xdr:rowOff>104775</xdr:rowOff>
    </xdr:to>
    <xdr:sp macro="" textlink="">
      <xdr:nvSpPr>
        <xdr:cNvPr id="10826584" name="Line 45">
          <a:extLst>
            <a:ext uri="{FF2B5EF4-FFF2-40B4-BE49-F238E27FC236}">
              <a16:creationId xmlns:a16="http://schemas.microsoft.com/office/drawing/2014/main" id="{00000000-0008-0000-0A00-00005833A500}"/>
            </a:ext>
          </a:extLst>
        </xdr:cNvPr>
        <xdr:cNvSpPr>
          <a:spLocks noChangeShapeType="1"/>
        </xdr:cNvSpPr>
      </xdr:nvSpPr>
      <xdr:spPr bwMode="auto">
        <a:xfrm>
          <a:off x="8848725" y="7162800"/>
          <a:ext cx="9525" cy="24765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161925</xdr:colOff>
      <xdr:row>34</xdr:row>
      <xdr:rowOff>0</xdr:rowOff>
    </xdr:from>
    <xdr:to>
      <xdr:col>3</xdr:col>
      <xdr:colOff>142875</xdr:colOff>
      <xdr:row>34</xdr:row>
      <xdr:rowOff>0</xdr:rowOff>
    </xdr:to>
    <xdr:sp macro="" textlink="">
      <xdr:nvSpPr>
        <xdr:cNvPr id="10826585" name="Line 46">
          <a:extLst>
            <a:ext uri="{FF2B5EF4-FFF2-40B4-BE49-F238E27FC236}">
              <a16:creationId xmlns:a16="http://schemas.microsoft.com/office/drawing/2014/main" id="{00000000-0008-0000-0A00-00005933A500}"/>
            </a:ext>
          </a:extLst>
        </xdr:cNvPr>
        <xdr:cNvSpPr>
          <a:spLocks noChangeShapeType="1"/>
        </xdr:cNvSpPr>
      </xdr:nvSpPr>
      <xdr:spPr bwMode="auto">
        <a:xfrm flipH="1">
          <a:off x="1104900" y="6486525"/>
          <a:ext cx="8191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61</xdr:row>
      <xdr:rowOff>123825</xdr:rowOff>
    </xdr:from>
    <xdr:to>
      <xdr:col>6</xdr:col>
      <xdr:colOff>190500</xdr:colOff>
      <xdr:row>66</xdr:row>
      <xdr:rowOff>152400</xdr:rowOff>
    </xdr:to>
    <xdr:sp macro="" textlink="">
      <xdr:nvSpPr>
        <xdr:cNvPr id="10826586" name="Oval 47">
          <a:extLst>
            <a:ext uri="{FF2B5EF4-FFF2-40B4-BE49-F238E27FC236}">
              <a16:creationId xmlns:a16="http://schemas.microsoft.com/office/drawing/2014/main" id="{00000000-0008-0000-0A00-00005A33A500}"/>
            </a:ext>
          </a:extLst>
        </xdr:cNvPr>
        <xdr:cNvSpPr>
          <a:spLocks noChangeArrowheads="1"/>
        </xdr:cNvSpPr>
      </xdr:nvSpPr>
      <xdr:spPr bwMode="auto">
        <a:xfrm>
          <a:off x="3124200" y="11334750"/>
          <a:ext cx="942975" cy="8858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581025</xdr:colOff>
      <xdr:row>61</xdr:row>
      <xdr:rowOff>28575</xdr:rowOff>
    </xdr:from>
    <xdr:to>
      <xdr:col>9</xdr:col>
      <xdr:colOff>180975</xdr:colOff>
      <xdr:row>66</xdr:row>
      <xdr:rowOff>101600</xdr:rowOff>
    </xdr:to>
    <xdr:sp macro="" textlink="">
      <xdr:nvSpPr>
        <xdr:cNvPr id="10826587" name="Oval 48">
          <a:extLst>
            <a:ext uri="{FF2B5EF4-FFF2-40B4-BE49-F238E27FC236}">
              <a16:creationId xmlns:a16="http://schemas.microsoft.com/office/drawing/2014/main" id="{00000000-0008-0000-0A00-00005B33A500}"/>
            </a:ext>
          </a:extLst>
        </xdr:cNvPr>
        <xdr:cNvSpPr>
          <a:spLocks noChangeArrowheads="1"/>
        </xdr:cNvSpPr>
      </xdr:nvSpPr>
      <xdr:spPr bwMode="auto">
        <a:xfrm>
          <a:off x="5216525" y="11382375"/>
          <a:ext cx="984250" cy="9112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66675</xdr:colOff>
      <xdr:row>38</xdr:row>
      <xdr:rowOff>9525</xdr:rowOff>
    </xdr:from>
    <xdr:to>
      <xdr:col>13</xdr:col>
      <xdr:colOff>314325</xdr:colOff>
      <xdr:row>52</xdr:row>
      <xdr:rowOff>76200</xdr:rowOff>
    </xdr:to>
    <xdr:sp macro="" textlink="">
      <xdr:nvSpPr>
        <xdr:cNvPr id="10826588" name="Line 49">
          <a:extLst>
            <a:ext uri="{FF2B5EF4-FFF2-40B4-BE49-F238E27FC236}">
              <a16:creationId xmlns:a16="http://schemas.microsoft.com/office/drawing/2014/main" id="{00000000-0008-0000-0A00-00005C33A500}"/>
            </a:ext>
          </a:extLst>
        </xdr:cNvPr>
        <xdr:cNvSpPr>
          <a:spLocks noChangeShapeType="1"/>
        </xdr:cNvSpPr>
      </xdr:nvSpPr>
      <xdr:spPr bwMode="auto">
        <a:xfrm>
          <a:off x="8934450" y="7143750"/>
          <a:ext cx="247650" cy="24669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676275</xdr:colOff>
      <xdr:row>37</xdr:row>
      <xdr:rowOff>152400</xdr:rowOff>
    </xdr:from>
    <xdr:to>
      <xdr:col>15</xdr:col>
      <xdr:colOff>685800</xdr:colOff>
      <xdr:row>52</xdr:row>
      <xdr:rowOff>114300</xdr:rowOff>
    </xdr:to>
    <xdr:sp macro="" textlink="">
      <xdr:nvSpPr>
        <xdr:cNvPr id="10826589" name="Line 50">
          <a:extLst>
            <a:ext uri="{FF2B5EF4-FFF2-40B4-BE49-F238E27FC236}">
              <a16:creationId xmlns:a16="http://schemas.microsoft.com/office/drawing/2014/main" id="{00000000-0008-0000-0A00-00005D33A500}"/>
            </a:ext>
          </a:extLst>
        </xdr:cNvPr>
        <xdr:cNvSpPr>
          <a:spLocks noChangeShapeType="1"/>
        </xdr:cNvSpPr>
      </xdr:nvSpPr>
      <xdr:spPr bwMode="auto">
        <a:xfrm flipV="1">
          <a:off x="10410825" y="7124700"/>
          <a:ext cx="704850" cy="25241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18</xdr:row>
      <xdr:rowOff>104775</xdr:rowOff>
    </xdr:from>
    <xdr:to>
      <xdr:col>6</xdr:col>
      <xdr:colOff>0</xdr:colOff>
      <xdr:row>26</xdr:row>
      <xdr:rowOff>0</xdr:rowOff>
    </xdr:to>
    <xdr:sp macro="" textlink="">
      <xdr:nvSpPr>
        <xdr:cNvPr id="10826590" name="Oval 51">
          <a:extLst>
            <a:ext uri="{FF2B5EF4-FFF2-40B4-BE49-F238E27FC236}">
              <a16:creationId xmlns:a16="http://schemas.microsoft.com/office/drawing/2014/main" id="{00000000-0008-0000-0A00-00005E33A500}"/>
            </a:ext>
          </a:extLst>
        </xdr:cNvPr>
        <xdr:cNvSpPr>
          <a:spLocks noChangeArrowheads="1"/>
        </xdr:cNvSpPr>
      </xdr:nvSpPr>
      <xdr:spPr bwMode="auto">
        <a:xfrm>
          <a:off x="2486025" y="3657600"/>
          <a:ext cx="1390650" cy="13335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85725</xdr:colOff>
      <xdr:row>16</xdr:row>
      <xdr:rowOff>47625</xdr:rowOff>
    </xdr:from>
    <xdr:to>
      <xdr:col>4</xdr:col>
      <xdr:colOff>295275</xdr:colOff>
      <xdr:row>19</xdr:row>
      <xdr:rowOff>76200</xdr:rowOff>
    </xdr:to>
    <xdr:sp macro="" textlink="">
      <xdr:nvSpPr>
        <xdr:cNvPr id="10826591" name="Line 52">
          <a:extLst>
            <a:ext uri="{FF2B5EF4-FFF2-40B4-BE49-F238E27FC236}">
              <a16:creationId xmlns:a16="http://schemas.microsoft.com/office/drawing/2014/main" id="{00000000-0008-0000-0A00-00005F33A500}"/>
            </a:ext>
          </a:extLst>
        </xdr:cNvPr>
        <xdr:cNvSpPr>
          <a:spLocks noChangeShapeType="1"/>
        </xdr:cNvSpPr>
      </xdr:nvSpPr>
      <xdr:spPr bwMode="auto">
        <a:xfrm flipH="1" flipV="1">
          <a:off x="2562225" y="3276600"/>
          <a:ext cx="209550" cy="5334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15</xdr:row>
      <xdr:rowOff>123825</xdr:rowOff>
    </xdr:from>
    <xdr:to>
      <xdr:col>3</xdr:col>
      <xdr:colOff>533400</xdr:colOff>
      <xdr:row>30</xdr:row>
      <xdr:rowOff>104775</xdr:rowOff>
    </xdr:to>
    <xdr:sp macro="" textlink="">
      <xdr:nvSpPr>
        <xdr:cNvPr id="10826592" name="Line 53">
          <a:extLst>
            <a:ext uri="{FF2B5EF4-FFF2-40B4-BE49-F238E27FC236}">
              <a16:creationId xmlns:a16="http://schemas.microsoft.com/office/drawing/2014/main" id="{00000000-0008-0000-0A00-00006033A500}"/>
            </a:ext>
          </a:extLst>
        </xdr:cNvPr>
        <xdr:cNvSpPr>
          <a:spLocks noChangeShapeType="1"/>
        </xdr:cNvSpPr>
      </xdr:nvSpPr>
      <xdr:spPr bwMode="auto">
        <a:xfrm flipV="1">
          <a:off x="2266950" y="3190875"/>
          <a:ext cx="47625" cy="26574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485775</xdr:colOff>
      <xdr:row>41</xdr:row>
      <xdr:rowOff>9525</xdr:rowOff>
    </xdr:from>
    <xdr:to>
      <xdr:col>8</xdr:col>
      <xdr:colOff>200025</xdr:colOff>
      <xdr:row>47</xdr:row>
      <xdr:rowOff>76200</xdr:rowOff>
    </xdr:to>
    <xdr:sp macro="" textlink="">
      <xdr:nvSpPr>
        <xdr:cNvPr id="10826593" name="Oval 54">
          <a:extLst>
            <a:ext uri="{FF2B5EF4-FFF2-40B4-BE49-F238E27FC236}">
              <a16:creationId xmlns:a16="http://schemas.microsoft.com/office/drawing/2014/main" id="{00000000-0008-0000-0A00-00006133A500}"/>
            </a:ext>
          </a:extLst>
        </xdr:cNvPr>
        <xdr:cNvSpPr>
          <a:spLocks noChangeArrowheads="1"/>
        </xdr:cNvSpPr>
      </xdr:nvSpPr>
      <xdr:spPr bwMode="auto">
        <a:xfrm>
          <a:off x="3600450" y="7686675"/>
          <a:ext cx="1952625" cy="10572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695325</xdr:colOff>
      <xdr:row>36</xdr:row>
      <xdr:rowOff>104775</xdr:rowOff>
    </xdr:from>
    <xdr:to>
      <xdr:col>9</xdr:col>
      <xdr:colOff>95250</xdr:colOff>
      <xdr:row>42</xdr:row>
      <xdr:rowOff>38100</xdr:rowOff>
    </xdr:to>
    <xdr:sp macro="" textlink="">
      <xdr:nvSpPr>
        <xdr:cNvPr id="10826594" name="Line 55">
          <a:extLst>
            <a:ext uri="{FF2B5EF4-FFF2-40B4-BE49-F238E27FC236}">
              <a16:creationId xmlns:a16="http://schemas.microsoft.com/office/drawing/2014/main" id="{00000000-0008-0000-0A00-00006233A500}"/>
            </a:ext>
          </a:extLst>
        </xdr:cNvPr>
        <xdr:cNvSpPr>
          <a:spLocks noChangeShapeType="1"/>
        </xdr:cNvSpPr>
      </xdr:nvSpPr>
      <xdr:spPr bwMode="auto">
        <a:xfrm flipH="1">
          <a:off x="5334000" y="6915150"/>
          <a:ext cx="781050" cy="962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466725</xdr:colOff>
      <xdr:row>41</xdr:row>
      <xdr:rowOff>0</xdr:rowOff>
    </xdr:from>
    <xdr:to>
      <xdr:col>8</xdr:col>
      <xdr:colOff>190500</xdr:colOff>
      <xdr:row>59</xdr:row>
      <xdr:rowOff>28575</xdr:rowOff>
    </xdr:to>
    <xdr:sp macro="" textlink="">
      <xdr:nvSpPr>
        <xdr:cNvPr id="10826595" name="Rectangle 56">
          <a:extLst>
            <a:ext uri="{FF2B5EF4-FFF2-40B4-BE49-F238E27FC236}">
              <a16:creationId xmlns:a16="http://schemas.microsoft.com/office/drawing/2014/main" id="{00000000-0008-0000-0A00-00006333A500}"/>
            </a:ext>
          </a:extLst>
        </xdr:cNvPr>
        <xdr:cNvSpPr>
          <a:spLocks noChangeArrowheads="1"/>
        </xdr:cNvSpPr>
      </xdr:nvSpPr>
      <xdr:spPr bwMode="auto">
        <a:xfrm>
          <a:off x="3581400" y="7677150"/>
          <a:ext cx="1962150" cy="32385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390525</xdr:colOff>
      <xdr:row>45</xdr:row>
      <xdr:rowOff>85725</xdr:rowOff>
    </xdr:from>
    <xdr:to>
      <xdr:col>5</xdr:col>
      <xdr:colOff>561975</xdr:colOff>
      <xdr:row>47</xdr:row>
      <xdr:rowOff>0</xdr:rowOff>
    </xdr:to>
    <xdr:sp macro="" textlink="">
      <xdr:nvSpPr>
        <xdr:cNvPr id="10826596" name="Line 57">
          <a:extLst>
            <a:ext uri="{FF2B5EF4-FFF2-40B4-BE49-F238E27FC236}">
              <a16:creationId xmlns:a16="http://schemas.microsoft.com/office/drawing/2014/main" id="{00000000-0008-0000-0A00-00006433A500}"/>
            </a:ext>
          </a:extLst>
        </xdr:cNvPr>
        <xdr:cNvSpPr>
          <a:spLocks noChangeShapeType="1"/>
        </xdr:cNvSpPr>
      </xdr:nvSpPr>
      <xdr:spPr bwMode="auto">
        <a:xfrm flipH="1">
          <a:off x="2867025" y="8410575"/>
          <a:ext cx="809625" cy="2571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</xdr:row>
      <xdr:rowOff>0</xdr:rowOff>
    </xdr:from>
    <xdr:to>
      <xdr:col>7</xdr:col>
      <xdr:colOff>0</xdr:colOff>
      <xdr:row>41</xdr:row>
      <xdr:rowOff>9525</xdr:rowOff>
    </xdr:to>
    <xdr:sp macro="" textlink="">
      <xdr:nvSpPr>
        <xdr:cNvPr id="10826597" name="Line 58">
          <a:extLst>
            <a:ext uri="{FF2B5EF4-FFF2-40B4-BE49-F238E27FC236}">
              <a16:creationId xmlns:a16="http://schemas.microsoft.com/office/drawing/2014/main" id="{00000000-0008-0000-0A00-00006533A500}"/>
            </a:ext>
          </a:extLst>
        </xdr:cNvPr>
        <xdr:cNvSpPr>
          <a:spLocks noChangeShapeType="1"/>
        </xdr:cNvSpPr>
      </xdr:nvSpPr>
      <xdr:spPr bwMode="auto">
        <a:xfrm>
          <a:off x="4638675" y="7134225"/>
          <a:ext cx="0" cy="552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826598" name="Line 59">
          <a:extLst>
            <a:ext uri="{FF2B5EF4-FFF2-40B4-BE49-F238E27FC236}">
              <a16:creationId xmlns:a16="http://schemas.microsoft.com/office/drawing/2014/main" id="{00000000-0008-0000-0A00-00006633A500}"/>
            </a:ext>
          </a:extLst>
        </xdr:cNvPr>
        <xdr:cNvSpPr>
          <a:spLocks noChangeShapeType="1"/>
        </xdr:cNvSpPr>
      </xdr:nvSpPr>
      <xdr:spPr bwMode="auto">
        <a:xfrm flipH="1">
          <a:off x="1329690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0</xdr:row>
      <xdr:rowOff>0</xdr:rowOff>
    </xdr:from>
    <xdr:to>
      <xdr:col>4</xdr:col>
      <xdr:colOff>371475</xdr:colOff>
      <xdr:row>0</xdr:row>
      <xdr:rowOff>0</xdr:rowOff>
    </xdr:to>
    <xdr:sp macro="" textlink="">
      <xdr:nvSpPr>
        <xdr:cNvPr id="10826599" name="Arc 60">
          <a:extLst>
            <a:ext uri="{FF2B5EF4-FFF2-40B4-BE49-F238E27FC236}">
              <a16:creationId xmlns:a16="http://schemas.microsoft.com/office/drawing/2014/main" id="{00000000-0008-0000-0A00-00006733A500}"/>
            </a:ext>
          </a:extLst>
        </xdr:cNvPr>
        <xdr:cNvSpPr>
          <a:spLocks/>
        </xdr:cNvSpPr>
      </xdr:nvSpPr>
      <xdr:spPr bwMode="auto">
        <a:xfrm flipH="1" flipV="1">
          <a:off x="2838450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26600" name="Line 61">
          <a:extLst>
            <a:ext uri="{FF2B5EF4-FFF2-40B4-BE49-F238E27FC236}">
              <a16:creationId xmlns:a16="http://schemas.microsoft.com/office/drawing/2014/main" id="{00000000-0008-0000-0A00-00006833A500}"/>
            </a:ext>
          </a:extLst>
        </xdr:cNvPr>
        <xdr:cNvSpPr>
          <a:spLocks noChangeShapeType="1"/>
        </xdr:cNvSpPr>
      </xdr:nvSpPr>
      <xdr:spPr bwMode="auto">
        <a:xfrm flipV="1">
          <a:off x="4638675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0</xdr:row>
      <xdr:rowOff>0</xdr:rowOff>
    </xdr:from>
    <xdr:to>
      <xdr:col>12</xdr:col>
      <xdr:colOff>561975</xdr:colOff>
      <xdr:row>0</xdr:row>
      <xdr:rowOff>0</xdr:rowOff>
    </xdr:to>
    <xdr:sp macro="" textlink="">
      <xdr:nvSpPr>
        <xdr:cNvPr id="10826601" name="Arc 62">
          <a:extLst>
            <a:ext uri="{FF2B5EF4-FFF2-40B4-BE49-F238E27FC236}">
              <a16:creationId xmlns:a16="http://schemas.microsoft.com/office/drawing/2014/main" id="{00000000-0008-0000-0A00-00006933A500}"/>
            </a:ext>
          </a:extLst>
        </xdr:cNvPr>
        <xdr:cNvSpPr>
          <a:spLocks/>
        </xdr:cNvSpPr>
      </xdr:nvSpPr>
      <xdr:spPr bwMode="auto">
        <a:xfrm flipV="1">
          <a:off x="8677275" y="0"/>
          <a:ext cx="57150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26602" name="Arc 63">
          <a:extLst>
            <a:ext uri="{FF2B5EF4-FFF2-40B4-BE49-F238E27FC236}">
              <a16:creationId xmlns:a16="http://schemas.microsoft.com/office/drawing/2014/main" id="{00000000-0008-0000-0A00-00006A33A500}"/>
            </a:ext>
          </a:extLst>
        </xdr:cNvPr>
        <xdr:cNvSpPr>
          <a:spLocks/>
        </xdr:cNvSpPr>
      </xdr:nvSpPr>
      <xdr:spPr bwMode="auto">
        <a:xfrm flipH="1">
          <a:off x="8991600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26603" name="Arc 64">
          <a:extLst>
            <a:ext uri="{FF2B5EF4-FFF2-40B4-BE49-F238E27FC236}">
              <a16:creationId xmlns:a16="http://schemas.microsoft.com/office/drawing/2014/main" id="{00000000-0008-0000-0A00-00006B33A500}"/>
            </a:ext>
          </a:extLst>
        </xdr:cNvPr>
        <xdr:cNvSpPr>
          <a:spLocks/>
        </xdr:cNvSpPr>
      </xdr:nvSpPr>
      <xdr:spPr bwMode="auto">
        <a:xfrm>
          <a:off x="8991600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26604" name="Line 65">
          <a:extLst>
            <a:ext uri="{FF2B5EF4-FFF2-40B4-BE49-F238E27FC236}">
              <a16:creationId xmlns:a16="http://schemas.microsoft.com/office/drawing/2014/main" id="{00000000-0008-0000-0A00-00006C33A500}"/>
            </a:ext>
          </a:extLst>
        </xdr:cNvPr>
        <xdr:cNvSpPr>
          <a:spLocks noChangeShapeType="1"/>
        </xdr:cNvSpPr>
      </xdr:nvSpPr>
      <xdr:spPr bwMode="auto">
        <a:xfrm>
          <a:off x="4638675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6605" name="Line 66">
          <a:extLst>
            <a:ext uri="{FF2B5EF4-FFF2-40B4-BE49-F238E27FC236}">
              <a16:creationId xmlns:a16="http://schemas.microsoft.com/office/drawing/2014/main" id="{00000000-0008-0000-0A00-00006D33A500}"/>
            </a:ext>
          </a:extLst>
        </xdr:cNvPr>
        <xdr:cNvSpPr>
          <a:spLocks noChangeShapeType="1"/>
        </xdr:cNvSpPr>
      </xdr:nvSpPr>
      <xdr:spPr bwMode="auto">
        <a:xfrm flipH="1">
          <a:off x="13296900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06" name="Line 67">
          <a:extLst>
            <a:ext uri="{FF2B5EF4-FFF2-40B4-BE49-F238E27FC236}">
              <a16:creationId xmlns:a16="http://schemas.microsoft.com/office/drawing/2014/main" id="{00000000-0008-0000-0A00-00006E33A500}"/>
            </a:ext>
          </a:extLst>
        </xdr:cNvPr>
        <xdr:cNvSpPr>
          <a:spLocks noChangeShapeType="1"/>
        </xdr:cNvSpPr>
      </xdr:nvSpPr>
      <xdr:spPr bwMode="auto">
        <a:xfrm flipH="1"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26607" name="Arc 68">
          <a:extLst>
            <a:ext uri="{FF2B5EF4-FFF2-40B4-BE49-F238E27FC236}">
              <a16:creationId xmlns:a16="http://schemas.microsoft.com/office/drawing/2014/main" id="{00000000-0008-0000-0A00-00006F33A500}"/>
            </a:ext>
          </a:extLst>
        </xdr:cNvPr>
        <xdr:cNvSpPr>
          <a:spLocks/>
        </xdr:cNvSpPr>
      </xdr:nvSpPr>
      <xdr:spPr bwMode="auto">
        <a:xfrm flipH="1" flipV="1">
          <a:off x="2838450" y="12449175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08" name="Line 69">
          <a:extLst>
            <a:ext uri="{FF2B5EF4-FFF2-40B4-BE49-F238E27FC236}">
              <a16:creationId xmlns:a16="http://schemas.microsoft.com/office/drawing/2014/main" id="{00000000-0008-0000-0A00-00007033A500}"/>
            </a:ext>
          </a:extLst>
        </xdr:cNvPr>
        <xdr:cNvSpPr>
          <a:spLocks noChangeShapeType="1"/>
        </xdr:cNvSpPr>
      </xdr:nvSpPr>
      <xdr:spPr bwMode="auto">
        <a:xfrm flipV="1"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09" name="Line 70">
          <a:extLst>
            <a:ext uri="{FF2B5EF4-FFF2-40B4-BE49-F238E27FC236}">
              <a16:creationId xmlns:a16="http://schemas.microsoft.com/office/drawing/2014/main" id="{00000000-0008-0000-0A00-00007133A500}"/>
            </a:ext>
          </a:extLst>
        </xdr:cNvPr>
        <xdr:cNvSpPr>
          <a:spLocks noChangeShapeType="1"/>
        </xdr:cNvSpPr>
      </xdr:nvSpPr>
      <xdr:spPr bwMode="auto">
        <a:xfrm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6610" name="Line 71">
          <a:extLst>
            <a:ext uri="{FF2B5EF4-FFF2-40B4-BE49-F238E27FC236}">
              <a16:creationId xmlns:a16="http://schemas.microsoft.com/office/drawing/2014/main" id="{00000000-0008-0000-0A00-00007233A500}"/>
            </a:ext>
          </a:extLst>
        </xdr:cNvPr>
        <xdr:cNvSpPr>
          <a:spLocks noChangeShapeType="1"/>
        </xdr:cNvSpPr>
      </xdr:nvSpPr>
      <xdr:spPr bwMode="auto">
        <a:xfrm flipH="1">
          <a:off x="13296900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11" name="Line 72">
          <a:extLst>
            <a:ext uri="{FF2B5EF4-FFF2-40B4-BE49-F238E27FC236}">
              <a16:creationId xmlns:a16="http://schemas.microsoft.com/office/drawing/2014/main" id="{00000000-0008-0000-0A00-00007333A500}"/>
            </a:ext>
          </a:extLst>
        </xdr:cNvPr>
        <xdr:cNvSpPr>
          <a:spLocks noChangeShapeType="1"/>
        </xdr:cNvSpPr>
      </xdr:nvSpPr>
      <xdr:spPr bwMode="auto">
        <a:xfrm flipH="1"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26612" name="Arc 73">
          <a:extLst>
            <a:ext uri="{FF2B5EF4-FFF2-40B4-BE49-F238E27FC236}">
              <a16:creationId xmlns:a16="http://schemas.microsoft.com/office/drawing/2014/main" id="{00000000-0008-0000-0A00-00007433A500}"/>
            </a:ext>
          </a:extLst>
        </xdr:cNvPr>
        <xdr:cNvSpPr>
          <a:spLocks/>
        </xdr:cNvSpPr>
      </xdr:nvSpPr>
      <xdr:spPr bwMode="auto">
        <a:xfrm flipH="1" flipV="1">
          <a:off x="2838450" y="12449175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13" name="Line 74">
          <a:extLst>
            <a:ext uri="{FF2B5EF4-FFF2-40B4-BE49-F238E27FC236}">
              <a16:creationId xmlns:a16="http://schemas.microsoft.com/office/drawing/2014/main" id="{00000000-0008-0000-0A00-00007533A500}"/>
            </a:ext>
          </a:extLst>
        </xdr:cNvPr>
        <xdr:cNvSpPr>
          <a:spLocks noChangeShapeType="1"/>
        </xdr:cNvSpPr>
      </xdr:nvSpPr>
      <xdr:spPr bwMode="auto">
        <a:xfrm flipV="1"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14" name="Line 75">
          <a:extLst>
            <a:ext uri="{FF2B5EF4-FFF2-40B4-BE49-F238E27FC236}">
              <a16:creationId xmlns:a16="http://schemas.microsoft.com/office/drawing/2014/main" id="{00000000-0008-0000-0A00-00007633A500}"/>
            </a:ext>
          </a:extLst>
        </xdr:cNvPr>
        <xdr:cNvSpPr>
          <a:spLocks noChangeShapeType="1"/>
        </xdr:cNvSpPr>
      </xdr:nvSpPr>
      <xdr:spPr bwMode="auto">
        <a:xfrm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6615" name="Line 76">
          <a:extLst>
            <a:ext uri="{FF2B5EF4-FFF2-40B4-BE49-F238E27FC236}">
              <a16:creationId xmlns:a16="http://schemas.microsoft.com/office/drawing/2014/main" id="{00000000-0008-0000-0A00-00007733A500}"/>
            </a:ext>
          </a:extLst>
        </xdr:cNvPr>
        <xdr:cNvSpPr>
          <a:spLocks noChangeShapeType="1"/>
        </xdr:cNvSpPr>
      </xdr:nvSpPr>
      <xdr:spPr bwMode="auto">
        <a:xfrm flipH="1">
          <a:off x="13296900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16" name="Line 77">
          <a:extLst>
            <a:ext uri="{FF2B5EF4-FFF2-40B4-BE49-F238E27FC236}">
              <a16:creationId xmlns:a16="http://schemas.microsoft.com/office/drawing/2014/main" id="{00000000-0008-0000-0A00-00007833A500}"/>
            </a:ext>
          </a:extLst>
        </xdr:cNvPr>
        <xdr:cNvSpPr>
          <a:spLocks noChangeShapeType="1"/>
        </xdr:cNvSpPr>
      </xdr:nvSpPr>
      <xdr:spPr bwMode="auto">
        <a:xfrm flipH="1"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17" name="Line 78">
          <a:extLst>
            <a:ext uri="{FF2B5EF4-FFF2-40B4-BE49-F238E27FC236}">
              <a16:creationId xmlns:a16="http://schemas.microsoft.com/office/drawing/2014/main" id="{00000000-0008-0000-0A00-00007933A500}"/>
            </a:ext>
          </a:extLst>
        </xdr:cNvPr>
        <xdr:cNvSpPr>
          <a:spLocks noChangeShapeType="1"/>
        </xdr:cNvSpPr>
      </xdr:nvSpPr>
      <xdr:spPr bwMode="auto">
        <a:xfrm flipV="1"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18" name="Line 79">
          <a:extLst>
            <a:ext uri="{FF2B5EF4-FFF2-40B4-BE49-F238E27FC236}">
              <a16:creationId xmlns:a16="http://schemas.microsoft.com/office/drawing/2014/main" id="{00000000-0008-0000-0A00-00007A33A500}"/>
            </a:ext>
          </a:extLst>
        </xdr:cNvPr>
        <xdr:cNvSpPr>
          <a:spLocks noChangeShapeType="1"/>
        </xdr:cNvSpPr>
      </xdr:nvSpPr>
      <xdr:spPr bwMode="auto">
        <a:xfrm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6619" name="Line 80">
          <a:extLst>
            <a:ext uri="{FF2B5EF4-FFF2-40B4-BE49-F238E27FC236}">
              <a16:creationId xmlns:a16="http://schemas.microsoft.com/office/drawing/2014/main" id="{00000000-0008-0000-0A00-00007B33A500}"/>
            </a:ext>
          </a:extLst>
        </xdr:cNvPr>
        <xdr:cNvSpPr>
          <a:spLocks noChangeShapeType="1"/>
        </xdr:cNvSpPr>
      </xdr:nvSpPr>
      <xdr:spPr bwMode="auto">
        <a:xfrm flipH="1">
          <a:off x="13296900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20" name="Line 81">
          <a:extLst>
            <a:ext uri="{FF2B5EF4-FFF2-40B4-BE49-F238E27FC236}">
              <a16:creationId xmlns:a16="http://schemas.microsoft.com/office/drawing/2014/main" id="{00000000-0008-0000-0A00-00007C33A500}"/>
            </a:ext>
          </a:extLst>
        </xdr:cNvPr>
        <xdr:cNvSpPr>
          <a:spLocks noChangeShapeType="1"/>
        </xdr:cNvSpPr>
      </xdr:nvSpPr>
      <xdr:spPr bwMode="auto">
        <a:xfrm flipH="1"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21" name="Line 82">
          <a:extLst>
            <a:ext uri="{FF2B5EF4-FFF2-40B4-BE49-F238E27FC236}">
              <a16:creationId xmlns:a16="http://schemas.microsoft.com/office/drawing/2014/main" id="{00000000-0008-0000-0A00-00007D33A500}"/>
            </a:ext>
          </a:extLst>
        </xdr:cNvPr>
        <xdr:cNvSpPr>
          <a:spLocks noChangeShapeType="1"/>
        </xdr:cNvSpPr>
      </xdr:nvSpPr>
      <xdr:spPr bwMode="auto">
        <a:xfrm flipV="1"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22" name="Line 83">
          <a:extLst>
            <a:ext uri="{FF2B5EF4-FFF2-40B4-BE49-F238E27FC236}">
              <a16:creationId xmlns:a16="http://schemas.microsoft.com/office/drawing/2014/main" id="{00000000-0008-0000-0A00-00007E33A500}"/>
            </a:ext>
          </a:extLst>
        </xdr:cNvPr>
        <xdr:cNvSpPr>
          <a:spLocks noChangeShapeType="1"/>
        </xdr:cNvSpPr>
      </xdr:nvSpPr>
      <xdr:spPr bwMode="auto">
        <a:xfrm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6623" name="Line 84">
          <a:extLst>
            <a:ext uri="{FF2B5EF4-FFF2-40B4-BE49-F238E27FC236}">
              <a16:creationId xmlns:a16="http://schemas.microsoft.com/office/drawing/2014/main" id="{00000000-0008-0000-0A00-00007F33A500}"/>
            </a:ext>
          </a:extLst>
        </xdr:cNvPr>
        <xdr:cNvSpPr>
          <a:spLocks noChangeShapeType="1"/>
        </xdr:cNvSpPr>
      </xdr:nvSpPr>
      <xdr:spPr bwMode="auto">
        <a:xfrm flipH="1">
          <a:off x="13296900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24" name="Line 85">
          <a:extLst>
            <a:ext uri="{FF2B5EF4-FFF2-40B4-BE49-F238E27FC236}">
              <a16:creationId xmlns:a16="http://schemas.microsoft.com/office/drawing/2014/main" id="{00000000-0008-0000-0A00-00008033A500}"/>
            </a:ext>
          </a:extLst>
        </xdr:cNvPr>
        <xdr:cNvSpPr>
          <a:spLocks noChangeShapeType="1"/>
        </xdr:cNvSpPr>
      </xdr:nvSpPr>
      <xdr:spPr bwMode="auto">
        <a:xfrm flipH="1"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25" name="Line 86">
          <a:extLst>
            <a:ext uri="{FF2B5EF4-FFF2-40B4-BE49-F238E27FC236}">
              <a16:creationId xmlns:a16="http://schemas.microsoft.com/office/drawing/2014/main" id="{00000000-0008-0000-0A00-00008133A500}"/>
            </a:ext>
          </a:extLst>
        </xdr:cNvPr>
        <xdr:cNvSpPr>
          <a:spLocks noChangeShapeType="1"/>
        </xdr:cNvSpPr>
      </xdr:nvSpPr>
      <xdr:spPr bwMode="auto">
        <a:xfrm flipV="1"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26" name="Line 87">
          <a:extLst>
            <a:ext uri="{FF2B5EF4-FFF2-40B4-BE49-F238E27FC236}">
              <a16:creationId xmlns:a16="http://schemas.microsoft.com/office/drawing/2014/main" id="{00000000-0008-0000-0A00-00008233A500}"/>
            </a:ext>
          </a:extLst>
        </xdr:cNvPr>
        <xdr:cNvSpPr>
          <a:spLocks noChangeShapeType="1"/>
        </xdr:cNvSpPr>
      </xdr:nvSpPr>
      <xdr:spPr bwMode="auto">
        <a:xfrm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6627" name="Line 88">
          <a:extLst>
            <a:ext uri="{FF2B5EF4-FFF2-40B4-BE49-F238E27FC236}">
              <a16:creationId xmlns:a16="http://schemas.microsoft.com/office/drawing/2014/main" id="{00000000-0008-0000-0A00-00008333A500}"/>
            </a:ext>
          </a:extLst>
        </xdr:cNvPr>
        <xdr:cNvSpPr>
          <a:spLocks noChangeShapeType="1"/>
        </xdr:cNvSpPr>
      </xdr:nvSpPr>
      <xdr:spPr bwMode="auto">
        <a:xfrm flipH="1">
          <a:off x="13296900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28" name="Line 89">
          <a:extLst>
            <a:ext uri="{FF2B5EF4-FFF2-40B4-BE49-F238E27FC236}">
              <a16:creationId xmlns:a16="http://schemas.microsoft.com/office/drawing/2014/main" id="{00000000-0008-0000-0A00-00008433A500}"/>
            </a:ext>
          </a:extLst>
        </xdr:cNvPr>
        <xdr:cNvSpPr>
          <a:spLocks noChangeShapeType="1"/>
        </xdr:cNvSpPr>
      </xdr:nvSpPr>
      <xdr:spPr bwMode="auto">
        <a:xfrm flipH="1"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29" name="Line 90">
          <a:extLst>
            <a:ext uri="{FF2B5EF4-FFF2-40B4-BE49-F238E27FC236}">
              <a16:creationId xmlns:a16="http://schemas.microsoft.com/office/drawing/2014/main" id="{00000000-0008-0000-0A00-00008533A500}"/>
            </a:ext>
          </a:extLst>
        </xdr:cNvPr>
        <xdr:cNvSpPr>
          <a:spLocks noChangeShapeType="1"/>
        </xdr:cNvSpPr>
      </xdr:nvSpPr>
      <xdr:spPr bwMode="auto">
        <a:xfrm flipV="1"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30" name="Line 91">
          <a:extLst>
            <a:ext uri="{FF2B5EF4-FFF2-40B4-BE49-F238E27FC236}">
              <a16:creationId xmlns:a16="http://schemas.microsoft.com/office/drawing/2014/main" id="{00000000-0008-0000-0A00-00008633A500}"/>
            </a:ext>
          </a:extLst>
        </xdr:cNvPr>
        <xdr:cNvSpPr>
          <a:spLocks noChangeShapeType="1"/>
        </xdr:cNvSpPr>
      </xdr:nvSpPr>
      <xdr:spPr bwMode="auto">
        <a:xfrm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6631" name="Line 92">
          <a:extLst>
            <a:ext uri="{FF2B5EF4-FFF2-40B4-BE49-F238E27FC236}">
              <a16:creationId xmlns:a16="http://schemas.microsoft.com/office/drawing/2014/main" id="{00000000-0008-0000-0A00-00008733A500}"/>
            </a:ext>
          </a:extLst>
        </xdr:cNvPr>
        <xdr:cNvSpPr>
          <a:spLocks noChangeShapeType="1"/>
        </xdr:cNvSpPr>
      </xdr:nvSpPr>
      <xdr:spPr bwMode="auto">
        <a:xfrm flipH="1">
          <a:off x="13296900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32" name="Line 93">
          <a:extLst>
            <a:ext uri="{FF2B5EF4-FFF2-40B4-BE49-F238E27FC236}">
              <a16:creationId xmlns:a16="http://schemas.microsoft.com/office/drawing/2014/main" id="{00000000-0008-0000-0A00-00008833A500}"/>
            </a:ext>
          </a:extLst>
        </xdr:cNvPr>
        <xdr:cNvSpPr>
          <a:spLocks noChangeShapeType="1"/>
        </xdr:cNvSpPr>
      </xdr:nvSpPr>
      <xdr:spPr bwMode="auto">
        <a:xfrm flipH="1"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33" name="Line 94">
          <a:extLst>
            <a:ext uri="{FF2B5EF4-FFF2-40B4-BE49-F238E27FC236}">
              <a16:creationId xmlns:a16="http://schemas.microsoft.com/office/drawing/2014/main" id="{00000000-0008-0000-0A00-00008933A500}"/>
            </a:ext>
          </a:extLst>
        </xdr:cNvPr>
        <xdr:cNvSpPr>
          <a:spLocks noChangeShapeType="1"/>
        </xdr:cNvSpPr>
      </xdr:nvSpPr>
      <xdr:spPr bwMode="auto">
        <a:xfrm flipV="1"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34" name="Line 95">
          <a:extLst>
            <a:ext uri="{FF2B5EF4-FFF2-40B4-BE49-F238E27FC236}">
              <a16:creationId xmlns:a16="http://schemas.microsoft.com/office/drawing/2014/main" id="{00000000-0008-0000-0A00-00008A33A500}"/>
            </a:ext>
          </a:extLst>
        </xdr:cNvPr>
        <xdr:cNvSpPr>
          <a:spLocks noChangeShapeType="1"/>
        </xdr:cNvSpPr>
      </xdr:nvSpPr>
      <xdr:spPr bwMode="auto">
        <a:xfrm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6635" name="Line 96">
          <a:extLst>
            <a:ext uri="{FF2B5EF4-FFF2-40B4-BE49-F238E27FC236}">
              <a16:creationId xmlns:a16="http://schemas.microsoft.com/office/drawing/2014/main" id="{00000000-0008-0000-0A00-00008B33A500}"/>
            </a:ext>
          </a:extLst>
        </xdr:cNvPr>
        <xdr:cNvSpPr>
          <a:spLocks noChangeShapeType="1"/>
        </xdr:cNvSpPr>
      </xdr:nvSpPr>
      <xdr:spPr bwMode="auto">
        <a:xfrm flipH="1">
          <a:off x="13296900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36" name="Line 97">
          <a:extLst>
            <a:ext uri="{FF2B5EF4-FFF2-40B4-BE49-F238E27FC236}">
              <a16:creationId xmlns:a16="http://schemas.microsoft.com/office/drawing/2014/main" id="{00000000-0008-0000-0A00-00008C33A500}"/>
            </a:ext>
          </a:extLst>
        </xdr:cNvPr>
        <xdr:cNvSpPr>
          <a:spLocks noChangeShapeType="1"/>
        </xdr:cNvSpPr>
      </xdr:nvSpPr>
      <xdr:spPr bwMode="auto">
        <a:xfrm flipH="1"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37" name="Line 98">
          <a:extLst>
            <a:ext uri="{FF2B5EF4-FFF2-40B4-BE49-F238E27FC236}">
              <a16:creationId xmlns:a16="http://schemas.microsoft.com/office/drawing/2014/main" id="{00000000-0008-0000-0A00-00008D33A500}"/>
            </a:ext>
          </a:extLst>
        </xdr:cNvPr>
        <xdr:cNvSpPr>
          <a:spLocks noChangeShapeType="1"/>
        </xdr:cNvSpPr>
      </xdr:nvSpPr>
      <xdr:spPr bwMode="auto">
        <a:xfrm flipV="1"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38" name="Line 99">
          <a:extLst>
            <a:ext uri="{FF2B5EF4-FFF2-40B4-BE49-F238E27FC236}">
              <a16:creationId xmlns:a16="http://schemas.microsoft.com/office/drawing/2014/main" id="{00000000-0008-0000-0A00-00008E33A500}"/>
            </a:ext>
          </a:extLst>
        </xdr:cNvPr>
        <xdr:cNvSpPr>
          <a:spLocks noChangeShapeType="1"/>
        </xdr:cNvSpPr>
      </xdr:nvSpPr>
      <xdr:spPr bwMode="auto">
        <a:xfrm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6639" name="Line 100">
          <a:extLst>
            <a:ext uri="{FF2B5EF4-FFF2-40B4-BE49-F238E27FC236}">
              <a16:creationId xmlns:a16="http://schemas.microsoft.com/office/drawing/2014/main" id="{00000000-0008-0000-0A00-00008F33A500}"/>
            </a:ext>
          </a:extLst>
        </xdr:cNvPr>
        <xdr:cNvSpPr>
          <a:spLocks noChangeShapeType="1"/>
        </xdr:cNvSpPr>
      </xdr:nvSpPr>
      <xdr:spPr bwMode="auto">
        <a:xfrm flipH="1">
          <a:off x="13296900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40" name="Line 101">
          <a:extLst>
            <a:ext uri="{FF2B5EF4-FFF2-40B4-BE49-F238E27FC236}">
              <a16:creationId xmlns:a16="http://schemas.microsoft.com/office/drawing/2014/main" id="{00000000-0008-0000-0A00-00009033A500}"/>
            </a:ext>
          </a:extLst>
        </xdr:cNvPr>
        <xdr:cNvSpPr>
          <a:spLocks noChangeShapeType="1"/>
        </xdr:cNvSpPr>
      </xdr:nvSpPr>
      <xdr:spPr bwMode="auto">
        <a:xfrm flipH="1"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41" name="Line 102">
          <a:extLst>
            <a:ext uri="{FF2B5EF4-FFF2-40B4-BE49-F238E27FC236}">
              <a16:creationId xmlns:a16="http://schemas.microsoft.com/office/drawing/2014/main" id="{00000000-0008-0000-0A00-00009133A500}"/>
            </a:ext>
          </a:extLst>
        </xdr:cNvPr>
        <xdr:cNvSpPr>
          <a:spLocks noChangeShapeType="1"/>
        </xdr:cNvSpPr>
      </xdr:nvSpPr>
      <xdr:spPr bwMode="auto">
        <a:xfrm flipV="1"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42" name="Line 103">
          <a:extLst>
            <a:ext uri="{FF2B5EF4-FFF2-40B4-BE49-F238E27FC236}">
              <a16:creationId xmlns:a16="http://schemas.microsoft.com/office/drawing/2014/main" id="{00000000-0008-0000-0A00-00009233A500}"/>
            </a:ext>
          </a:extLst>
        </xdr:cNvPr>
        <xdr:cNvSpPr>
          <a:spLocks noChangeShapeType="1"/>
        </xdr:cNvSpPr>
      </xdr:nvSpPr>
      <xdr:spPr bwMode="auto">
        <a:xfrm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6643" name="Line 104">
          <a:extLst>
            <a:ext uri="{FF2B5EF4-FFF2-40B4-BE49-F238E27FC236}">
              <a16:creationId xmlns:a16="http://schemas.microsoft.com/office/drawing/2014/main" id="{00000000-0008-0000-0A00-00009333A500}"/>
            </a:ext>
          </a:extLst>
        </xdr:cNvPr>
        <xdr:cNvSpPr>
          <a:spLocks noChangeShapeType="1"/>
        </xdr:cNvSpPr>
      </xdr:nvSpPr>
      <xdr:spPr bwMode="auto">
        <a:xfrm flipH="1">
          <a:off x="13296900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44" name="Line 105">
          <a:extLst>
            <a:ext uri="{FF2B5EF4-FFF2-40B4-BE49-F238E27FC236}">
              <a16:creationId xmlns:a16="http://schemas.microsoft.com/office/drawing/2014/main" id="{00000000-0008-0000-0A00-00009433A500}"/>
            </a:ext>
          </a:extLst>
        </xdr:cNvPr>
        <xdr:cNvSpPr>
          <a:spLocks noChangeShapeType="1"/>
        </xdr:cNvSpPr>
      </xdr:nvSpPr>
      <xdr:spPr bwMode="auto">
        <a:xfrm flipH="1"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45" name="Line 106">
          <a:extLst>
            <a:ext uri="{FF2B5EF4-FFF2-40B4-BE49-F238E27FC236}">
              <a16:creationId xmlns:a16="http://schemas.microsoft.com/office/drawing/2014/main" id="{00000000-0008-0000-0A00-00009533A500}"/>
            </a:ext>
          </a:extLst>
        </xdr:cNvPr>
        <xdr:cNvSpPr>
          <a:spLocks noChangeShapeType="1"/>
        </xdr:cNvSpPr>
      </xdr:nvSpPr>
      <xdr:spPr bwMode="auto">
        <a:xfrm flipV="1"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6646" name="Line 107">
          <a:extLst>
            <a:ext uri="{FF2B5EF4-FFF2-40B4-BE49-F238E27FC236}">
              <a16:creationId xmlns:a16="http://schemas.microsoft.com/office/drawing/2014/main" id="{00000000-0008-0000-0A00-00009633A500}"/>
            </a:ext>
          </a:extLst>
        </xdr:cNvPr>
        <xdr:cNvSpPr>
          <a:spLocks noChangeShapeType="1"/>
        </xdr:cNvSpPr>
      </xdr:nvSpPr>
      <xdr:spPr bwMode="auto">
        <a:xfrm>
          <a:off x="4638675" y="1244917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809625</xdr:colOff>
      <xdr:row>75</xdr:row>
      <xdr:rowOff>9525</xdr:rowOff>
    </xdr:from>
    <xdr:to>
      <xdr:col>19</xdr:col>
      <xdr:colOff>9525</xdr:colOff>
      <xdr:row>75</xdr:row>
      <xdr:rowOff>9525</xdr:rowOff>
    </xdr:to>
    <xdr:sp macro="" textlink="">
      <xdr:nvSpPr>
        <xdr:cNvPr id="10826647" name="Line 108">
          <a:extLst>
            <a:ext uri="{FF2B5EF4-FFF2-40B4-BE49-F238E27FC236}">
              <a16:creationId xmlns:a16="http://schemas.microsoft.com/office/drawing/2014/main" id="{00000000-0008-0000-0A00-00009733A500}"/>
            </a:ext>
          </a:extLst>
        </xdr:cNvPr>
        <xdr:cNvSpPr>
          <a:spLocks noChangeShapeType="1"/>
        </xdr:cNvSpPr>
      </xdr:nvSpPr>
      <xdr:spPr bwMode="auto">
        <a:xfrm flipH="1">
          <a:off x="12677775" y="12620625"/>
          <a:ext cx="628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75</xdr:row>
      <xdr:rowOff>9525</xdr:rowOff>
    </xdr:from>
    <xdr:to>
      <xdr:col>16</xdr:col>
      <xdr:colOff>0</xdr:colOff>
      <xdr:row>75</xdr:row>
      <xdr:rowOff>9525</xdr:rowOff>
    </xdr:to>
    <xdr:sp macro="" textlink="">
      <xdr:nvSpPr>
        <xdr:cNvPr id="10826648" name="Line 109">
          <a:extLst>
            <a:ext uri="{FF2B5EF4-FFF2-40B4-BE49-F238E27FC236}">
              <a16:creationId xmlns:a16="http://schemas.microsoft.com/office/drawing/2014/main" id="{00000000-0008-0000-0A00-00009833A500}"/>
            </a:ext>
          </a:extLst>
        </xdr:cNvPr>
        <xdr:cNvSpPr>
          <a:spLocks noChangeShapeType="1"/>
        </xdr:cNvSpPr>
      </xdr:nvSpPr>
      <xdr:spPr bwMode="auto">
        <a:xfrm>
          <a:off x="10429875" y="12620625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75</xdr:row>
      <xdr:rowOff>9525</xdr:rowOff>
    </xdr:from>
    <xdr:to>
      <xdr:col>13</xdr:col>
      <xdr:colOff>0</xdr:colOff>
      <xdr:row>75</xdr:row>
      <xdr:rowOff>9525</xdr:rowOff>
    </xdr:to>
    <xdr:sp macro="" textlink="">
      <xdr:nvSpPr>
        <xdr:cNvPr id="10826649" name="Line 110">
          <a:extLst>
            <a:ext uri="{FF2B5EF4-FFF2-40B4-BE49-F238E27FC236}">
              <a16:creationId xmlns:a16="http://schemas.microsoft.com/office/drawing/2014/main" id="{00000000-0008-0000-0A00-00009933A500}"/>
            </a:ext>
          </a:extLst>
        </xdr:cNvPr>
        <xdr:cNvSpPr>
          <a:spLocks noChangeShapeType="1"/>
        </xdr:cNvSpPr>
      </xdr:nvSpPr>
      <xdr:spPr bwMode="auto">
        <a:xfrm>
          <a:off x="8172450" y="12620625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75</xdr:row>
      <xdr:rowOff>9525</xdr:rowOff>
    </xdr:from>
    <xdr:to>
      <xdr:col>9</xdr:col>
      <xdr:colOff>695325</xdr:colOff>
      <xdr:row>75</xdr:row>
      <xdr:rowOff>9525</xdr:rowOff>
    </xdr:to>
    <xdr:sp macro="" textlink="">
      <xdr:nvSpPr>
        <xdr:cNvPr id="10826650" name="Line 111">
          <a:extLst>
            <a:ext uri="{FF2B5EF4-FFF2-40B4-BE49-F238E27FC236}">
              <a16:creationId xmlns:a16="http://schemas.microsoft.com/office/drawing/2014/main" id="{00000000-0008-0000-0A00-00009A33A500}"/>
            </a:ext>
          </a:extLst>
        </xdr:cNvPr>
        <xdr:cNvSpPr>
          <a:spLocks noChangeShapeType="1"/>
        </xdr:cNvSpPr>
      </xdr:nvSpPr>
      <xdr:spPr bwMode="auto">
        <a:xfrm flipH="1">
          <a:off x="6019800" y="12620625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8</xdr:row>
      <xdr:rowOff>114300</xdr:rowOff>
    </xdr:from>
    <xdr:to>
      <xdr:col>10</xdr:col>
      <xdr:colOff>333375</xdr:colOff>
      <xdr:row>15</xdr:row>
      <xdr:rowOff>9525</xdr:rowOff>
    </xdr:to>
    <xdr:sp macro="" textlink="">
      <xdr:nvSpPr>
        <xdr:cNvPr id="10826651" name="Rectangle 56">
          <a:extLst>
            <a:ext uri="{FF2B5EF4-FFF2-40B4-BE49-F238E27FC236}">
              <a16:creationId xmlns:a16="http://schemas.microsoft.com/office/drawing/2014/main" id="{00000000-0008-0000-0A00-00009B33A500}"/>
            </a:ext>
          </a:extLst>
        </xdr:cNvPr>
        <xdr:cNvSpPr>
          <a:spLocks noChangeArrowheads="1"/>
        </xdr:cNvSpPr>
      </xdr:nvSpPr>
      <xdr:spPr bwMode="auto">
        <a:xfrm>
          <a:off x="5353050" y="1866900"/>
          <a:ext cx="1704975" cy="120967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85725</xdr:colOff>
      <xdr:row>10</xdr:row>
      <xdr:rowOff>190500</xdr:rowOff>
    </xdr:from>
    <xdr:to>
      <xdr:col>8</xdr:col>
      <xdr:colOff>257175</xdr:colOff>
      <xdr:row>16</xdr:row>
      <xdr:rowOff>66675</xdr:rowOff>
    </xdr:to>
    <xdr:sp macro="" textlink="">
      <xdr:nvSpPr>
        <xdr:cNvPr id="10826652" name="Line 34">
          <a:extLst>
            <a:ext uri="{FF2B5EF4-FFF2-40B4-BE49-F238E27FC236}">
              <a16:creationId xmlns:a16="http://schemas.microsoft.com/office/drawing/2014/main" id="{00000000-0008-0000-0A00-00009C33A500}"/>
            </a:ext>
          </a:extLst>
        </xdr:cNvPr>
        <xdr:cNvSpPr>
          <a:spLocks noChangeShapeType="1"/>
        </xdr:cNvSpPr>
      </xdr:nvSpPr>
      <xdr:spPr bwMode="auto">
        <a:xfrm flipV="1">
          <a:off x="4724400" y="2305050"/>
          <a:ext cx="885825" cy="9906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238125</xdr:colOff>
      <xdr:row>12</xdr:row>
      <xdr:rowOff>85725</xdr:rowOff>
    </xdr:from>
    <xdr:to>
      <xdr:col>9</xdr:col>
      <xdr:colOff>28575</xdr:colOff>
      <xdr:row>16</xdr:row>
      <xdr:rowOff>85725</xdr:rowOff>
    </xdr:to>
    <xdr:sp macro="" textlink="">
      <xdr:nvSpPr>
        <xdr:cNvPr id="10826653" name="Line 34">
          <a:extLst>
            <a:ext uri="{FF2B5EF4-FFF2-40B4-BE49-F238E27FC236}">
              <a16:creationId xmlns:a16="http://schemas.microsoft.com/office/drawing/2014/main" id="{00000000-0008-0000-0A00-00009D33A500}"/>
            </a:ext>
          </a:extLst>
        </xdr:cNvPr>
        <xdr:cNvSpPr>
          <a:spLocks noChangeShapeType="1"/>
        </xdr:cNvSpPr>
      </xdr:nvSpPr>
      <xdr:spPr bwMode="auto">
        <a:xfrm flipV="1">
          <a:off x="4876800" y="2600325"/>
          <a:ext cx="1171575" cy="7143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390525</xdr:colOff>
      <xdr:row>14</xdr:row>
      <xdr:rowOff>85725</xdr:rowOff>
    </xdr:from>
    <xdr:to>
      <xdr:col>9</xdr:col>
      <xdr:colOff>9525</xdr:colOff>
      <xdr:row>16</xdr:row>
      <xdr:rowOff>123825</xdr:rowOff>
    </xdr:to>
    <xdr:sp macro="" textlink="">
      <xdr:nvSpPr>
        <xdr:cNvPr id="10826654" name="Line 34">
          <a:extLst>
            <a:ext uri="{FF2B5EF4-FFF2-40B4-BE49-F238E27FC236}">
              <a16:creationId xmlns:a16="http://schemas.microsoft.com/office/drawing/2014/main" id="{00000000-0008-0000-0A00-00009E33A500}"/>
            </a:ext>
          </a:extLst>
        </xdr:cNvPr>
        <xdr:cNvSpPr>
          <a:spLocks noChangeShapeType="1"/>
        </xdr:cNvSpPr>
      </xdr:nvSpPr>
      <xdr:spPr bwMode="auto">
        <a:xfrm flipV="1">
          <a:off x="5029200" y="2990850"/>
          <a:ext cx="1000125" cy="3619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771525</xdr:colOff>
      <xdr:row>54</xdr:row>
      <xdr:rowOff>0</xdr:rowOff>
    </xdr:from>
    <xdr:to>
      <xdr:col>4</xdr:col>
      <xdr:colOff>139700</xdr:colOff>
      <xdr:row>58</xdr:row>
      <xdr:rowOff>76200</xdr:rowOff>
    </xdr:to>
    <xdr:sp macro="" textlink="">
      <xdr:nvSpPr>
        <xdr:cNvPr id="10826655" name="Oval 14">
          <a:extLst>
            <a:ext uri="{FF2B5EF4-FFF2-40B4-BE49-F238E27FC236}">
              <a16:creationId xmlns:a16="http://schemas.microsoft.com/office/drawing/2014/main" id="{00000000-0008-0000-0A00-00009F33A500}"/>
            </a:ext>
          </a:extLst>
        </xdr:cNvPr>
        <xdr:cNvSpPr>
          <a:spLocks noChangeArrowheads="1"/>
        </xdr:cNvSpPr>
      </xdr:nvSpPr>
      <xdr:spPr bwMode="auto">
        <a:xfrm>
          <a:off x="1711325" y="10045700"/>
          <a:ext cx="904875" cy="901700"/>
        </a:xfrm>
        <a:prstGeom prst="ellips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609600</xdr:colOff>
      <xdr:row>52</xdr:row>
      <xdr:rowOff>123825</xdr:rowOff>
    </xdr:from>
    <xdr:to>
      <xdr:col>3</xdr:col>
      <xdr:colOff>695325</xdr:colOff>
      <xdr:row>54</xdr:row>
      <xdr:rowOff>38100</xdr:rowOff>
    </xdr:to>
    <xdr:sp macro="" textlink="">
      <xdr:nvSpPr>
        <xdr:cNvPr id="10826656" name="Line 19">
          <a:extLst>
            <a:ext uri="{FF2B5EF4-FFF2-40B4-BE49-F238E27FC236}">
              <a16:creationId xmlns:a16="http://schemas.microsoft.com/office/drawing/2014/main" id="{00000000-0008-0000-0A00-0000A033A500}"/>
            </a:ext>
          </a:extLst>
        </xdr:cNvPr>
        <xdr:cNvSpPr>
          <a:spLocks noChangeShapeType="1"/>
        </xdr:cNvSpPr>
      </xdr:nvSpPr>
      <xdr:spPr bwMode="auto">
        <a:xfrm flipH="1">
          <a:off x="2390775" y="9658350"/>
          <a:ext cx="85725" cy="2667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165100</xdr:colOff>
      <xdr:row>56</xdr:row>
      <xdr:rowOff>25400</xdr:rowOff>
    </xdr:from>
    <xdr:to>
      <xdr:col>5</xdr:col>
      <xdr:colOff>628650</xdr:colOff>
      <xdr:row>56</xdr:row>
      <xdr:rowOff>28575</xdr:rowOff>
    </xdr:to>
    <xdr:sp macro="" textlink="">
      <xdr:nvSpPr>
        <xdr:cNvPr id="10826657" name="Line 19">
          <a:extLst>
            <a:ext uri="{FF2B5EF4-FFF2-40B4-BE49-F238E27FC236}">
              <a16:creationId xmlns:a16="http://schemas.microsoft.com/office/drawing/2014/main" id="{00000000-0008-0000-0A00-0000A133A500}"/>
            </a:ext>
          </a:extLst>
        </xdr:cNvPr>
        <xdr:cNvSpPr>
          <a:spLocks noChangeShapeType="1"/>
        </xdr:cNvSpPr>
      </xdr:nvSpPr>
      <xdr:spPr bwMode="auto">
        <a:xfrm flipH="1" flipV="1">
          <a:off x="2641600" y="10477500"/>
          <a:ext cx="1098550" cy="31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711200</xdr:colOff>
      <xdr:row>53</xdr:row>
      <xdr:rowOff>1</xdr:rowOff>
    </xdr:from>
    <xdr:to>
      <xdr:col>5</xdr:col>
      <xdr:colOff>469901</xdr:colOff>
      <xdr:row>59</xdr:row>
      <xdr:rowOff>25401</xdr:rowOff>
    </xdr:to>
    <xdr:sp macro="" textlink="">
      <xdr:nvSpPr>
        <xdr:cNvPr id="120" name="Rectangle 56">
          <a:extLst>
            <a:ext uri="{FF2B5EF4-FFF2-40B4-BE49-F238E27FC236}">
              <a16:creationId xmlns:a16="http://schemas.microsoft.com/office/drawing/2014/main" id="{00000000-0008-0000-0A00-000078000000}"/>
            </a:ext>
          </a:extLst>
        </xdr:cNvPr>
        <xdr:cNvSpPr>
          <a:spLocks noChangeArrowheads="1"/>
        </xdr:cNvSpPr>
      </xdr:nvSpPr>
      <xdr:spPr bwMode="auto">
        <a:xfrm>
          <a:off x="1651000" y="9880601"/>
          <a:ext cx="1930401" cy="11938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66675</xdr:rowOff>
    </xdr:from>
    <xdr:to>
      <xdr:col>8</xdr:col>
      <xdr:colOff>180975</xdr:colOff>
      <xdr:row>25</xdr:row>
      <xdr:rowOff>0</xdr:rowOff>
    </xdr:to>
    <xdr:sp macro="" textlink="">
      <xdr:nvSpPr>
        <xdr:cNvPr id="10829363" name="Oval 1">
          <a:extLst>
            <a:ext uri="{FF2B5EF4-FFF2-40B4-BE49-F238E27FC236}">
              <a16:creationId xmlns:a16="http://schemas.microsoft.com/office/drawing/2014/main" id="{00000000-0008-0000-0B00-0000333EA500}"/>
            </a:ext>
          </a:extLst>
        </xdr:cNvPr>
        <xdr:cNvSpPr>
          <a:spLocks noChangeArrowheads="1"/>
        </xdr:cNvSpPr>
      </xdr:nvSpPr>
      <xdr:spPr bwMode="auto">
        <a:xfrm>
          <a:off x="3829050" y="3295650"/>
          <a:ext cx="16573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565150</xdr:colOff>
      <xdr:row>29</xdr:row>
      <xdr:rowOff>76200</xdr:rowOff>
    </xdr:from>
    <xdr:to>
      <xdr:col>8</xdr:col>
      <xdr:colOff>79375</xdr:colOff>
      <xdr:row>38</xdr:row>
      <xdr:rowOff>25400</xdr:rowOff>
    </xdr:to>
    <xdr:sp macro="" textlink="">
      <xdr:nvSpPr>
        <xdr:cNvPr id="10829364" name="Oval 2">
          <a:extLst>
            <a:ext uri="{FF2B5EF4-FFF2-40B4-BE49-F238E27FC236}">
              <a16:creationId xmlns:a16="http://schemas.microsoft.com/office/drawing/2014/main" id="{00000000-0008-0000-0B00-0000343EA500}"/>
            </a:ext>
          </a:extLst>
        </xdr:cNvPr>
        <xdr:cNvSpPr>
          <a:spLocks noChangeArrowheads="1"/>
        </xdr:cNvSpPr>
      </xdr:nvSpPr>
      <xdr:spPr bwMode="auto">
        <a:xfrm>
          <a:off x="3638550" y="5676900"/>
          <a:ext cx="1749425" cy="15113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609600</xdr:colOff>
      <xdr:row>50</xdr:row>
      <xdr:rowOff>152400</xdr:rowOff>
    </xdr:from>
    <xdr:to>
      <xdr:col>8</xdr:col>
      <xdr:colOff>123825</xdr:colOff>
      <xdr:row>59</xdr:row>
      <xdr:rowOff>28575</xdr:rowOff>
    </xdr:to>
    <xdr:sp macro="" textlink="">
      <xdr:nvSpPr>
        <xdr:cNvPr id="10829365" name="Oval 3">
          <a:extLst>
            <a:ext uri="{FF2B5EF4-FFF2-40B4-BE49-F238E27FC236}">
              <a16:creationId xmlns:a16="http://schemas.microsoft.com/office/drawing/2014/main" id="{00000000-0008-0000-0B00-0000353EA500}"/>
            </a:ext>
          </a:extLst>
        </xdr:cNvPr>
        <xdr:cNvSpPr>
          <a:spLocks noChangeArrowheads="1"/>
        </xdr:cNvSpPr>
      </xdr:nvSpPr>
      <xdr:spPr bwMode="auto">
        <a:xfrm>
          <a:off x="3676650" y="9248775"/>
          <a:ext cx="1752600" cy="15716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552450</xdr:colOff>
      <xdr:row>29</xdr:row>
      <xdr:rowOff>38100</xdr:rowOff>
    </xdr:from>
    <xdr:to>
      <xdr:col>11</xdr:col>
      <xdr:colOff>76200</xdr:colOff>
      <xdr:row>38</xdr:row>
      <xdr:rowOff>28575</xdr:rowOff>
    </xdr:to>
    <xdr:sp macro="" textlink="">
      <xdr:nvSpPr>
        <xdr:cNvPr id="10829366" name="Oval 4">
          <a:extLst>
            <a:ext uri="{FF2B5EF4-FFF2-40B4-BE49-F238E27FC236}">
              <a16:creationId xmlns:a16="http://schemas.microsoft.com/office/drawing/2014/main" id="{00000000-0008-0000-0B00-0000363EA500}"/>
            </a:ext>
          </a:extLst>
        </xdr:cNvPr>
        <xdr:cNvSpPr>
          <a:spLocks noChangeArrowheads="1"/>
        </xdr:cNvSpPr>
      </xdr:nvSpPr>
      <xdr:spPr bwMode="auto">
        <a:xfrm>
          <a:off x="5857875" y="5543550"/>
          <a:ext cx="1562100" cy="15430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685800</xdr:colOff>
      <xdr:row>29</xdr:row>
      <xdr:rowOff>66675</xdr:rowOff>
    </xdr:from>
    <xdr:to>
      <xdr:col>14</xdr:col>
      <xdr:colOff>28575</xdr:colOff>
      <xdr:row>38</xdr:row>
      <xdr:rowOff>19050</xdr:rowOff>
    </xdr:to>
    <xdr:sp macro="" textlink="">
      <xdr:nvSpPr>
        <xdr:cNvPr id="10829367" name="Oval 5">
          <a:extLst>
            <a:ext uri="{FF2B5EF4-FFF2-40B4-BE49-F238E27FC236}">
              <a16:creationId xmlns:a16="http://schemas.microsoft.com/office/drawing/2014/main" id="{00000000-0008-0000-0B00-0000373EA500}"/>
            </a:ext>
          </a:extLst>
        </xdr:cNvPr>
        <xdr:cNvSpPr>
          <a:spLocks noChangeArrowheads="1"/>
        </xdr:cNvSpPr>
      </xdr:nvSpPr>
      <xdr:spPr bwMode="auto">
        <a:xfrm>
          <a:off x="8029575" y="5572125"/>
          <a:ext cx="1685925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552450</xdr:colOff>
      <xdr:row>29</xdr:row>
      <xdr:rowOff>38100</xdr:rowOff>
    </xdr:from>
    <xdr:to>
      <xdr:col>17</xdr:col>
      <xdr:colOff>66675</xdr:colOff>
      <xdr:row>37</xdr:row>
      <xdr:rowOff>152400</xdr:rowOff>
    </xdr:to>
    <xdr:sp macro="" textlink="">
      <xdr:nvSpPr>
        <xdr:cNvPr id="10829368" name="Oval 6">
          <a:extLst>
            <a:ext uri="{FF2B5EF4-FFF2-40B4-BE49-F238E27FC236}">
              <a16:creationId xmlns:a16="http://schemas.microsoft.com/office/drawing/2014/main" id="{00000000-0008-0000-0B00-0000383EA500}"/>
            </a:ext>
          </a:extLst>
        </xdr:cNvPr>
        <xdr:cNvSpPr>
          <a:spLocks noChangeArrowheads="1"/>
        </xdr:cNvSpPr>
      </xdr:nvSpPr>
      <xdr:spPr bwMode="auto">
        <a:xfrm>
          <a:off x="10239375" y="5543550"/>
          <a:ext cx="16954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552450</xdr:colOff>
      <xdr:row>29</xdr:row>
      <xdr:rowOff>38100</xdr:rowOff>
    </xdr:from>
    <xdr:to>
      <xdr:col>20</xdr:col>
      <xdr:colOff>66675</xdr:colOff>
      <xdr:row>37</xdr:row>
      <xdr:rowOff>152400</xdr:rowOff>
    </xdr:to>
    <xdr:sp macro="" textlink="">
      <xdr:nvSpPr>
        <xdr:cNvPr id="10829369" name="Oval 7">
          <a:extLst>
            <a:ext uri="{FF2B5EF4-FFF2-40B4-BE49-F238E27FC236}">
              <a16:creationId xmlns:a16="http://schemas.microsoft.com/office/drawing/2014/main" id="{00000000-0008-0000-0B00-0000393EA500}"/>
            </a:ext>
          </a:extLst>
        </xdr:cNvPr>
        <xdr:cNvSpPr>
          <a:spLocks noChangeArrowheads="1"/>
        </xdr:cNvSpPr>
      </xdr:nvSpPr>
      <xdr:spPr bwMode="auto">
        <a:xfrm>
          <a:off x="12420600" y="5543550"/>
          <a:ext cx="1657350" cy="1504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38</xdr:row>
      <xdr:rowOff>28575</xdr:rowOff>
    </xdr:from>
    <xdr:to>
      <xdr:col>19</xdr:col>
      <xdr:colOff>0</xdr:colOff>
      <xdr:row>45</xdr:row>
      <xdr:rowOff>152400</xdr:rowOff>
    </xdr:to>
    <xdr:sp macro="" textlink="">
      <xdr:nvSpPr>
        <xdr:cNvPr id="10829370" name="Line 8">
          <a:extLst>
            <a:ext uri="{FF2B5EF4-FFF2-40B4-BE49-F238E27FC236}">
              <a16:creationId xmlns:a16="http://schemas.microsoft.com/office/drawing/2014/main" id="{00000000-0008-0000-0B00-00003A3EA500}"/>
            </a:ext>
          </a:extLst>
        </xdr:cNvPr>
        <xdr:cNvSpPr>
          <a:spLocks noChangeShapeType="1"/>
        </xdr:cNvSpPr>
      </xdr:nvSpPr>
      <xdr:spPr bwMode="auto">
        <a:xfrm flipH="1">
          <a:off x="13249275" y="7086600"/>
          <a:ext cx="0" cy="12954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66675</xdr:colOff>
      <xdr:row>33</xdr:row>
      <xdr:rowOff>152400</xdr:rowOff>
    </xdr:from>
    <xdr:to>
      <xdr:col>17</xdr:col>
      <xdr:colOff>542925</xdr:colOff>
      <xdr:row>33</xdr:row>
      <xdr:rowOff>152400</xdr:rowOff>
    </xdr:to>
    <xdr:sp macro="" textlink="">
      <xdr:nvSpPr>
        <xdr:cNvPr id="10829371" name="Line 9">
          <a:extLst>
            <a:ext uri="{FF2B5EF4-FFF2-40B4-BE49-F238E27FC236}">
              <a16:creationId xmlns:a16="http://schemas.microsoft.com/office/drawing/2014/main" id="{00000000-0008-0000-0B00-00003B3EA500}"/>
            </a:ext>
          </a:extLst>
        </xdr:cNvPr>
        <xdr:cNvSpPr>
          <a:spLocks noChangeShapeType="1"/>
        </xdr:cNvSpPr>
      </xdr:nvSpPr>
      <xdr:spPr bwMode="auto">
        <a:xfrm flipH="1">
          <a:off x="11934825" y="6381750"/>
          <a:ext cx="4762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</xdr:colOff>
      <xdr:row>34</xdr:row>
      <xdr:rowOff>0</xdr:rowOff>
    </xdr:from>
    <xdr:to>
      <xdr:col>14</xdr:col>
      <xdr:colOff>561975</xdr:colOff>
      <xdr:row>34</xdr:row>
      <xdr:rowOff>0</xdr:rowOff>
    </xdr:to>
    <xdr:sp macro="" textlink="">
      <xdr:nvSpPr>
        <xdr:cNvPr id="10829372" name="Line 10">
          <a:extLst>
            <a:ext uri="{FF2B5EF4-FFF2-40B4-BE49-F238E27FC236}">
              <a16:creationId xmlns:a16="http://schemas.microsoft.com/office/drawing/2014/main" id="{00000000-0008-0000-0B00-00003C3EA500}"/>
            </a:ext>
          </a:extLst>
        </xdr:cNvPr>
        <xdr:cNvSpPr>
          <a:spLocks noChangeShapeType="1"/>
        </xdr:cNvSpPr>
      </xdr:nvSpPr>
      <xdr:spPr bwMode="auto">
        <a:xfrm>
          <a:off x="9715500" y="6410325"/>
          <a:ext cx="5334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47</xdr:row>
      <xdr:rowOff>85725</xdr:rowOff>
    </xdr:from>
    <xdr:to>
      <xdr:col>7</xdr:col>
      <xdr:colOff>0</xdr:colOff>
      <xdr:row>50</xdr:row>
      <xdr:rowOff>142875</xdr:rowOff>
    </xdr:to>
    <xdr:sp macro="" textlink="">
      <xdr:nvSpPr>
        <xdr:cNvPr id="10829373" name="Line 11">
          <a:extLst>
            <a:ext uri="{FF2B5EF4-FFF2-40B4-BE49-F238E27FC236}">
              <a16:creationId xmlns:a16="http://schemas.microsoft.com/office/drawing/2014/main" id="{00000000-0008-0000-0B00-00003D3EA500}"/>
            </a:ext>
          </a:extLst>
        </xdr:cNvPr>
        <xdr:cNvSpPr>
          <a:spLocks noChangeShapeType="1"/>
        </xdr:cNvSpPr>
      </xdr:nvSpPr>
      <xdr:spPr bwMode="auto">
        <a:xfrm flipH="1">
          <a:off x="4591050" y="8658225"/>
          <a:ext cx="0" cy="581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30</xdr:row>
      <xdr:rowOff>66675</xdr:rowOff>
    </xdr:from>
    <xdr:to>
      <xdr:col>4</xdr:col>
      <xdr:colOff>571500</xdr:colOff>
      <xdr:row>37</xdr:row>
      <xdr:rowOff>9525</xdr:rowOff>
    </xdr:to>
    <xdr:sp macro="" textlink="">
      <xdr:nvSpPr>
        <xdr:cNvPr id="10829374" name="Oval 12">
          <a:extLst>
            <a:ext uri="{FF2B5EF4-FFF2-40B4-BE49-F238E27FC236}">
              <a16:creationId xmlns:a16="http://schemas.microsoft.com/office/drawing/2014/main" id="{00000000-0008-0000-0B00-00003E3EA500}"/>
            </a:ext>
          </a:extLst>
        </xdr:cNvPr>
        <xdr:cNvSpPr>
          <a:spLocks noChangeArrowheads="1"/>
        </xdr:cNvSpPr>
      </xdr:nvSpPr>
      <xdr:spPr bwMode="auto">
        <a:xfrm>
          <a:off x="1876425" y="5734050"/>
          <a:ext cx="1123950" cy="117157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571500</xdr:colOff>
      <xdr:row>34</xdr:row>
      <xdr:rowOff>0</xdr:rowOff>
    </xdr:from>
    <xdr:to>
      <xdr:col>5</xdr:col>
      <xdr:colOff>542925</xdr:colOff>
      <xdr:row>34</xdr:row>
      <xdr:rowOff>0</xdr:rowOff>
    </xdr:to>
    <xdr:sp macro="" textlink="">
      <xdr:nvSpPr>
        <xdr:cNvPr id="10829375" name="Line 13">
          <a:extLst>
            <a:ext uri="{FF2B5EF4-FFF2-40B4-BE49-F238E27FC236}">
              <a16:creationId xmlns:a16="http://schemas.microsoft.com/office/drawing/2014/main" id="{00000000-0008-0000-0B00-00003F3EA500}"/>
            </a:ext>
          </a:extLst>
        </xdr:cNvPr>
        <xdr:cNvSpPr>
          <a:spLocks noChangeShapeType="1"/>
        </xdr:cNvSpPr>
      </xdr:nvSpPr>
      <xdr:spPr bwMode="auto">
        <a:xfrm flipH="1">
          <a:off x="3000375" y="6410325"/>
          <a:ext cx="6096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</xdr:colOff>
      <xdr:row>46</xdr:row>
      <xdr:rowOff>47625</xdr:rowOff>
    </xdr:from>
    <xdr:to>
      <xdr:col>4</xdr:col>
      <xdr:colOff>571500</xdr:colOff>
      <xdr:row>52</xdr:row>
      <xdr:rowOff>142875</xdr:rowOff>
    </xdr:to>
    <xdr:sp macro="" textlink="">
      <xdr:nvSpPr>
        <xdr:cNvPr id="10829376" name="Oval 14">
          <a:extLst>
            <a:ext uri="{FF2B5EF4-FFF2-40B4-BE49-F238E27FC236}">
              <a16:creationId xmlns:a16="http://schemas.microsoft.com/office/drawing/2014/main" id="{00000000-0008-0000-0B00-0000403EA500}"/>
            </a:ext>
          </a:extLst>
        </xdr:cNvPr>
        <xdr:cNvSpPr>
          <a:spLocks noChangeArrowheads="1"/>
        </xdr:cNvSpPr>
      </xdr:nvSpPr>
      <xdr:spPr bwMode="auto">
        <a:xfrm>
          <a:off x="1895475" y="8458200"/>
          <a:ext cx="1104900" cy="112395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352425</xdr:colOff>
      <xdr:row>36</xdr:row>
      <xdr:rowOff>142875</xdr:rowOff>
    </xdr:from>
    <xdr:to>
      <xdr:col>6</xdr:col>
      <xdr:colOff>104775</xdr:colOff>
      <xdr:row>47</xdr:row>
      <xdr:rowOff>28575</xdr:rowOff>
    </xdr:to>
    <xdr:sp macro="" textlink="">
      <xdr:nvSpPr>
        <xdr:cNvPr id="10829377" name="Line 15">
          <a:extLst>
            <a:ext uri="{FF2B5EF4-FFF2-40B4-BE49-F238E27FC236}">
              <a16:creationId xmlns:a16="http://schemas.microsoft.com/office/drawing/2014/main" id="{00000000-0008-0000-0B00-0000413EA500}"/>
            </a:ext>
          </a:extLst>
        </xdr:cNvPr>
        <xdr:cNvSpPr>
          <a:spLocks noChangeShapeType="1"/>
        </xdr:cNvSpPr>
      </xdr:nvSpPr>
      <xdr:spPr bwMode="auto">
        <a:xfrm flipH="1">
          <a:off x="2781300" y="6877050"/>
          <a:ext cx="1152525" cy="1724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561975</xdr:colOff>
      <xdr:row>50</xdr:row>
      <xdr:rowOff>0</xdr:rowOff>
    </xdr:from>
    <xdr:to>
      <xdr:col>6</xdr:col>
      <xdr:colOff>0</xdr:colOff>
      <xdr:row>52</xdr:row>
      <xdr:rowOff>161925</xdr:rowOff>
    </xdr:to>
    <xdr:sp macro="" textlink="">
      <xdr:nvSpPr>
        <xdr:cNvPr id="10829378" name="Line 16">
          <a:extLst>
            <a:ext uri="{FF2B5EF4-FFF2-40B4-BE49-F238E27FC236}">
              <a16:creationId xmlns:a16="http://schemas.microsoft.com/office/drawing/2014/main" id="{00000000-0008-0000-0B00-0000423EA500}"/>
            </a:ext>
          </a:extLst>
        </xdr:cNvPr>
        <xdr:cNvSpPr>
          <a:spLocks noChangeShapeType="1"/>
        </xdr:cNvSpPr>
      </xdr:nvSpPr>
      <xdr:spPr bwMode="auto">
        <a:xfrm flipH="1" flipV="1">
          <a:off x="2990850" y="9096375"/>
          <a:ext cx="838200" cy="5048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47</xdr:row>
      <xdr:rowOff>9525</xdr:rowOff>
    </xdr:from>
    <xdr:to>
      <xdr:col>4</xdr:col>
      <xdr:colOff>371475</xdr:colOff>
      <xdr:row>47</xdr:row>
      <xdr:rowOff>19050</xdr:rowOff>
    </xdr:to>
    <xdr:sp macro="" textlink="">
      <xdr:nvSpPr>
        <xdr:cNvPr id="10829379" name="Arc 17">
          <a:extLst>
            <a:ext uri="{FF2B5EF4-FFF2-40B4-BE49-F238E27FC236}">
              <a16:creationId xmlns:a16="http://schemas.microsoft.com/office/drawing/2014/main" id="{00000000-0008-0000-0B00-0000433EA500}"/>
            </a:ext>
          </a:extLst>
        </xdr:cNvPr>
        <xdr:cNvSpPr>
          <a:spLocks/>
        </xdr:cNvSpPr>
      </xdr:nvSpPr>
      <xdr:spPr bwMode="auto">
        <a:xfrm flipH="1" flipV="1">
          <a:off x="2790825" y="8582025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171450</xdr:colOff>
      <xdr:row>47</xdr:row>
      <xdr:rowOff>9525</xdr:rowOff>
    </xdr:from>
    <xdr:to>
      <xdr:col>4</xdr:col>
      <xdr:colOff>352425</xdr:colOff>
      <xdr:row>49</xdr:row>
      <xdr:rowOff>152400</xdr:rowOff>
    </xdr:to>
    <xdr:sp macro="" textlink="">
      <xdr:nvSpPr>
        <xdr:cNvPr id="10829380" name="Line 18">
          <a:extLst>
            <a:ext uri="{FF2B5EF4-FFF2-40B4-BE49-F238E27FC236}">
              <a16:creationId xmlns:a16="http://schemas.microsoft.com/office/drawing/2014/main" id="{00000000-0008-0000-0B00-0000443EA500}"/>
            </a:ext>
          </a:extLst>
        </xdr:cNvPr>
        <xdr:cNvSpPr>
          <a:spLocks noChangeShapeType="1"/>
        </xdr:cNvSpPr>
      </xdr:nvSpPr>
      <xdr:spPr bwMode="auto">
        <a:xfrm flipH="1">
          <a:off x="1905000" y="8582025"/>
          <a:ext cx="876300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50</xdr:row>
      <xdr:rowOff>0</xdr:rowOff>
    </xdr:from>
    <xdr:to>
      <xdr:col>3</xdr:col>
      <xdr:colOff>171450</xdr:colOff>
      <xdr:row>50</xdr:row>
      <xdr:rowOff>0</xdr:rowOff>
    </xdr:to>
    <xdr:sp macro="" textlink="">
      <xdr:nvSpPr>
        <xdr:cNvPr id="10829381" name="Line 19">
          <a:extLst>
            <a:ext uri="{FF2B5EF4-FFF2-40B4-BE49-F238E27FC236}">
              <a16:creationId xmlns:a16="http://schemas.microsoft.com/office/drawing/2014/main" id="{00000000-0008-0000-0B00-0000453EA500}"/>
            </a:ext>
          </a:extLst>
        </xdr:cNvPr>
        <xdr:cNvSpPr>
          <a:spLocks noChangeShapeType="1"/>
        </xdr:cNvSpPr>
      </xdr:nvSpPr>
      <xdr:spPr bwMode="auto">
        <a:xfrm flipH="1">
          <a:off x="1190625" y="9096375"/>
          <a:ext cx="71437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352425</xdr:colOff>
      <xdr:row>47</xdr:row>
      <xdr:rowOff>19050</xdr:rowOff>
    </xdr:from>
    <xdr:to>
      <xdr:col>4</xdr:col>
      <xdr:colOff>581025</xdr:colOff>
      <xdr:row>50</xdr:row>
      <xdr:rowOff>0</xdr:rowOff>
    </xdr:to>
    <xdr:sp macro="" textlink="">
      <xdr:nvSpPr>
        <xdr:cNvPr id="10829382" name="Arc 20">
          <a:extLst>
            <a:ext uri="{FF2B5EF4-FFF2-40B4-BE49-F238E27FC236}">
              <a16:creationId xmlns:a16="http://schemas.microsoft.com/office/drawing/2014/main" id="{00000000-0008-0000-0B00-0000463EA500}"/>
            </a:ext>
          </a:extLst>
        </xdr:cNvPr>
        <xdr:cNvSpPr>
          <a:spLocks/>
        </xdr:cNvSpPr>
      </xdr:nvSpPr>
      <xdr:spPr bwMode="auto">
        <a:xfrm flipH="1" flipV="1">
          <a:off x="2781300" y="8591550"/>
          <a:ext cx="228600" cy="5048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228600</xdr:colOff>
      <xdr:row>10</xdr:row>
      <xdr:rowOff>66675</xdr:rowOff>
    </xdr:from>
    <xdr:to>
      <xdr:col>5</xdr:col>
      <xdr:colOff>57150</xdr:colOff>
      <xdr:row>16</xdr:row>
      <xdr:rowOff>57150</xdr:rowOff>
    </xdr:to>
    <xdr:sp macro="" textlink="">
      <xdr:nvSpPr>
        <xdr:cNvPr id="10829383" name="Oval 21">
          <a:extLst>
            <a:ext uri="{FF2B5EF4-FFF2-40B4-BE49-F238E27FC236}">
              <a16:creationId xmlns:a16="http://schemas.microsoft.com/office/drawing/2014/main" id="{00000000-0008-0000-0B00-0000473EA500}"/>
            </a:ext>
          </a:extLst>
        </xdr:cNvPr>
        <xdr:cNvSpPr>
          <a:spLocks noChangeArrowheads="1"/>
        </xdr:cNvSpPr>
      </xdr:nvSpPr>
      <xdr:spPr bwMode="auto">
        <a:xfrm>
          <a:off x="1962150" y="2181225"/>
          <a:ext cx="1162050" cy="11049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381000</xdr:colOff>
      <xdr:row>23</xdr:row>
      <xdr:rowOff>152400</xdr:rowOff>
    </xdr:from>
    <xdr:to>
      <xdr:col>6</xdr:col>
      <xdr:colOff>257175</xdr:colOff>
      <xdr:row>31</xdr:row>
      <xdr:rowOff>28575</xdr:rowOff>
    </xdr:to>
    <xdr:sp macro="" textlink="">
      <xdr:nvSpPr>
        <xdr:cNvPr id="10829384" name="Line 22">
          <a:extLst>
            <a:ext uri="{FF2B5EF4-FFF2-40B4-BE49-F238E27FC236}">
              <a16:creationId xmlns:a16="http://schemas.microsoft.com/office/drawing/2014/main" id="{00000000-0008-0000-0B00-0000483EA500}"/>
            </a:ext>
          </a:extLst>
        </xdr:cNvPr>
        <xdr:cNvSpPr>
          <a:spLocks noChangeShapeType="1"/>
        </xdr:cNvSpPr>
      </xdr:nvSpPr>
      <xdr:spPr bwMode="auto">
        <a:xfrm flipH="1">
          <a:off x="2809875" y="4619625"/>
          <a:ext cx="1276350" cy="12668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52</xdr:row>
      <xdr:rowOff>38100</xdr:rowOff>
    </xdr:from>
    <xdr:to>
      <xdr:col>14</xdr:col>
      <xdr:colOff>9525</xdr:colOff>
      <xdr:row>60</xdr:row>
      <xdr:rowOff>28575</xdr:rowOff>
    </xdr:to>
    <xdr:sp macro="" textlink="">
      <xdr:nvSpPr>
        <xdr:cNvPr id="10829385" name="Arc 23">
          <a:extLst>
            <a:ext uri="{FF2B5EF4-FFF2-40B4-BE49-F238E27FC236}">
              <a16:creationId xmlns:a16="http://schemas.microsoft.com/office/drawing/2014/main" id="{00000000-0008-0000-0B00-0000493EA500}"/>
            </a:ext>
          </a:extLst>
        </xdr:cNvPr>
        <xdr:cNvSpPr>
          <a:spLocks/>
        </xdr:cNvSpPr>
      </xdr:nvSpPr>
      <xdr:spPr bwMode="auto">
        <a:xfrm flipH="1">
          <a:off x="6677025" y="9477375"/>
          <a:ext cx="3019425" cy="15049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600075</xdr:colOff>
      <xdr:row>52</xdr:row>
      <xdr:rowOff>38100</xdr:rowOff>
    </xdr:from>
    <xdr:to>
      <xdr:col>17</xdr:col>
      <xdr:colOff>571500</xdr:colOff>
      <xdr:row>60</xdr:row>
      <xdr:rowOff>38100</xdr:rowOff>
    </xdr:to>
    <xdr:sp macro="" textlink="">
      <xdr:nvSpPr>
        <xdr:cNvPr id="10829386" name="Arc 24">
          <a:extLst>
            <a:ext uri="{FF2B5EF4-FFF2-40B4-BE49-F238E27FC236}">
              <a16:creationId xmlns:a16="http://schemas.microsoft.com/office/drawing/2014/main" id="{00000000-0008-0000-0B00-00004A3EA500}"/>
            </a:ext>
          </a:extLst>
        </xdr:cNvPr>
        <xdr:cNvSpPr>
          <a:spLocks/>
        </xdr:cNvSpPr>
      </xdr:nvSpPr>
      <xdr:spPr bwMode="auto">
        <a:xfrm>
          <a:off x="9420225" y="9477375"/>
          <a:ext cx="3019425" cy="151447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657225</xdr:colOff>
      <xdr:row>58</xdr:row>
      <xdr:rowOff>114300</xdr:rowOff>
    </xdr:from>
    <xdr:to>
      <xdr:col>6</xdr:col>
      <xdr:colOff>266700</xdr:colOff>
      <xdr:row>62</xdr:row>
      <xdr:rowOff>0</xdr:rowOff>
    </xdr:to>
    <xdr:sp macro="" textlink="">
      <xdr:nvSpPr>
        <xdr:cNvPr id="10829387" name="Line 25">
          <a:extLst>
            <a:ext uri="{FF2B5EF4-FFF2-40B4-BE49-F238E27FC236}">
              <a16:creationId xmlns:a16="http://schemas.microsoft.com/office/drawing/2014/main" id="{00000000-0008-0000-0B00-00004B3EA500}"/>
            </a:ext>
          </a:extLst>
        </xdr:cNvPr>
        <xdr:cNvSpPr>
          <a:spLocks noChangeShapeType="1"/>
        </xdr:cNvSpPr>
      </xdr:nvSpPr>
      <xdr:spPr bwMode="auto">
        <a:xfrm flipH="1">
          <a:off x="3724275" y="10725150"/>
          <a:ext cx="371475" cy="5715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180975</xdr:colOff>
      <xdr:row>37</xdr:row>
      <xdr:rowOff>76200</xdr:rowOff>
    </xdr:from>
    <xdr:to>
      <xdr:col>17</xdr:col>
      <xdr:colOff>152400</xdr:colOff>
      <xdr:row>45</xdr:row>
      <xdr:rowOff>152400</xdr:rowOff>
    </xdr:to>
    <xdr:sp macro="" textlink="">
      <xdr:nvSpPr>
        <xdr:cNvPr id="10829388" name="Line 26">
          <a:extLst>
            <a:ext uri="{FF2B5EF4-FFF2-40B4-BE49-F238E27FC236}">
              <a16:creationId xmlns:a16="http://schemas.microsoft.com/office/drawing/2014/main" id="{00000000-0008-0000-0B00-00004C3EA500}"/>
            </a:ext>
          </a:extLst>
        </xdr:cNvPr>
        <xdr:cNvSpPr>
          <a:spLocks noChangeShapeType="1"/>
        </xdr:cNvSpPr>
      </xdr:nvSpPr>
      <xdr:spPr bwMode="auto">
        <a:xfrm>
          <a:off x="11363325" y="6972300"/>
          <a:ext cx="657225" cy="14097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342900</xdr:colOff>
      <xdr:row>37</xdr:row>
      <xdr:rowOff>66675</xdr:rowOff>
    </xdr:from>
    <xdr:to>
      <xdr:col>11</xdr:col>
      <xdr:colOff>742950</xdr:colOff>
      <xdr:row>53</xdr:row>
      <xdr:rowOff>76200</xdr:rowOff>
    </xdr:to>
    <xdr:sp macro="" textlink="">
      <xdr:nvSpPr>
        <xdr:cNvPr id="10829389" name="Line 27">
          <a:extLst>
            <a:ext uri="{FF2B5EF4-FFF2-40B4-BE49-F238E27FC236}">
              <a16:creationId xmlns:a16="http://schemas.microsoft.com/office/drawing/2014/main" id="{00000000-0008-0000-0B00-00004D3EA500}"/>
            </a:ext>
          </a:extLst>
        </xdr:cNvPr>
        <xdr:cNvSpPr>
          <a:spLocks noChangeShapeType="1"/>
        </xdr:cNvSpPr>
      </xdr:nvSpPr>
      <xdr:spPr bwMode="auto">
        <a:xfrm>
          <a:off x="7019925" y="6962775"/>
          <a:ext cx="1066800" cy="27432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152400</xdr:colOff>
      <xdr:row>45</xdr:row>
      <xdr:rowOff>47625</xdr:rowOff>
    </xdr:from>
    <xdr:to>
      <xdr:col>11</xdr:col>
      <xdr:colOff>485775</xdr:colOff>
      <xdr:row>53</xdr:row>
      <xdr:rowOff>161925</xdr:rowOff>
    </xdr:to>
    <xdr:sp macro="" textlink="">
      <xdr:nvSpPr>
        <xdr:cNvPr id="10829390" name="Line 28">
          <a:extLst>
            <a:ext uri="{FF2B5EF4-FFF2-40B4-BE49-F238E27FC236}">
              <a16:creationId xmlns:a16="http://schemas.microsoft.com/office/drawing/2014/main" id="{00000000-0008-0000-0B00-00004E3EA500}"/>
            </a:ext>
          </a:extLst>
        </xdr:cNvPr>
        <xdr:cNvSpPr>
          <a:spLocks noChangeShapeType="1"/>
        </xdr:cNvSpPr>
      </xdr:nvSpPr>
      <xdr:spPr bwMode="auto">
        <a:xfrm>
          <a:off x="5457825" y="8277225"/>
          <a:ext cx="2371725" cy="15144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25</xdr:row>
      <xdr:rowOff>0</xdr:rowOff>
    </xdr:from>
    <xdr:to>
      <xdr:col>11</xdr:col>
      <xdr:colOff>123825</xdr:colOff>
      <xdr:row>25</xdr:row>
      <xdr:rowOff>0</xdr:rowOff>
    </xdr:to>
    <xdr:sp macro="" textlink="">
      <xdr:nvSpPr>
        <xdr:cNvPr id="10829391" name="Line 29">
          <a:extLst>
            <a:ext uri="{FF2B5EF4-FFF2-40B4-BE49-F238E27FC236}">
              <a16:creationId xmlns:a16="http://schemas.microsoft.com/office/drawing/2014/main" id="{00000000-0008-0000-0B00-00004F3EA500}"/>
            </a:ext>
          </a:extLst>
        </xdr:cNvPr>
        <xdr:cNvSpPr>
          <a:spLocks noChangeShapeType="1"/>
        </xdr:cNvSpPr>
      </xdr:nvSpPr>
      <xdr:spPr bwMode="auto">
        <a:xfrm>
          <a:off x="5981700" y="4800600"/>
          <a:ext cx="14859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600075</xdr:colOff>
      <xdr:row>20</xdr:row>
      <xdr:rowOff>0</xdr:rowOff>
    </xdr:from>
    <xdr:to>
      <xdr:col>13</xdr:col>
      <xdr:colOff>9525</xdr:colOff>
      <xdr:row>29</xdr:row>
      <xdr:rowOff>47625</xdr:rowOff>
    </xdr:to>
    <xdr:sp macro="" textlink="">
      <xdr:nvSpPr>
        <xdr:cNvPr id="10829392" name="Line 30">
          <a:extLst>
            <a:ext uri="{FF2B5EF4-FFF2-40B4-BE49-F238E27FC236}">
              <a16:creationId xmlns:a16="http://schemas.microsoft.com/office/drawing/2014/main" id="{00000000-0008-0000-0B00-0000503EA500}"/>
            </a:ext>
          </a:extLst>
        </xdr:cNvPr>
        <xdr:cNvSpPr>
          <a:spLocks noChangeShapeType="1"/>
        </xdr:cNvSpPr>
      </xdr:nvSpPr>
      <xdr:spPr bwMode="auto">
        <a:xfrm>
          <a:off x="7943850" y="3924300"/>
          <a:ext cx="885825" cy="16287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171450</xdr:colOff>
      <xdr:row>19</xdr:row>
      <xdr:rowOff>171450</xdr:rowOff>
    </xdr:from>
    <xdr:to>
      <xdr:col>11</xdr:col>
      <xdr:colOff>619125</xdr:colOff>
      <xdr:row>19</xdr:row>
      <xdr:rowOff>171450</xdr:rowOff>
    </xdr:to>
    <xdr:sp macro="" textlink="">
      <xdr:nvSpPr>
        <xdr:cNvPr id="10829393" name="Line 31">
          <a:extLst>
            <a:ext uri="{FF2B5EF4-FFF2-40B4-BE49-F238E27FC236}">
              <a16:creationId xmlns:a16="http://schemas.microsoft.com/office/drawing/2014/main" id="{00000000-0008-0000-0B00-0000513EA500}"/>
            </a:ext>
          </a:extLst>
        </xdr:cNvPr>
        <xdr:cNvSpPr>
          <a:spLocks noChangeShapeType="1"/>
        </xdr:cNvSpPr>
      </xdr:nvSpPr>
      <xdr:spPr bwMode="auto">
        <a:xfrm flipH="1">
          <a:off x="5476875" y="3905250"/>
          <a:ext cx="2486025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571500</xdr:colOff>
      <xdr:row>57</xdr:row>
      <xdr:rowOff>238125</xdr:rowOff>
    </xdr:from>
    <xdr:to>
      <xdr:col>8</xdr:col>
      <xdr:colOff>257175</xdr:colOff>
      <xdr:row>61</xdr:row>
      <xdr:rowOff>28575</xdr:rowOff>
    </xdr:to>
    <xdr:sp macro="" textlink="">
      <xdr:nvSpPr>
        <xdr:cNvPr id="10829394" name="Line 32">
          <a:extLst>
            <a:ext uri="{FF2B5EF4-FFF2-40B4-BE49-F238E27FC236}">
              <a16:creationId xmlns:a16="http://schemas.microsoft.com/office/drawing/2014/main" id="{00000000-0008-0000-0B00-0000523EA500}"/>
            </a:ext>
          </a:extLst>
        </xdr:cNvPr>
        <xdr:cNvSpPr>
          <a:spLocks noChangeShapeType="1"/>
        </xdr:cNvSpPr>
      </xdr:nvSpPr>
      <xdr:spPr bwMode="auto">
        <a:xfrm flipH="1" flipV="1">
          <a:off x="5162550" y="10591800"/>
          <a:ext cx="400050" cy="552450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752475</xdr:colOff>
      <xdr:row>24</xdr:row>
      <xdr:rowOff>161925</xdr:rowOff>
    </xdr:from>
    <xdr:to>
      <xdr:col>7</xdr:col>
      <xdr:colOff>0</xdr:colOff>
      <xdr:row>29</xdr:row>
      <xdr:rowOff>38100</xdr:rowOff>
    </xdr:to>
    <xdr:sp macro="" textlink="">
      <xdr:nvSpPr>
        <xdr:cNvPr id="10829395" name="Line 33">
          <a:extLst>
            <a:ext uri="{FF2B5EF4-FFF2-40B4-BE49-F238E27FC236}">
              <a16:creationId xmlns:a16="http://schemas.microsoft.com/office/drawing/2014/main" id="{00000000-0008-0000-0B00-0000533EA500}"/>
            </a:ext>
          </a:extLst>
        </xdr:cNvPr>
        <xdr:cNvSpPr>
          <a:spLocks noChangeShapeType="1"/>
        </xdr:cNvSpPr>
      </xdr:nvSpPr>
      <xdr:spPr bwMode="auto">
        <a:xfrm flipH="1">
          <a:off x="4581525" y="4791075"/>
          <a:ext cx="9525" cy="7524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247650</xdr:colOff>
      <xdr:row>11</xdr:row>
      <xdr:rowOff>0</xdr:rowOff>
    </xdr:from>
    <xdr:to>
      <xdr:col>6</xdr:col>
      <xdr:colOff>657225</xdr:colOff>
      <xdr:row>16</xdr:row>
      <xdr:rowOff>57150</xdr:rowOff>
    </xdr:to>
    <xdr:sp macro="" textlink="">
      <xdr:nvSpPr>
        <xdr:cNvPr id="10829396" name="Line 34">
          <a:extLst>
            <a:ext uri="{FF2B5EF4-FFF2-40B4-BE49-F238E27FC236}">
              <a16:creationId xmlns:a16="http://schemas.microsoft.com/office/drawing/2014/main" id="{00000000-0008-0000-0B00-0000543EA500}"/>
            </a:ext>
          </a:extLst>
        </xdr:cNvPr>
        <xdr:cNvSpPr>
          <a:spLocks noChangeShapeType="1"/>
        </xdr:cNvSpPr>
      </xdr:nvSpPr>
      <xdr:spPr bwMode="auto">
        <a:xfrm flipH="1" flipV="1">
          <a:off x="4076700" y="2314575"/>
          <a:ext cx="409575" cy="9715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66675</xdr:colOff>
      <xdr:row>33</xdr:row>
      <xdr:rowOff>180975</xdr:rowOff>
    </xdr:from>
    <xdr:to>
      <xdr:col>8</xdr:col>
      <xdr:colOff>542925</xdr:colOff>
      <xdr:row>33</xdr:row>
      <xdr:rowOff>180975</xdr:rowOff>
    </xdr:to>
    <xdr:sp macro="" textlink="">
      <xdr:nvSpPr>
        <xdr:cNvPr id="10829397" name="Line 35">
          <a:extLst>
            <a:ext uri="{FF2B5EF4-FFF2-40B4-BE49-F238E27FC236}">
              <a16:creationId xmlns:a16="http://schemas.microsoft.com/office/drawing/2014/main" id="{00000000-0008-0000-0B00-0000553EA500}"/>
            </a:ext>
          </a:extLst>
        </xdr:cNvPr>
        <xdr:cNvSpPr>
          <a:spLocks noChangeShapeType="1"/>
        </xdr:cNvSpPr>
      </xdr:nvSpPr>
      <xdr:spPr bwMode="auto">
        <a:xfrm>
          <a:off x="5372100" y="6410325"/>
          <a:ext cx="4762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542925</xdr:colOff>
      <xdr:row>37</xdr:row>
      <xdr:rowOff>142875</xdr:rowOff>
    </xdr:from>
    <xdr:to>
      <xdr:col>15</xdr:col>
      <xdr:colOff>495300</xdr:colOff>
      <xdr:row>52</xdr:row>
      <xdr:rowOff>114300</xdr:rowOff>
    </xdr:to>
    <xdr:sp macro="" textlink="">
      <xdr:nvSpPr>
        <xdr:cNvPr id="10829398" name="Line 36">
          <a:extLst>
            <a:ext uri="{FF2B5EF4-FFF2-40B4-BE49-F238E27FC236}">
              <a16:creationId xmlns:a16="http://schemas.microsoft.com/office/drawing/2014/main" id="{00000000-0008-0000-0B00-0000563EA500}"/>
            </a:ext>
          </a:extLst>
        </xdr:cNvPr>
        <xdr:cNvSpPr>
          <a:spLocks noChangeShapeType="1"/>
        </xdr:cNvSpPr>
      </xdr:nvSpPr>
      <xdr:spPr bwMode="auto">
        <a:xfrm flipV="1">
          <a:off x="10229850" y="7038975"/>
          <a:ext cx="647700" cy="2514600"/>
        </a:xfrm>
        <a:prstGeom prst="line">
          <a:avLst/>
        </a:prstGeom>
        <a:noFill/>
        <a:ln w="222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</xdr:colOff>
      <xdr:row>13</xdr:row>
      <xdr:rowOff>0</xdr:rowOff>
    </xdr:from>
    <xdr:to>
      <xdr:col>6</xdr:col>
      <xdr:colOff>438150</xdr:colOff>
      <xdr:row>17</xdr:row>
      <xdr:rowOff>0</xdr:rowOff>
    </xdr:to>
    <xdr:sp macro="" textlink="">
      <xdr:nvSpPr>
        <xdr:cNvPr id="10829399" name="Line 37">
          <a:extLst>
            <a:ext uri="{FF2B5EF4-FFF2-40B4-BE49-F238E27FC236}">
              <a16:creationId xmlns:a16="http://schemas.microsoft.com/office/drawing/2014/main" id="{00000000-0008-0000-0B00-0000573EA500}"/>
            </a:ext>
          </a:extLst>
        </xdr:cNvPr>
        <xdr:cNvSpPr>
          <a:spLocks noChangeShapeType="1"/>
        </xdr:cNvSpPr>
      </xdr:nvSpPr>
      <xdr:spPr bwMode="auto">
        <a:xfrm>
          <a:off x="3133725" y="2705100"/>
          <a:ext cx="1133475" cy="6858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33</xdr:row>
      <xdr:rowOff>161925</xdr:rowOff>
    </xdr:from>
    <xdr:to>
      <xdr:col>11</xdr:col>
      <xdr:colOff>695325</xdr:colOff>
      <xdr:row>33</xdr:row>
      <xdr:rowOff>161925</xdr:rowOff>
    </xdr:to>
    <xdr:sp macro="" textlink="">
      <xdr:nvSpPr>
        <xdr:cNvPr id="10829400" name="Line 38">
          <a:extLst>
            <a:ext uri="{FF2B5EF4-FFF2-40B4-BE49-F238E27FC236}">
              <a16:creationId xmlns:a16="http://schemas.microsoft.com/office/drawing/2014/main" id="{00000000-0008-0000-0B00-0000583EA500}"/>
            </a:ext>
          </a:extLst>
        </xdr:cNvPr>
        <xdr:cNvSpPr>
          <a:spLocks noChangeShapeType="1"/>
        </xdr:cNvSpPr>
      </xdr:nvSpPr>
      <xdr:spPr bwMode="auto">
        <a:xfrm>
          <a:off x="7410450" y="6391275"/>
          <a:ext cx="6286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25</xdr:row>
      <xdr:rowOff>0</xdr:rowOff>
    </xdr:from>
    <xdr:to>
      <xdr:col>9</xdr:col>
      <xdr:colOff>28575</xdr:colOff>
      <xdr:row>30</xdr:row>
      <xdr:rowOff>114300</xdr:rowOff>
    </xdr:to>
    <xdr:sp macro="" textlink="">
      <xdr:nvSpPr>
        <xdr:cNvPr id="10829401" name="Line 39">
          <a:extLst>
            <a:ext uri="{FF2B5EF4-FFF2-40B4-BE49-F238E27FC236}">
              <a16:creationId xmlns:a16="http://schemas.microsoft.com/office/drawing/2014/main" id="{00000000-0008-0000-0B00-0000593EA500}"/>
            </a:ext>
          </a:extLst>
        </xdr:cNvPr>
        <xdr:cNvSpPr>
          <a:spLocks noChangeShapeType="1"/>
        </xdr:cNvSpPr>
      </xdr:nvSpPr>
      <xdr:spPr bwMode="auto">
        <a:xfrm flipH="1">
          <a:off x="5124450" y="4800600"/>
          <a:ext cx="876300" cy="9810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114300</xdr:colOff>
      <xdr:row>25</xdr:row>
      <xdr:rowOff>9525</xdr:rowOff>
    </xdr:from>
    <xdr:to>
      <xdr:col>12</xdr:col>
      <xdr:colOff>142875</xdr:colOff>
      <xdr:row>30</xdr:row>
      <xdr:rowOff>76200</xdr:rowOff>
    </xdr:to>
    <xdr:sp macro="" textlink="">
      <xdr:nvSpPr>
        <xdr:cNvPr id="10829402" name="Line 40">
          <a:extLst>
            <a:ext uri="{FF2B5EF4-FFF2-40B4-BE49-F238E27FC236}">
              <a16:creationId xmlns:a16="http://schemas.microsoft.com/office/drawing/2014/main" id="{00000000-0008-0000-0B00-00005A3EA500}"/>
            </a:ext>
          </a:extLst>
        </xdr:cNvPr>
        <xdr:cNvSpPr>
          <a:spLocks noChangeShapeType="1"/>
        </xdr:cNvSpPr>
      </xdr:nvSpPr>
      <xdr:spPr bwMode="auto">
        <a:xfrm>
          <a:off x="7458075" y="4810125"/>
          <a:ext cx="809625" cy="9334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52</xdr:row>
      <xdr:rowOff>104775</xdr:rowOff>
    </xdr:from>
    <xdr:to>
      <xdr:col>12</xdr:col>
      <xdr:colOff>561975</xdr:colOff>
      <xdr:row>52</xdr:row>
      <xdr:rowOff>114300</xdr:rowOff>
    </xdr:to>
    <xdr:sp macro="" textlink="">
      <xdr:nvSpPr>
        <xdr:cNvPr id="10829403" name="Arc 41">
          <a:extLst>
            <a:ext uri="{FF2B5EF4-FFF2-40B4-BE49-F238E27FC236}">
              <a16:creationId xmlns:a16="http://schemas.microsoft.com/office/drawing/2014/main" id="{00000000-0008-0000-0B00-00005B3EA500}"/>
            </a:ext>
          </a:extLst>
        </xdr:cNvPr>
        <xdr:cNvSpPr>
          <a:spLocks/>
        </xdr:cNvSpPr>
      </xdr:nvSpPr>
      <xdr:spPr bwMode="auto">
        <a:xfrm flipV="1">
          <a:off x="8629650" y="9544050"/>
          <a:ext cx="57150" cy="9525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85725</xdr:rowOff>
    </xdr:from>
    <xdr:to>
      <xdr:col>13</xdr:col>
      <xdr:colOff>152400</xdr:colOff>
      <xdr:row>52</xdr:row>
      <xdr:rowOff>85725</xdr:rowOff>
    </xdr:to>
    <xdr:sp macro="" textlink="">
      <xdr:nvSpPr>
        <xdr:cNvPr id="10829404" name="Arc 42">
          <a:extLst>
            <a:ext uri="{FF2B5EF4-FFF2-40B4-BE49-F238E27FC236}">
              <a16:creationId xmlns:a16="http://schemas.microsoft.com/office/drawing/2014/main" id="{00000000-0008-0000-0B00-00005C3EA500}"/>
            </a:ext>
          </a:extLst>
        </xdr:cNvPr>
        <xdr:cNvSpPr>
          <a:spLocks/>
        </xdr:cNvSpPr>
      </xdr:nvSpPr>
      <xdr:spPr bwMode="auto">
        <a:xfrm flipH="1">
          <a:off x="8943975" y="952500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52</xdr:row>
      <xdr:rowOff>66675</xdr:rowOff>
    </xdr:from>
    <xdr:to>
      <xdr:col>13</xdr:col>
      <xdr:colOff>152400</xdr:colOff>
      <xdr:row>52</xdr:row>
      <xdr:rowOff>85725</xdr:rowOff>
    </xdr:to>
    <xdr:sp macro="" textlink="">
      <xdr:nvSpPr>
        <xdr:cNvPr id="10829405" name="Arc 43">
          <a:extLst>
            <a:ext uri="{FF2B5EF4-FFF2-40B4-BE49-F238E27FC236}">
              <a16:creationId xmlns:a16="http://schemas.microsoft.com/office/drawing/2014/main" id="{00000000-0008-0000-0B00-00005D3EA500}"/>
            </a:ext>
          </a:extLst>
        </xdr:cNvPr>
        <xdr:cNvSpPr>
          <a:spLocks/>
        </xdr:cNvSpPr>
      </xdr:nvSpPr>
      <xdr:spPr bwMode="auto">
        <a:xfrm>
          <a:off x="8943975" y="9505950"/>
          <a:ext cx="28575" cy="1905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4 h 21600"/>
            <a:gd name="T4" fmla="*/ 0 w 21600"/>
            <a:gd name="T5" fmla="*/ 4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104775</xdr:colOff>
      <xdr:row>52</xdr:row>
      <xdr:rowOff>66675</xdr:rowOff>
    </xdr:from>
    <xdr:to>
      <xdr:col>13</xdr:col>
      <xdr:colOff>161925</xdr:colOff>
      <xdr:row>58</xdr:row>
      <xdr:rowOff>0</xdr:rowOff>
    </xdr:to>
    <xdr:sp macro="" textlink="">
      <xdr:nvSpPr>
        <xdr:cNvPr id="10829406" name="Arc 44">
          <a:extLst>
            <a:ext uri="{FF2B5EF4-FFF2-40B4-BE49-F238E27FC236}">
              <a16:creationId xmlns:a16="http://schemas.microsoft.com/office/drawing/2014/main" id="{00000000-0008-0000-0B00-00005E3EA500}"/>
            </a:ext>
          </a:extLst>
        </xdr:cNvPr>
        <xdr:cNvSpPr>
          <a:spLocks/>
        </xdr:cNvSpPr>
      </xdr:nvSpPr>
      <xdr:spPr bwMode="auto">
        <a:xfrm flipV="1">
          <a:off x="6781800" y="9505950"/>
          <a:ext cx="2200275" cy="110490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685800</xdr:colOff>
      <xdr:row>38</xdr:row>
      <xdr:rowOff>38100</xdr:rowOff>
    </xdr:from>
    <xdr:to>
      <xdr:col>13</xdr:col>
      <xdr:colOff>28575</xdr:colOff>
      <xdr:row>52</xdr:row>
      <xdr:rowOff>104775</xdr:rowOff>
    </xdr:to>
    <xdr:sp macro="" textlink="">
      <xdr:nvSpPr>
        <xdr:cNvPr id="10829407" name="Line 45">
          <a:extLst>
            <a:ext uri="{FF2B5EF4-FFF2-40B4-BE49-F238E27FC236}">
              <a16:creationId xmlns:a16="http://schemas.microsoft.com/office/drawing/2014/main" id="{00000000-0008-0000-0B00-00005F3EA500}"/>
            </a:ext>
          </a:extLst>
        </xdr:cNvPr>
        <xdr:cNvSpPr>
          <a:spLocks noChangeShapeType="1"/>
        </xdr:cNvSpPr>
      </xdr:nvSpPr>
      <xdr:spPr bwMode="auto">
        <a:xfrm flipH="1">
          <a:off x="8810625" y="7096125"/>
          <a:ext cx="38100" cy="24479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161925</xdr:colOff>
      <xdr:row>34</xdr:row>
      <xdr:rowOff>0</xdr:rowOff>
    </xdr:from>
    <xdr:to>
      <xdr:col>3</xdr:col>
      <xdr:colOff>142875</xdr:colOff>
      <xdr:row>34</xdr:row>
      <xdr:rowOff>0</xdr:rowOff>
    </xdr:to>
    <xdr:sp macro="" textlink="">
      <xdr:nvSpPr>
        <xdr:cNvPr id="10829408" name="Line 46">
          <a:extLst>
            <a:ext uri="{FF2B5EF4-FFF2-40B4-BE49-F238E27FC236}">
              <a16:creationId xmlns:a16="http://schemas.microsoft.com/office/drawing/2014/main" id="{00000000-0008-0000-0B00-0000603EA500}"/>
            </a:ext>
          </a:extLst>
        </xdr:cNvPr>
        <xdr:cNvSpPr>
          <a:spLocks noChangeShapeType="1"/>
        </xdr:cNvSpPr>
      </xdr:nvSpPr>
      <xdr:spPr bwMode="auto">
        <a:xfrm flipH="1">
          <a:off x="1057275" y="6410325"/>
          <a:ext cx="81915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628650</xdr:colOff>
      <xdr:row>61</xdr:row>
      <xdr:rowOff>133350</xdr:rowOff>
    </xdr:from>
    <xdr:to>
      <xdr:col>6</xdr:col>
      <xdr:colOff>171450</xdr:colOff>
      <xdr:row>66</xdr:row>
      <xdr:rowOff>161925</xdr:rowOff>
    </xdr:to>
    <xdr:sp macro="" textlink="">
      <xdr:nvSpPr>
        <xdr:cNvPr id="10829409" name="Oval 47">
          <a:extLst>
            <a:ext uri="{FF2B5EF4-FFF2-40B4-BE49-F238E27FC236}">
              <a16:creationId xmlns:a16="http://schemas.microsoft.com/office/drawing/2014/main" id="{00000000-0008-0000-0B00-0000613EA500}"/>
            </a:ext>
          </a:extLst>
        </xdr:cNvPr>
        <xdr:cNvSpPr>
          <a:spLocks noChangeArrowheads="1"/>
        </xdr:cNvSpPr>
      </xdr:nvSpPr>
      <xdr:spPr bwMode="auto">
        <a:xfrm>
          <a:off x="3057525" y="11249025"/>
          <a:ext cx="942975" cy="8858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581025</xdr:colOff>
      <xdr:row>61</xdr:row>
      <xdr:rowOff>28575</xdr:rowOff>
    </xdr:from>
    <xdr:to>
      <xdr:col>9</xdr:col>
      <xdr:colOff>180975</xdr:colOff>
      <xdr:row>66</xdr:row>
      <xdr:rowOff>114300</xdr:rowOff>
    </xdr:to>
    <xdr:sp macro="" textlink="">
      <xdr:nvSpPr>
        <xdr:cNvPr id="10829410" name="Oval 48">
          <a:extLst>
            <a:ext uri="{FF2B5EF4-FFF2-40B4-BE49-F238E27FC236}">
              <a16:creationId xmlns:a16="http://schemas.microsoft.com/office/drawing/2014/main" id="{00000000-0008-0000-0B00-0000623EA500}"/>
            </a:ext>
          </a:extLst>
        </xdr:cNvPr>
        <xdr:cNvSpPr>
          <a:spLocks noChangeArrowheads="1"/>
        </xdr:cNvSpPr>
      </xdr:nvSpPr>
      <xdr:spPr bwMode="auto">
        <a:xfrm>
          <a:off x="5178425" y="11293475"/>
          <a:ext cx="984250" cy="923925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180975</xdr:colOff>
      <xdr:row>38</xdr:row>
      <xdr:rowOff>9525</xdr:rowOff>
    </xdr:from>
    <xdr:to>
      <xdr:col>13</xdr:col>
      <xdr:colOff>371475</xdr:colOff>
      <xdr:row>52</xdr:row>
      <xdr:rowOff>47625</xdr:rowOff>
    </xdr:to>
    <xdr:sp macro="" textlink="">
      <xdr:nvSpPr>
        <xdr:cNvPr id="10829411" name="Line 49">
          <a:extLst>
            <a:ext uri="{FF2B5EF4-FFF2-40B4-BE49-F238E27FC236}">
              <a16:creationId xmlns:a16="http://schemas.microsoft.com/office/drawing/2014/main" id="{00000000-0008-0000-0B00-0000633EA500}"/>
            </a:ext>
          </a:extLst>
        </xdr:cNvPr>
        <xdr:cNvSpPr>
          <a:spLocks noChangeShapeType="1"/>
        </xdr:cNvSpPr>
      </xdr:nvSpPr>
      <xdr:spPr bwMode="auto">
        <a:xfrm>
          <a:off x="9001125" y="7067550"/>
          <a:ext cx="190500" cy="24193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37</xdr:row>
      <xdr:rowOff>142875</xdr:rowOff>
    </xdr:from>
    <xdr:to>
      <xdr:col>15</xdr:col>
      <xdr:colOff>676275</xdr:colOff>
      <xdr:row>52</xdr:row>
      <xdr:rowOff>123825</xdr:rowOff>
    </xdr:to>
    <xdr:sp macro="" textlink="">
      <xdr:nvSpPr>
        <xdr:cNvPr id="10829412" name="Line 50">
          <a:extLst>
            <a:ext uri="{FF2B5EF4-FFF2-40B4-BE49-F238E27FC236}">
              <a16:creationId xmlns:a16="http://schemas.microsoft.com/office/drawing/2014/main" id="{00000000-0008-0000-0B00-0000643EA500}"/>
            </a:ext>
          </a:extLst>
        </xdr:cNvPr>
        <xdr:cNvSpPr>
          <a:spLocks noChangeShapeType="1"/>
        </xdr:cNvSpPr>
      </xdr:nvSpPr>
      <xdr:spPr bwMode="auto">
        <a:xfrm flipV="1">
          <a:off x="10382250" y="7038975"/>
          <a:ext cx="676275" cy="25241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18</xdr:row>
      <xdr:rowOff>104775</xdr:rowOff>
    </xdr:from>
    <xdr:to>
      <xdr:col>6</xdr:col>
      <xdr:colOff>0</xdr:colOff>
      <xdr:row>26</xdr:row>
      <xdr:rowOff>0</xdr:rowOff>
    </xdr:to>
    <xdr:sp macro="" textlink="">
      <xdr:nvSpPr>
        <xdr:cNvPr id="10829413" name="Oval 51">
          <a:extLst>
            <a:ext uri="{FF2B5EF4-FFF2-40B4-BE49-F238E27FC236}">
              <a16:creationId xmlns:a16="http://schemas.microsoft.com/office/drawing/2014/main" id="{00000000-0008-0000-0B00-0000653EA500}"/>
            </a:ext>
          </a:extLst>
        </xdr:cNvPr>
        <xdr:cNvSpPr>
          <a:spLocks noChangeArrowheads="1"/>
        </xdr:cNvSpPr>
      </xdr:nvSpPr>
      <xdr:spPr bwMode="auto">
        <a:xfrm>
          <a:off x="2438400" y="3657600"/>
          <a:ext cx="1390650" cy="1333500"/>
        </a:xfrm>
        <a:prstGeom prst="ellips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66675</xdr:colOff>
      <xdr:row>16</xdr:row>
      <xdr:rowOff>66675</xdr:rowOff>
    </xdr:from>
    <xdr:to>
      <xdr:col>4</xdr:col>
      <xdr:colOff>190500</xdr:colOff>
      <xdr:row>19</xdr:row>
      <xdr:rowOff>142875</xdr:rowOff>
    </xdr:to>
    <xdr:sp macro="" textlink="">
      <xdr:nvSpPr>
        <xdr:cNvPr id="10829414" name="Line 52">
          <a:extLst>
            <a:ext uri="{FF2B5EF4-FFF2-40B4-BE49-F238E27FC236}">
              <a16:creationId xmlns:a16="http://schemas.microsoft.com/office/drawing/2014/main" id="{00000000-0008-0000-0B00-0000663EA500}"/>
            </a:ext>
          </a:extLst>
        </xdr:cNvPr>
        <xdr:cNvSpPr>
          <a:spLocks noChangeShapeType="1"/>
        </xdr:cNvSpPr>
      </xdr:nvSpPr>
      <xdr:spPr bwMode="auto">
        <a:xfrm flipH="1" flipV="1">
          <a:off x="2495550" y="3295650"/>
          <a:ext cx="123825" cy="5810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15</xdr:row>
      <xdr:rowOff>123825</xdr:rowOff>
    </xdr:from>
    <xdr:to>
      <xdr:col>3</xdr:col>
      <xdr:colOff>533400</xdr:colOff>
      <xdr:row>30</xdr:row>
      <xdr:rowOff>104775</xdr:rowOff>
    </xdr:to>
    <xdr:sp macro="" textlink="">
      <xdr:nvSpPr>
        <xdr:cNvPr id="10829415" name="Line 53">
          <a:extLst>
            <a:ext uri="{FF2B5EF4-FFF2-40B4-BE49-F238E27FC236}">
              <a16:creationId xmlns:a16="http://schemas.microsoft.com/office/drawing/2014/main" id="{00000000-0008-0000-0B00-0000673EA500}"/>
            </a:ext>
          </a:extLst>
        </xdr:cNvPr>
        <xdr:cNvSpPr>
          <a:spLocks noChangeShapeType="1"/>
        </xdr:cNvSpPr>
      </xdr:nvSpPr>
      <xdr:spPr bwMode="auto">
        <a:xfrm flipV="1">
          <a:off x="2219325" y="3190875"/>
          <a:ext cx="47625" cy="25812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485775</xdr:colOff>
      <xdr:row>41</xdr:row>
      <xdr:rowOff>9525</xdr:rowOff>
    </xdr:from>
    <xdr:to>
      <xdr:col>8</xdr:col>
      <xdr:colOff>200025</xdr:colOff>
      <xdr:row>47</xdr:row>
      <xdr:rowOff>76200</xdr:rowOff>
    </xdr:to>
    <xdr:sp macro="" textlink="">
      <xdr:nvSpPr>
        <xdr:cNvPr id="10829416" name="Oval 54">
          <a:extLst>
            <a:ext uri="{FF2B5EF4-FFF2-40B4-BE49-F238E27FC236}">
              <a16:creationId xmlns:a16="http://schemas.microsoft.com/office/drawing/2014/main" id="{00000000-0008-0000-0B00-0000683EA500}"/>
            </a:ext>
          </a:extLst>
        </xdr:cNvPr>
        <xdr:cNvSpPr>
          <a:spLocks noChangeArrowheads="1"/>
        </xdr:cNvSpPr>
      </xdr:nvSpPr>
      <xdr:spPr bwMode="auto">
        <a:xfrm>
          <a:off x="3552825" y="7591425"/>
          <a:ext cx="1952625" cy="10572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695325</xdr:colOff>
      <xdr:row>36</xdr:row>
      <xdr:rowOff>104775</xdr:rowOff>
    </xdr:from>
    <xdr:to>
      <xdr:col>9</xdr:col>
      <xdr:colOff>95250</xdr:colOff>
      <xdr:row>42</xdr:row>
      <xdr:rowOff>38100</xdr:rowOff>
    </xdr:to>
    <xdr:sp macro="" textlink="">
      <xdr:nvSpPr>
        <xdr:cNvPr id="10829417" name="Line 55">
          <a:extLst>
            <a:ext uri="{FF2B5EF4-FFF2-40B4-BE49-F238E27FC236}">
              <a16:creationId xmlns:a16="http://schemas.microsoft.com/office/drawing/2014/main" id="{00000000-0008-0000-0B00-0000693EA500}"/>
            </a:ext>
          </a:extLst>
        </xdr:cNvPr>
        <xdr:cNvSpPr>
          <a:spLocks noChangeShapeType="1"/>
        </xdr:cNvSpPr>
      </xdr:nvSpPr>
      <xdr:spPr bwMode="auto">
        <a:xfrm flipH="1">
          <a:off x="5286375" y="6838950"/>
          <a:ext cx="781050" cy="9429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466725</xdr:colOff>
      <xdr:row>41</xdr:row>
      <xdr:rowOff>0</xdr:rowOff>
    </xdr:from>
    <xdr:to>
      <xdr:col>8</xdr:col>
      <xdr:colOff>190500</xdr:colOff>
      <xdr:row>59</xdr:row>
      <xdr:rowOff>28575</xdr:rowOff>
    </xdr:to>
    <xdr:sp macro="" textlink="">
      <xdr:nvSpPr>
        <xdr:cNvPr id="10829418" name="Rectangle 56">
          <a:extLst>
            <a:ext uri="{FF2B5EF4-FFF2-40B4-BE49-F238E27FC236}">
              <a16:creationId xmlns:a16="http://schemas.microsoft.com/office/drawing/2014/main" id="{00000000-0008-0000-0B00-00006A3EA500}"/>
            </a:ext>
          </a:extLst>
        </xdr:cNvPr>
        <xdr:cNvSpPr>
          <a:spLocks noChangeArrowheads="1"/>
        </xdr:cNvSpPr>
      </xdr:nvSpPr>
      <xdr:spPr bwMode="auto">
        <a:xfrm>
          <a:off x="3533775" y="7581900"/>
          <a:ext cx="1962150" cy="32385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390525</xdr:colOff>
      <xdr:row>45</xdr:row>
      <xdr:rowOff>85725</xdr:rowOff>
    </xdr:from>
    <xdr:to>
      <xdr:col>5</xdr:col>
      <xdr:colOff>561975</xdr:colOff>
      <xdr:row>47</xdr:row>
      <xdr:rowOff>9525</xdr:rowOff>
    </xdr:to>
    <xdr:sp macro="" textlink="">
      <xdr:nvSpPr>
        <xdr:cNvPr id="10829419" name="Line 57">
          <a:extLst>
            <a:ext uri="{FF2B5EF4-FFF2-40B4-BE49-F238E27FC236}">
              <a16:creationId xmlns:a16="http://schemas.microsoft.com/office/drawing/2014/main" id="{00000000-0008-0000-0B00-00006B3EA500}"/>
            </a:ext>
          </a:extLst>
        </xdr:cNvPr>
        <xdr:cNvSpPr>
          <a:spLocks noChangeShapeType="1"/>
        </xdr:cNvSpPr>
      </xdr:nvSpPr>
      <xdr:spPr bwMode="auto">
        <a:xfrm flipH="1">
          <a:off x="2819400" y="8315325"/>
          <a:ext cx="809625" cy="2667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</xdr:row>
      <xdr:rowOff>0</xdr:rowOff>
    </xdr:from>
    <xdr:to>
      <xdr:col>7</xdr:col>
      <xdr:colOff>0</xdr:colOff>
      <xdr:row>41</xdr:row>
      <xdr:rowOff>9525</xdr:rowOff>
    </xdr:to>
    <xdr:sp macro="" textlink="">
      <xdr:nvSpPr>
        <xdr:cNvPr id="10829420" name="Line 58">
          <a:extLst>
            <a:ext uri="{FF2B5EF4-FFF2-40B4-BE49-F238E27FC236}">
              <a16:creationId xmlns:a16="http://schemas.microsoft.com/office/drawing/2014/main" id="{00000000-0008-0000-0B00-00006C3EA500}"/>
            </a:ext>
          </a:extLst>
        </xdr:cNvPr>
        <xdr:cNvSpPr>
          <a:spLocks noChangeShapeType="1"/>
        </xdr:cNvSpPr>
      </xdr:nvSpPr>
      <xdr:spPr bwMode="auto">
        <a:xfrm>
          <a:off x="4591050" y="7058025"/>
          <a:ext cx="0" cy="5334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829421" name="Line 59">
          <a:extLst>
            <a:ext uri="{FF2B5EF4-FFF2-40B4-BE49-F238E27FC236}">
              <a16:creationId xmlns:a16="http://schemas.microsoft.com/office/drawing/2014/main" id="{00000000-0008-0000-0B00-00006D3EA500}"/>
            </a:ext>
          </a:extLst>
        </xdr:cNvPr>
        <xdr:cNvSpPr>
          <a:spLocks noChangeShapeType="1"/>
        </xdr:cNvSpPr>
      </xdr:nvSpPr>
      <xdr:spPr bwMode="auto">
        <a:xfrm flipH="1">
          <a:off x="13249275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0</xdr:row>
      <xdr:rowOff>0</xdr:rowOff>
    </xdr:from>
    <xdr:to>
      <xdr:col>4</xdr:col>
      <xdr:colOff>371475</xdr:colOff>
      <xdr:row>0</xdr:row>
      <xdr:rowOff>0</xdr:rowOff>
    </xdr:to>
    <xdr:sp macro="" textlink="">
      <xdr:nvSpPr>
        <xdr:cNvPr id="10829422" name="Arc 60">
          <a:extLst>
            <a:ext uri="{FF2B5EF4-FFF2-40B4-BE49-F238E27FC236}">
              <a16:creationId xmlns:a16="http://schemas.microsoft.com/office/drawing/2014/main" id="{00000000-0008-0000-0B00-00006E3EA500}"/>
            </a:ext>
          </a:extLst>
        </xdr:cNvPr>
        <xdr:cNvSpPr>
          <a:spLocks/>
        </xdr:cNvSpPr>
      </xdr:nvSpPr>
      <xdr:spPr bwMode="auto">
        <a:xfrm flipH="1" flipV="1">
          <a:off x="2790825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29423" name="Line 61">
          <a:extLst>
            <a:ext uri="{FF2B5EF4-FFF2-40B4-BE49-F238E27FC236}">
              <a16:creationId xmlns:a16="http://schemas.microsoft.com/office/drawing/2014/main" id="{00000000-0008-0000-0B00-00006F3EA500}"/>
            </a:ext>
          </a:extLst>
        </xdr:cNvPr>
        <xdr:cNvSpPr>
          <a:spLocks noChangeShapeType="1"/>
        </xdr:cNvSpPr>
      </xdr:nvSpPr>
      <xdr:spPr bwMode="auto">
        <a:xfrm flipV="1">
          <a:off x="459105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504825</xdr:colOff>
      <xdr:row>0</xdr:row>
      <xdr:rowOff>0</xdr:rowOff>
    </xdr:from>
    <xdr:to>
      <xdr:col>12</xdr:col>
      <xdr:colOff>561975</xdr:colOff>
      <xdr:row>0</xdr:row>
      <xdr:rowOff>0</xdr:rowOff>
    </xdr:to>
    <xdr:sp macro="" textlink="">
      <xdr:nvSpPr>
        <xdr:cNvPr id="10829424" name="Arc 62">
          <a:extLst>
            <a:ext uri="{FF2B5EF4-FFF2-40B4-BE49-F238E27FC236}">
              <a16:creationId xmlns:a16="http://schemas.microsoft.com/office/drawing/2014/main" id="{00000000-0008-0000-0B00-0000703EA500}"/>
            </a:ext>
          </a:extLst>
        </xdr:cNvPr>
        <xdr:cNvSpPr>
          <a:spLocks/>
        </xdr:cNvSpPr>
      </xdr:nvSpPr>
      <xdr:spPr bwMode="auto">
        <a:xfrm flipV="1">
          <a:off x="8629650" y="0"/>
          <a:ext cx="57150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29425" name="Arc 63">
          <a:extLst>
            <a:ext uri="{FF2B5EF4-FFF2-40B4-BE49-F238E27FC236}">
              <a16:creationId xmlns:a16="http://schemas.microsoft.com/office/drawing/2014/main" id="{00000000-0008-0000-0B00-0000713EA500}"/>
            </a:ext>
          </a:extLst>
        </xdr:cNvPr>
        <xdr:cNvSpPr>
          <a:spLocks/>
        </xdr:cNvSpPr>
      </xdr:nvSpPr>
      <xdr:spPr bwMode="auto">
        <a:xfrm flipH="1">
          <a:off x="8943975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123825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0829426" name="Arc 64">
          <a:extLst>
            <a:ext uri="{FF2B5EF4-FFF2-40B4-BE49-F238E27FC236}">
              <a16:creationId xmlns:a16="http://schemas.microsoft.com/office/drawing/2014/main" id="{00000000-0008-0000-0B00-0000723EA500}"/>
            </a:ext>
          </a:extLst>
        </xdr:cNvPr>
        <xdr:cNvSpPr>
          <a:spLocks/>
        </xdr:cNvSpPr>
      </xdr:nvSpPr>
      <xdr:spPr bwMode="auto">
        <a:xfrm>
          <a:off x="8943975" y="0"/>
          <a:ext cx="28575" cy="0"/>
        </a:xfrm>
        <a:custGeom>
          <a:avLst/>
          <a:gdLst>
            <a:gd name="T0" fmla="*/ 0 w 21600"/>
            <a:gd name="T1" fmla="*/ 0 h 21600"/>
            <a:gd name="T2" fmla="*/ 2147483647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829427" name="Line 65">
          <a:extLst>
            <a:ext uri="{FF2B5EF4-FFF2-40B4-BE49-F238E27FC236}">
              <a16:creationId xmlns:a16="http://schemas.microsoft.com/office/drawing/2014/main" id="{00000000-0008-0000-0B00-0000733EA500}"/>
            </a:ext>
          </a:extLst>
        </xdr:cNvPr>
        <xdr:cNvSpPr>
          <a:spLocks noChangeShapeType="1"/>
        </xdr:cNvSpPr>
      </xdr:nvSpPr>
      <xdr:spPr bwMode="auto">
        <a:xfrm>
          <a:off x="4591050" y="0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9428" name="Line 66">
          <a:extLst>
            <a:ext uri="{FF2B5EF4-FFF2-40B4-BE49-F238E27FC236}">
              <a16:creationId xmlns:a16="http://schemas.microsoft.com/office/drawing/2014/main" id="{00000000-0008-0000-0B00-0000743EA500}"/>
            </a:ext>
          </a:extLst>
        </xdr:cNvPr>
        <xdr:cNvSpPr>
          <a:spLocks noChangeShapeType="1"/>
        </xdr:cNvSpPr>
      </xdr:nvSpPr>
      <xdr:spPr bwMode="auto">
        <a:xfrm flipH="1">
          <a:off x="13249275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29" name="Line 67">
          <a:extLst>
            <a:ext uri="{FF2B5EF4-FFF2-40B4-BE49-F238E27FC236}">
              <a16:creationId xmlns:a16="http://schemas.microsoft.com/office/drawing/2014/main" id="{00000000-0008-0000-0B00-0000753EA500}"/>
            </a:ext>
          </a:extLst>
        </xdr:cNvPr>
        <xdr:cNvSpPr>
          <a:spLocks noChangeShapeType="1"/>
        </xdr:cNvSpPr>
      </xdr:nvSpPr>
      <xdr:spPr bwMode="auto">
        <a:xfrm flipH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29430" name="Arc 68">
          <a:extLst>
            <a:ext uri="{FF2B5EF4-FFF2-40B4-BE49-F238E27FC236}">
              <a16:creationId xmlns:a16="http://schemas.microsoft.com/office/drawing/2014/main" id="{00000000-0008-0000-0B00-0000763EA500}"/>
            </a:ext>
          </a:extLst>
        </xdr:cNvPr>
        <xdr:cNvSpPr>
          <a:spLocks/>
        </xdr:cNvSpPr>
      </xdr:nvSpPr>
      <xdr:spPr bwMode="auto">
        <a:xfrm flipH="1" flipV="1">
          <a:off x="2790825" y="12353925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31" name="Line 69">
          <a:extLst>
            <a:ext uri="{FF2B5EF4-FFF2-40B4-BE49-F238E27FC236}">
              <a16:creationId xmlns:a16="http://schemas.microsoft.com/office/drawing/2014/main" id="{00000000-0008-0000-0B00-0000773EA500}"/>
            </a:ext>
          </a:extLst>
        </xdr:cNvPr>
        <xdr:cNvSpPr>
          <a:spLocks noChangeShapeType="1"/>
        </xdr:cNvSpPr>
      </xdr:nvSpPr>
      <xdr:spPr bwMode="auto">
        <a:xfrm flipV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32" name="Line 70">
          <a:extLst>
            <a:ext uri="{FF2B5EF4-FFF2-40B4-BE49-F238E27FC236}">
              <a16:creationId xmlns:a16="http://schemas.microsoft.com/office/drawing/2014/main" id="{00000000-0008-0000-0B00-0000783EA500}"/>
            </a:ext>
          </a:extLst>
        </xdr:cNvPr>
        <xdr:cNvSpPr>
          <a:spLocks noChangeShapeType="1"/>
        </xdr:cNvSpPr>
      </xdr:nvSpPr>
      <xdr:spPr bwMode="auto">
        <a:xfrm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9433" name="Line 71">
          <a:extLst>
            <a:ext uri="{FF2B5EF4-FFF2-40B4-BE49-F238E27FC236}">
              <a16:creationId xmlns:a16="http://schemas.microsoft.com/office/drawing/2014/main" id="{00000000-0008-0000-0B00-0000793EA500}"/>
            </a:ext>
          </a:extLst>
        </xdr:cNvPr>
        <xdr:cNvSpPr>
          <a:spLocks noChangeShapeType="1"/>
        </xdr:cNvSpPr>
      </xdr:nvSpPr>
      <xdr:spPr bwMode="auto">
        <a:xfrm flipH="1">
          <a:off x="13249275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34" name="Line 72">
          <a:extLst>
            <a:ext uri="{FF2B5EF4-FFF2-40B4-BE49-F238E27FC236}">
              <a16:creationId xmlns:a16="http://schemas.microsoft.com/office/drawing/2014/main" id="{00000000-0008-0000-0B00-00007A3EA500}"/>
            </a:ext>
          </a:extLst>
        </xdr:cNvPr>
        <xdr:cNvSpPr>
          <a:spLocks noChangeShapeType="1"/>
        </xdr:cNvSpPr>
      </xdr:nvSpPr>
      <xdr:spPr bwMode="auto">
        <a:xfrm flipH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68</xdr:row>
      <xdr:rowOff>0</xdr:rowOff>
    </xdr:from>
    <xdr:to>
      <xdr:col>4</xdr:col>
      <xdr:colOff>371475</xdr:colOff>
      <xdr:row>68</xdr:row>
      <xdr:rowOff>0</xdr:rowOff>
    </xdr:to>
    <xdr:sp macro="" textlink="">
      <xdr:nvSpPr>
        <xdr:cNvPr id="10829435" name="Arc 73">
          <a:extLst>
            <a:ext uri="{FF2B5EF4-FFF2-40B4-BE49-F238E27FC236}">
              <a16:creationId xmlns:a16="http://schemas.microsoft.com/office/drawing/2014/main" id="{00000000-0008-0000-0B00-00007B3EA500}"/>
            </a:ext>
          </a:extLst>
        </xdr:cNvPr>
        <xdr:cNvSpPr>
          <a:spLocks/>
        </xdr:cNvSpPr>
      </xdr:nvSpPr>
      <xdr:spPr bwMode="auto">
        <a:xfrm flipH="1" flipV="1">
          <a:off x="2790825" y="12353925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36" name="Line 74">
          <a:extLst>
            <a:ext uri="{FF2B5EF4-FFF2-40B4-BE49-F238E27FC236}">
              <a16:creationId xmlns:a16="http://schemas.microsoft.com/office/drawing/2014/main" id="{00000000-0008-0000-0B00-00007C3EA500}"/>
            </a:ext>
          </a:extLst>
        </xdr:cNvPr>
        <xdr:cNvSpPr>
          <a:spLocks noChangeShapeType="1"/>
        </xdr:cNvSpPr>
      </xdr:nvSpPr>
      <xdr:spPr bwMode="auto">
        <a:xfrm flipV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37" name="Line 75">
          <a:extLst>
            <a:ext uri="{FF2B5EF4-FFF2-40B4-BE49-F238E27FC236}">
              <a16:creationId xmlns:a16="http://schemas.microsoft.com/office/drawing/2014/main" id="{00000000-0008-0000-0B00-00007D3EA500}"/>
            </a:ext>
          </a:extLst>
        </xdr:cNvPr>
        <xdr:cNvSpPr>
          <a:spLocks noChangeShapeType="1"/>
        </xdr:cNvSpPr>
      </xdr:nvSpPr>
      <xdr:spPr bwMode="auto">
        <a:xfrm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9438" name="Line 76">
          <a:extLst>
            <a:ext uri="{FF2B5EF4-FFF2-40B4-BE49-F238E27FC236}">
              <a16:creationId xmlns:a16="http://schemas.microsoft.com/office/drawing/2014/main" id="{00000000-0008-0000-0B00-00007E3EA500}"/>
            </a:ext>
          </a:extLst>
        </xdr:cNvPr>
        <xdr:cNvSpPr>
          <a:spLocks noChangeShapeType="1"/>
        </xdr:cNvSpPr>
      </xdr:nvSpPr>
      <xdr:spPr bwMode="auto">
        <a:xfrm flipH="1">
          <a:off x="13249275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39" name="Line 77">
          <a:extLst>
            <a:ext uri="{FF2B5EF4-FFF2-40B4-BE49-F238E27FC236}">
              <a16:creationId xmlns:a16="http://schemas.microsoft.com/office/drawing/2014/main" id="{00000000-0008-0000-0B00-00007F3EA500}"/>
            </a:ext>
          </a:extLst>
        </xdr:cNvPr>
        <xdr:cNvSpPr>
          <a:spLocks noChangeShapeType="1"/>
        </xdr:cNvSpPr>
      </xdr:nvSpPr>
      <xdr:spPr bwMode="auto">
        <a:xfrm flipH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40" name="Line 78">
          <a:extLst>
            <a:ext uri="{FF2B5EF4-FFF2-40B4-BE49-F238E27FC236}">
              <a16:creationId xmlns:a16="http://schemas.microsoft.com/office/drawing/2014/main" id="{00000000-0008-0000-0B00-0000803EA500}"/>
            </a:ext>
          </a:extLst>
        </xdr:cNvPr>
        <xdr:cNvSpPr>
          <a:spLocks noChangeShapeType="1"/>
        </xdr:cNvSpPr>
      </xdr:nvSpPr>
      <xdr:spPr bwMode="auto">
        <a:xfrm flipV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41" name="Line 79">
          <a:extLst>
            <a:ext uri="{FF2B5EF4-FFF2-40B4-BE49-F238E27FC236}">
              <a16:creationId xmlns:a16="http://schemas.microsoft.com/office/drawing/2014/main" id="{00000000-0008-0000-0B00-0000813EA500}"/>
            </a:ext>
          </a:extLst>
        </xdr:cNvPr>
        <xdr:cNvSpPr>
          <a:spLocks noChangeShapeType="1"/>
        </xdr:cNvSpPr>
      </xdr:nvSpPr>
      <xdr:spPr bwMode="auto">
        <a:xfrm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9442" name="Line 80">
          <a:extLst>
            <a:ext uri="{FF2B5EF4-FFF2-40B4-BE49-F238E27FC236}">
              <a16:creationId xmlns:a16="http://schemas.microsoft.com/office/drawing/2014/main" id="{00000000-0008-0000-0B00-0000823EA500}"/>
            </a:ext>
          </a:extLst>
        </xdr:cNvPr>
        <xdr:cNvSpPr>
          <a:spLocks noChangeShapeType="1"/>
        </xdr:cNvSpPr>
      </xdr:nvSpPr>
      <xdr:spPr bwMode="auto">
        <a:xfrm flipH="1">
          <a:off x="13249275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43" name="Line 81">
          <a:extLst>
            <a:ext uri="{FF2B5EF4-FFF2-40B4-BE49-F238E27FC236}">
              <a16:creationId xmlns:a16="http://schemas.microsoft.com/office/drawing/2014/main" id="{00000000-0008-0000-0B00-0000833EA500}"/>
            </a:ext>
          </a:extLst>
        </xdr:cNvPr>
        <xdr:cNvSpPr>
          <a:spLocks noChangeShapeType="1"/>
        </xdr:cNvSpPr>
      </xdr:nvSpPr>
      <xdr:spPr bwMode="auto">
        <a:xfrm flipH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44" name="Line 82">
          <a:extLst>
            <a:ext uri="{FF2B5EF4-FFF2-40B4-BE49-F238E27FC236}">
              <a16:creationId xmlns:a16="http://schemas.microsoft.com/office/drawing/2014/main" id="{00000000-0008-0000-0B00-0000843EA500}"/>
            </a:ext>
          </a:extLst>
        </xdr:cNvPr>
        <xdr:cNvSpPr>
          <a:spLocks noChangeShapeType="1"/>
        </xdr:cNvSpPr>
      </xdr:nvSpPr>
      <xdr:spPr bwMode="auto">
        <a:xfrm flipV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45" name="Line 83">
          <a:extLst>
            <a:ext uri="{FF2B5EF4-FFF2-40B4-BE49-F238E27FC236}">
              <a16:creationId xmlns:a16="http://schemas.microsoft.com/office/drawing/2014/main" id="{00000000-0008-0000-0B00-0000853EA500}"/>
            </a:ext>
          </a:extLst>
        </xdr:cNvPr>
        <xdr:cNvSpPr>
          <a:spLocks noChangeShapeType="1"/>
        </xdr:cNvSpPr>
      </xdr:nvSpPr>
      <xdr:spPr bwMode="auto">
        <a:xfrm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9446" name="Line 84">
          <a:extLst>
            <a:ext uri="{FF2B5EF4-FFF2-40B4-BE49-F238E27FC236}">
              <a16:creationId xmlns:a16="http://schemas.microsoft.com/office/drawing/2014/main" id="{00000000-0008-0000-0B00-0000863EA500}"/>
            </a:ext>
          </a:extLst>
        </xdr:cNvPr>
        <xdr:cNvSpPr>
          <a:spLocks noChangeShapeType="1"/>
        </xdr:cNvSpPr>
      </xdr:nvSpPr>
      <xdr:spPr bwMode="auto">
        <a:xfrm flipH="1">
          <a:off x="13249275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47" name="Line 85">
          <a:extLst>
            <a:ext uri="{FF2B5EF4-FFF2-40B4-BE49-F238E27FC236}">
              <a16:creationId xmlns:a16="http://schemas.microsoft.com/office/drawing/2014/main" id="{00000000-0008-0000-0B00-0000873EA500}"/>
            </a:ext>
          </a:extLst>
        </xdr:cNvPr>
        <xdr:cNvSpPr>
          <a:spLocks noChangeShapeType="1"/>
        </xdr:cNvSpPr>
      </xdr:nvSpPr>
      <xdr:spPr bwMode="auto">
        <a:xfrm flipH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48" name="Line 86">
          <a:extLst>
            <a:ext uri="{FF2B5EF4-FFF2-40B4-BE49-F238E27FC236}">
              <a16:creationId xmlns:a16="http://schemas.microsoft.com/office/drawing/2014/main" id="{00000000-0008-0000-0B00-0000883EA500}"/>
            </a:ext>
          </a:extLst>
        </xdr:cNvPr>
        <xdr:cNvSpPr>
          <a:spLocks noChangeShapeType="1"/>
        </xdr:cNvSpPr>
      </xdr:nvSpPr>
      <xdr:spPr bwMode="auto">
        <a:xfrm flipV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49" name="Line 87">
          <a:extLst>
            <a:ext uri="{FF2B5EF4-FFF2-40B4-BE49-F238E27FC236}">
              <a16:creationId xmlns:a16="http://schemas.microsoft.com/office/drawing/2014/main" id="{00000000-0008-0000-0B00-0000893EA500}"/>
            </a:ext>
          </a:extLst>
        </xdr:cNvPr>
        <xdr:cNvSpPr>
          <a:spLocks noChangeShapeType="1"/>
        </xdr:cNvSpPr>
      </xdr:nvSpPr>
      <xdr:spPr bwMode="auto">
        <a:xfrm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9450" name="Line 88">
          <a:extLst>
            <a:ext uri="{FF2B5EF4-FFF2-40B4-BE49-F238E27FC236}">
              <a16:creationId xmlns:a16="http://schemas.microsoft.com/office/drawing/2014/main" id="{00000000-0008-0000-0B00-00008A3EA500}"/>
            </a:ext>
          </a:extLst>
        </xdr:cNvPr>
        <xdr:cNvSpPr>
          <a:spLocks noChangeShapeType="1"/>
        </xdr:cNvSpPr>
      </xdr:nvSpPr>
      <xdr:spPr bwMode="auto">
        <a:xfrm flipH="1">
          <a:off x="13249275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51" name="Line 89">
          <a:extLst>
            <a:ext uri="{FF2B5EF4-FFF2-40B4-BE49-F238E27FC236}">
              <a16:creationId xmlns:a16="http://schemas.microsoft.com/office/drawing/2014/main" id="{00000000-0008-0000-0B00-00008B3EA500}"/>
            </a:ext>
          </a:extLst>
        </xdr:cNvPr>
        <xdr:cNvSpPr>
          <a:spLocks noChangeShapeType="1"/>
        </xdr:cNvSpPr>
      </xdr:nvSpPr>
      <xdr:spPr bwMode="auto">
        <a:xfrm flipH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52" name="Line 90">
          <a:extLst>
            <a:ext uri="{FF2B5EF4-FFF2-40B4-BE49-F238E27FC236}">
              <a16:creationId xmlns:a16="http://schemas.microsoft.com/office/drawing/2014/main" id="{00000000-0008-0000-0B00-00008C3EA500}"/>
            </a:ext>
          </a:extLst>
        </xdr:cNvPr>
        <xdr:cNvSpPr>
          <a:spLocks noChangeShapeType="1"/>
        </xdr:cNvSpPr>
      </xdr:nvSpPr>
      <xdr:spPr bwMode="auto">
        <a:xfrm flipV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53" name="Line 91">
          <a:extLst>
            <a:ext uri="{FF2B5EF4-FFF2-40B4-BE49-F238E27FC236}">
              <a16:creationId xmlns:a16="http://schemas.microsoft.com/office/drawing/2014/main" id="{00000000-0008-0000-0B00-00008D3EA500}"/>
            </a:ext>
          </a:extLst>
        </xdr:cNvPr>
        <xdr:cNvSpPr>
          <a:spLocks noChangeShapeType="1"/>
        </xdr:cNvSpPr>
      </xdr:nvSpPr>
      <xdr:spPr bwMode="auto">
        <a:xfrm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9454" name="Line 92">
          <a:extLst>
            <a:ext uri="{FF2B5EF4-FFF2-40B4-BE49-F238E27FC236}">
              <a16:creationId xmlns:a16="http://schemas.microsoft.com/office/drawing/2014/main" id="{00000000-0008-0000-0B00-00008E3EA500}"/>
            </a:ext>
          </a:extLst>
        </xdr:cNvPr>
        <xdr:cNvSpPr>
          <a:spLocks noChangeShapeType="1"/>
        </xdr:cNvSpPr>
      </xdr:nvSpPr>
      <xdr:spPr bwMode="auto">
        <a:xfrm flipH="1">
          <a:off x="13249275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55" name="Line 93">
          <a:extLst>
            <a:ext uri="{FF2B5EF4-FFF2-40B4-BE49-F238E27FC236}">
              <a16:creationId xmlns:a16="http://schemas.microsoft.com/office/drawing/2014/main" id="{00000000-0008-0000-0B00-00008F3EA500}"/>
            </a:ext>
          </a:extLst>
        </xdr:cNvPr>
        <xdr:cNvSpPr>
          <a:spLocks noChangeShapeType="1"/>
        </xdr:cNvSpPr>
      </xdr:nvSpPr>
      <xdr:spPr bwMode="auto">
        <a:xfrm flipH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56" name="Line 94">
          <a:extLst>
            <a:ext uri="{FF2B5EF4-FFF2-40B4-BE49-F238E27FC236}">
              <a16:creationId xmlns:a16="http://schemas.microsoft.com/office/drawing/2014/main" id="{00000000-0008-0000-0B00-0000903EA500}"/>
            </a:ext>
          </a:extLst>
        </xdr:cNvPr>
        <xdr:cNvSpPr>
          <a:spLocks noChangeShapeType="1"/>
        </xdr:cNvSpPr>
      </xdr:nvSpPr>
      <xdr:spPr bwMode="auto">
        <a:xfrm flipV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57" name="Line 95">
          <a:extLst>
            <a:ext uri="{FF2B5EF4-FFF2-40B4-BE49-F238E27FC236}">
              <a16:creationId xmlns:a16="http://schemas.microsoft.com/office/drawing/2014/main" id="{00000000-0008-0000-0B00-0000913EA500}"/>
            </a:ext>
          </a:extLst>
        </xdr:cNvPr>
        <xdr:cNvSpPr>
          <a:spLocks noChangeShapeType="1"/>
        </xdr:cNvSpPr>
      </xdr:nvSpPr>
      <xdr:spPr bwMode="auto">
        <a:xfrm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9458" name="Line 96">
          <a:extLst>
            <a:ext uri="{FF2B5EF4-FFF2-40B4-BE49-F238E27FC236}">
              <a16:creationId xmlns:a16="http://schemas.microsoft.com/office/drawing/2014/main" id="{00000000-0008-0000-0B00-0000923EA500}"/>
            </a:ext>
          </a:extLst>
        </xdr:cNvPr>
        <xdr:cNvSpPr>
          <a:spLocks noChangeShapeType="1"/>
        </xdr:cNvSpPr>
      </xdr:nvSpPr>
      <xdr:spPr bwMode="auto">
        <a:xfrm flipH="1">
          <a:off x="13249275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59" name="Line 97">
          <a:extLst>
            <a:ext uri="{FF2B5EF4-FFF2-40B4-BE49-F238E27FC236}">
              <a16:creationId xmlns:a16="http://schemas.microsoft.com/office/drawing/2014/main" id="{00000000-0008-0000-0B00-0000933EA500}"/>
            </a:ext>
          </a:extLst>
        </xdr:cNvPr>
        <xdr:cNvSpPr>
          <a:spLocks noChangeShapeType="1"/>
        </xdr:cNvSpPr>
      </xdr:nvSpPr>
      <xdr:spPr bwMode="auto">
        <a:xfrm flipH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60" name="Line 98">
          <a:extLst>
            <a:ext uri="{FF2B5EF4-FFF2-40B4-BE49-F238E27FC236}">
              <a16:creationId xmlns:a16="http://schemas.microsoft.com/office/drawing/2014/main" id="{00000000-0008-0000-0B00-0000943EA500}"/>
            </a:ext>
          </a:extLst>
        </xdr:cNvPr>
        <xdr:cNvSpPr>
          <a:spLocks noChangeShapeType="1"/>
        </xdr:cNvSpPr>
      </xdr:nvSpPr>
      <xdr:spPr bwMode="auto">
        <a:xfrm flipV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61" name="Line 99">
          <a:extLst>
            <a:ext uri="{FF2B5EF4-FFF2-40B4-BE49-F238E27FC236}">
              <a16:creationId xmlns:a16="http://schemas.microsoft.com/office/drawing/2014/main" id="{00000000-0008-0000-0B00-0000953EA500}"/>
            </a:ext>
          </a:extLst>
        </xdr:cNvPr>
        <xdr:cNvSpPr>
          <a:spLocks noChangeShapeType="1"/>
        </xdr:cNvSpPr>
      </xdr:nvSpPr>
      <xdr:spPr bwMode="auto">
        <a:xfrm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9462" name="Line 100">
          <a:extLst>
            <a:ext uri="{FF2B5EF4-FFF2-40B4-BE49-F238E27FC236}">
              <a16:creationId xmlns:a16="http://schemas.microsoft.com/office/drawing/2014/main" id="{00000000-0008-0000-0B00-0000963EA500}"/>
            </a:ext>
          </a:extLst>
        </xdr:cNvPr>
        <xdr:cNvSpPr>
          <a:spLocks noChangeShapeType="1"/>
        </xdr:cNvSpPr>
      </xdr:nvSpPr>
      <xdr:spPr bwMode="auto">
        <a:xfrm flipH="1">
          <a:off x="13249275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63" name="Line 101">
          <a:extLst>
            <a:ext uri="{FF2B5EF4-FFF2-40B4-BE49-F238E27FC236}">
              <a16:creationId xmlns:a16="http://schemas.microsoft.com/office/drawing/2014/main" id="{00000000-0008-0000-0B00-0000973EA500}"/>
            </a:ext>
          </a:extLst>
        </xdr:cNvPr>
        <xdr:cNvSpPr>
          <a:spLocks noChangeShapeType="1"/>
        </xdr:cNvSpPr>
      </xdr:nvSpPr>
      <xdr:spPr bwMode="auto">
        <a:xfrm flipH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64" name="Line 102">
          <a:extLst>
            <a:ext uri="{FF2B5EF4-FFF2-40B4-BE49-F238E27FC236}">
              <a16:creationId xmlns:a16="http://schemas.microsoft.com/office/drawing/2014/main" id="{00000000-0008-0000-0B00-0000983EA500}"/>
            </a:ext>
          </a:extLst>
        </xdr:cNvPr>
        <xdr:cNvSpPr>
          <a:spLocks noChangeShapeType="1"/>
        </xdr:cNvSpPr>
      </xdr:nvSpPr>
      <xdr:spPr bwMode="auto">
        <a:xfrm flipV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65" name="Line 103">
          <a:extLst>
            <a:ext uri="{FF2B5EF4-FFF2-40B4-BE49-F238E27FC236}">
              <a16:creationId xmlns:a16="http://schemas.microsoft.com/office/drawing/2014/main" id="{00000000-0008-0000-0B00-0000993EA500}"/>
            </a:ext>
          </a:extLst>
        </xdr:cNvPr>
        <xdr:cNvSpPr>
          <a:spLocks noChangeShapeType="1"/>
        </xdr:cNvSpPr>
      </xdr:nvSpPr>
      <xdr:spPr bwMode="auto">
        <a:xfrm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9466" name="Line 104">
          <a:extLst>
            <a:ext uri="{FF2B5EF4-FFF2-40B4-BE49-F238E27FC236}">
              <a16:creationId xmlns:a16="http://schemas.microsoft.com/office/drawing/2014/main" id="{00000000-0008-0000-0B00-00009A3EA500}"/>
            </a:ext>
          </a:extLst>
        </xdr:cNvPr>
        <xdr:cNvSpPr>
          <a:spLocks noChangeShapeType="1"/>
        </xdr:cNvSpPr>
      </xdr:nvSpPr>
      <xdr:spPr bwMode="auto">
        <a:xfrm flipH="1">
          <a:off x="13249275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67" name="Line 105">
          <a:extLst>
            <a:ext uri="{FF2B5EF4-FFF2-40B4-BE49-F238E27FC236}">
              <a16:creationId xmlns:a16="http://schemas.microsoft.com/office/drawing/2014/main" id="{00000000-0008-0000-0B00-00009B3EA500}"/>
            </a:ext>
          </a:extLst>
        </xdr:cNvPr>
        <xdr:cNvSpPr>
          <a:spLocks noChangeShapeType="1"/>
        </xdr:cNvSpPr>
      </xdr:nvSpPr>
      <xdr:spPr bwMode="auto">
        <a:xfrm flipH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68" name="Line 106">
          <a:extLst>
            <a:ext uri="{FF2B5EF4-FFF2-40B4-BE49-F238E27FC236}">
              <a16:creationId xmlns:a16="http://schemas.microsoft.com/office/drawing/2014/main" id="{00000000-0008-0000-0B00-00009C3EA500}"/>
            </a:ext>
          </a:extLst>
        </xdr:cNvPr>
        <xdr:cNvSpPr>
          <a:spLocks noChangeShapeType="1"/>
        </xdr:cNvSpPr>
      </xdr:nvSpPr>
      <xdr:spPr bwMode="auto">
        <a:xfrm flipV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69" name="Line 107">
          <a:extLst>
            <a:ext uri="{FF2B5EF4-FFF2-40B4-BE49-F238E27FC236}">
              <a16:creationId xmlns:a16="http://schemas.microsoft.com/office/drawing/2014/main" id="{00000000-0008-0000-0B00-00009D3EA500}"/>
            </a:ext>
          </a:extLst>
        </xdr:cNvPr>
        <xdr:cNvSpPr>
          <a:spLocks noChangeShapeType="1"/>
        </xdr:cNvSpPr>
      </xdr:nvSpPr>
      <xdr:spPr bwMode="auto">
        <a:xfrm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9470" name="Line 108">
          <a:extLst>
            <a:ext uri="{FF2B5EF4-FFF2-40B4-BE49-F238E27FC236}">
              <a16:creationId xmlns:a16="http://schemas.microsoft.com/office/drawing/2014/main" id="{00000000-0008-0000-0B00-00009E3EA500}"/>
            </a:ext>
          </a:extLst>
        </xdr:cNvPr>
        <xdr:cNvSpPr>
          <a:spLocks noChangeShapeType="1"/>
        </xdr:cNvSpPr>
      </xdr:nvSpPr>
      <xdr:spPr bwMode="auto">
        <a:xfrm flipH="1">
          <a:off x="13249275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71" name="Line 109">
          <a:extLst>
            <a:ext uri="{FF2B5EF4-FFF2-40B4-BE49-F238E27FC236}">
              <a16:creationId xmlns:a16="http://schemas.microsoft.com/office/drawing/2014/main" id="{00000000-0008-0000-0B00-00009F3EA500}"/>
            </a:ext>
          </a:extLst>
        </xdr:cNvPr>
        <xdr:cNvSpPr>
          <a:spLocks noChangeShapeType="1"/>
        </xdr:cNvSpPr>
      </xdr:nvSpPr>
      <xdr:spPr bwMode="auto">
        <a:xfrm flipH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72" name="Line 110">
          <a:extLst>
            <a:ext uri="{FF2B5EF4-FFF2-40B4-BE49-F238E27FC236}">
              <a16:creationId xmlns:a16="http://schemas.microsoft.com/office/drawing/2014/main" id="{00000000-0008-0000-0B00-0000A03EA500}"/>
            </a:ext>
          </a:extLst>
        </xdr:cNvPr>
        <xdr:cNvSpPr>
          <a:spLocks noChangeShapeType="1"/>
        </xdr:cNvSpPr>
      </xdr:nvSpPr>
      <xdr:spPr bwMode="auto">
        <a:xfrm flipV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73" name="Line 111">
          <a:extLst>
            <a:ext uri="{FF2B5EF4-FFF2-40B4-BE49-F238E27FC236}">
              <a16:creationId xmlns:a16="http://schemas.microsoft.com/office/drawing/2014/main" id="{00000000-0008-0000-0B00-0000A13EA500}"/>
            </a:ext>
          </a:extLst>
        </xdr:cNvPr>
        <xdr:cNvSpPr>
          <a:spLocks noChangeShapeType="1"/>
        </xdr:cNvSpPr>
      </xdr:nvSpPr>
      <xdr:spPr bwMode="auto">
        <a:xfrm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19</xdr:col>
      <xdr:colOff>0</xdr:colOff>
      <xdr:row>74</xdr:row>
      <xdr:rowOff>0</xdr:rowOff>
    </xdr:to>
    <xdr:sp macro="" textlink="">
      <xdr:nvSpPr>
        <xdr:cNvPr id="10829474" name="Line 112">
          <a:extLst>
            <a:ext uri="{FF2B5EF4-FFF2-40B4-BE49-F238E27FC236}">
              <a16:creationId xmlns:a16="http://schemas.microsoft.com/office/drawing/2014/main" id="{00000000-0008-0000-0B00-0000A23EA500}"/>
            </a:ext>
          </a:extLst>
        </xdr:cNvPr>
        <xdr:cNvSpPr>
          <a:spLocks noChangeShapeType="1"/>
        </xdr:cNvSpPr>
      </xdr:nvSpPr>
      <xdr:spPr bwMode="auto">
        <a:xfrm flipH="1">
          <a:off x="13249275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75" name="Line 113">
          <a:extLst>
            <a:ext uri="{FF2B5EF4-FFF2-40B4-BE49-F238E27FC236}">
              <a16:creationId xmlns:a16="http://schemas.microsoft.com/office/drawing/2014/main" id="{00000000-0008-0000-0B00-0000A33EA500}"/>
            </a:ext>
          </a:extLst>
        </xdr:cNvPr>
        <xdr:cNvSpPr>
          <a:spLocks noChangeShapeType="1"/>
        </xdr:cNvSpPr>
      </xdr:nvSpPr>
      <xdr:spPr bwMode="auto">
        <a:xfrm flipH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76" name="Line 114">
          <a:extLst>
            <a:ext uri="{FF2B5EF4-FFF2-40B4-BE49-F238E27FC236}">
              <a16:creationId xmlns:a16="http://schemas.microsoft.com/office/drawing/2014/main" id="{00000000-0008-0000-0B00-0000A43EA500}"/>
            </a:ext>
          </a:extLst>
        </xdr:cNvPr>
        <xdr:cNvSpPr>
          <a:spLocks noChangeShapeType="1"/>
        </xdr:cNvSpPr>
      </xdr:nvSpPr>
      <xdr:spPr bwMode="auto">
        <a:xfrm flipV="1"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74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10829477" name="Line 115">
          <a:extLst>
            <a:ext uri="{FF2B5EF4-FFF2-40B4-BE49-F238E27FC236}">
              <a16:creationId xmlns:a16="http://schemas.microsoft.com/office/drawing/2014/main" id="{00000000-0008-0000-0B00-0000A53EA500}"/>
            </a:ext>
          </a:extLst>
        </xdr:cNvPr>
        <xdr:cNvSpPr>
          <a:spLocks noChangeShapeType="1"/>
        </xdr:cNvSpPr>
      </xdr:nvSpPr>
      <xdr:spPr bwMode="auto">
        <a:xfrm>
          <a:off x="4591050" y="12353925"/>
          <a:ext cx="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809625</xdr:colOff>
      <xdr:row>75</xdr:row>
      <xdr:rowOff>9525</xdr:rowOff>
    </xdr:from>
    <xdr:to>
      <xdr:col>19</xdr:col>
      <xdr:colOff>9525</xdr:colOff>
      <xdr:row>75</xdr:row>
      <xdr:rowOff>9525</xdr:rowOff>
    </xdr:to>
    <xdr:sp macro="" textlink="">
      <xdr:nvSpPr>
        <xdr:cNvPr id="10829478" name="Line 116">
          <a:extLst>
            <a:ext uri="{FF2B5EF4-FFF2-40B4-BE49-F238E27FC236}">
              <a16:creationId xmlns:a16="http://schemas.microsoft.com/office/drawing/2014/main" id="{00000000-0008-0000-0B00-0000A63EA500}"/>
            </a:ext>
          </a:extLst>
        </xdr:cNvPr>
        <xdr:cNvSpPr>
          <a:spLocks noChangeShapeType="1"/>
        </xdr:cNvSpPr>
      </xdr:nvSpPr>
      <xdr:spPr bwMode="auto">
        <a:xfrm flipH="1">
          <a:off x="12630150" y="12525375"/>
          <a:ext cx="628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75</xdr:row>
      <xdr:rowOff>9525</xdr:rowOff>
    </xdr:from>
    <xdr:to>
      <xdr:col>16</xdr:col>
      <xdr:colOff>0</xdr:colOff>
      <xdr:row>75</xdr:row>
      <xdr:rowOff>9525</xdr:rowOff>
    </xdr:to>
    <xdr:sp macro="" textlink="">
      <xdr:nvSpPr>
        <xdr:cNvPr id="10829479" name="Line 117">
          <a:extLst>
            <a:ext uri="{FF2B5EF4-FFF2-40B4-BE49-F238E27FC236}">
              <a16:creationId xmlns:a16="http://schemas.microsoft.com/office/drawing/2014/main" id="{00000000-0008-0000-0B00-0000A73EA500}"/>
            </a:ext>
          </a:extLst>
        </xdr:cNvPr>
        <xdr:cNvSpPr>
          <a:spLocks noChangeShapeType="1"/>
        </xdr:cNvSpPr>
      </xdr:nvSpPr>
      <xdr:spPr bwMode="auto">
        <a:xfrm>
          <a:off x="10382250" y="12525375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75</xdr:row>
      <xdr:rowOff>9525</xdr:rowOff>
    </xdr:from>
    <xdr:to>
      <xdr:col>13</xdr:col>
      <xdr:colOff>0</xdr:colOff>
      <xdr:row>75</xdr:row>
      <xdr:rowOff>9525</xdr:rowOff>
    </xdr:to>
    <xdr:sp macro="" textlink="">
      <xdr:nvSpPr>
        <xdr:cNvPr id="10829480" name="Line 118">
          <a:extLst>
            <a:ext uri="{FF2B5EF4-FFF2-40B4-BE49-F238E27FC236}">
              <a16:creationId xmlns:a16="http://schemas.microsoft.com/office/drawing/2014/main" id="{00000000-0008-0000-0B00-0000A83EA500}"/>
            </a:ext>
          </a:extLst>
        </xdr:cNvPr>
        <xdr:cNvSpPr>
          <a:spLocks noChangeShapeType="1"/>
        </xdr:cNvSpPr>
      </xdr:nvSpPr>
      <xdr:spPr bwMode="auto">
        <a:xfrm>
          <a:off x="8124825" y="12525375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75</xdr:row>
      <xdr:rowOff>9525</xdr:rowOff>
    </xdr:from>
    <xdr:to>
      <xdr:col>9</xdr:col>
      <xdr:colOff>695325</xdr:colOff>
      <xdr:row>75</xdr:row>
      <xdr:rowOff>9525</xdr:rowOff>
    </xdr:to>
    <xdr:sp macro="" textlink="">
      <xdr:nvSpPr>
        <xdr:cNvPr id="10829481" name="Line 119">
          <a:extLst>
            <a:ext uri="{FF2B5EF4-FFF2-40B4-BE49-F238E27FC236}">
              <a16:creationId xmlns:a16="http://schemas.microsoft.com/office/drawing/2014/main" id="{00000000-0008-0000-0B00-0000A93EA500}"/>
            </a:ext>
          </a:extLst>
        </xdr:cNvPr>
        <xdr:cNvSpPr>
          <a:spLocks noChangeShapeType="1"/>
        </xdr:cNvSpPr>
      </xdr:nvSpPr>
      <xdr:spPr bwMode="auto">
        <a:xfrm flipH="1">
          <a:off x="5972175" y="12525375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8</xdr:row>
      <xdr:rowOff>114300</xdr:rowOff>
    </xdr:from>
    <xdr:to>
      <xdr:col>10</xdr:col>
      <xdr:colOff>333375</xdr:colOff>
      <xdr:row>15</xdr:row>
      <xdr:rowOff>9525</xdr:rowOff>
    </xdr:to>
    <xdr:sp macro="" textlink="">
      <xdr:nvSpPr>
        <xdr:cNvPr id="10829482" name="Rectangle 56">
          <a:extLst>
            <a:ext uri="{FF2B5EF4-FFF2-40B4-BE49-F238E27FC236}">
              <a16:creationId xmlns:a16="http://schemas.microsoft.com/office/drawing/2014/main" id="{00000000-0008-0000-0B00-0000AA3EA500}"/>
            </a:ext>
          </a:extLst>
        </xdr:cNvPr>
        <xdr:cNvSpPr>
          <a:spLocks noChangeArrowheads="1"/>
        </xdr:cNvSpPr>
      </xdr:nvSpPr>
      <xdr:spPr bwMode="auto">
        <a:xfrm>
          <a:off x="5305425" y="1866900"/>
          <a:ext cx="1704975" cy="120967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66675</xdr:colOff>
      <xdr:row>11</xdr:row>
      <xdr:rowOff>0</xdr:rowOff>
    </xdr:from>
    <xdr:to>
      <xdr:col>8</xdr:col>
      <xdr:colOff>342900</xdr:colOff>
      <xdr:row>16</xdr:row>
      <xdr:rowOff>76200</xdr:rowOff>
    </xdr:to>
    <xdr:sp macro="" textlink="">
      <xdr:nvSpPr>
        <xdr:cNvPr id="10829483" name="Line 34">
          <a:extLst>
            <a:ext uri="{FF2B5EF4-FFF2-40B4-BE49-F238E27FC236}">
              <a16:creationId xmlns:a16="http://schemas.microsoft.com/office/drawing/2014/main" id="{00000000-0008-0000-0B00-0000AB3EA500}"/>
            </a:ext>
          </a:extLst>
        </xdr:cNvPr>
        <xdr:cNvSpPr>
          <a:spLocks noChangeShapeType="1"/>
        </xdr:cNvSpPr>
      </xdr:nvSpPr>
      <xdr:spPr bwMode="auto">
        <a:xfrm flipV="1">
          <a:off x="4657725" y="2314575"/>
          <a:ext cx="990600" cy="9906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257175</xdr:colOff>
      <xdr:row>12</xdr:row>
      <xdr:rowOff>104775</xdr:rowOff>
    </xdr:from>
    <xdr:to>
      <xdr:col>9</xdr:col>
      <xdr:colOff>28575</xdr:colOff>
      <xdr:row>16</xdr:row>
      <xdr:rowOff>76200</xdr:rowOff>
    </xdr:to>
    <xdr:sp macro="" textlink="">
      <xdr:nvSpPr>
        <xdr:cNvPr id="10829484" name="Line 34">
          <a:extLst>
            <a:ext uri="{FF2B5EF4-FFF2-40B4-BE49-F238E27FC236}">
              <a16:creationId xmlns:a16="http://schemas.microsoft.com/office/drawing/2014/main" id="{00000000-0008-0000-0B00-0000AC3EA500}"/>
            </a:ext>
          </a:extLst>
        </xdr:cNvPr>
        <xdr:cNvSpPr>
          <a:spLocks noChangeShapeType="1"/>
        </xdr:cNvSpPr>
      </xdr:nvSpPr>
      <xdr:spPr bwMode="auto">
        <a:xfrm flipV="1">
          <a:off x="4848225" y="2619375"/>
          <a:ext cx="1152525" cy="6858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381000</xdr:colOff>
      <xdr:row>14</xdr:row>
      <xdr:rowOff>104775</xdr:rowOff>
    </xdr:from>
    <xdr:to>
      <xdr:col>9</xdr:col>
      <xdr:colOff>9525</xdr:colOff>
      <xdr:row>16</xdr:row>
      <xdr:rowOff>123825</xdr:rowOff>
    </xdr:to>
    <xdr:sp macro="" textlink="">
      <xdr:nvSpPr>
        <xdr:cNvPr id="10829485" name="Line 34">
          <a:extLst>
            <a:ext uri="{FF2B5EF4-FFF2-40B4-BE49-F238E27FC236}">
              <a16:creationId xmlns:a16="http://schemas.microsoft.com/office/drawing/2014/main" id="{00000000-0008-0000-0B00-0000AD3EA500}"/>
            </a:ext>
          </a:extLst>
        </xdr:cNvPr>
        <xdr:cNvSpPr>
          <a:spLocks noChangeShapeType="1"/>
        </xdr:cNvSpPr>
      </xdr:nvSpPr>
      <xdr:spPr bwMode="auto">
        <a:xfrm flipV="1">
          <a:off x="4972050" y="3009900"/>
          <a:ext cx="1009650" cy="3429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762000</xdr:colOff>
      <xdr:row>54</xdr:row>
      <xdr:rowOff>38101</xdr:rowOff>
    </xdr:from>
    <xdr:to>
      <xdr:col>4</xdr:col>
      <xdr:colOff>127000</xdr:colOff>
      <xdr:row>58</xdr:row>
      <xdr:rowOff>85725</xdr:rowOff>
    </xdr:to>
    <xdr:sp macro="" textlink="">
      <xdr:nvSpPr>
        <xdr:cNvPr id="10829486" name="Oval 14">
          <a:extLst>
            <a:ext uri="{FF2B5EF4-FFF2-40B4-BE49-F238E27FC236}">
              <a16:creationId xmlns:a16="http://schemas.microsoft.com/office/drawing/2014/main" id="{00000000-0008-0000-0B00-0000AE3EA500}"/>
            </a:ext>
          </a:extLst>
        </xdr:cNvPr>
        <xdr:cNvSpPr>
          <a:spLocks noChangeArrowheads="1"/>
        </xdr:cNvSpPr>
      </xdr:nvSpPr>
      <xdr:spPr bwMode="auto">
        <a:xfrm>
          <a:off x="1663700" y="9994901"/>
          <a:ext cx="901700" cy="873124"/>
        </a:xfrm>
        <a:prstGeom prst="ellips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638175</xdr:colOff>
      <xdr:row>52</xdr:row>
      <xdr:rowOff>123825</xdr:rowOff>
    </xdr:from>
    <xdr:to>
      <xdr:col>4</xdr:col>
      <xdr:colOff>19050</xdr:colOff>
      <xdr:row>54</xdr:row>
      <xdr:rowOff>38100</xdr:rowOff>
    </xdr:to>
    <xdr:sp macro="" textlink="">
      <xdr:nvSpPr>
        <xdr:cNvPr id="10829487" name="Line 19">
          <a:extLst>
            <a:ext uri="{FF2B5EF4-FFF2-40B4-BE49-F238E27FC236}">
              <a16:creationId xmlns:a16="http://schemas.microsoft.com/office/drawing/2014/main" id="{00000000-0008-0000-0B00-0000AF3EA500}"/>
            </a:ext>
          </a:extLst>
        </xdr:cNvPr>
        <xdr:cNvSpPr>
          <a:spLocks noChangeShapeType="1"/>
        </xdr:cNvSpPr>
      </xdr:nvSpPr>
      <xdr:spPr bwMode="auto">
        <a:xfrm flipH="1">
          <a:off x="2371725" y="9563100"/>
          <a:ext cx="76200" cy="26670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180975</xdr:colOff>
      <xdr:row>56</xdr:row>
      <xdr:rowOff>28575</xdr:rowOff>
    </xdr:from>
    <xdr:to>
      <xdr:col>5</xdr:col>
      <xdr:colOff>609600</xdr:colOff>
      <xdr:row>56</xdr:row>
      <xdr:rowOff>28575</xdr:rowOff>
    </xdr:to>
    <xdr:sp macro="" textlink="">
      <xdr:nvSpPr>
        <xdr:cNvPr id="10829488" name="Line 19">
          <a:extLst>
            <a:ext uri="{FF2B5EF4-FFF2-40B4-BE49-F238E27FC236}">
              <a16:creationId xmlns:a16="http://schemas.microsoft.com/office/drawing/2014/main" id="{00000000-0008-0000-0B00-0000B03EA500}"/>
            </a:ext>
          </a:extLst>
        </xdr:cNvPr>
        <xdr:cNvSpPr>
          <a:spLocks noChangeShapeType="1"/>
        </xdr:cNvSpPr>
      </xdr:nvSpPr>
      <xdr:spPr bwMode="auto">
        <a:xfrm flipH="1">
          <a:off x="2609850" y="10220325"/>
          <a:ext cx="1066800" cy="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581025</xdr:colOff>
      <xdr:row>50</xdr:row>
      <xdr:rowOff>9525</xdr:rowOff>
    </xdr:from>
    <xdr:to>
      <xdr:col>5</xdr:col>
      <xdr:colOff>733425</xdr:colOff>
      <xdr:row>52</xdr:row>
      <xdr:rowOff>152400</xdr:rowOff>
    </xdr:to>
    <xdr:sp macro="" textlink="">
      <xdr:nvSpPr>
        <xdr:cNvPr id="10829489" name="Line 16">
          <a:extLst>
            <a:ext uri="{FF2B5EF4-FFF2-40B4-BE49-F238E27FC236}">
              <a16:creationId xmlns:a16="http://schemas.microsoft.com/office/drawing/2014/main" id="{00000000-0008-0000-0B00-0000B13EA500}"/>
            </a:ext>
          </a:extLst>
        </xdr:cNvPr>
        <xdr:cNvSpPr>
          <a:spLocks noChangeShapeType="1"/>
        </xdr:cNvSpPr>
      </xdr:nvSpPr>
      <xdr:spPr bwMode="auto">
        <a:xfrm flipH="1" flipV="1">
          <a:off x="3009900" y="9105900"/>
          <a:ext cx="790575" cy="48577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698500</xdr:colOff>
      <xdr:row>53</xdr:row>
      <xdr:rowOff>1</xdr:rowOff>
    </xdr:from>
    <xdr:to>
      <xdr:col>5</xdr:col>
      <xdr:colOff>469901</xdr:colOff>
      <xdr:row>59</xdr:row>
      <xdr:rowOff>25401</xdr:rowOff>
    </xdr:to>
    <xdr:sp macro="" textlink="">
      <xdr:nvSpPr>
        <xdr:cNvPr id="129" name="Rectangle 56">
          <a:extLst>
            <a:ext uri="{FF2B5EF4-FFF2-40B4-BE49-F238E27FC236}">
              <a16:creationId xmlns:a16="http://schemas.microsoft.com/office/drawing/2014/main" id="{00000000-0008-0000-0B00-000081000000}"/>
            </a:ext>
          </a:extLst>
        </xdr:cNvPr>
        <xdr:cNvSpPr>
          <a:spLocks noChangeArrowheads="1"/>
        </xdr:cNvSpPr>
      </xdr:nvSpPr>
      <xdr:spPr bwMode="auto">
        <a:xfrm>
          <a:off x="1600200" y="9791701"/>
          <a:ext cx="1943101" cy="11938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~1\Ogaraeva.FST\LOCALS~1\Temp\Rar$DI00.860\Documents%20and%20Settings\Shumeev\Local%20Settings\Temporary%20Internet%20Files\OLKAB4\Form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.cdu.so/ia/RazEESRus/prognoz/&#1050;&#1086;&#1088;&#1087;&#1086;&#1088;&#1072;&#1090;&#1080;&#1074;&#1085;&#1099;&#1081;%20&#1073;&#1072;&#1083;&#1072;&#1085;&#1089;%20&#1040;&#1054;%20&#1057;&#1054;%20&#1045;&#1069;&#1057;/2020%20&#1075;&#1086;&#1076;/&#1056;&#1086;&#1089;&#1101;&#1085;&#1077;&#1088;&#1075;&#1086;&#1072;&#1090;&#1086;&#1084;%20&#1055;&#1088;&#1080;&#1083;&#1086;&#1078;&#1077;&#1085;&#1080;&#1077;%20&#8470;%201%20&#1082;%20&#1087;&#1080;&#1089;&#1100;&#1084;&#1091;_&#1041;&#1072;&#1083;&#1072;&#1085;&#1089;%20&#1101;&#1083;&#1077;&#1082;&#1090;&#1088;&#1086;&#1101;&#1085;&#1077;&#1088;&#1075;&#1080;&#1080;%20&#1060;&#1086;&#1088;&#1084;&#1072;%205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оловок"/>
      <sheetName val="ЯНВ"/>
      <sheetName val="ФЕВ"/>
      <sheetName val="МАР"/>
      <sheetName val="АПР"/>
      <sheetName val="МАЙ"/>
      <sheetName val="ИЮН"/>
      <sheetName val="ИЮЛ"/>
      <sheetName val="АВГ"/>
      <sheetName val="СЕН"/>
      <sheetName val="ОКТ"/>
      <sheetName val="НОЯ"/>
      <sheetName val="ДЕК"/>
      <sheetName val="Регионы"/>
      <sheetName val="мощность"/>
      <sheetName val="Исходные"/>
      <sheetName val="Лист13"/>
      <sheetName val="Данны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2">
          <cell r="A2" t="str">
            <v>Агинский Бурятский автономный округ</v>
          </cell>
        </row>
        <row r="3">
          <cell r="A3" t="str">
            <v>Алтайский край</v>
          </cell>
        </row>
        <row r="4">
          <cell r="A4" t="str">
            <v>Амурская область</v>
          </cell>
        </row>
        <row r="5">
          <cell r="A5" t="str">
            <v>Архангельская область</v>
          </cell>
        </row>
        <row r="6">
          <cell r="A6" t="str">
            <v>Астраханская область</v>
          </cell>
        </row>
        <row r="7">
          <cell r="A7" t="str">
            <v>г.Байконур</v>
          </cell>
        </row>
        <row r="8">
          <cell r="A8" t="str">
            <v>Белгородская область</v>
          </cell>
        </row>
        <row r="9">
          <cell r="A9" t="str">
            <v>Брянская область</v>
          </cell>
        </row>
        <row r="10">
          <cell r="A10" t="str">
            <v>Владимирская область</v>
          </cell>
        </row>
        <row r="11">
          <cell r="A11" t="str">
            <v>Волгоградская область</v>
          </cell>
        </row>
        <row r="12">
          <cell r="A12" t="str">
            <v>Вологодская область</v>
          </cell>
        </row>
        <row r="13">
          <cell r="A13" t="str">
            <v>Воронежская область</v>
          </cell>
        </row>
        <row r="14">
          <cell r="A14" t="str">
            <v>Еврейская автономная область</v>
          </cell>
        </row>
        <row r="15">
          <cell r="A15" t="str">
            <v>Ивановская область</v>
          </cell>
        </row>
        <row r="16">
          <cell r="A16" t="str">
            <v>Иркутская область</v>
          </cell>
        </row>
        <row r="17">
          <cell r="A17" t="str">
            <v>Кабардино-Балкарская республика</v>
          </cell>
        </row>
        <row r="18">
          <cell r="A18" t="str">
            <v>Калининградская область</v>
          </cell>
        </row>
        <row r="19">
          <cell r="A19" t="str">
            <v>Калужская область</v>
          </cell>
        </row>
        <row r="20">
          <cell r="A20" t="str">
            <v>Камчатская область</v>
          </cell>
        </row>
        <row r="21">
          <cell r="A21" t="str">
            <v>Карачаево-Черкесская республика</v>
          </cell>
        </row>
        <row r="22">
          <cell r="A22" t="str">
            <v>Кемеровская область</v>
          </cell>
        </row>
        <row r="23">
          <cell r="A23" t="str">
            <v>Кировская область</v>
          </cell>
        </row>
        <row r="24">
          <cell r="A24" t="str">
            <v>Корякский автономный округ</v>
          </cell>
        </row>
        <row r="25">
          <cell r="A25" t="str">
            <v>Костромская область</v>
          </cell>
        </row>
        <row r="26">
          <cell r="A26" t="str">
            <v>Краснодарский край</v>
          </cell>
        </row>
        <row r="27">
          <cell r="A27" t="str">
            <v>Красноярский край</v>
          </cell>
        </row>
        <row r="28">
          <cell r="A28" t="str">
            <v>Курганская область</v>
          </cell>
        </row>
        <row r="29">
          <cell r="A29" t="str">
            <v>Курская область</v>
          </cell>
        </row>
        <row r="30">
          <cell r="A30" t="str">
            <v>Ленинградская область</v>
          </cell>
        </row>
        <row r="31">
          <cell r="A31" t="str">
            <v>Липецкая область</v>
          </cell>
        </row>
        <row r="32">
          <cell r="A32" t="str">
            <v>Магаданская область</v>
          </cell>
        </row>
        <row r="33">
          <cell r="A33" t="str">
            <v>г. Москва и Московская область</v>
          </cell>
        </row>
        <row r="34">
          <cell r="A34" t="str">
            <v>Мурманская область</v>
          </cell>
        </row>
        <row r="35">
          <cell r="A35" t="str">
            <v>Ненецкий автономный округ</v>
          </cell>
        </row>
        <row r="36">
          <cell r="A36" t="str">
            <v>Нижегородская область</v>
          </cell>
        </row>
        <row r="37">
          <cell r="A37" t="str">
            <v>Новгородская область</v>
          </cell>
        </row>
        <row r="38">
          <cell r="A38" t="str">
            <v>Новосибирская область</v>
          </cell>
        </row>
        <row r="39">
          <cell r="A39" t="str">
            <v>Омская область</v>
          </cell>
        </row>
        <row r="40">
          <cell r="A40" t="str">
            <v>Оренбургская область</v>
          </cell>
        </row>
        <row r="41">
          <cell r="A41" t="str">
            <v>Орловская область</v>
          </cell>
        </row>
        <row r="42">
          <cell r="A42" t="str">
            <v>Пензенская область</v>
          </cell>
        </row>
        <row r="43">
          <cell r="A43" t="str">
            <v>Пермская область и Коми-Пермяцкий АО</v>
          </cell>
        </row>
        <row r="44">
          <cell r="A44" t="str">
            <v>Приморский край</v>
          </cell>
        </row>
        <row r="45">
          <cell r="A45" t="str">
            <v>Псковская область</v>
          </cell>
        </row>
        <row r="46">
          <cell r="A46" t="str">
            <v>Республика Адыгея</v>
          </cell>
        </row>
        <row r="47">
          <cell r="A47" t="str">
            <v>Республика Алтай</v>
          </cell>
        </row>
        <row r="48">
          <cell r="A48" t="str">
            <v>Республика Башкортостан</v>
          </cell>
        </row>
        <row r="49">
          <cell r="A49" t="str">
            <v>Республика Бурятия</v>
          </cell>
        </row>
        <row r="50">
          <cell r="A50" t="str">
            <v>Республика Дагестан</v>
          </cell>
        </row>
        <row r="51">
          <cell r="A51" t="str">
            <v>Республика Ингушетия</v>
          </cell>
        </row>
        <row r="52">
          <cell r="A52" t="str">
            <v>Республика Калмыкия</v>
          </cell>
        </row>
        <row r="53">
          <cell r="A53" t="str">
            <v>Республика Карелия</v>
          </cell>
        </row>
        <row r="54">
          <cell r="A54" t="str">
            <v>Республика Коми</v>
          </cell>
        </row>
        <row r="55">
          <cell r="A55" t="str">
            <v>Республика Марий Эл</v>
          </cell>
        </row>
        <row r="56">
          <cell r="A56" t="str">
            <v>Республика Мордовия</v>
          </cell>
        </row>
        <row r="57">
          <cell r="A57" t="str">
            <v>Республика Саха (Якутия)</v>
          </cell>
        </row>
        <row r="58">
          <cell r="A58" t="str">
            <v>Республика Северная Осетия-Алания</v>
          </cell>
        </row>
        <row r="59">
          <cell r="A59" t="str">
            <v>Республика Татарстан</v>
          </cell>
        </row>
        <row r="60">
          <cell r="A60" t="str">
            <v>Республика Тыва</v>
          </cell>
        </row>
        <row r="61">
          <cell r="A61" t="str">
            <v>Республика Хакасия</v>
          </cell>
        </row>
        <row r="62">
          <cell r="A62" t="str">
            <v>Ростовская область</v>
          </cell>
        </row>
        <row r="63">
          <cell r="A63" t="str">
            <v>Рязанская область</v>
          </cell>
        </row>
        <row r="64">
          <cell r="A64" t="str">
            <v>Самарская область</v>
          </cell>
        </row>
        <row r="65">
          <cell r="A65" t="str">
            <v>г. Санкт-Петербург и Ленинградская область</v>
          </cell>
        </row>
        <row r="66">
          <cell r="A66" t="str">
            <v>Саратовская область</v>
          </cell>
        </row>
        <row r="67">
          <cell r="A67" t="str">
            <v>Сахалинская область</v>
          </cell>
        </row>
        <row r="68">
          <cell r="A68" t="str">
            <v>Свердловская область</v>
          </cell>
        </row>
        <row r="69">
          <cell r="A69" t="str">
            <v>Смоленская область</v>
          </cell>
        </row>
        <row r="70">
          <cell r="A70" t="str">
            <v>Ставропольский край</v>
          </cell>
        </row>
        <row r="71">
          <cell r="A71" t="str">
            <v>Таймырский (Долгано-Ненецкий) автономный округ</v>
          </cell>
        </row>
        <row r="72">
          <cell r="A72" t="str">
            <v>Тамбовская область</v>
          </cell>
        </row>
        <row r="73">
          <cell r="A73" t="str">
            <v>Тверская область</v>
          </cell>
        </row>
        <row r="74">
          <cell r="A74" t="str">
            <v>Томская область</v>
          </cell>
        </row>
        <row r="75">
          <cell r="A75" t="str">
            <v>Тульская область</v>
          </cell>
        </row>
        <row r="76">
          <cell r="A76" t="str">
            <v>Тюменская область</v>
          </cell>
        </row>
        <row r="77">
          <cell r="A77" t="str">
            <v>Удмуртская республика</v>
          </cell>
        </row>
        <row r="78">
          <cell r="A78" t="str">
            <v>Ульяновская область</v>
          </cell>
        </row>
        <row r="79">
          <cell r="A79" t="str">
            <v>Усть-Ордынский Бурятский автономный округ</v>
          </cell>
        </row>
        <row r="80">
          <cell r="A80" t="str">
            <v>Хабаровский край</v>
          </cell>
        </row>
        <row r="81">
          <cell r="A81" t="str">
            <v>Ханты-Мансийский автономный округ</v>
          </cell>
        </row>
        <row r="82">
          <cell r="A82" t="str">
            <v>Челябинская область</v>
          </cell>
        </row>
        <row r="83">
          <cell r="A83" t="str">
            <v>Чеченская республика</v>
          </cell>
        </row>
        <row r="84">
          <cell r="A84" t="str">
            <v>Читинская область</v>
          </cell>
        </row>
        <row r="85">
          <cell r="A85" t="str">
            <v>Чувашская республика</v>
          </cell>
        </row>
        <row r="86">
          <cell r="A86" t="str">
            <v>Чукотский автономный округ</v>
          </cell>
        </row>
        <row r="87">
          <cell r="A87" t="str">
            <v>Ямало-Ненецкий автономный округ</v>
          </cell>
        </row>
        <row r="88">
          <cell r="A88" t="str">
            <v>Ярославская область</v>
          </cell>
        </row>
      </sheetData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рма 5"/>
    </sheetNames>
    <sheetDataSet>
      <sheetData sheetId="0">
        <row r="126">
          <cell r="R126">
            <v>32.4</v>
          </cell>
          <cell r="S126">
            <v>34.22</v>
          </cell>
          <cell r="T126">
            <v>72</v>
          </cell>
          <cell r="U126">
            <v>333.35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105"/>
  <sheetViews>
    <sheetView workbookViewId="0">
      <pane xSplit="3" ySplit="4" topLeftCell="D86" activePane="bottomRight" state="frozen"/>
      <selection pane="topRight" activeCell="D1" sqref="D1"/>
      <selection pane="bottomLeft" activeCell="A5" sqref="A5"/>
      <selection pane="bottomRight" activeCell="R74" sqref="R74"/>
    </sheetView>
  </sheetViews>
  <sheetFormatPr defaultRowHeight="12.75"/>
  <cols>
    <col min="1" max="1" width="2.33203125" customWidth="1"/>
    <col min="2" max="2" width="10.6640625" customWidth="1"/>
    <col min="3" max="3" width="57.1640625" customWidth="1"/>
    <col min="4" max="4" width="12.1640625" bestFit="1" customWidth="1"/>
    <col min="5" max="14" width="11.1640625" bestFit="1" customWidth="1"/>
    <col min="15" max="15" width="12.1640625" bestFit="1" customWidth="1"/>
    <col min="16" max="16" width="13.33203125" bestFit="1" customWidth="1"/>
    <col min="17" max="17" width="3" customWidth="1"/>
    <col min="18" max="18" width="49" style="261" customWidth="1"/>
    <col min="19" max="29" width="9.6640625" bestFit="1" customWidth="1"/>
    <col min="30" max="30" width="12.1640625" bestFit="1" customWidth="1"/>
  </cols>
  <sheetData>
    <row r="2" spans="2:32" ht="18.75">
      <c r="C2" s="1217" t="s">
        <v>1836</v>
      </c>
      <c r="D2" s="1217"/>
      <c r="E2" s="1217"/>
      <c r="F2" s="1217"/>
      <c r="G2" s="1217"/>
      <c r="H2" s="1217"/>
      <c r="I2" s="1217"/>
      <c r="J2" s="1217"/>
      <c r="K2" s="1217"/>
      <c r="L2" s="1217"/>
      <c r="M2" s="1217"/>
      <c r="N2" s="1217"/>
      <c r="O2" s="1217"/>
      <c r="P2" s="1217"/>
    </row>
    <row r="3" spans="2:32" ht="13.5" thickBot="1">
      <c r="O3" s="1218" t="s">
        <v>252</v>
      </c>
      <c r="P3" s="1218"/>
    </row>
    <row r="4" spans="2:32">
      <c r="B4" s="605"/>
      <c r="C4" s="190"/>
      <c r="D4" s="191" t="s">
        <v>72</v>
      </c>
      <c r="E4" s="191" t="s">
        <v>73</v>
      </c>
      <c r="F4" s="191" t="s">
        <v>74</v>
      </c>
      <c r="G4" s="191" t="s">
        <v>76</v>
      </c>
      <c r="H4" s="191" t="s">
        <v>77</v>
      </c>
      <c r="I4" s="191" t="s">
        <v>78</v>
      </c>
      <c r="J4" s="191" t="s">
        <v>79</v>
      </c>
      <c r="K4" s="191" t="s">
        <v>80</v>
      </c>
      <c r="L4" s="191" t="s">
        <v>81</v>
      </c>
      <c r="M4" s="191" t="s">
        <v>82</v>
      </c>
      <c r="N4" s="191" t="s">
        <v>83</v>
      </c>
      <c r="O4" s="191" t="s">
        <v>84</v>
      </c>
      <c r="P4" s="192" t="s">
        <v>253</v>
      </c>
    </row>
    <row r="5" spans="2:32">
      <c r="B5" s="605"/>
      <c r="C5" s="193"/>
      <c r="D5" s="537"/>
      <c r="E5" s="537"/>
      <c r="F5" s="537"/>
      <c r="G5" s="537"/>
      <c r="H5" s="537"/>
      <c r="I5" s="537"/>
      <c r="J5" s="537"/>
      <c r="K5" s="537"/>
      <c r="L5" s="537"/>
      <c r="M5" s="537"/>
      <c r="N5" s="537"/>
      <c r="O5" s="537"/>
      <c r="P5" s="538"/>
    </row>
    <row r="6" spans="2:32">
      <c r="B6" s="605">
        <v>1019</v>
      </c>
      <c r="C6" s="194" t="s">
        <v>32</v>
      </c>
      <c r="D6" s="539">
        <f t="shared" ref="D6:O6" si="0">D8+D30+D41+D52+D64+D81+D96</f>
        <v>103616.15599757366</v>
      </c>
      <c r="E6" s="539">
        <f t="shared" si="0"/>
        <v>96813.873348927926</v>
      </c>
      <c r="F6" s="539">
        <f t="shared" si="0"/>
        <v>97454.570298664272</v>
      </c>
      <c r="G6" s="539">
        <f t="shared" si="0"/>
        <v>87006.596869906512</v>
      </c>
      <c r="H6" s="539">
        <f t="shared" si="0"/>
        <v>81902.665072341231</v>
      </c>
      <c r="I6" s="539">
        <f t="shared" si="0"/>
        <v>77734.84516778469</v>
      </c>
      <c r="J6" s="539">
        <f t="shared" si="0"/>
        <v>80092.789785229455</v>
      </c>
      <c r="K6" s="539">
        <f t="shared" si="0"/>
        <v>81348.918017519565</v>
      </c>
      <c r="L6" s="539">
        <f t="shared" si="0"/>
        <v>81673.426379050725</v>
      </c>
      <c r="M6" s="539">
        <f t="shared" si="0"/>
        <v>92260.885746203043</v>
      </c>
      <c r="N6" s="539">
        <f t="shared" si="0"/>
        <v>97098.440391726923</v>
      </c>
      <c r="O6" s="539">
        <f t="shared" si="0"/>
        <v>106110.60894322502</v>
      </c>
      <c r="P6" s="540">
        <f>SUM(D6:O6)</f>
        <v>1083113.7760181529</v>
      </c>
    </row>
    <row r="7" spans="2:32">
      <c r="B7" s="605"/>
      <c r="C7" s="195"/>
      <c r="D7" s="541"/>
      <c r="E7" s="541"/>
      <c r="F7" s="541"/>
      <c r="G7" s="541"/>
      <c r="H7" s="541"/>
      <c r="I7" s="541"/>
      <c r="J7" s="541"/>
      <c r="K7" s="541"/>
      <c r="L7" s="541"/>
      <c r="M7" s="541"/>
      <c r="N7" s="541"/>
      <c r="O7" s="541"/>
      <c r="P7" s="542"/>
    </row>
    <row r="8" spans="2:32">
      <c r="B8" s="605">
        <v>530000</v>
      </c>
      <c r="C8" s="196" t="s">
        <v>27</v>
      </c>
      <c r="D8" s="539">
        <f>SUM(D9:D19)+SUM(D22:D28)</f>
        <v>23404.876815453197</v>
      </c>
      <c r="E8" s="539">
        <f t="shared" ref="E8:O8" si="1">SUM(E9:E19)+SUM(E22:E28)</f>
        <v>22116.014062138369</v>
      </c>
      <c r="F8" s="539">
        <f t="shared" si="1"/>
        <v>22288.437853249248</v>
      </c>
      <c r="G8" s="539">
        <f t="shared" si="1"/>
        <v>19701.407806559291</v>
      </c>
      <c r="H8" s="539">
        <f t="shared" si="1"/>
        <v>18228.629161916928</v>
      </c>
      <c r="I8" s="539">
        <f t="shared" si="1"/>
        <v>17508.685442080874</v>
      </c>
      <c r="J8" s="539">
        <f t="shared" si="1"/>
        <v>17810.408228474207</v>
      </c>
      <c r="K8" s="539">
        <f t="shared" si="1"/>
        <v>18196.15942050123</v>
      </c>
      <c r="L8" s="539">
        <f t="shared" si="1"/>
        <v>18670.267775955414</v>
      </c>
      <c r="M8" s="539">
        <f t="shared" si="1"/>
        <v>21493.534942946761</v>
      </c>
      <c r="N8" s="539">
        <f t="shared" si="1"/>
        <v>22426.984640813433</v>
      </c>
      <c r="O8" s="539">
        <f t="shared" si="1"/>
        <v>24278.971913188136</v>
      </c>
      <c r="P8" s="540">
        <f>SUM(D8:O8)</f>
        <v>246124.37806327708</v>
      </c>
    </row>
    <row r="9" spans="2:32">
      <c r="B9" s="605">
        <v>321400</v>
      </c>
      <c r="C9" s="197" t="s">
        <v>4</v>
      </c>
      <c r="D9" s="1103">
        <v>1448.8545289849642</v>
      </c>
      <c r="E9" s="1103">
        <v>1362.722127207533</v>
      </c>
      <c r="F9" s="1103">
        <v>1408.4317015298961</v>
      </c>
      <c r="G9" s="1103">
        <v>1297.5478661510942</v>
      </c>
      <c r="H9" s="1103">
        <v>1267.8993286580569</v>
      </c>
      <c r="I9" s="1103">
        <v>1230.6610174433563</v>
      </c>
      <c r="J9" s="1103">
        <v>1261.6952122273083</v>
      </c>
      <c r="K9" s="1103">
        <v>1273.5347922755336</v>
      </c>
      <c r="L9" s="1103">
        <v>1298.9559657030559</v>
      </c>
      <c r="M9" s="1103">
        <v>1406.3769054233267</v>
      </c>
      <c r="N9" s="1103">
        <v>1419.9973339823773</v>
      </c>
      <c r="O9" s="1103">
        <v>1506.3532204134963</v>
      </c>
      <c r="P9" s="540">
        <f>SUM(D9:O9)</f>
        <v>16183.030000000002</v>
      </c>
      <c r="T9" s="687"/>
      <c r="U9" s="687"/>
      <c r="V9" s="687"/>
      <c r="W9" s="687"/>
      <c r="X9" s="687"/>
      <c r="Y9" s="687"/>
      <c r="Z9" s="687"/>
      <c r="AA9" s="687"/>
      <c r="AB9" s="687"/>
      <c r="AC9" s="687"/>
      <c r="AD9" s="687"/>
      <c r="AE9" s="687"/>
      <c r="AF9" s="687"/>
    </row>
    <row r="10" spans="2:32">
      <c r="B10" s="605">
        <v>340900</v>
      </c>
      <c r="C10" s="197" t="s">
        <v>5</v>
      </c>
      <c r="D10" s="1103">
        <v>422.8098742342595</v>
      </c>
      <c r="E10" s="1103">
        <v>405.64222357293278</v>
      </c>
      <c r="F10" s="1103">
        <v>406.54751131706746</v>
      </c>
      <c r="G10" s="1103">
        <v>349.36234023121591</v>
      </c>
      <c r="H10" s="1103">
        <v>320.49342858391014</v>
      </c>
      <c r="I10" s="1103">
        <v>306.65534518536299</v>
      </c>
      <c r="J10" s="1103">
        <v>315.42513236698085</v>
      </c>
      <c r="K10" s="1103">
        <v>318.5927935842152</v>
      </c>
      <c r="L10" s="1103">
        <v>330.59446283243136</v>
      </c>
      <c r="M10" s="1103">
        <v>394.28057399683837</v>
      </c>
      <c r="N10" s="1103">
        <v>403.67536873099112</v>
      </c>
      <c r="O10" s="1103">
        <v>435.83694536379409</v>
      </c>
      <c r="P10" s="540">
        <f t="shared" ref="P10:P28" si="2">SUM(D10:O10)</f>
        <v>4409.9160000000002</v>
      </c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</row>
    <row r="11" spans="2:32">
      <c r="B11" s="605">
        <v>311700</v>
      </c>
      <c r="C11" s="198" t="s">
        <v>6</v>
      </c>
      <c r="D11" s="1103">
        <v>693.83122654841361</v>
      </c>
      <c r="E11" s="1103">
        <v>633.7031472129471</v>
      </c>
      <c r="F11" s="1103">
        <v>662.24384644797397</v>
      </c>
      <c r="G11" s="1103">
        <v>588.22099927292004</v>
      </c>
      <c r="H11" s="1103">
        <v>523.2791306739532</v>
      </c>
      <c r="I11" s="1103">
        <v>506.64452268213819</v>
      </c>
      <c r="J11" s="1103">
        <v>514.17437837198975</v>
      </c>
      <c r="K11" s="1103">
        <v>526.92474002364577</v>
      </c>
      <c r="L11" s="1103">
        <v>541.07054604507198</v>
      </c>
      <c r="M11" s="1103">
        <v>631.60106578945033</v>
      </c>
      <c r="N11" s="1103">
        <v>659.68765242422296</v>
      </c>
      <c r="O11" s="1103">
        <v>712.61874450727282</v>
      </c>
      <c r="P11" s="540">
        <f t="shared" si="2"/>
        <v>7193.9999999999991</v>
      </c>
      <c r="T11" s="687"/>
      <c r="U11" s="687"/>
      <c r="V11" s="687"/>
      <c r="W11" s="687"/>
      <c r="X11" s="687"/>
      <c r="Y11" s="687"/>
      <c r="Z11" s="687"/>
      <c r="AA11" s="687"/>
      <c r="AB11" s="687"/>
      <c r="AC11" s="687"/>
      <c r="AD11" s="687"/>
      <c r="AE11" s="687"/>
      <c r="AF11" s="687"/>
    </row>
    <row r="12" spans="2:32">
      <c r="B12" s="605">
        <v>341900</v>
      </c>
      <c r="C12" s="197" t="s">
        <v>7</v>
      </c>
      <c r="D12" s="1103">
        <v>1320.1</v>
      </c>
      <c r="E12" s="1103">
        <v>1227.599999999999</v>
      </c>
      <c r="F12" s="1103">
        <v>1268.8</v>
      </c>
      <c r="G12" s="1103">
        <v>1178.2</v>
      </c>
      <c r="H12" s="1103">
        <v>1138.9000000000001</v>
      </c>
      <c r="I12" s="1103">
        <v>1066.9000000000001</v>
      </c>
      <c r="J12" s="1103">
        <v>1106.2</v>
      </c>
      <c r="K12" s="1103">
        <v>1121.3</v>
      </c>
      <c r="L12" s="1103">
        <v>1134.4000000000001</v>
      </c>
      <c r="M12" s="1103">
        <v>1207.8</v>
      </c>
      <c r="N12" s="1103">
        <v>1230.5999999999999</v>
      </c>
      <c r="O12" s="1103">
        <v>1348.2</v>
      </c>
      <c r="P12" s="540">
        <f t="shared" si="2"/>
        <v>14348.999999999998</v>
      </c>
      <c r="T12" s="687"/>
      <c r="U12" s="687"/>
      <c r="V12" s="687"/>
      <c r="W12" s="687"/>
      <c r="X12" s="687"/>
      <c r="Y12" s="687"/>
      <c r="Z12" s="687"/>
      <c r="AA12" s="687"/>
      <c r="AB12" s="687"/>
      <c r="AC12" s="687"/>
      <c r="AD12" s="687"/>
      <c r="AE12" s="687"/>
      <c r="AF12" s="687"/>
    </row>
    <row r="13" spans="2:32">
      <c r="B13" s="605">
        <v>321300</v>
      </c>
      <c r="C13" s="198" t="s">
        <v>8</v>
      </c>
      <c r="D13" s="1103">
        <v>1183.5608459428224</v>
      </c>
      <c r="E13" s="1103">
        <v>1129.4101441689672</v>
      </c>
      <c r="F13" s="1103">
        <v>1136.0780874713994</v>
      </c>
      <c r="G13" s="1103">
        <v>979.51652548752236</v>
      </c>
      <c r="H13" s="1103">
        <v>891.12770107066126</v>
      </c>
      <c r="I13" s="1103">
        <v>888.51523319946341</v>
      </c>
      <c r="J13" s="1103">
        <v>904.48812420704371</v>
      </c>
      <c r="K13" s="1103">
        <v>902.46959121385771</v>
      </c>
      <c r="L13" s="1103">
        <v>881.60487920874471</v>
      </c>
      <c r="M13" s="1103">
        <v>1063.9674373500877</v>
      </c>
      <c r="N13" s="1103">
        <v>1096.39391951065</v>
      </c>
      <c r="O13" s="1103">
        <v>1203.8300744458666</v>
      </c>
      <c r="P13" s="540">
        <f t="shared" si="2"/>
        <v>12260.962563277086</v>
      </c>
      <c r="T13" s="687"/>
      <c r="U13" s="687"/>
      <c r="V13" s="687"/>
      <c r="W13" s="687"/>
      <c r="X13" s="687"/>
      <c r="Y13" s="687"/>
      <c r="Z13" s="687"/>
      <c r="AA13" s="687"/>
      <c r="AB13" s="687"/>
      <c r="AC13" s="687"/>
      <c r="AD13" s="687"/>
      <c r="AE13" s="687"/>
      <c r="AF13" s="687"/>
    </row>
    <row r="14" spans="2:32">
      <c r="B14" s="605">
        <v>310400</v>
      </c>
      <c r="C14" s="197" t="s">
        <v>9</v>
      </c>
      <c r="D14" s="1157">
        <v>343.66867752874219</v>
      </c>
      <c r="E14" s="1157">
        <v>328.14754129699929</v>
      </c>
      <c r="F14" s="1157">
        <v>327.81155517074131</v>
      </c>
      <c r="G14" s="1157">
        <v>291.83310827012775</v>
      </c>
      <c r="H14" s="1157">
        <v>247.65277398491659</v>
      </c>
      <c r="I14" s="1157">
        <v>237.88394486472185</v>
      </c>
      <c r="J14" s="1157">
        <v>240.08978589992239</v>
      </c>
      <c r="K14" s="1157">
        <v>244.82583553300853</v>
      </c>
      <c r="L14" s="1157">
        <v>259.86303999108867</v>
      </c>
      <c r="M14" s="1157">
        <v>313.2580293337607</v>
      </c>
      <c r="N14" s="1157">
        <v>329.43797274867961</v>
      </c>
      <c r="O14" s="1157">
        <v>353.52773537729087</v>
      </c>
      <c r="P14" s="1158">
        <f t="shared" si="2"/>
        <v>3517.9999999999991</v>
      </c>
      <c r="T14" s="687"/>
      <c r="U14" s="687"/>
      <c r="V14" s="687"/>
      <c r="W14" s="687"/>
      <c r="X14" s="687"/>
      <c r="Y14" s="687"/>
      <c r="Z14" s="687"/>
      <c r="AA14" s="687"/>
      <c r="AB14" s="687"/>
      <c r="AC14" s="687"/>
      <c r="AD14" s="687"/>
      <c r="AE14" s="687"/>
      <c r="AF14" s="687"/>
    </row>
    <row r="15" spans="2:32">
      <c r="B15" s="605">
        <v>313000</v>
      </c>
      <c r="C15" s="198" t="s">
        <v>10</v>
      </c>
      <c r="D15" s="1103">
        <v>649.81262855539228</v>
      </c>
      <c r="E15" s="1103">
        <v>603.93942576722304</v>
      </c>
      <c r="F15" s="1103">
        <v>575.58696607682441</v>
      </c>
      <c r="G15" s="1103">
        <v>574.75770352072414</v>
      </c>
      <c r="H15" s="1103">
        <v>534.76999127835541</v>
      </c>
      <c r="I15" s="1103">
        <v>520.80259351542929</v>
      </c>
      <c r="J15" s="1103">
        <v>517.04388041846153</v>
      </c>
      <c r="K15" s="1103">
        <v>523.96100538422104</v>
      </c>
      <c r="L15" s="1103">
        <v>544.19022560119163</v>
      </c>
      <c r="M15" s="1103">
        <v>634.60716881159101</v>
      </c>
      <c r="N15" s="1103">
        <v>660.63985747696347</v>
      </c>
      <c r="O15" s="1103">
        <v>708.45605359362196</v>
      </c>
      <c r="P15" s="540">
        <f t="shared" si="2"/>
        <v>7048.5674999999983</v>
      </c>
      <c r="T15" s="687"/>
      <c r="U15" s="687"/>
      <c r="V15" s="687"/>
      <c r="W15" s="687"/>
      <c r="X15" s="687"/>
      <c r="Y15" s="687"/>
      <c r="Z15" s="687"/>
      <c r="AA15" s="687"/>
      <c r="AB15" s="687"/>
      <c r="AC15" s="687"/>
      <c r="AD15" s="687"/>
      <c r="AE15" s="687"/>
      <c r="AF15" s="687"/>
    </row>
    <row r="16" spans="2:32">
      <c r="B16" s="605">
        <v>310600</v>
      </c>
      <c r="C16" s="197" t="s">
        <v>175</v>
      </c>
      <c r="D16" s="1157">
        <v>350.15132939555076</v>
      </c>
      <c r="E16" s="1157">
        <v>332.10238693682959</v>
      </c>
      <c r="F16" s="1157">
        <v>330.49613372576539</v>
      </c>
      <c r="G16" s="1157">
        <v>290.47329946190763</v>
      </c>
      <c r="H16" s="1157">
        <v>266.19729630667922</v>
      </c>
      <c r="I16" s="1157">
        <v>256.70897327060402</v>
      </c>
      <c r="J16" s="1157">
        <v>264.71833388800246</v>
      </c>
      <c r="K16" s="1157">
        <v>266.89831285950271</v>
      </c>
      <c r="L16" s="1157">
        <v>281.15146881520639</v>
      </c>
      <c r="M16" s="1157">
        <v>314.9076726175839</v>
      </c>
      <c r="N16" s="1157">
        <v>334.16768231886346</v>
      </c>
      <c r="O16" s="1157">
        <v>360.02711040350448</v>
      </c>
      <c r="P16" s="1158">
        <f t="shared" si="2"/>
        <v>3648.0000000000005</v>
      </c>
      <c r="T16" s="687"/>
      <c r="U16" s="687"/>
      <c r="V16" s="687"/>
      <c r="W16" s="687"/>
      <c r="X16" s="687"/>
      <c r="Y16" s="687"/>
      <c r="Z16" s="687"/>
      <c r="AA16" s="687"/>
      <c r="AB16" s="687"/>
      <c r="AC16" s="687"/>
      <c r="AD16" s="687"/>
      <c r="AE16" s="687"/>
      <c r="AF16" s="687"/>
    </row>
    <row r="17" spans="2:32">
      <c r="B17" s="605">
        <v>321100</v>
      </c>
      <c r="C17" s="198" t="s">
        <v>11</v>
      </c>
      <c r="D17" s="1157">
        <v>805.84413910790147</v>
      </c>
      <c r="E17" s="1157">
        <v>748.40858852983354</v>
      </c>
      <c r="F17" s="1157">
        <v>776.48716570568001</v>
      </c>
      <c r="G17" s="1157">
        <v>670.26685838330172</v>
      </c>
      <c r="H17" s="1157">
        <v>650.44062205956402</v>
      </c>
      <c r="I17" s="1157">
        <v>638.14784075084219</v>
      </c>
      <c r="J17" s="1157">
        <v>651.91751166002359</v>
      </c>
      <c r="K17" s="1157">
        <v>673.87798884565939</v>
      </c>
      <c r="L17" s="1157">
        <v>686.95320341629827</v>
      </c>
      <c r="M17" s="1157">
        <v>773.69377280155027</v>
      </c>
      <c r="N17" s="1157">
        <v>797.9681935083039</v>
      </c>
      <c r="O17" s="1157">
        <v>848.99411523104209</v>
      </c>
      <c r="P17" s="1158">
        <f t="shared" si="2"/>
        <v>8723</v>
      </c>
      <c r="T17" s="687"/>
      <c r="U17" s="687"/>
      <c r="V17" s="687"/>
      <c r="W17" s="687"/>
      <c r="X17" s="687"/>
      <c r="Y17" s="687"/>
      <c r="Z17" s="687"/>
      <c r="AA17" s="687"/>
      <c r="AB17" s="687"/>
      <c r="AC17" s="687"/>
      <c r="AD17" s="687"/>
      <c r="AE17" s="687"/>
      <c r="AF17" s="687"/>
    </row>
    <row r="18" spans="2:32">
      <c r="B18" s="605">
        <v>311200</v>
      </c>
      <c r="C18" s="199" t="s">
        <v>254</v>
      </c>
      <c r="D18" s="1103">
        <v>1254.6029236613192</v>
      </c>
      <c r="E18" s="1103">
        <v>1146.055920687847</v>
      </c>
      <c r="F18" s="1103">
        <v>1180.9397507691285</v>
      </c>
      <c r="G18" s="1103">
        <v>1047.5038010535054</v>
      </c>
      <c r="H18" s="1103">
        <v>989.50623059508939</v>
      </c>
      <c r="I18" s="1103">
        <v>934.28620626631357</v>
      </c>
      <c r="J18" s="1103">
        <v>954.93863891485557</v>
      </c>
      <c r="K18" s="1103">
        <v>971.74443478597357</v>
      </c>
      <c r="L18" s="1103">
        <v>997.40491792624846</v>
      </c>
      <c r="M18" s="1103">
        <v>1123.2296054588378</v>
      </c>
      <c r="N18" s="1103">
        <v>1160.1356043522098</v>
      </c>
      <c r="O18" s="1103">
        <v>1251.6519655286711</v>
      </c>
      <c r="P18" s="540">
        <f t="shared" si="2"/>
        <v>13012</v>
      </c>
      <c r="T18" s="687"/>
      <c r="U18" s="687"/>
      <c r="V18" s="687"/>
      <c r="W18" s="687"/>
      <c r="X18" s="687"/>
      <c r="Y18" s="687"/>
      <c r="Z18" s="687"/>
      <c r="AA18" s="687"/>
      <c r="AB18" s="687"/>
      <c r="AC18" s="687"/>
      <c r="AD18" s="687"/>
      <c r="AE18" s="687"/>
      <c r="AF18" s="687"/>
    </row>
    <row r="19" spans="2:32">
      <c r="B19" s="605">
        <v>310100</v>
      </c>
      <c r="C19" s="199" t="s">
        <v>18</v>
      </c>
      <c r="D19" s="539">
        <f>SUM(D20:D21)</f>
        <v>10470.216648734178</v>
      </c>
      <c r="E19" s="539">
        <f t="shared" ref="E19:O19" si="3">SUM(E20:E21)</f>
        <v>9975.1154034701467</v>
      </c>
      <c r="F19" s="539">
        <f t="shared" si="3"/>
        <v>9937.9773455186878</v>
      </c>
      <c r="G19" s="539">
        <f t="shared" si="3"/>
        <v>8726.2983586270639</v>
      </c>
      <c r="H19" s="539">
        <f t="shared" si="3"/>
        <v>7947.5630532741097</v>
      </c>
      <c r="I19" s="539">
        <f t="shared" si="3"/>
        <v>7597.1020094591968</v>
      </c>
      <c r="J19" s="539">
        <f t="shared" si="3"/>
        <v>7685.1443264110621</v>
      </c>
      <c r="K19" s="539">
        <f t="shared" si="3"/>
        <v>7936.5808781313208</v>
      </c>
      <c r="L19" s="539">
        <f t="shared" si="3"/>
        <v>8150.069298990853</v>
      </c>
      <c r="M19" s="539">
        <f t="shared" si="3"/>
        <v>9529.5274752722162</v>
      </c>
      <c r="N19" s="539">
        <f t="shared" si="3"/>
        <v>10090.151933947578</v>
      </c>
      <c r="O19" s="539">
        <f t="shared" si="3"/>
        <v>10970.253268163589</v>
      </c>
      <c r="P19" s="540">
        <f t="shared" si="2"/>
        <v>109016.00000000001</v>
      </c>
      <c r="T19" s="694"/>
      <c r="U19" s="694"/>
      <c r="V19" s="694"/>
      <c r="W19" s="694"/>
      <c r="X19" s="694"/>
      <c r="Y19" s="694"/>
      <c r="Z19" s="694"/>
      <c r="AA19" s="694"/>
      <c r="AB19" s="694"/>
      <c r="AC19" s="694"/>
      <c r="AD19" s="694"/>
      <c r="AE19" s="694"/>
      <c r="AF19" s="694"/>
    </row>
    <row r="20" spans="2:32">
      <c r="B20" s="605"/>
      <c r="C20" s="200" t="s">
        <v>277</v>
      </c>
      <c r="D20" s="1103">
        <v>5031.1509491134739</v>
      </c>
      <c r="E20" s="1103">
        <v>4799.6018429643973</v>
      </c>
      <c r="F20" s="1103">
        <v>4825.8801389741675</v>
      </c>
      <c r="G20" s="1103">
        <v>4283.2229947870992</v>
      </c>
      <c r="H20" s="1103">
        <v>3930.860789541854</v>
      </c>
      <c r="I20" s="1103">
        <v>3775.7518172353693</v>
      </c>
      <c r="J20" s="1103">
        <v>3829.0938068632513</v>
      </c>
      <c r="K20" s="1103">
        <v>4041.6971852904467</v>
      </c>
      <c r="L20" s="1103">
        <v>4066.8090535553433</v>
      </c>
      <c r="M20" s="1103">
        <v>4650.2269910181185</v>
      </c>
      <c r="N20" s="1103">
        <v>4928.3984659505804</v>
      </c>
      <c r="O20" s="1103">
        <v>5465.8625424747606</v>
      </c>
      <c r="P20" s="540">
        <f t="shared" si="2"/>
        <v>53628.556577768861</v>
      </c>
      <c r="Q20" s="688"/>
      <c r="T20" s="687"/>
      <c r="U20" s="687"/>
      <c r="V20" s="687"/>
      <c r="W20" s="687"/>
      <c r="X20" s="687"/>
      <c r="Y20" s="687"/>
      <c r="Z20" s="687"/>
      <c r="AA20" s="687"/>
      <c r="AB20" s="687"/>
      <c r="AC20" s="687"/>
      <c r="AD20" s="687"/>
      <c r="AE20" s="687"/>
      <c r="AF20" s="687"/>
    </row>
    <row r="21" spans="2:32">
      <c r="B21" s="605"/>
      <c r="C21" s="200" t="s">
        <v>278</v>
      </c>
      <c r="D21" s="1103">
        <v>5439.0656996207053</v>
      </c>
      <c r="E21" s="1103">
        <v>5175.5135605057494</v>
      </c>
      <c r="F21" s="1103">
        <v>5112.0972065445194</v>
      </c>
      <c r="G21" s="1103">
        <v>4443.0753638399656</v>
      </c>
      <c r="H21" s="1103">
        <v>4016.7022637322557</v>
      </c>
      <c r="I21" s="1103">
        <v>3821.3501922238279</v>
      </c>
      <c r="J21" s="1103">
        <v>3856.0505195478108</v>
      </c>
      <c r="K21" s="1103">
        <v>3894.8836928408737</v>
      </c>
      <c r="L21" s="1103">
        <v>4083.2602454355092</v>
      </c>
      <c r="M21" s="1103">
        <v>4879.3004842540977</v>
      </c>
      <c r="N21" s="1103">
        <v>5161.7534679969967</v>
      </c>
      <c r="O21" s="1103">
        <v>5504.3907256888278</v>
      </c>
      <c r="P21" s="540">
        <f t="shared" si="2"/>
        <v>55387.443422231139</v>
      </c>
      <c r="Q21" s="688"/>
      <c r="T21" s="687"/>
      <c r="U21" s="687"/>
      <c r="V21" s="687"/>
      <c r="W21" s="687"/>
      <c r="X21" s="687"/>
      <c r="Y21" s="687"/>
      <c r="Z21" s="687"/>
      <c r="AA21" s="687"/>
      <c r="AB21" s="687"/>
      <c r="AC21" s="687"/>
      <c r="AD21" s="687"/>
      <c r="AE21" s="687"/>
      <c r="AF21" s="687"/>
    </row>
    <row r="22" spans="2:32">
      <c r="B22" s="605">
        <v>311000</v>
      </c>
      <c r="C22" s="197" t="s">
        <v>12</v>
      </c>
      <c r="D22" s="1103">
        <v>272.17883987720995</v>
      </c>
      <c r="E22" s="1103">
        <v>260.78328618184923</v>
      </c>
      <c r="F22" s="1103">
        <v>266.12467297546817</v>
      </c>
      <c r="G22" s="1103">
        <v>228.51639268502157</v>
      </c>
      <c r="H22" s="1103">
        <v>206.54036793311772</v>
      </c>
      <c r="I22" s="1103">
        <v>198.66261018087297</v>
      </c>
      <c r="J22" s="1103">
        <v>199.25347024338578</v>
      </c>
      <c r="K22" s="1103">
        <v>207.13162825268347</v>
      </c>
      <c r="L22" s="1103">
        <v>212.37031614176911</v>
      </c>
      <c r="M22" s="1103">
        <v>249.38303422847642</v>
      </c>
      <c r="N22" s="1103">
        <v>259.68795298095108</v>
      </c>
      <c r="O22" s="1103">
        <v>277.59242831919437</v>
      </c>
      <c r="P22" s="540">
        <f t="shared" si="2"/>
        <v>2838.2249999999999</v>
      </c>
      <c r="T22" s="687"/>
      <c r="U22" s="687"/>
      <c r="V22" s="687"/>
      <c r="W22" s="687"/>
      <c r="X22" s="687"/>
      <c r="Y22" s="687"/>
      <c r="Z22" s="687"/>
      <c r="AA22" s="687"/>
      <c r="AB22" s="687"/>
      <c r="AC22" s="687"/>
      <c r="AD22" s="687"/>
      <c r="AE22" s="687"/>
      <c r="AF22" s="687"/>
    </row>
    <row r="23" spans="2:32">
      <c r="B23" s="605">
        <v>313900</v>
      </c>
      <c r="C23" s="198" t="s">
        <v>13</v>
      </c>
      <c r="D23" s="1103">
        <v>616.2248696997699</v>
      </c>
      <c r="E23" s="1103">
        <v>590.82162907759903</v>
      </c>
      <c r="F23" s="1103">
        <v>598.46215027289725</v>
      </c>
      <c r="G23" s="1103">
        <v>519.62858473528627</v>
      </c>
      <c r="H23" s="1103">
        <v>480.18187843790872</v>
      </c>
      <c r="I23" s="1103">
        <v>484.68513095162314</v>
      </c>
      <c r="J23" s="1103">
        <v>506.07321769782988</v>
      </c>
      <c r="K23" s="1103">
        <v>509.65978861933371</v>
      </c>
      <c r="L23" s="1103">
        <v>515.7984503563963</v>
      </c>
      <c r="M23" s="1103">
        <v>579.30546419446114</v>
      </c>
      <c r="N23" s="1103">
        <v>591.44491098540129</v>
      </c>
      <c r="O23" s="1103">
        <v>638.71392497149247</v>
      </c>
      <c r="P23" s="540">
        <f t="shared" si="2"/>
        <v>6631</v>
      </c>
      <c r="T23" s="687"/>
      <c r="U23" s="687"/>
      <c r="V23" s="687"/>
      <c r="W23" s="687"/>
      <c r="X23" s="687"/>
      <c r="Y23" s="687"/>
      <c r="Z23" s="687"/>
      <c r="AA23" s="687"/>
      <c r="AB23" s="687"/>
      <c r="AC23" s="687"/>
      <c r="AD23" s="687"/>
      <c r="AE23" s="687"/>
      <c r="AF23" s="687"/>
    </row>
    <row r="24" spans="2:32">
      <c r="B24" s="605">
        <v>340800</v>
      </c>
      <c r="C24" s="197" t="s">
        <v>14</v>
      </c>
      <c r="D24" s="1103">
        <v>610.23343224939742</v>
      </c>
      <c r="E24" s="1103">
        <v>570.23737486612777</v>
      </c>
      <c r="F24" s="1103">
        <v>588.11287149622456</v>
      </c>
      <c r="G24" s="1103">
        <v>496.97933171763265</v>
      </c>
      <c r="H24" s="1103">
        <v>496.58007702101582</v>
      </c>
      <c r="I24" s="1103">
        <v>478.32092210099927</v>
      </c>
      <c r="J24" s="1103">
        <v>477.44817572870375</v>
      </c>
      <c r="K24" s="1103">
        <v>479.5204308536068</v>
      </c>
      <c r="L24" s="1103">
        <v>477.26684958927268</v>
      </c>
      <c r="M24" s="1103">
        <v>552.80680907392264</v>
      </c>
      <c r="N24" s="1103">
        <v>558.98894372983773</v>
      </c>
      <c r="O24" s="1103">
        <v>590.88178157325899</v>
      </c>
      <c r="P24" s="540">
        <f t="shared" si="2"/>
        <v>6377.3770000000004</v>
      </c>
      <c r="T24" s="687"/>
      <c r="U24" s="687"/>
      <c r="V24" s="687"/>
      <c r="W24" s="687"/>
      <c r="X24" s="687"/>
      <c r="Y24" s="687"/>
      <c r="Z24" s="687"/>
      <c r="AA24" s="687"/>
      <c r="AB24" s="687"/>
      <c r="AC24" s="687"/>
      <c r="AD24" s="687"/>
      <c r="AE24" s="687"/>
      <c r="AF24" s="687"/>
    </row>
    <row r="25" spans="2:32">
      <c r="B25" s="605">
        <v>311500</v>
      </c>
      <c r="C25" s="198" t="s">
        <v>15</v>
      </c>
      <c r="D25" s="1103">
        <v>342.28758244322853</v>
      </c>
      <c r="E25" s="1103">
        <v>313.89841453316978</v>
      </c>
      <c r="F25" s="1103">
        <v>323.55849335557667</v>
      </c>
      <c r="G25" s="1103">
        <v>280.80092847805082</v>
      </c>
      <c r="H25" s="1103">
        <v>255.43237985122406</v>
      </c>
      <c r="I25" s="1103">
        <v>245.69494803523833</v>
      </c>
      <c r="J25" s="1103">
        <v>252.70361339802812</v>
      </c>
      <c r="K25" s="1103">
        <v>258.18849401783984</v>
      </c>
      <c r="L25" s="1103">
        <v>269.7753125003058</v>
      </c>
      <c r="M25" s="1103">
        <v>322.69082433182717</v>
      </c>
      <c r="N25" s="1103">
        <v>333.52433341787957</v>
      </c>
      <c r="O25" s="1103">
        <v>357.44467563763118</v>
      </c>
      <c r="P25" s="540">
        <f t="shared" si="2"/>
        <v>3555.9999999999995</v>
      </c>
      <c r="T25" s="687"/>
      <c r="U25" s="687"/>
      <c r="V25" s="687"/>
      <c r="W25" s="687"/>
      <c r="X25" s="687"/>
      <c r="Y25" s="687"/>
      <c r="Z25" s="687"/>
      <c r="AA25" s="687"/>
      <c r="AB25" s="687"/>
      <c r="AC25" s="687"/>
      <c r="AD25" s="687"/>
      <c r="AE25" s="687"/>
      <c r="AF25" s="687"/>
    </row>
    <row r="26" spans="2:32">
      <c r="B26" s="605">
        <v>310700</v>
      </c>
      <c r="C26" s="199" t="s">
        <v>255</v>
      </c>
      <c r="D26" s="1103">
        <v>834.02403545017978</v>
      </c>
      <c r="E26" s="1103">
        <v>778.02378347053855</v>
      </c>
      <c r="F26" s="1103">
        <v>792.33235437831627</v>
      </c>
      <c r="G26" s="1103">
        <v>678.66225934589397</v>
      </c>
      <c r="H26" s="1103">
        <v>640.97664397878111</v>
      </c>
      <c r="I26" s="1103">
        <v>611.68751681028232</v>
      </c>
      <c r="J26" s="1103">
        <v>620.24100912350582</v>
      </c>
      <c r="K26" s="1103">
        <v>628.63470117672045</v>
      </c>
      <c r="L26" s="1103">
        <v>652.87090137272094</v>
      </c>
      <c r="M26" s="1103">
        <v>744.89391704151501</v>
      </c>
      <c r="N26" s="1103">
        <v>772.81214855638689</v>
      </c>
      <c r="O26" s="1103">
        <v>847.84072929515753</v>
      </c>
      <c r="P26" s="540">
        <f t="shared" si="2"/>
        <v>8602.9999999999982</v>
      </c>
      <c r="T26" s="687"/>
      <c r="U26" s="687"/>
      <c r="V26" s="687"/>
      <c r="W26" s="687"/>
      <c r="X26" s="687"/>
      <c r="Y26" s="687"/>
      <c r="Z26" s="687"/>
      <c r="AA26" s="687"/>
      <c r="AB26" s="687"/>
      <c r="AC26" s="687"/>
      <c r="AD26" s="687"/>
      <c r="AE26" s="687"/>
      <c r="AF26" s="687"/>
    </row>
    <row r="27" spans="2:32">
      <c r="B27" s="605">
        <v>310200</v>
      </c>
      <c r="C27" s="199" t="s">
        <v>16</v>
      </c>
      <c r="D27" s="1103">
        <v>976.05074026382715</v>
      </c>
      <c r="E27" s="1103">
        <v>940.24357259980002</v>
      </c>
      <c r="F27" s="1103">
        <v>950.28549465835636</v>
      </c>
      <c r="G27" s="1103">
        <v>828.99128358407006</v>
      </c>
      <c r="H27" s="1103">
        <v>762.17369817103349</v>
      </c>
      <c r="I27" s="1103">
        <v>729.18062150694379</v>
      </c>
      <c r="J27" s="1103">
        <v>756.97790438967218</v>
      </c>
      <c r="K27" s="1103">
        <v>762.20381047788078</v>
      </c>
      <c r="L27" s="1103">
        <v>815.55114048909888</v>
      </c>
      <c r="M27" s="1103">
        <v>931.2598568194868</v>
      </c>
      <c r="N27" s="1103">
        <v>964.04147836402979</v>
      </c>
      <c r="O27" s="1103">
        <v>1043.340398675798</v>
      </c>
      <c r="P27" s="540">
        <f t="shared" si="2"/>
        <v>10460.299999999997</v>
      </c>
      <c r="T27" s="687"/>
      <c r="U27" s="687"/>
      <c r="V27" s="687"/>
      <c r="W27" s="687"/>
      <c r="X27" s="687"/>
      <c r="Y27" s="687"/>
      <c r="Z27" s="687"/>
      <c r="AA27" s="687"/>
      <c r="AB27" s="687"/>
      <c r="AC27" s="687"/>
      <c r="AD27" s="687"/>
      <c r="AE27" s="687"/>
      <c r="AF27" s="687"/>
    </row>
    <row r="28" spans="2:32">
      <c r="B28" s="605">
        <v>340500</v>
      </c>
      <c r="C28" s="199" t="s">
        <v>17</v>
      </c>
      <c r="D28" s="1103">
        <v>810.42449277603976</v>
      </c>
      <c r="E28" s="1103">
        <v>769.15909255802478</v>
      </c>
      <c r="F28" s="1103">
        <v>758.16175237924335</v>
      </c>
      <c r="G28" s="1103">
        <v>673.84816555395082</v>
      </c>
      <c r="H28" s="1103">
        <v>608.91456003855126</v>
      </c>
      <c r="I28" s="1103">
        <v>576.14600585748371</v>
      </c>
      <c r="J28" s="1103">
        <v>581.87551352743048</v>
      </c>
      <c r="K28" s="1103">
        <v>590.11019446622618</v>
      </c>
      <c r="L28" s="1103">
        <v>620.37679697565807</v>
      </c>
      <c r="M28" s="1103">
        <v>719.94533040183228</v>
      </c>
      <c r="N28" s="1103">
        <v>763.62935377810675</v>
      </c>
      <c r="O28" s="1103">
        <v>823.40874168745211</v>
      </c>
      <c r="P28" s="540">
        <f t="shared" si="2"/>
        <v>8296</v>
      </c>
      <c r="T28" s="687"/>
      <c r="U28" s="687"/>
      <c r="V28" s="687"/>
      <c r="W28" s="687"/>
      <c r="X28" s="687"/>
      <c r="Y28" s="687"/>
      <c r="Z28" s="687"/>
      <c r="AA28" s="687"/>
      <c r="AB28" s="687"/>
      <c r="AC28" s="687"/>
      <c r="AD28" s="687"/>
      <c r="AE28" s="687"/>
      <c r="AF28" s="687"/>
    </row>
    <row r="29" spans="2:32">
      <c r="B29" s="605"/>
      <c r="C29" s="201"/>
      <c r="D29" s="541"/>
      <c r="E29" s="541"/>
      <c r="F29" s="541"/>
      <c r="G29" s="541"/>
      <c r="H29" s="541"/>
      <c r="I29" s="541"/>
      <c r="J29" s="541"/>
      <c r="K29" s="541"/>
      <c r="L29" s="541"/>
      <c r="M29" s="541"/>
      <c r="N29" s="541"/>
      <c r="O29" s="541"/>
      <c r="P29" s="542"/>
    </row>
    <row r="30" spans="2:32">
      <c r="B30" s="605">
        <v>600000</v>
      </c>
      <c r="C30" s="196" t="s">
        <v>37</v>
      </c>
      <c r="D30" s="539">
        <f t="shared" ref="D30:O30" si="4">SUM(D31:D39)</f>
        <v>10517.417253454701</v>
      </c>
      <c r="E30" s="539">
        <f t="shared" si="4"/>
        <v>9704.834306528237</v>
      </c>
      <c r="F30" s="539">
        <f t="shared" si="4"/>
        <v>10049.174663276104</v>
      </c>
      <c r="G30" s="539">
        <f t="shared" si="4"/>
        <v>8899.6198775711782</v>
      </c>
      <c r="H30" s="539">
        <f t="shared" si="4"/>
        <v>8285.7635077813775</v>
      </c>
      <c r="I30" s="539">
        <f t="shared" si="4"/>
        <v>8268.3691709907253</v>
      </c>
      <c r="J30" s="539">
        <f t="shared" si="4"/>
        <v>8586.4178610727176</v>
      </c>
      <c r="K30" s="539">
        <f t="shared" si="4"/>
        <v>8548.7524988013429</v>
      </c>
      <c r="L30" s="539">
        <f t="shared" si="4"/>
        <v>8530.584840276666</v>
      </c>
      <c r="M30" s="539">
        <f t="shared" si="4"/>
        <v>9559.9429544832419</v>
      </c>
      <c r="N30" s="539">
        <f t="shared" si="4"/>
        <v>10009.204178998523</v>
      </c>
      <c r="O30" s="539">
        <f t="shared" si="4"/>
        <v>10908.229148100823</v>
      </c>
      <c r="P30" s="540">
        <f>SUM(D30:O30)</f>
        <v>111868.31026133565</v>
      </c>
    </row>
    <row r="31" spans="2:32">
      <c r="B31" s="605">
        <v>311800</v>
      </c>
      <c r="C31" s="199" t="s">
        <v>180</v>
      </c>
      <c r="D31" s="1104">
        <v>276.98281399672385</v>
      </c>
      <c r="E31" s="1104">
        <v>255.67591059155654</v>
      </c>
      <c r="F31" s="1104">
        <v>229.18018678877112</v>
      </c>
      <c r="G31" s="1104">
        <v>193.07240646364136</v>
      </c>
      <c r="H31" s="1104">
        <v>159.12926190536703</v>
      </c>
      <c r="I31" s="1104">
        <v>170.44102288586808</v>
      </c>
      <c r="J31" s="1104">
        <v>194.35586963709494</v>
      </c>
      <c r="K31" s="1104">
        <v>178.6876969751695</v>
      </c>
      <c r="L31" s="1104">
        <v>207.08577992647645</v>
      </c>
      <c r="M31" s="1104">
        <v>243.24578956127172</v>
      </c>
      <c r="N31" s="1104">
        <v>228.11705051834525</v>
      </c>
      <c r="O31" s="1104">
        <v>253.96893641612985</v>
      </c>
      <c r="P31" s="952">
        <f t="shared" ref="P31:P39" si="5">SUM(D31:O31)</f>
        <v>2589.9427256664158</v>
      </c>
      <c r="T31" s="687"/>
      <c r="U31" s="687"/>
      <c r="V31" s="687"/>
      <c r="W31" s="687"/>
      <c r="X31" s="687"/>
      <c r="Y31" s="687"/>
      <c r="Z31" s="687"/>
      <c r="AA31" s="687"/>
      <c r="AB31" s="687"/>
      <c r="AC31" s="687"/>
      <c r="AD31" s="687"/>
      <c r="AE31" s="687"/>
      <c r="AF31" s="687"/>
    </row>
    <row r="32" spans="2:32">
      <c r="B32" s="605">
        <v>316700</v>
      </c>
      <c r="C32" s="199" t="s">
        <v>256</v>
      </c>
      <c r="D32" s="1103">
        <v>313.61715497123168</v>
      </c>
      <c r="E32" s="1103">
        <v>292.17427347728767</v>
      </c>
      <c r="F32" s="1103">
        <v>298.16245138609958</v>
      </c>
      <c r="G32" s="1103">
        <v>263.66541923048618</v>
      </c>
      <c r="H32" s="1103">
        <v>251.5275573751556</v>
      </c>
      <c r="I32" s="1103">
        <v>250.72523661797803</v>
      </c>
      <c r="J32" s="1103">
        <v>254.23538993062974</v>
      </c>
      <c r="K32" s="1103">
        <v>260.45337579875559</v>
      </c>
      <c r="L32" s="1103">
        <v>264.66555977393767</v>
      </c>
      <c r="M32" s="1103">
        <v>299.86738299510176</v>
      </c>
      <c r="N32" s="1103">
        <v>302.87608583451754</v>
      </c>
      <c r="O32" s="1103">
        <v>328.95151044278725</v>
      </c>
      <c r="P32" s="540">
        <f t="shared" si="5"/>
        <v>3380.9213978339685</v>
      </c>
      <c r="T32" s="687"/>
      <c r="U32" s="687"/>
      <c r="V32" s="687"/>
      <c r="W32" s="687"/>
      <c r="X32" s="687"/>
      <c r="Y32" s="687"/>
      <c r="Z32" s="687"/>
      <c r="AA32" s="687"/>
      <c r="AB32" s="687"/>
      <c r="AC32" s="687"/>
      <c r="AD32" s="687"/>
      <c r="AE32" s="687"/>
      <c r="AF32" s="687"/>
    </row>
    <row r="33" spans="2:32">
      <c r="B33" s="605">
        <v>310300</v>
      </c>
      <c r="C33" s="199" t="s">
        <v>257</v>
      </c>
      <c r="D33" s="1103">
        <v>2005.240389569004</v>
      </c>
      <c r="E33" s="1103">
        <v>1881.4585803810846</v>
      </c>
      <c r="F33" s="1103">
        <v>1954.6238005939215</v>
      </c>
      <c r="G33" s="1103">
        <v>1734.6073489735847</v>
      </c>
      <c r="H33" s="1103">
        <v>1533.4323964859939</v>
      </c>
      <c r="I33" s="1103">
        <v>1481.2862266491854</v>
      </c>
      <c r="J33" s="1103">
        <v>1545.0020458237052</v>
      </c>
      <c r="K33" s="1103">
        <v>1588.1412411435963</v>
      </c>
      <c r="L33" s="1103">
        <v>1600.1873173070906</v>
      </c>
      <c r="M33" s="1103">
        <v>1828.8772087023897</v>
      </c>
      <c r="N33" s="1103">
        <v>1925.1806227605011</v>
      </c>
      <c r="O33" s="1103">
        <v>2145.344981483885</v>
      </c>
      <c r="P33" s="540">
        <f t="shared" si="5"/>
        <v>21223.382159873941</v>
      </c>
      <c r="T33" s="687"/>
      <c r="U33" s="687"/>
      <c r="V33" s="687"/>
      <c r="W33" s="687"/>
      <c r="X33" s="687"/>
      <c r="Y33" s="687"/>
      <c r="Z33" s="687"/>
      <c r="AA33" s="687"/>
      <c r="AB33" s="687"/>
      <c r="AC33" s="687"/>
      <c r="AD33" s="687"/>
      <c r="AE33" s="687"/>
      <c r="AF33" s="687"/>
    </row>
    <row r="34" spans="2:32">
      <c r="B34" s="605">
        <v>316400</v>
      </c>
      <c r="C34" s="199" t="s">
        <v>38</v>
      </c>
      <c r="D34" s="1103">
        <v>477.44397550377198</v>
      </c>
      <c r="E34" s="1103">
        <v>445.76527652515938</v>
      </c>
      <c r="F34" s="1103">
        <v>452.80947122147649</v>
      </c>
      <c r="G34" s="1103">
        <v>403.35523981334683</v>
      </c>
      <c r="H34" s="1103">
        <v>362.73705735542876</v>
      </c>
      <c r="I34" s="1103">
        <v>372.80751431773524</v>
      </c>
      <c r="J34" s="1103">
        <v>383.96124752698302</v>
      </c>
      <c r="K34" s="1103">
        <v>373.97103324963518</v>
      </c>
      <c r="L34" s="1103">
        <v>381.07251086847282</v>
      </c>
      <c r="M34" s="1103">
        <v>454.37420357816956</v>
      </c>
      <c r="N34" s="1103">
        <v>469.54007103534821</v>
      </c>
      <c r="O34" s="1103">
        <v>495.85967170177463</v>
      </c>
      <c r="P34" s="540">
        <f t="shared" si="5"/>
        <v>5073.6972726973017</v>
      </c>
      <c r="T34" s="687"/>
      <c r="U34" s="687"/>
      <c r="V34" s="687"/>
      <c r="W34" s="687"/>
      <c r="X34" s="687"/>
      <c r="Y34" s="687"/>
      <c r="Z34" s="687"/>
      <c r="AA34" s="687"/>
      <c r="AB34" s="687"/>
      <c r="AC34" s="687"/>
      <c r="AD34" s="687"/>
      <c r="AE34" s="687"/>
      <c r="AF34" s="687"/>
    </row>
    <row r="35" spans="2:32">
      <c r="B35" s="605">
        <v>316100</v>
      </c>
      <c r="C35" s="199" t="s">
        <v>39</v>
      </c>
      <c r="D35" s="1103">
        <v>2294.913498894748</v>
      </c>
      <c r="E35" s="1103">
        <v>2101.9434110522643</v>
      </c>
      <c r="F35" s="1103">
        <v>2182.3213678725465</v>
      </c>
      <c r="G35" s="1103">
        <v>1912.0376657450147</v>
      </c>
      <c r="H35" s="1103">
        <v>1813.1094524341315</v>
      </c>
      <c r="I35" s="1103">
        <v>1799.1670860981976</v>
      </c>
      <c r="J35" s="1103">
        <v>1852.6295411849087</v>
      </c>
      <c r="K35" s="1103">
        <v>1820.6323119679091</v>
      </c>
      <c r="L35" s="1103">
        <v>1760.6500452852574</v>
      </c>
      <c r="M35" s="1103">
        <v>2017.6309269590924</v>
      </c>
      <c r="N35" s="1103">
        <v>2124.254922751164</v>
      </c>
      <c r="O35" s="1103">
        <v>2308.4145241380343</v>
      </c>
      <c r="P35" s="540">
        <f t="shared" si="5"/>
        <v>23987.70475438327</v>
      </c>
      <c r="T35" s="687"/>
      <c r="U35" s="687"/>
      <c r="V35" s="687"/>
      <c r="W35" s="687"/>
      <c r="X35" s="687"/>
      <c r="Y35" s="687"/>
      <c r="Z35" s="687"/>
      <c r="AA35" s="687"/>
      <c r="AB35" s="687"/>
      <c r="AC35" s="687"/>
      <c r="AD35" s="687"/>
      <c r="AE35" s="687"/>
      <c r="AF35" s="687"/>
    </row>
    <row r="36" spans="2:32">
      <c r="B36" s="605">
        <v>316200</v>
      </c>
      <c r="C36" s="199" t="s">
        <v>40</v>
      </c>
      <c r="D36" s="1103">
        <v>1233.0406996730817</v>
      </c>
      <c r="E36" s="1103">
        <v>1118.3034128348047</v>
      </c>
      <c r="F36" s="1103">
        <v>1135.3852323620117</v>
      </c>
      <c r="G36" s="1103">
        <v>1004.0743498375496</v>
      </c>
      <c r="H36" s="1103">
        <v>1016.6760647750651</v>
      </c>
      <c r="I36" s="1103">
        <v>1059.154588199714</v>
      </c>
      <c r="J36" s="1103">
        <v>1075.2532966050414</v>
      </c>
      <c r="K36" s="1103">
        <v>1040.4981410757832</v>
      </c>
      <c r="L36" s="1103">
        <v>1023.1456391809445</v>
      </c>
      <c r="M36" s="1103">
        <v>1091.0510945728859</v>
      </c>
      <c r="N36" s="1103">
        <v>1118.1831856859144</v>
      </c>
      <c r="O36" s="1103">
        <v>1230.6233858253033</v>
      </c>
      <c r="P36" s="540">
        <f t="shared" si="5"/>
        <v>13145.389090628098</v>
      </c>
      <c r="R36"/>
      <c r="AE36" s="687"/>
      <c r="AF36" s="687"/>
    </row>
    <row r="37" spans="2:32">
      <c r="B37" s="605">
        <v>686500</v>
      </c>
      <c r="C37" s="199" t="s">
        <v>42</v>
      </c>
      <c r="D37" s="1103">
        <v>2844.6513185363233</v>
      </c>
      <c r="E37" s="1103">
        <v>2612.4227710260366</v>
      </c>
      <c r="F37" s="1103">
        <v>2774.2022316357065</v>
      </c>
      <c r="G37" s="1103">
        <v>2486.5245238896473</v>
      </c>
      <c r="H37" s="1103">
        <v>2346.9661652816753</v>
      </c>
      <c r="I37" s="1103">
        <v>2340.9508739567332</v>
      </c>
      <c r="J37" s="1103">
        <v>2477.2974773220931</v>
      </c>
      <c r="K37" s="1103">
        <v>2499.3535455135489</v>
      </c>
      <c r="L37" s="1103">
        <v>2496.3458998510773</v>
      </c>
      <c r="M37" s="1103">
        <v>2676.8046395993483</v>
      </c>
      <c r="N37" s="1103">
        <v>2840.2200539269484</v>
      </c>
      <c r="O37" s="1103">
        <v>3057.7730901790305</v>
      </c>
      <c r="P37" s="540">
        <f>SUM(D37:O37)</f>
        <v>31453.512590718168</v>
      </c>
      <c r="R37"/>
      <c r="AE37" s="687"/>
      <c r="AF37" s="687"/>
    </row>
    <row r="38" spans="2:32">
      <c r="B38" s="605">
        <v>316300</v>
      </c>
      <c r="C38" s="199" t="s">
        <v>41</v>
      </c>
      <c r="D38" s="1103">
        <v>561.92158729229811</v>
      </c>
      <c r="E38" s="1103">
        <v>525.42961602236687</v>
      </c>
      <c r="F38" s="1103">
        <v>533.35396749871973</v>
      </c>
      <c r="G38" s="1103">
        <v>471.98088097357487</v>
      </c>
      <c r="H38" s="1103">
        <v>418.85148147000757</v>
      </c>
      <c r="I38" s="1103">
        <v>417.28418517229255</v>
      </c>
      <c r="J38" s="1103">
        <v>422.51967441665943</v>
      </c>
      <c r="K38" s="1103">
        <v>408.62138144358897</v>
      </c>
      <c r="L38" s="1103">
        <v>413.78369021572928</v>
      </c>
      <c r="M38" s="1103">
        <v>494.11203593094882</v>
      </c>
      <c r="N38" s="1103">
        <v>521.41769561713886</v>
      </c>
      <c r="O38" s="1103">
        <v>569.64397523516118</v>
      </c>
      <c r="P38" s="540">
        <f t="shared" si="5"/>
        <v>5758.920171288486</v>
      </c>
      <c r="R38"/>
      <c r="AE38" s="687"/>
      <c r="AF38" s="687"/>
    </row>
    <row r="39" spans="2:32">
      <c r="B39" s="605">
        <v>316600</v>
      </c>
      <c r="C39" s="199" t="s">
        <v>258</v>
      </c>
      <c r="D39" s="1103">
        <v>509.60581501752006</v>
      </c>
      <c r="E39" s="1103">
        <v>471.66105461767557</v>
      </c>
      <c r="F39" s="1103">
        <v>489.13595391684959</v>
      </c>
      <c r="G39" s="1103">
        <v>430.30204264433206</v>
      </c>
      <c r="H39" s="1103">
        <v>383.33407069855201</v>
      </c>
      <c r="I39" s="1103">
        <v>376.55243709302073</v>
      </c>
      <c r="J39" s="1103">
        <v>381.16331862560151</v>
      </c>
      <c r="K39" s="1103">
        <v>378.3937716333557</v>
      </c>
      <c r="L39" s="1103">
        <v>383.64839786768056</v>
      </c>
      <c r="M39" s="1103">
        <v>453.97967258403452</v>
      </c>
      <c r="N39" s="1103">
        <v>479.4144908686456</v>
      </c>
      <c r="O39" s="1103">
        <v>517.64907267871615</v>
      </c>
      <c r="P39" s="540">
        <f t="shared" si="5"/>
        <v>5254.8400982459834</v>
      </c>
      <c r="R39"/>
      <c r="AE39" s="687"/>
      <c r="AF39" s="687"/>
    </row>
    <row r="40" spans="2:32">
      <c r="B40" s="605"/>
      <c r="C40" s="201"/>
      <c r="D40" s="541"/>
      <c r="E40" s="541"/>
      <c r="F40" s="541"/>
      <c r="G40" s="541"/>
      <c r="H40" s="541"/>
      <c r="I40" s="541"/>
      <c r="J40" s="541"/>
      <c r="K40" s="541"/>
      <c r="L40" s="541"/>
      <c r="M40" s="541"/>
      <c r="N40" s="541"/>
      <c r="O40" s="541"/>
      <c r="P40" s="542"/>
      <c r="R40"/>
    </row>
    <row r="41" spans="2:32">
      <c r="B41" s="605">
        <v>630000</v>
      </c>
      <c r="C41" s="196" t="s">
        <v>259</v>
      </c>
      <c r="D41" s="539">
        <f t="shared" ref="D41:O41" si="6">SUM(D42:D50)</f>
        <v>24972.740064476951</v>
      </c>
      <c r="E41" s="539">
        <f t="shared" si="6"/>
        <v>23393.148793477278</v>
      </c>
      <c r="F41" s="539">
        <f t="shared" si="6"/>
        <v>23895.249887499638</v>
      </c>
      <c r="G41" s="539">
        <f t="shared" si="6"/>
        <v>21736.661028485578</v>
      </c>
      <c r="H41" s="539">
        <f t="shared" si="6"/>
        <v>20985.806963452222</v>
      </c>
      <c r="I41" s="539">
        <f t="shared" si="6"/>
        <v>19736.575285033807</v>
      </c>
      <c r="J41" s="539">
        <f t="shared" si="6"/>
        <v>19977.371942838083</v>
      </c>
      <c r="K41" s="539">
        <f t="shared" si="6"/>
        <v>20438.50544904374</v>
      </c>
      <c r="L41" s="539">
        <f t="shared" si="6"/>
        <v>20607.455120310031</v>
      </c>
      <c r="M41" s="539">
        <f t="shared" si="6"/>
        <v>22877.692191788236</v>
      </c>
      <c r="N41" s="539">
        <f t="shared" si="6"/>
        <v>23428.070263048707</v>
      </c>
      <c r="O41" s="539">
        <f t="shared" si="6"/>
        <v>25205.812478823191</v>
      </c>
      <c r="P41" s="540">
        <f>SUM(D41:O41)</f>
        <v>267255.08946827747</v>
      </c>
    </row>
    <row r="42" spans="2:32">
      <c r="B42" s="605">
        <v>339000</v>
      </c>
      <c r="C42" s="199" t="s">
        <v>260</v>
      </c>
      <c r="D42" s="1103">
        <v>2669.9525116101995</v>
      </c>
      <c r="E42" s="1103">
        <v>2518.6632731765203</v>
      </c>
      <c r="F42" s="1103">
        <v>2541.3817366281687</v>
      </c>
      <c r="G42" s="1103">
        <v>2277.9818890118095</v>
      </c>
      <c r="H42" s="1103">
        <v>2132.9066938391034</v>
      </c>
      <c r="I42" s="1103">
        <v>2036.8061812334697</v>
      </c>
      <c r="J42" s="1103">
        <v>2025.5076972266163</v>
      </c>
      <c r="K42" s="1103">
        <v>2046.3348677918275</v>
      </c>
      <c r="L42" s="1103">
        <v>2058.2521669201897</v>
      </c>
      <c r="M42" s="1103">
        <v>2376.9400740548813</v>
      </c>
      <c r="N42" s="1103">
        <v>2519.7392755949641</v>
      </c>
      <c r="O42" s="1103">
        <v>2728.3866878448398</v>
      </c>
      <c r="P42" s="540">
        <f t="shared" ref="P42:P50" si="7">SUM(D42:O42)</f>
        <v>27932.853054932588</v>
      </c>
      <c r="T42" s="687"/>
      <c r="U42" s="687"/>
      <c r="V42" s="687"/>
      <c r="W42" s="687"/>
      <c r="X42" s="687"/>
      <c r="Y42" s="687"/>
      <c r="Z42" s="687"/>
      <c r="AA42" s="687"/>
      <c r="AB42" s="687"/>
      <c r="AC42" s="687"/>
      <c r="AD42" s="687"/>
      <c r="AE42" s="687"/>
      <c r="AF42" s="687"/>
    </row>
    <row r="43" spans="2:32">
      <c r="B43" s="605">
        <v>338900</v>
      </c>
      <c r="C43" s="199" t="s">
        <v>261</v>
      </c>
      <c r="D43" s="1104">
        <v>704.15107090342951</v>
      </c>
      <c r="E43" s="1104">
        <v>643.03943087842435</v>
      </c>
      <c r="F43" s="1104">
        <v>665.72773737231819</v>
      </c>
      <c r="G43" s="1104">
        <v>587.06965907116125</v>
      </c>
      <c r="H43" s="1104">
        <v>566.75659507702073</v>
      </c>
      <c r="I43" s="1104">
        <v>525.20041673001913</v>
      </c>
      <c r="J43" s="1104">
        <v>513.4154005669543</v>
      </c>
      <c r="K43" s="1104">
        <v>541.01614987021685</v>
      </c>
      <c r="L43" s="1104">
        <v>560.91421278048961</v>
      </c>
      <c r="M43" s="1104">
        <v>635.78378970231938</v>
      </c>
      <c r="N43" s="1104">
        <v>648.10014500359421</v>
      </c>
      <c r="O43" s="1104">
        <v>704.57953451907201</v>
      </c>
      <c r="P43" s="540">
        <f t="shared" si="7"/>
        <v>7295.7541424750189</v>
      </c>
      <c r="T43" s="687"/>
      <c r="U43" s="687"/>
      <c r="V43" s="687"/>
      <c r="W43" s="687"/>
      <c r="X43" s="687"/>
      <c r="Y43" s="687"/>
      <c r="Z43" s="687"/>
      <c r="AA43" s="687"/>
      <c r="AB43" s="687"/>
      <c r="AC43" s="687"/>
      <c r="AD43" s="687"/>
      <c r="AE43" s="687"/>
      <c r="AF43" s="687"/>
    </row>
    <row r="44" spans="2:32">
      <c r="B44" s="605">
        <v>331000</v>
      </c>
      <c r="C44" s="199" t="s">
        <v>262</v>
      </c>
      <c r="D44" s="1157">
        <v>446.70505741467701</v>
      </c>
      <c r="E44" s="1157">
        <v>428.77397879024193</v>
      </c>
      <c r="F44" s="1157">
        <v>431.86769343770669</v>
      </c>
      <c r="G44" s="1157">
        <v>369.98906132037121</v>
      </c>
      <c r="H44" s="1157">
        <v>333.92773464369066</v>
      </c>
      <c r="I44" s="1157">
        <v>303.44362230492447</v>
      </c>
      <c r="J44" s="1157">
        <v>306.13452476306975</v>
      </c>
      <c r="K44" s="1157">
        <v>318.00089490760314</v>
      </c>
      <c r="L44" s="1157">
        <v>332.37357506280051</v>
      </c>
      <c r="M44" s="1157">
        <v>393.72256880811864</v>
      </c>
      <c r="N44" s="1157">
        <v>416.22256627220872</v>
      </c>
      <c r="O44" s="1157">
        <v>452.83872227458801</v>
      </c>
      <c r="P44" s="1158">
        <f t="shared" si="7"/>
        <v>4534.0000000000009</v>
      </c>
      <c r="T44" s="687"/>
      <c r="U44" s="687"/>
      <c r="V44" s="687"/>
      <c r="W44" s="687"/>
      <c r="X44" s="687"/>
      <c r="Y44" s="687"/>
      <c r="Z44" s="687"/>
      <c r="AA44" s="687"/>
      <c r="AB44" s="687"/>
      <c r="AC44" s="687"/>
      <c r="AD44" s="687"/>
      <c r="AE44" s="687"/>
      <c r="AF44" s="687"/>
    </row>
    <row r="45" spans="2:32">
      <c r="B45" s="605">
        <v>339100</v>
      </c>
      <c r="C45" s="199" t="s">
        <v>263</v>
      </c>
      <c r="D45" s="1157">
        <v>1506.4062623450577</v>
      </c>
      <c r="E45" s="1157">
        <v>1418.8361103074094</v>
      </c>
      <c r="F45" s="1157">
        <v>1447.881094708559</v>
      </c>
      <c r="G45" s="1157">
        <v>1282.6452465193165</v>
      </c>
      <c r="H45" s="1157">
        <v>1240.8086302706702</v>
      </c>
      <c r="I45" s="1157">
        <v>1214.0873303294388</v>
      </c>
      <c r="J45" s="1157">
        <v>1285.9120861713511</v>
      </c>
      <c r="K45" s="1157">
        <v>1285.9152963082065</v>
      </c>
      <c r="L45" s="1157">
        <v>1204.9090426713904</v>
      </c>
      <c r="M45" s="1157">
        <v>1351.5545007419203</v>
      </c>
      <c r="N45" s="1157">
        <v>1406.4221860726968</v>
      </c>
      <c r="O45" s="1157">
        <v>1511.6222135539831</v>
      </c>
      <c r="P45" s="1158">
        <f t="shared" si="7"/>
        <v>16157.000000000002</v>
      </c>
      <c r="T45" s="687"/>
      <c r="U45" s="687"/>
      <c r="V45" s="687"/>
      <c r="W45" s="687"/>
      <c r="X45" s="687"/>
      <c r="Y45" s="687"/>
      <c r="Z45" s="687"/>
      <c r="AA45" s="687"/>
      <c r="AB45" s="687"/>
      <c r="AC45" s="687"/>
      <c r="AD45" s="687"/>
      <c r="AE45" s="687"/>
      <c r="AF45" s="687"/>
    </row>
    <row r="46" spans="2:32">
      <c r="B46" s="605">
        <v>338700</v>
      </c>
      <c r="C46" s="199" t="s">
        <v>181</v>
      </c>
      <c r="D46" s="1103">
        <v>2335.3342252083794</v>
      </c>
      <c r="E46" s="1103">
        <v>2194.9341991055335</v>
      </c>
      <c r="F46" s="1103">
        <v>2228.6780050146799</v>
      </c>
      <c r="G46" s="1103">
        <v>2006.3581868653494</v>
      </c>
      <c r="H46" s="1103">
        <v>1916.9622545205279</v>
      </c>
      <c r="I46" s="1103">
        <v>1777.1896839152159</v>
      </c>
      <c r="J46" s="1103">
        <v>1736.8866647295895</v>
      </c>
      <c r="K46" s="1103">
        <v>1795.1690920326541</v>
      </c>
      <c r="L46" s="1103">
        <v>1897.5494338211465</v>
      </c>
      <c r="M46" s="1103">
        <v>2101.7251565663837</v>
      </c>
      <c r="N46" s="1103">
        <v>2169.8118134981801</v>
      </c>
      <c r="O46" s="1103">
        <v>2341.9935989452788</v>
      </c>
      <c r="P46" s="540">
        <f t="shared" si="7"/>
        <v>24502.592314222919</v>
      </c>
      <c r="T46" s="687"/>
      <c r="U46" s="687"/>
      <c r="V46" s="687"/>
      <c r="W46" s="687"/>
      <c r="X46" s="687"/>
      <c r="Y46" s="687"/>
      <c r="Z46" s="687"/>
      <c r="AA46" s="687"/>
      <c r="AB46" s="687"/>
      <c r="AC46" s="687"/>
      <c r="AD46" s="687"/>
      <c r="AE46" s="687"/>
      <c r="AF46" s="687"/>
    </row>
    <row r="47" spans="2:32">
      <c r="B47" s="605">
        <v>338500</v>
      </c>
      <c r="C47" s="199" t="s">
        <v>264</v>
      </c>
      <c r="D47" s="1103">
        <v>4113.3340640996284</v>
      </c>
      <c r="E47" s="1103">
        <v>3893.1133883707153</v>
      </c>
      <c r="F47" s="1103">
        <v>3916.9162378917717</v>
      </c>
      <c r="G47" s="1103">
        <v>3582.772029814324</v>
      </c>
      <c r="H47" s="1103">
        <v>3390.5447407063566</v>
      </c>
      <c r="I47" s="1103">
        <v>3141.5411609611324</v>
      </c>
      <c r="J47" s="1103">
        <v>3239.4669242862019</v>
      </c>
      <c r="K47" s="1103">
        <v>3317.1701403356869</v>
      </c>
      <c r="L47" s="1103">
        <v>3383.3183452092585</v>
      </c>
      <c r="M47" s="1103">
        <v>3785.8673398315827</v>
      </c>
      <c r="N47" s="1103">
        <v>3893.3986586946667</v>
      </c>
      <c r="O47" s="1103">
        <v>4179.176913852999</v>
      </c>
      <c r="P47" s="540">
        <f t="shared" si="7"/>
        <v>43836.619944054321</v>
      </c>
      <c r="T47" s="687"/>
      <c r="U47" s="687"/>
      <c r="V47" s="687"/>
      <c r="W47" s="687"/>
      <c r="X47" s="687"/>
      <c r="Y47" s="687"/>
      <c r="Z47" s="687"/>
      <c r="AA47" s="687"/>
      <c r="AB47" s="687"/>
      <c r="AC47" s="687"/>
      <c r="AD47" s="687"/>
      <c r="AE47" s="687"/>
      <c r="AF47" s="687"/>
    </row>
    <row r="48" spans="2:32">
      <c r="B48" s="605">
        <v>684900</v>
      </c>
      <c r="C48" s="199" t="s">
        <v>266</v>
      </c>
      <c r="D48" s="1103">
        <v>8915.0921342277543</v>
      </c>
      <c r="E48" s="1103">
        <v>8260.6783116403385</v>
      </c>
      <c r="F48" s="1103">
        <v>8501.8063338425272</v>
      </c>
      <c r="G48" s="1103">
        <v>7886.1351206778472</v>
      </c>
      <c r="H48" s="1103">
        <v>7822.2885150308603</v>
      </c>
      <c r="I48" s="1103">
        <v>7344.5280425652727</v>
      </c>
      <c r="J48" s="1103">
        <v>7407.4208168510941</v>
      </c>
      <c r="K48" s="1103">
        <v>7599.327880812948</v>
      </c>
      <c r="L48" s="1103">
        <v>7635.4515489818987</v>
      </c>
      <c r="M48" s="1103">
        <v>8272.8231682856731</v>
      </c>
      <c r="N48" s="1103">
        <v>8358.2424196732336</v>
      </c>
      <c r="O48" s="1103">
        <v>8950.2057074105505</v>
      </c>
      <c r="P48" s="540">
        <f>SUM(D48:O48)</f>
        <v>96954</v>
      </c>
      <c r="T48" s="687"/>
      <c r="U48" s="687"/>
      <c r="V48" s="687"/>
      <c r="W48" s="687"/>
      <c r="X48" s="687"/>
      <c r="Y48" s="687"/>
      <c r="Z48" s="687"/>
      <c r="AA48" s="687"/>
      <c r="AB48" s="687"/>
      <c r="AC48" s="687"/>
      <c r="AD48" s="687"/>
      <c r="AE48" s="687"/>
      <c r="AF48" s="687"/>
    </row>
    <row r="49" spans="2:32">
      <c r="B49" s="605">
        <v>338800</v>
      </c>
      <c r="C49" s="199" t="s">
        <v>265</v>
      </c>
      <c r="D49" s="1103">
        <v>931.62410307502842</v>
      </c>
      <c r="E49" s="1103">
        <v>883.19428969171076</v>
      </c>
      <c r="F49" s="1103">
        <v>894.6218524809251</v>
      </c>
      <c r="G49" s="1103">
        <v>809.36838889632543</v>
      </c>
      <c r="H49" s="1103">
        <v>762.60253444237901</v>
      </c>
      <c r="I49" s="1103">
        <v>716.04046015387519</v>
      </c>
      <c r="J49" s="1103">
        <v>727.73535967913722</v>
      </c>
      <c r="K49" s="1103">
        <v>738.86682288867314</v>
      </c>
      <c r="L49" s="1103">
        <v>746.45648867027887</v>
      </c>
      <c r="M49" s="1103">
        <v>849.14377416096318</v>
      </c>
      <c r="N49" s="1103">
        <v>875.86662481049518</v>
      </c>
      <c r="O49" s="1103">
        <v>940.88066989897993</v>
      </c>
      <c r="P49" s="540">
        <f t="shared" si="7"/>
        <v>9876.4013688487721</v>
      </c>
      <c r="T49" s="687"/>
      <c r="U49" s="687"/>
      <c r="V49" s="687"/>
      <c r="W49" s="687"/>
      <c r="X49" s="687"/>
      <c r="Y49" s="687"/>
      <c r="Z49" s="687"/>
      <c r="AA49" s="687"/>
      <c r="AB49" s="687"/>
      <c r="AC49" s="687"/>
      <c r="AD49" s="687"/>
      <c r="AE49" s="687"/>
      <c r="AF49" s="687"/>
    </row>
    <row r="50" spans="2:32">
      <c r="B50" s="605">
        <v>338600</v>
      </c>
      <c r="C50" s="199" t="s">
        <v>182</v>
      </c>
      <c r="D50" s="1103">
        <v>3350.1406355927961</v>
      </c>
      <c r="E50" s="1103">
        <v>3151.9158115163846</v>
      </c>
      <c r="F50" s="1103">
        <v>3266.369196122982</v>
      </c>
      <c r="G50" s="1103">
        <v>2934.3414463090789</v>
      </c>
      <c r="H50" s="1103">
        <v>2819.0092649216117</v>
      </c>
      <c r="I50" s="1103">
        <v>2677.7383868404586</v>
      </c>
      <c r="J50" s="1103">
        <v>2734.8924685640709</v>
      </c>
      <c r="K50" s="1103">
        <v>2796.7043040959225</v>
      </c>
      <c r="L50" s="1103">
        <v>2788.2303061925768</v>
      </c>
      <c r="M50" s="1103">
        <v>3110.1318196363941</v>
      </c>
      <c r="N50" s="1103">
        <v>3140.2665734286693</v>
      </c>
      <c r="O50" s="1103">
        <v>3396.128430522901</v>
      </c>
      <c r="P50" s="540">
        <f t="shared" si="7"/>
        <v>36165.868643743845</v>
      </c>
      <c r="T50" s="687"/>
      <c r="U50" s="687"/>
      <c r="V50" s="687"/>
      <c r="W50" s="687"/>
      <c r="X50" s="687"/>
      <c r="Y50" s="687"/>
      <c r="Z50" s="687"/>
      <c r="AA50" s="687"/>
      <c r="AB50" s="687"/>
      <c r="AC50" s="687"/>
      <c r="AD50" s="687"/>
      <c r="AE50" s="687"/>
      <c r="AF50" s="687"/>
    </row>
    <row r="51" spans="2:32">
      <c r="B51" s="605"/>
      <c r="C51" s="201"/>
      <c r="D51" s="541"/>
      <c r="E51" s="541"/>
      <c r="F51" s="541"/>
      <c r="G51" s="541"/>
      <c r="H51" s="541"/>
      <c r="I51" s="541"/>
      <c r="J51" s="541"/>
      <c r="K51" s="541"/>
      <c r="L51" s="541"/>
      <c r="M51" s="541"/>
      <c r="N51" s="541"/>
      <c r="O51" s="541"/>
      <c r="P51" s="542"/>
    </row>
    <row r="52" spans="2:32">
      <c r="B52" s="605">
        <v>840000</v>
      </c>
      <c r="C52" s="196" t="s">
        <v>94</v>
      </c>
      <c r="D52" s="539">
        <f>SUM(D53:D60)</f>
        <v>9459.7182846574469</v>
      </c>
      <c r="E52" s="539">
        <f>SUM(E53:E60)</f>
        <v>8815.936557092311</v>
      </c>
      <c r="F52" s="539">
        <f t="shared" ref="F52:O52" si="8">SUM(F53:F60)</f>
        <v>8924.1880225152781</v>
      </c>
      <c r="G52" s="539">
        <f t="shared" si="8"/>
        <v>7918.8802917336761</v>
      </c>
      <c r="H52" s="539">
        <f t="shared" si="8"/>
        <v>7289.7409179800579</v>
      </c>
      <c r="I52" s="539">
        <f t="shared" si="8"/>
        <v>6643.9647352846578</v>
      </c>
      <c r="J52" s="539">
        <f t="shared" si="8"/>
        <v>6723.865559665488</v>
      </c>
      <c r="K52" s="539">
        <f t="shared" si="8"/>
        <v>6958.4889890640079</v>
      </c>
      <c r="L52" s="539">
        <f t="shared" si="8"/>
        <v>7275.3405278224509</v>
      </c>
      <c r="M52" s="539">
        <f t="shared" si="8"/>
        <v>8306.6952254744283</v>
      </c>
      <c r="N52" s="539">
        <f t="shared" si="8"/>
        <v>8770.8118057253123</v>
      </c>
      <c r="O52" s="539">
        <f t="shared" si="8"/>
        <v>9520.369082984882</v>
      </c>
      <c r="P52" s="540">
        <f>SUM(D52:O52)</f>
        <v>96608</v>
      </c>
    </row>
    <row r="53" spans="2:32">
      <c r="B53" s="605">
        <v>349200</v>
      </c>
      <c r="C53" s="199" t="s">
        <v>43</v>
      </c>
      <c r="D53" s="1103">
        <v>739.66800000000001</v>
      </c>
      <c r="E53" s="1103">
        <v>678.76499999999999</v>
      </c>
      <c r="F53" s="1103">
        <v>682.01300000000003</v>
      </c>
      <c r="G53" s="1103">
        <v>602.15700000000004</v>
      </c>
      <c r="H53" s="1103">
        <v>567.78099999999995</v>
      </c>
      <c r="I53" s="1103">
        <v>522.16800000000001</v>
      </c>
      <c r="J53" s="1103">
        <v>514.62199999999996</v>
      </c>
      <c r="K53" s="1103">
        <v>524.23800000000006</v>
      </c>
      <c r="L53" s="1103">
        <v>565.14300000000003</v>
      </c>
      <c r="M53" s="1103">
        <v>618.78</v>
      </c>
      <c r="N53" s="1103">
        <v>666.09199999999998</v>
      </c>
      <c r="O53" s="1103">
        <v>731.57299999999998</v>
      </c>
      <c r="P53" s="540">
        <f t="shared" ref="P53:P62" si="9">SUM(D53:O53)</f>
        <v>7413</v>
      </c>
      <c r="T53" s="687"/>
      <c r="U53" s="687"/>
      <c r="V53" s="687"/>
      <c r="W53" s="687"/>
      <c r="X53" s="687"/>
      <c r="Y53" s="687"/>
      <c r="Z53" s="687"/>
      <c r="AA53" s="687"/>
      <c r="AB53" s="687"/>
      <c r="AC53" s="687"/>
      <c r="AD53" s="687"/>
      <c r="AE53" s="687"/>
      <c r="AF53" s="687"/>
    </row>
    <row r="54" spans="2:32">
      <c r="B54" s="605">
        <v>345800</v>
      </c>
      <c r="C54" s="199" t="s">
        <v>44</v>
      </c>
      <c r="D54" s="1103">
        <v>463.26299999999998</v>
      </c>
      <c r="E54" s="1103">
        <v>428.97100000000006</v>
      </c>
      <c r="F54" s="1103">
        <v>437.80500000000001</v>
      </c>
      <c r="G54" s="1103">
        <v>365.68700000000001</v>
      </c>
      <c r="H54" s="1103">
        <v>323.28200000000004</v>
      </c>
      <c r="I54" s="1103">
        <v>297.58100000000007</v>
      </c>
      <c r="J54" s="1103">
        <v>307.262</v>
      </c>
      <c r="K54" s="1103">
        <v>316.35100000000006</v>
      </c>
      <c r="L54" s="1103">
        <v>324.834</v>
      </c>
      <c r="M54" s="1103">
        <v>387.58100000000002</v>
      </c>
      <c r="N54" s="1103">
        <v>413.84500000000003</v>
      </c>
      <c r="O54" s="1103">
        <v>458.53800000000001</v>
      </c>
      <c r="P54" s="540">
        <f t="shared" si="9"/>
        <v>4525</v>
      </c>
      <c r="T54" s="687"/>
      <c r="U54" s="687"/>
      <c r="V54" s="687"/>
      <c r="W54" s="687"/>
      <c r="X54" s="687"/>
      <c r="Y54" s="687"/>
      <c r="Z54" s="687"/>
      <c r="AA54" s="687"/>
      <c r="AB54" s="687"/>
      <c r="AC54" s="687"/>
      <c r="AD54" s="687"/>
      <c r="AE54" s="687"/>
      <c r="AF54" s="687"/>
    </row>
    <row r="55" spans="2:32">
      <c r="B55" s="605">
        <v>345900</v>
      </c>
      <c r="C55" s="199" t="s">
        <v>46</v>
      </c>
      <c r="D55" s="1103">
        <v>762.43899999999996</v>
      </c>
      <c r="E55" s="1103">
        <v>710.10799999999995</v>
      </c>
      <c r="F55" s="1103">
        <v>726.29</v>
      </c>
      <c r="G55" s="1103">
        <v>662.06600000000003</v>
      </c>
      <c r="H55" s="1103">
        <v>622.92899999999997</v>
      </c>
      <c r="I55" s="1103">
        <v>552.79300000000001</v>
      </c>
      <c r="J55" s="1103">
        <v>574.77599999999995</v>
      </c>
      <c r="K55" s="1103">
        <v>586.87199999999996</v>
      </c>
      <c r="L55" s="1103">
        <v>608.65899999999999</v>
      </c>
      <c r="M55" s="1103">
        <v>667.90300000000002</v>
      </c>
      <c r="N55" s="1103">
        <v>684.26</v>
      </c>
      <c r="O55" s="1103">
        <v>729.90499999999997</v>
      </c>
      <c r="P55" s="540">
        <f t="shared" si="9"/>
        <v>7889.0000000000009</v>
      </c>
      <c r="T55" s="687"/>
      <c r="U55" s="687"/>
      <c r="V55" s="687"/>
      <c r="W55" s="687"/>
      <c r="X55" s="687"/>
      <c r="Y55" s="687"/>
      <c r="Z55" s="687"/>
      <c r="AA55" s="687"/>
      <c r="AB55" s="687"/>
      <c r="AC55" s="687"/>
      <c r="AD55" s="687"/>
      <c r="AE55" s="687"/>
      <c r="AF55" s="687"/>
    </row>
    <row r="56" spans="2:32">
      <c r="B56" s="605">
        <v>689400</v>
      </c>
      <c r="C56" s="199" t="s">
        <v>49</v>
      </c>
      <c r="D56" s="1103">
        <v>882.65528465744615</v>
      </c>
      <c r="E56" s="1103">
        <v>818.05255709231267</v>
      </c>
      <c r="F56" s="1103">
        <v>828.73002251527828</v>
      </c>
      <c r="G56" s="1103">
        <v>764.97729173367634</v>
      </c>
      <c r="H56" s="1103">
        <v>717.75491798005794</v>
      </c>
      <c r="I56" s="1103">
        <v>650.22673528465748</v>
      </c>
      <c r="J56" s="1103">
        <v>665.22055966548737</v>
      </c>
      <c r="K56" s="1103">
        <v>687.26598906400761</v>
      </c>
      <c r="L56" s="1103">
        <v>720.451527822451</v>
      </c>
      <c r="M56" s="1103">
        <v>791.11122547442903</v>
      </c>
      <c r="N56" s="1103">
        <v>825.03580572531359</v>
      </c>
      <c r="O56" s="1103">
        <v>888.51808298488265</v>
      </c>
      <c r="P56" s="540">
        <f t="shared" si="9"/>
        <v>9240.0000000000018</v>
      </c>
      <c r="T56" s="687"/>
      <c r="U56" s="687"/>
      <c r="V56" s="687"/>
      <c r="W56" s="687"/>
      <c r="X56" s="687"/>
      <c r="Y56" s="687"/>
      <c r="Z56" s="687"/>
      <c r="AA56" s="687"/>
      <c r="AB56" s="687"/>
      <c r="AC56" s="687"/>
      <c r="AD56" s="687"/>
      <c r="AE56" s="687"/>
      <c r="AF56" s="687"/>
    </row>
    <row r="57" spans="2:32">
      <c r="B57" s="605">
        <v>349300</v>
      </c>
      <c r="C57" s="199" t="s">
        <v>47</v>
      </c>
      <c r="D57" s="1103">
        <v>1276.385</v>
      </c>
      <c r="E57" s="1103">
        <v>1172.5219999999999</v>
      </c>
      <c r="F57" s="1103">
        <v>1184.193</v>
      </c>
      <c r="G57" s="1103">
        <v>1073.4090000000001</v>
      </c>
      <c r="H57" s="1103">
        <v>1006.587</v>
      </c>
      <c r="I57" s="1103">
        <v>918.19500000000005</v>
      </c>
      <c r="J57" s="1103">
        <v>893.14400000000001</v>
      </c>
      <c r="K57" s="1103">
        <v>927.66599999999994</v>
      </c>
      <c r="L57" s="1103">
        <v>983.45100000000014</v>
      </c>
      <c r="M57" s="1103">
        <v>1102.7339999999999</v>
      </c>
      <c r="N57" s="1103">
        <v>1161.7049999999999</v>
      </c>
      <c r="O57" s="1103">
        <v>1263.009</v>
      </c>
      <c r="P57" s="540">
        <f>SUM(D57:O57)</f>
        <v>12963</v>
      </c>
      <c r="T57" s="687"/>
      <c r="U57" s="687"/>
      <c r="V57" s="687"/>
      <c r="W57" s="687"/>
      <c r="X57" s="687"/>
      <c r="Y57" s="687"/>
      <c r="Z57" s="687"/>
      <c r="AA57" s="687"/>
      <c r="AB57" s="687"/>
      <c r="AC57" s="687"/>
      <c r="AD57" s="687"/>
      <c r="AE57" s="687"/>
      <c r="AF57" s="687"/>
    </row>
    <row r="58" spans="2:32">
      <c r="B58" s="605">
        <v>341000</v>
      </c>
      <c r="C58" s="199" t="s">
        <v>50</v>
      </c>
      <c r="D58" s="1103">
        <v>440.29199999999997</v>
      </c>
      <c r="E58" s="1103">
        <v>408.99400000000003</v>
      </c>
      <c r="F58" s="1103">
        <v>416.40800000000002</v>
      </c>
      <c r="G58" s="1103">
        <v>372.42500000000007</v>
      </c>
      <c r="H58" s="1103">
        <v>334.55200000000002</v>
      </c>
      <c r="I58" s="1103">
        <v>306.95999999999998</v>
      </c>
      <c r="J58" s="1103">
        <v>324.24299999999999</v>
      </c>
      <c r="K58" s="1103">
        <v>325.95499999999998</v>
      </c>
      <c r="L58" s="1103">
        <v>340.99300000000005</v>
      </c>
      <c r="M58" s="1103">
        <v>391.29199999999997</v>
      </c>
      <c r="N58" s="1103">
        <v>404.113</v>
      </c>
      <c r="O58" s="1103">
        <v>439.77300000000002</v>
      </c>
      <c r="P58" s="540">
        <f>SUM(D58:O58)</f>
        <v>4506</v>
      </c>
      <c r="T58" s="687"/>
      <c r="U58" s="687"/>
      <c r="V58" s="687"/>
      <c r="W58" s="687"/>
      <c r="X58" s="687"/>
      <c r="Y58" s="687"/>
      <c r="Z58" s="687"/>
      <c r="AA58" s="687"/>
      <c r="AB58" s="687"/>
      <c r="AC58" s="687"/>
      <c r="AD58" s="687"/>
      <c r="AE58" s="687"/>
      <c r="AF58" s="687"/>
    </row>
    <row r="59" spans="2:32">
      <c r="B59" s="605">
        <v>340600</v>
      </c>
      <c r="C59" s="199" t="s">
        <v>51</v>
      </c>
      <c r="D59" s="1103">
        <v>230.86</v>
      </c>
      <c r="E59" s="1103">
        <v>210.93100000000001</v>
      </c>
      <c r="F59" s="1103">
        <v>208.70699999999999</v>
      </c>
      <c r="G59" s="1103">
        <v>181.51499999999999</v>
      </c>
      <c r="H59" s="1103">
        <v>167.53399999999999</v>
      </c>
      <c r="I59" s="1103">
        <v>155.494</v>
      </c>
      <c r="J59" s="1103">
        <v>163.79900000000001</v>
      </c>
      <c r="K59" s="1103">
        <v>165.76300000000001</v>
      </c>
      <c r="L59" s="1103">
        <v>171.637</v>
      </c>
      <c r="M59" s="1103">
        <v>199.25899999999999</v>
      </c>
      <c r="N59" s="1103">
        <v>210.81100000000001</v>
      </c>
      <c r="O59" s="1103">
        <v>226.69</v>
      </c>
      <c r="P59" s="540">
        <f>SUM(D59:O59)</f>
        <v>2293</v>
      </c>
      <c r="T59" s="687"/>
      <c r="U59" s="687"/>
      <c r="V59" s="687"/>
      <c r="W59" s="687"/>
      <c r="X59" s="687"/>
      <c r="Y59" s="687"/>
      <c r="Z59" s="687"/>
      <c r="AA59" s="687"/>
      <c r="AB59" s="687"/>
      <c r="AC59" s="687"/>
      <c r="AD59" s="687"/>
      <c r="AE59" s="687"/>
      <c r="AF59" s="687"/>
    </row>
    <row r="60" spans="2:32">
      <c r="B60" s="605">
        <v>345700</v>
      </c>
      <c r="C60" s="199" t="s">
        <v>267</v>
      </c>
      <c r="D60" s="539">
        <f>SUM(D61:D62)</f>
        <v>4664.1559999999999</v>
      </c>
      <c r="E60" s="539">
        <f t="shared" ref="E60:O60" si="10">SUM(E61:E62)</f>
        <v>4387.5929999999998</v>
      </c>
      <c r="F60" s="539">
        <f t="shared" si="10"/>
        <v>4440.0420000000004</v>
      </c>
      <c r="G60" s="539">
        <f t="shared" si="10"/>
        <v>3896.6439999999998</v>
      </c>
      <c r="H60" s="539">
        <f t="shared" si="10"/>
        <v>3549.3209999999999</v>
      </c>
      <c r="I60" s="539">
        <f t="shared" si="10"/>
        <v>3240.547</v>
      </c>
      <c r="J60" s="539">
        <f t="shared" si="10"/>
        <v>3280.799</v>
      </c>
      <c r="K60" s="539">
        <f t="shared" si="10"/>
        <v>3424.3780000000002</v>
      </c>
      <c r="L60" s="539">
        <f t="shared" si="10"/>
        <v>3560.172</v>
      </c>
      <c r="M60" s="539">
        <f t="shared" si="10"/>
        <v>4148.0349999999999</v>
      </c>
      <c r="N60" s="539">
        <f t="shared" si="10"/>
        <v>4404.95</v>
      </c>
      <c r="O60" s="539">
        <f t="shared" si="10"/>
        <v>4782.3630000000003</v>
      </c>
      <c r="P60" s="540">
        <f t="shared" si="9"/>
        <v>47779</v>
      </c>
      <c r="T60" s="694"/>
      <c r="U60" s="694"/>
      <c r="V60" s="694"/>
      <c r="W60" s="694"/>
      <c r="X60" s="694"/>
      <c r="Y60" s="694"/>
      <c r="Z60" s="694"/>
      <c r="AA60" s="694"/>
      <c r="AB60" s="694"/>
      <c r="AC60" s="694"/>
      <c r="AD60" s="694"/>
      <c r="AE60" s="694"/>
      <c r="AF60" s="694"/>
    </row>
    <row r="61" spans="2:32">
      <c r="B61" s="605"/>
      <c r="C61" s="200" t="s">
        <v>279</v>
      </c>
      <c r="D61" s="1103">
        <v>2564.8358000000003</v>
      </c>
      <c r="E61" s="1103">
        <v>2413.1761500000002</v>
      </c>
      <c r="F61" s="1103">
        <v>2442.0231000000003</v>
      </c>
      <c r="G61" s="1103">
        <v>2143.1541999999999</v>
      </c>
      <c r="H61" s="1103">
        <v>1952.1265500000002</v>
      </c>
      <c r="I61" s="1103">
        <v>1782.3008500000001</v>
      </c>
      <c r="J61" s="1103">
        <v>1804.4394500000001</v>
      </c>
      <c r="K61" s="1103">
        <v>1883.4079000000002</v>
      </c>
      <c r="L61" s="1103">
        <v>1958.0946000000001</v>
      </c>
      <c r="M61" s="1103">
        <v>2281.4192499999999</v>
      </c>
      <c r="N61" s="1103">
        <v>2422.7225000000003</v>
      </c>
      <c r="O61" s="1103">
        <v>2630.2996500000004</v>
      </c>
      <c r="P61" s="540">
        <f t="shared" si="9"/>
        <v>26278</v>
      </c>
      <c r="Q61" s="688"/>
      <c r="T61" s="687"/>
      <c r="U61" s="687"/>
      <c r="V61" s="687"/>
      <c r="W61" s="687"/>
      <c r="X61" s="687"/>
      <c r="Y61" s="687"/>
      <c r="Z61" s="687"/>
      <c r="AA61" s="687"/>
      <c r="AB61" s="687"/>
      <c r="AC61" s="687"/>
      <c r="AD61" s="687"/>
      <c r="AE61" s="687"/>
      <c r="AF61" s="687"/>
    </row>
    <row r="62" spans="2:32">
      <c r="B62" s="605"/>
      <c r="C62" s="200" t="s">
        <v>53</v>
      </c>
      <c r="D62" s="1103">
        <v>2099.3201999999997</v>
      </c>
      <c r="E62" s="1103">
        <v>1974.4168499999996</v>
      </c>
      <c r="F62" s="1103">
        <v>1998.0189</v>
      </c>
      <c r="G62" s="1103">
        <v>1753.4897999999998</v>
      </c>
      <c r="H62" s="1103">
        <v>1597.1944499999997</v>
      </c>
      <c r="I62" s="1103">
        <v>1458.2461499999999</v>
      </c>
      <c r="J62" s="1103">
        <v>1476.3595499999999</v>
      </c>
      <c r="K62" s="1103">
        <v>1540.9701</v>
      </c>
      <c r="L62" s="1103">
        <v>1602.0773999999999</v>
      </c>
      <c r="M62" s="1103">
        <v>1866.6157499999999</v>
      </c>
      <c r="N62" s="1103">
        <v>1982.2274999999995</v>
      </c>
      <c r="O62" s="1103">
        <v>2152.0633499999999</v>
      </c>
      <c r="P62" s="540">
        <f t="shared" si="9"/>
        <v>21500.999999999996</v>
      </c>
      <c r="Q62" s="688"/>
      <c r="R62" s="829"/>
      <c r="T62" s="687"/>
      <c r="U62" s="687"/>
      <c r="V62" s="687"/>
      <c r="W62" s="687"/>
      <c r="X62" s="687"/>
      <c r="Y62" s="687"/>
      <c r="Z62" s="687"/>
      <c r="AA62" s="687"/>
      <c r="AB62" s="687"/>
      <c r="AC62" s="687"/>
      <c r="AD62" s="687"/>
      <c r="AE62" s="687"/>
      <c r="AF62" s="687"/>
    </row>
    <row r="63" spans="2:32">
      <c r="B63" s="605"/>
      <c r="C63" s="201"/>
      <c r="D63" s="541"/>
      <c r="E63" s="541"/>
      <c r="F63" s="541"/>
      <c r="G63" s="541"/>
      <c r="H63" s="541"/>
      <c r="I63" s="541"/>
      <c r="J63" s="541"/>
      <c r="K63" s="541"/>
      <c r="L63" s="541"/>
      <c r="M63" s="541"/>
      <c r="N63" s="541"/>
      <c r="O63" s="541"/>
      <c r="P63" s="542"/>
    </row>
    <row r="64" spans="2:32">
      <c r="B64" s="605">
        <v>550000</v>
      </c>
      <c r="C64" s="196" t="s">
        <v>85</v>
      </c>
      <c r="D64" s="539">
        <f t="shared" ref="D64:O64" si="11">SUM(D65:D77)</f>
        <v>10086.661670534997</v>
      </c>
      <c r="E64" s="539">
        <f t="shared" si="11"/>
        <v>9448.4421099397023</v>
      </c>
      <c r="F64" s="539">
        <f t="shared" si="11"/>
        <v>9394.9658976890751</v>
      </c>
      <c r="G64" s="539">
        <f t="shared" si="11"/>
        <v>8092.3177657198366</v>
      </c>
      <c r="H64" s="539">
        <f t="shared" si="11"/>
        <v>7475.0169783248084</v>
      </c>
      <c r="I64" s="539">
        <f t="shared" si="11"/>
        <v>7708.8808200618369</v>
      </c>
      <c r="J64" s="539">
        <f t="shared" si="11"/>
        <v>8729.4438468956178</v>
      </c>
      <c r="K64" s="539">
        <f t="shared" si="11"/>
        <v>8670.4713645507218</v>
      </c>
      <c r="L64" s="539">
        <f t="shared" si="11"/>
        <v>7562.6150927449407</v>
      </c>
      <c r="M64" s="539">
        <f t="shared" si="11"/>
        <v>8454.3185216517268</v>
      </c>
      <c r="N64" s="539">
        <f t="shared" si="11"/>
        <v>9340.8358515570471</v>
      </c>
      <c r="O64" s="539">
        <f t="shared" si="11"/>
        <v>10470.130080329696</v>
      </c>
      <c r="P64" s="540">
        <f t="shared" ref="P64:P79" si="12">SUM(D64:O64)</f>
        <v>105434.09999999999</v>
      </c>
    </row>
    <row r="65" spans="2:32">
      <c r="B65" s="605">
        <v>323300</v>
      </c>
      <c r="C65" s="199" t="s">
        <v>86</v>
      </c>
      <c r="D65" s="1103">
        <v>468.60266916341436</v>
      </c>
      <c r="E65" s="1103">
        <v>452.18871865946539</v>
      </c>
      <c r="F65" s="1103">
        <v>409.72149927459526</v>
      </c>
      <c r="G65" s="1103">
        <v>318.33761327909178</v>
      </c>
      <c r="H65" s="1103">
        <v>291.47082180375378</v>
      </c>
      <c r="I65" s="1103">
        <v>322.08541780422797</v>
      </c>
      <c r="J65" s="1103">
        <v>377.53486306755815</v>
      </c>
      <c r="K65" s="1103">
        <v>357.30574948616538</v>
      </c>
      <c r="L65" s="1103">
        <v>302.55537779748533</v>
      </c>
      <c r="M65" s="1103">
        <v>359.69892586969206</v>
      </c>
      <c r="N65" s="1103">
        <v>401.28600981718972</v>
      </c>
      <c r="O65" s="1103">
        <v>460.21233397736125</v>
      </c>
      <c r="P65" s="540">
        <f t="shared" si="12"/>
        <v>4521.0000000000009</v>
      </c>
      <c r="R65" s="687"/>
      <c r="S65" s="687"/>
      <c r="T65" s="687"/>
      <c r="U65" s="687"/>
      <c r="V65" s="687"/>
      <c r="W65" s="687"/>
      <c r="X65" s="687"/>
      <c r="Y65" s="687"/>
      <c r="Z65" s="687"/>
      <c r="AA65" s="687"/>
      <c r="AB65" s="687"/>
      <c r="AC65" s="687"/>
      <c r="AD65" s="687"/>
      <c r="AE65" s="687"/>
      <c r="AF65" s="687"/>
    </row>
    <row r="66" spans="2:32">
      <c r="B66" s="605">
        <v>321600</v>
      </c>
      <c r="C66" s="199" t="s">
        <v>87</v>
      </c>
      <c r="D66" s="1157">
        <v>1574.7436536999999</v>
      </c>
      <c r="E66" s="1157">
        <v>1496.1788129400029</v>
      </c>
      <c r="F66" s="1157">
        <v>1468.07260976</v>
      </c>
      <c r="G66" s="1157">
        <v>1320.7522008599999</v>
      </c>
      <c r="H66" s="1157">
        <v>1264.547410596</v>
      </c>
      <c r="I66" s="1157">
        <v>1269.2477449625999</v>
      </c>
      <c r="J66" s="1157">
        <v>1383.2093464176</v>
      </c>
      <c r="K66" s="1157">
        <v>1347.3451696965999</v>
      </c>
      <c r="L66" s="1157">
        <v>1212.5249436080001</v>
      </c>
      <c r="M66" s="1157">
        <v>1377.8040205893999</v>
      </c>
      <c r="N66" s="1157">
        <v>1471.5336751206</v>
      </c>
      <c r="O66" s="1157">
        <v>1634.0404117492001</v>
      </c>
      <c r="P66" s="1158">
        <f t="shared" si="12"/>
        <v>16820</v>
      </c>
      <c r="R66" s="687"/>
      <c r="S66" s="687"/>
      <c r="T66" s="687"/>
      <c r="U66" s="687"/>
      <c r="V66" s="687"/>
      <c r="W66" s="687"/>
      <c r="X66" s="687"/>
      <c r="Y66" s="687"/>
      <c r="Z66" s="687"/>
      <c r="AA66" s="687"/>
      <c r="AB66" s="687"/>
      <c r="AC66" s="687"/>
      <c r="AD66" s="687"/>
      <c r="AE66" s="687"/>
      <c r="AF66" s="687"/>
    </row>
    <row r="67" spans="2:32">
      <c r="B67" s="605">
        <v>322900</v>
      </c>
      <c r="C67" s="199" t="s">
        <v>88</v>
      </c>
      <c r="D67" s="1103">
        <v>752.76423449261995</v>
      </c>
      <c r="E67" s="1103">
        <v>698.32633394046115</v>
      </c>
      <c r="F67" s="1103">
        <v>663.03074842230001</v>
      </c>
      <c r="G67" s="1103">
        <v>563.32687876620002</v>
      </c>
      <c r="H67" s="1103">
        <v>442.28168094450001</v>
      </c>
      <c r="I67" s="1103">
        <v>411.39943067190001</v>
      </c>
      <c r="J67" s="1103">
        <v>458.80591316225997</v>
      </c>
      <c r="K67" s="1103">
        <v>451.25280427145998</v>
      </c>
      <c r="L67" s="1103">
        <v>403.06972472268001</v>
      </c>
      <c r="M67" s="1103">
        <v>540.53031071681994</v>
      </c>
      <c r="N67" s="1103">
        <v>637.83434560073999</v>
      </c>
      <c r="O67" s="1103">
        <v>757.37759428805998</v>
      </c>
      <c r="P67" s="540">
        <f t="shared" ref="P67:P72" si="13">SUM(D67:O67)</f>
        <v>6780.0000000000009</v>
      </c>
      <c r="R67" s="687"/>
      <c r="S67" s="687"/>
      <c r="T67" s="687"/>
      <c r="U67" s="687"/>
      <c r="V67" s="687"/>
      <c r="W67" s="687"/>
      <c r="X67" s="687"/>
      <c r="Y67" s="687"/>
      <c r="Z67" s="687"/>
      <c r="AA67" s="687"/>
      <c r="AB67" s="687"/>
      <c r="AC67" s="687"/>
      <c r="AD67" s="687"/>
      <c r="AE67" s="687"/>
      <c r="AF67" s="687"/>
    </row>
    <row r="68" spans="2:32">
      <c r="B68" s="605">
        <v>323500</v>
      </c>
      <c r="C68" s="199" t="s">
        <v>272</v>
      </c>
      <c r="D68" s="1103">
        <v>87.639373392079989</v>
      </c>
      <c r="E68" s="1103">
        <v>79.501687184340085</v>
      </c>
      <c r="F68" s="1103">
        <v>76.621635703159996</v>
      </c>
      <c r="G68" s="1103">
        <v>66.223277205480002</v>
      </c>
      <c r="H68" s="1103">
        <v>58.089954673239994</v>
      </c>
      <c r="I68" s="1103">
        <v>58.434584293379999</v>
      </c>
      <c r="J68" s="1103">
        <v>63.685070737480004</v>
      </c>
      <c r="K68" s="1103">
        <v>58.445136481559992</v>
      </c>
      <c r="L68" s="1103">
        <v>58.302017729759996</v>
      </c>
      <c r="M68" s="1103">
        <v>67.215216313840003</v>
      </c>
      <c r="N68" s="1103">
        <v>75.884235759559999</v>
      </c>
      <c r="O68" s="1103">
        <v>87.957810526119985</v>
      </c>
      <c r="P68" s="540">
        <f t="shared" si="13"/>
        <v>837.99999999999989</v>
      </c>
      <c r="R68" s="687"/>
      <c r="S68" s="687"/>
      <c r="T68" s="687"/>
      <c r="U68" s="687"/>
      <c r="V68" s="687"/>
      <c r="W68" s="687"/>
      <c r="X68" s="687"/>
      <c r="Y68" s="687"/>
      <c r="Z68" s="687"/>
      <c r="AA68" s="687"/>
      <c r="AB68" s="687"/>
      <c r="AC68" s="687"/>
      <c r="AD68" s="687"/>
      <c r="AE68" s="687"/>
      <c r="AF68" s="687"/>
    </row>
    <row r="69" spans="2:32">
      <c r="B69" s="605">
        <v>323000</v>
      </c>
      <c r="C69" s="199" t="s">
        <v>270</v>
      </c>
      <c r="D69" s="1103">
        <v>168.39281740653681</v>
      </c>
      <c r="E69" s="1103">
        <v>153.34562482634647</v>
      </c>
      <c r="F69" s="1103">
        <v>151.7700845550512</v>
      </c>
      <c r="G69" s="1103">
        <v>141.13385418906481</v>
      </c>
      <c r="H69" s="1103">
        <v>123.8313783953008</v>
      </c>
      <c r="I69" s="1103">
        <v>125.70646271659839</v>
      </c>
      <c r="J69" s="1103">
        <v>141.06680538393519</v>
      </c>
      <c r="K69" s="1103">
        <v>128.48478645881758</v>
      </c>
      <c r="L69" s="1103">
        <v>126.55763558718</v>
      </c>
      <c r="M69" s="1103">
        <v>142.42784932745039</v>
      </c>
      <c r="N69" s="1103">
        <v>156.94208549854801</v>
      </c>
      <c r="O69" s="1103">
        <v>176.34061565517041</v>
      </c>
      <c r="P69" s="540">
        <f t="shared" si="13"/>
        <v>1736</v>
      </c>
      <c r="R69" s="687"/>
      <c r="S69" s="687"/>
      <c r="T69" s="687"/>
      <c r="U69" s="687"/>
      <c r="V69" s="687"/>
      <c r="W69" s="687"/>
      <c r="X69" s="687"/>
      <c r="Y69" s="687"/>
      <c r="Z69" s="687"/>
      <c r="AA69" s="687"/>
      <c r="AB69" s="687"/>
      <c r="AC69" s="687"/>
      <c r="AD69" s="687"/>
      <c r="AE69" s="687"/>
      <c r="AF69" s="687"/>
    </row>
    <row r="70" spans="2:32">
      <c r="B70" s="605">
        <v>328100</v>
      </c>
      <c r="C70" s="199" t="s">
        <v>89</v>
      </c>
      <c r="D70" s="1157">
        <v>74.642499836580001</v>
      </c>
      <c r="E70" s="1157">
        <v>68.83349913278289</v>
      </c>
      <c r="F70" s="1157">
        <v>67.651679602384803</v>
      </c>
      <c r="G70" s="1157">
        <v>61.990318869546599</v>
      </c>
      <c r="H70" s="1157">
        <v>57.385507286304602</v>
      </c>
      <c r="I70" s="1157">
        <v>59.411624384486402</v>
      </c>
      <c r="J70" s="1157">
        <v>63.463858573073395</v>
      </c>
      <c r="K70" s="1157">
        <v>64.200628432613399</v>
      </c>
      <c r="L70" s="1157">
        <v>56.832929891649599</v>
      </c>
      <c r="M70" s="1157">
        <v>62.266607570762396</v>
      </c>
      <c r="N70" s="1157">
        <v>69.450113646841189</v>
      </c>
      <c r="O70" s="1157">
        <v>73.87073277297479</v>
      </c>
      <c r="P70" s="1158">
        <f t="shared" si="13"/>
        <v>780</v>
      </c>
      <c r="R70" s="687"/>
      <c r="S70" s="687"/>
      <c r="T70" s="687"/>
      <c r="U70" s="687"/>
      <c r="V70" s="687"/>
      <c r="W70" s="687"/>
      <c r="X70" s="687"/>
      <c r="Y70" s="687"/>
      <c r="Z70" s="687"/>
      <c r="AA70" s="687"/>
      <c r="AB70" s="687"/>
      <c r="AC70" s="687"/>
      <c r="AD70" s="687"/>
      <c r="AE70" s="687"/>
      <c r="AF70" s="687"/>
    </row>
    <row r="71" spans="2:32">
      <c r="B71" s="605">
        <v>323400</v>
      </c>
      <c r="C71" s="199" t="s">
        <v>269</v>
      </c>
      <c r="D71" s="1103">
        <v>144.3756327576605</v>
      </c>
      <c r="E71" s="1103">
        <v>131.48509183435044</v>
      </c>
      <c r="F71" s="1103">
        <v>137.04604006008199</v>
      </c>
      <c r="G71" s="1103">
        <v>119.331432457093</v>
      </c>
      <c r="H71" s="1103">
        <v>96.113730447703489</v>
      </c>
      <c r="I71" s="1103">
        <v>92.495143872703508</v>
      </c>
      <c r="J71" s="1103">
        <v>94.883350631889499</v>
      </c>
      <c r="K71" s="1103">
        <v>91.789766372703497</v>
      </c>
      <c r="L71" s="1103">
        <v>97.170788995407008</v>
      </c>
      <c r="M71" s="1103">
        <v>121.49139909</v>
      </c>
      <c r="N71" s="1103">
        <v>139.06598023040701</v>
      </c>
      <c r="O71" s="1103">
        <v>149.75164325</v>
      </c>
      <c r="P71" s="540">
        <f t="shared" si="13"/>
        <v>1414.9999999999995</v>
      </c>
      <c r="R71" s="687"/>
      <c r="S71" s="687"/>
      <c r="T71" s="687"/>
      <c r="U71" s="687"/>
      <c r="V71" s="687"/>
      <c r="W71" s="687"/>
      <c r="X71" s="687"/>
      <c r="Y71" s="687"/>
      <c r="Z71" s="687"/>
      <c r="AA71" s="687"/>
      <c r="AB71" s="687"/>
      <c r="AC71" s="687"/>
      <c r="AD71" s="687"/>
      <c r="AE71" s="687"/>
      <c r="AF71" s="687"/>
    </row>
    <row r="72" spans="2:32">
      <c r="B72" s="605">
        <v>322500</v>
      </c>
      <c r="C72" s="199" t="s">
        <v>268</v>
      </c>
      <c r="D72" s="1103">
        <v>2644.2238878338367</v>
      </c>
      <c r="E72" s="1103">
        <v>2453.3432615358142</v>
      </c>
      <c r="F72" s="1103">
        <v>2503.4277837476852</v>
      </c>
      <c r="G72" s="1103">
        <v>2165.178583059565</v>
      </c>
      <c r="H72" s="1103">
        <v>2067.8724915342841</v>
      </c>
      <c r="I72" s="1103">
        <v>2177.2561749659126</v>
      </c>
      <c r="J72" s="1103">
        <v>2552.2859467302505</v>
      </c>
      <c r="K72" s="1103">
        <v>2718.965845292179</v>
      </c>
      <c r="L72" s="1103">
        <v>2218.9261496063941</v>
      </c>
      <c r="M72" s="1103">
        <v>2302.2660988873586</v>
      </c>
      <c r="N72" s="1103">
        <v>2494.9897315999506</v>
      </c>
      <c r="O72" s="1103">
        <v>2801.2640452067685</v>
      </c>
      <c r="P72" s="540">
        <f t="shared" si="13"/>
        <v>29100</v>
      </c>
      <c r="R72" s="687"/>
      <c r="S72" s="687"/>
      <c r="T72" s="687"/>
      <c r="U72" s="687"/>
      <c r="V72" s="687"/>
      <c r="W72" s="687"/>
      <c r="X72" s="687"/>
      <c r="Y72" s="687"/>
      <c r="Z72" s="687"/>
      <c r="AA72" s="687"/>
      <c r="AB72" s="687"/>
      <c r="AC72" s="687"/>
      <c r="AD72" s="687"/>
      <c r="AE72" s="687"/>
      <c r="AF72" s="687"/>
    </row>
    <row r="73" spans="2:32">
      <c r="B73" s="605">
        <v>323200</v>
      </c>
      <c r="C73" s="199" t="s">
        <v>91</v>
      </c>
      <c r="D73" s="1103">
        <v>1833.8373379111395</v>
      </c>
      <c r="E73" s="1103">
        <v>1751.6935721045666</v>
      </c>
      <c r="F73" s="1103">
        <v>1771.1184066985547</v>
      </c>
      <c r="G73" s="1103">
        <v>1486.9913941069458</v>
      </c>
      <c r="H73" s="1103">
        <v>1359.9913943463534</v>
      </c>
      <c r="I73" s="1103">
        <v>1443.1189362498285</v>
      </c>
      <c r="J73" s="1103">
        <v>1557.9862089003743</v>
      </c>
      <c r="K73" s="1103">
        <v>1547.6938591852468</v>
      </c>
      <c r="L73" s="1103">
        <v>1378.2035512141103</v>
      </c>
      <c r="M73" s="1103">
        <v>1572.9497043939541</v>
      </c>
      <c r="N73" s="1103">
        <v>1716.5320693004314</v>
      </c>
      <c r="O73" s="1103">
        <v>1910.9835655884926</v>
      </c>
      <c r="P73" s="540">
        <f t="shared" si="12"/>
        <v>19331.099999999995</v>
      </c>
      <c r="R73" s="687"/>
      <c r="S73" s="687"/>
      <c r="T73" s="687"/>
      <c r="U73" s="687"/>
      <c r="V73" s="687"/>
      <c r="W73" s="687"/>
      <c r="X73" s="687"/>
      <c r="Y73" s="687"/>
      <c r="Z73" s="687"/>
      <c r="AA73" s="687"/>
      <c r="AB73" s="687"/>
      <c r="AC73" s="687"/>
      <c r="AD73" s="687"/>
      <c r="AE73" s="687"/>
      <c r="AF73" s="687"/>
    </row>
    <row r="74" spans="2:32">
      <c r="B74" s="605">
        <v>322700</v>
      </c>
      <c r="C74" s="199" t="s">
        <v>271</v>
      </c>
      <c r="D74" s="1103">
        <v>179.287711787896</v>
      </c>
      <c r="E74" s="1103">
        <v>163.9354386040909</v>
      </c>
      <c r="F74" s="1103">
        <v>161.02589442190299</v>
      </c>
      <c r="G74" s="1103">
        <v>143.577819080122</v>
      </c>
      <c r="H74" s="1103">
        <v>125.85120154334901</v>
      </c>
      <c r="I74" s="1103">
        <v>119.32864587399699</v>
      </c>
      <c r="J74" s="1103">
        <v>137.40518420263101</v>
      </c>
      <c r="K74" s="1103">
        <v>126.001673514114</v>
      </c>
      <c r="L74" s="1103">
        <v>124.65616279032</v>
      </c>
      <c r="M74" s="1103">
        <v>147.86968825953198</v>
      </c>
      <c r="N74" s="1103">
        <v>168.07460720026501</v>
      </c>
      <c r="O74" s="1103">
        <v>192.98597272178</v>
      </c>
      <c r="P74" s="540">
        <f>SUM(D74:O74)</f>
        <v>1789.9999999999998</v>
      </c>
      <c r="R74" s="687"/>
      <c r="S74" s="687"/>
      <c r="T74" s="687"/>
      <c r="U74" s="687"/>
      <c r="V74" s="687"/>
      <c r="W74" s="687"/>
      <c r="X74" s="687"/>
      <c r="Y74" s="687"/>
      <c r="Z74" s="687"/>
      <c r="AA74" s="687"/>
      <c r="AB74" s="687"/>
      <c r="AC74" s="687"/>
      <c r="AD74" s="687"/>
      <c r="AE74" s="687"/>
      <c r="AF74" s="687"/>
    </row>
    <row r="75" spans="2:32">
      <c r="B75" s="605">
        <v>322600</v>
      </c>
      <c r="C75" s="199" t="s">
        <v>92</v>
      </c>
      <c r="D75" s="1103">
        <v>998.0406150315888</v>
      </c>
      <c r="E75" s="1103">
        <v>924.83228696242259</v>
      </c>
      <c r="F75" s="1103">
        <v>935.06106347359128</v>
      </c>
      <c r="G75" s="1103">
        <v>821.18572149160104</v>
      </c>
      <c r="H75" s="1103">
        <v>808.04454801915904</v>
      </c>
      <c r="I75" s="1103">
        <v>831.48814883103421</v>
      </c>
      <c r="J75" s="1103">
        <v>966.76566941551187</v>
      </c>
      <c r="K75" s="1103">
        <v>869.94270457669836</v>
      </c>
      <c r="L75" s="1103">
        <v>803.62594199036107</v>
      </c>
      <c r="M75" s="1103">
        <v>869.11363713867149</v>
      </c>
      <c r="N75" s="1103">
        <v>991.29911207445502</v>
      </c>
      <c r="O75" s="1103">
        <v>1067.6005509949055</v>
      </c>
      <c r="P75" s="540">
        <f t="shared" si="12"/>
        <v>10887</v>
      </c>
      <c r="R75" s="687"/>
      <c r="S75" s="687"/>
      <c r="T75" s="687"/>
      <c r="U75" s="687"/>
      <c r="V75" s="687"/>
      <c r="W75" s="687"/>
      <c r="X75" s="687"/>
      <c r="Y75" s="687"/>
      <c r="Z75" s="687"/>
      <c r="AA75" s="687"/>
      <c r="AB75" s="687"/>
      <c r="AC75" s="687"/>
      <c r="AD75" s="687"/>
      <c r="AE75" s="687"/>
      <c r="AF75" s="687"/>
    </row>
    <row r="76" spans="2:32">
      <c r="B76" s="605">
        <v>322800</v>
      </c>
      <c r="C76" s="199" t="s">
        <v>273</v>
      </c>
      <c r="D76" s="1103">
        <v>307.2631970728383</v>
      </c>
      <c r="E76" s="1103">
        <v>277.67442729058212</v>
      </c>
      <c r="F76" s="1103">
        <v>269.05411061364356</v>
      </c>
      <c r="G76" s="1103">
        <v>238.75131497535662</v>
      </c>
      <c r="H76" s="1103">
        <v>211.72437344783611</v>
      </c>
      <c r="I76" s="1103">
        <v>220.2447182099055</v>
      </c>
      <c r="J76" s="1103">
        <v>257.24030370227251</v>
      </c>
      <c r="K76" s="1103">
        <v>224.6375746072419</v>
      </c>
      <c r="L76" s="1103">
        <v>206.55432031482479</v>
      </c>
      <c r="M76" s="1103">
        <v>240.42201378379738</v>
      </c>
      <c r="N76" s="1103">
        <v>279.37851675725972</v>
      </c>
      <c r="O76" s="1103">
        <v>297.05512922444132</v>
      </c>
      <c r="P76" s="540">
        <f t="shared" si="12"/>
        <v>3030</v>
      </c>
      <c r="R76" s="687"/>
      <c r="S76" s="687"/>
      <c r="T76" s="687"/>
      <c r="U76" s="687"/>
      <c r="V76" s="687"/>
      <c r="W76" s="687"/>
      <c r="X76" s="687"/>
      <c r="Y76" s="687"/>
      <c r="Z76" s="687"/>
      <c r="AA76" s="687"/>
      <c r="AB76" s="687"/>
      <c r="AC76" s="687"/>
      <c r="AD76" s="687"/>
      <c r="AE76" s="687"/>
      <c r="AF76" s="687"/>
    </row>
    <row r="77" spans="2:32">
      <c r="B77" s="605"/>
      <c r="C77" s="199" t="s">
        <v>847</v>
      </c>
      <c r="D77" s="539">
        <f>SUM(D78:D79)</f>
        <v>852.8480401488066</v>
      </c>
      <c r="E77" s="539">
        <f t="shared" ref="E77:O77" si="14">SUM(E78:E79)</f>
        <v>797.10335492447666</v>
      </c>
      <c r="F77" s="539">
        <f t="shared" si="14"/>
        <v>781.36434135612126</v>
      </c>
      <c r="G77" s="539">
        <f t="shared" si="14"/>
        <v>645.53735737976979</v>
      </c>
      <c r="H77" s="539">
        <f t="shared" si="14"/>
        <v>567.81248528702304</v>
      </c>
      <c r="I77" s="539">
        <f t="shared" si="14"/>
        <v>578.66378722526429</v>
      </c>
      <c r="J77" s="539">
        <f t="shared" si="14"/>
        <v>675.11132597077949</v>
      </c>
      <c r="K77" s="539">
        <f t="shared" si="14"/>
        <v>684.40566617532181</v>
      </c>
      <c r="L77" s="539">
        <f t="shared" si="14"/>
        <v>573.63554849676905</v>
      </c>
      <c r="M77" s="539">
        <f t="shared" si="14"/>
        <v>650.26304971044908</v>
      </c>
      <c r="N77" s="539">
        <f t="shared" si="14"/>
        <v>738.56536895079819</v>
      </c>
      <c r="O77" s="539">
        <f t="shared" si="14"/>
        <v>860.68967437442029</v>
      </c>
      <c r="P77" s="540">
        <f t="shared" si="12"/>
        <v>8406</v>
      </c>
      <c r="R77" s="1021"/>
      <c r="S77" s="1021"/>
      <c r="T77" s="1021"/>
      <c r="U77" s="1021"/>
      <c r="V77" s="1021"/>
      <c r="W77" s="1021"/>
      <c r="X77" s="1021"/>
      <c r="Y77" s="1021"/>
      <c r="Z77" s="1021"/>
      <c r="AA77" s="1021"/>
      <c r="AB77" s="1021"/>
      <c r="AC77" s="1021"/>
      <c r="AD77" s="1022"/>
      <c r="AE77" s="687"/>
      <c r="AF77" s="687"/>
    </row>
    <row r="78" spans="2:32">
      <c r="B78" s="605"/>
      <c r="C78" s="200" t="s">
        <v>348</v>
      </c>
      <c r="D78" s="1103">
        <v>684.8691961351044</v>
      </c>
      <c r="E78" s="1103">
        <v>641.03602571461647</v>
      </c>
      <c r="F78" s="1103">
        <v>619.95374339741556</v>
      </c>
      <c r="G78" s="1103">
        <v>519.91673537202507</v>
      </c>
      <c r="H78" s="1103">
        <v>458.28597776509508</v>
      </c>
      <c r="I78" s="1103">
        <v>463.56739212233487</v>
      </c>
      <c r="J78" s="1103">
        <v>546.73461593050831</v>
      </c>
      <c r="K78" s="1103">
        <v>557.58846800683102</v>
      </c>
      <c r="L78" s="1103">
        <v>461.99419153203121</v>
      </c>
      <c r="M78" s="1103">
        <v>528.05115751069718</v>
      </c>
      <c r="N78" s="1103">
        <v>593.36026926660395</v>
      </c>
      <c r="O78" s="1103">
        <v>678.08596073312674</v>
      </c>
      <c r="P78" s="540">
        <f t="shared" si="12"/>
        <v>6753.4437334863896</v>
      </c>
      <c r="S78" s="261"/>
      <c r="T78" s="261"/>
      <c r="U78" s="261"/>
      <c r="V78" s="261"/>
      <c r="W78" s="261"/>
      <c r="X78" s="261"/>
      <c r="Y78" s="261"/>
      <c r="Z78" s="261"/>
      <c r="AA78" s="261"/>
      <c r="AB78" s="261"/>
      <c r="AC78" s="261"/>
      <c r="AD78" s="261"/>
      <c r="AE78" s="687"/>
      <c r="AF78" s="687"/>
    </row>
    <row r="79" spans="2:32">
      <c r="B79" s="605"/>
      <c r="C79" s="200" t="s">
        <v>872</v>
      </c>
      <c r="D79" s="1103">
        <v>167.97884401370214</v>
      </c>
      <c r="E79" s="1103">
        <v>156.06732920986013</v>
      </c>
      <c r="F79" s="1103">
        <v>161.41059795870572</v>
      </c>
      <c r="G79" s="1103">
        <v>125.62062200774473</v>
      </c>
      <c r="H79" s="1103">
        <v>109.52650752192793</v>
      </c>
      <c r="I79" s="1103">
        <v>115.09639510292936</v>
      </c>
      <c r="J79" s="1103">
        <v>128.37671004027115</v>
      </c>
      <c r="K79" s="1103">
        <v>126.81719816849076</v>
      </c>
      <c r="L79" s="1103">
        <v>111.64135696473782</v>
      </c>
      <c r="M79" s="1103">
        <v>122.21189219975187</v>
      </c>
      <c r="N79" s="1103">
        <v>145.20509968419424</v>
      </c>
      <c r="O79" s="1103">
        <v>182.60371364129355</v>
      </c>
      <c r="P79" s="540">
        <f t="shared" si="12"/>
        <v>1652.5562665136092</v>
      </c>
      <c r="S79" s="261"/>
      <c r="T79" s="261"/>
      <c r="U79" s="261"/>
      <c r="V79" s="261"/>
      <c r="W79" s="261"/>
      <c r="X79" s="261"/>
      <c r="Y79" s="261"/>
      <c r="Z79" s="261"/>
      <c r="AA79" s="261"/>
      <c r="AB79" s="261"/>
      <c r="AC79" s="261"/>
      <c r="AD79" s="261"/>
      <c r="AE79" s="687"/>
      <c r="AF79" s="687"/>
    </row>
    <row r="80" spans="2:32">
      <c r="B80" s="605"/>
      <c r="C80" s="201"/>
      <c r="D80" s="541"/>
      <c r="E80" s="541"/>
      <c r="F80" s="541"/>
      <c r="G80" s="541"/>
      <c r="H80" s="541"/>
      <c r="I80" s="541"/>
      <c r="J80" s="541"/>
      <c r="K80" s="541"/>
      <c r="L80" s="541"/>
      <c r="M80" s="541"/>
      <c r="N80" s="541"/>
      <c r="O80" s="541"/>
      <c r="P80" s="542"/>
      <c r="R80" s="688"/>
      <c r="S80" s="688"/>
      <c r="T80" s="688"/>
      <c r="U80" s="688"/>
      <c r="V80" s="688"/>
      <c r="W80" s="688"/>
      <c r="X80" s="688"/>
      <c r="Y80" s="688"/>
      <c r="Z80" s="688"/>
      <c r="AA80" s="688"/>
      <c r="AB80" s="688"/>
      <c r="AC80" s="688"/>
      <c r="AD80" s="687"/>
      <c r="AE80" s="687"/>
      <c r="AF80" s="687"/>
    </row>
    <row r="81" spans="2:32">
      <c r="B81" s="605"/>
      <c r="C81" s="196" t="s">
        <v>54</v>
      </c>
      <c r="D81" s="539">
        <f t="shared" ref="D81:O81" si="15">D82+SUM(D85:D94)</f>
        <v>20718.79450349636</v>
      </c>
      <c r="E81" s="539">
        <f t="shared" si="15"/>
        <v>19310.763006752026</v>
      </c>
      <c r="F81" s="539">
        <f t="shared" si="15"/>
        <v>19018.221839634913</v>
      </c>
      <c r="G81" s="539">
        <f t="shared" si="15"/>
        <v>17366.398851136961</v>
      </c>
      <c r="H81" s="539">
        <f t="shared" si="15"/>
        <v>16706.006563685842</v>
      </c>
      <c r="I81" s="539">
        <f t="shared" si="15"/>
        <v>15257.179249332783</v>
      </c>
      <c r="J81" s="539">
        <f t="shared" si="15"/>
        <v>15562.989311583335</v>
      </c>
      <c r="K81" s="539">
        <f t="shared" si="15"/>
        <v>15775.84613735852</v>
      </c>
      <c r="L81" s="539">
        <f t="shared" si="15"/>
        <v>16214.765184341224</v>
      </c>
      <c r="M81" s="539">
        <f t="shared" si="15"/>
        <v>18177.385748358643</v>
      </c>
      <c r="N81" s="539">
        <f t="shared" si="15"/>
        <v>19166.701286383901</v>
      </c>
      <c r="O81" s="539">
        <f t="shared" si="15"/>
        <v>21153.546197298285</v>
      </c>
      <c r="P81" s="540">
        <f>SUM(D81:O81)</f>
        <v>214428.59787936279</v>
      </c>
    </row>
    <row r="82" spans="2:32">
      <c r="B82" s="605">
        <v>356800</v>
      </c>
      <c r="C82" s="199" t="s">
        <v>274</v>
      </c>
      <c r="D82" s="539">
        <f>SUM(D83:D84)</f>
        <v>1069.4970040000001</v>
      </c>
      <c r="E82" s="539">
        <f t="shared" ref="E82:O82" si="16">SUM(E83:E84)</f>
        <v>1008.4</v>
      </c>
      <c r="F82" s="539">
        <f t="shared" si="16"/>
        <v>988</v>
      </c>
      <c r="G82" s="539">
        <f t="shared" si="16"/>
        <v>869</v>
      </c>
      <c r="H82" s="539">
        <f t="shared" si="16"/>
        <v>810</v>
      </c>
      <c r="I82" s="539">
        <f t="shared" si="16"/>
        <v>742</v>
      </c>
      <c r="J82" s="539">
        <f t="shared" si="16"/>
        <v>752</v>
      </c>
      <c r="K82" s="539">
        <f t="shared" si="16"/>
        <v>772</v>
      </c>
      <c r="L82" s="539">
        <f t="shared" si="16"/>
        <v>796</v>
      </c>
      <c r="M82" s="539">
        <f t="shared" si="16"/>
        <v>938</v>
      </c>
      <c r="N82" s="539">
        <f t="shared" si="16"/>
        <v>1001</v>
      </c>
      <c r="O82" s="539">
        <f t="shared" si="16"/>
        <v>1096</v>
      </c>
      <c r="P82" s="540">
        <f>SUM(D82:O82)</f>
        <v>10841.897004</v>
      </c>
      <c r="R82" s="687"/>
      <c r="S82" s="687"/>
      <c r="T82" s="687"/>
      <c r="U82" s="687"/>
      <c r="V82" s="687"/>
      <c r="W82" s="687"/>
    </row>
    <row r="83" spans="2:32">
      <c r="B83" s="605"/>
      <c r="C83" s="202" t="s">
        <v>57</v>
      </c>
      <c r="D83" s="1103">
        <v>1011.4970040000001</v>
      </c>
      <c r="E83" s="1103">
        <v>956</v>
      </c>
      <c r="F83" s="1103">
        <v>939</v>
      </c>
      <c r="G83" s="1103">
        <v>826</v>
      </c>
      <c r="H83" s="1103">
        <v>771</v>
      </c>
      <c r="I83" s="1103">
        <v>707</v>
      </c>
      <c r="J83" s="1103">
        <v>716</v>
      </c>
      <c r="K83" s="1103">
        <v>736</v>
      </c>
      <c r="L83" s="1103">
        <v>758</v>
      </c>
      <c r="M83" s="1103">
        <v>892</v>
      </c>
      <c r="N83" s="1103">
        <v>951</v>
      </c>
      <c r="O83" s="1103">
        <v>1038</v>
      </c>
      <c r="P83" s="540">
        <f t="shared" ref="P83:P94" si="17">SUM(D83:O83)</f>
        <v>10301.497004000001</v>
      </c>
    </row>
    <row r="84" spans="2:32">
      <c r="B84" s="605"/>
      <c r="C84" s="199" t="s">
        <v>58</v>
      </c>
      <c r="D84" s="1103">
        <v>58</v>
      </c>
      <c r="E84" s="1103">
        <v>52.399999999999977</v>
      </c>
      <c r="F84" s="1103">
        <v>49</v>
      </c>
      <c r="G84" s="1103">
        <v>43</v>
      </c>
      <c r="H84" s="1103">
        <v>39</v>
      </c>
      <c r="I84" s="1103">
        <v>35</v>
      </c>
      <c r="J84" s="1103">
        <v>36</v>
      </c>
      <c r="K84" s="1103">
        <v>36</v>
      </c>
      <c r="L84" s="1103">
        <v>38</v>
      </c>
      <c r="M84" s="1103">
        <v>46</v>
      </c>
      <c r="N84" s="1103">
        <v>50</v>
      </c>
      <c r="O84" s="1103">
        <v>58</v>
      </c>
      <c r="P84" s="540">
        <f t="shared" si="17"/>
        <v>540.4</v>
      </c>
      <c r="Q84" s="688"/>
      <c r="AE84" s="687"/>
      <c r="AF84" s="687"/>
    </row>
    <row r="85" spans="2:32">
      <c r="B85" s="605">
        <v>356900</v>
      </c>
      <c r="C85" s="199" t="s">
        <v>59</v>
      </c>
      <c r="D85" s="1103">
        <v>585.71744833216405</v>
      </c>
      <c r="E85" s="1103">
        <v>537.79889229128889</v>
      </c>
      <c r="F85" s="1103">
        <v>501.18261459190001</v>
      </c>
      <c r="G85" s="1103">
        <v>449.18837436881682</v>
      </c>
      <c r="H85" s="1103">
        <v>406.111815322403</v>
      </c>
      <c r="I85" s="1103">
        <v>365.3058323239996</v>
      </c>
      <c r="J85" s="1103">
        <v>373.42801668323682</v>
      </c>
      <c r="K85" s="1103">
        <v>381.02639342862602</v>
      </c>
      <c r="L85" s="1103">
        <v>402.67090130734186</v>
      </c>
      <c r="M85" s="1103">
        <v>476.483795355707</v>
      </c>
      <c r="N85" s="1103">
        <v>526.96070022966796</v>
      </c>
      <c r="O85" s="1103">
        <v>592.12521576484801</v>
      </c>
      <c r="P85" s="540">
        <f t="shared" si="17"/>
        <v>5597.9999999999991</v>
      </c>
      <c r="Q85" s="688"/>
      <c r="AE85" s="687"/>
      <c r="AF85" s="687"/>
    </row>
    <row r="86" spans="2:32">
      <c r="B86" s="605">
        <v>362300</v>
      </c>
      <c r="C86" s="199" t="s">
        <v>60</v>
      </c>
      <c r="D86" s="1103">
        <v>823.47192039546178</v>
      </c>
      <c r="E86" s="1103">
        <v>741.2027267826727</v>
      </c>
      <c r="F86" s="1103">
        <v>741.37383860661976</v>
      </c>
      <c r="G86" s="1103">
        <v>674.95890970234302</v>
      </c>
      <c r="H86" s="1103">
        <v>626.68460395792204</v>
      </c>
      <c r="I86" s="1103">
        <v>568.35807919551905</v>
      </c>
      <c r="J86" s="1103">
        <v>581.70103280640092</v>
      </c>
      <c r="K86" s="1103">
        <v>587.96032221469704</v>
      </c>
      <c r="L86" s="1103">
        <v>613.03593797989402</v>
      </c>
      <c r="M86" s="1103">
        <v>689.95290983775396</v>
      </c>
      <c r="N86" s="1103">
        <v>744.88437132889305</v>
      </c>
      <c r="O86" s="1103">
        <v>846.41534719182209</v>
      </c>
      <c r="P86" s="540">
        <f t="shared" si="17"/>
        <v>8240</v>
      </c>
      <c r="T86" s="687"/>
      <c r="U86" s="687"/>
      <c r="V86" s="687"/>
      <c r="W86" s="687"/>
      <c r="X86" s="687"/>
      <c r="Y86" s="687"/>
      <c r="Z86" s="687"/>
      <c r="AA86" s="687"/>
      <c r="AB86" s="687"/>
      <c r="AC86" s="687"/>
      <c r="AD86" s="687"/>
      <c r="AE86" s="687"/>
      <c r="AF86" s="687"/>
    </row>
    <row r="87" spans="2:32">
      <c r="B87" s="605">
        <v>357000</v>
      </c>
      <c r="C87" s="199" t="s">
        <v>185</v>
      </c>
      <c r="D87" s="1103">
        <v>5488.2</v>
      </c>
      <c r="E87" s="1103">
        <v>5100.6000000000004</v>
      </c>
      <c r="F87" s="1103">
        <v>4939.2</v>
      </c>
      <c r="G87" s="1103">
        <v>4434.8999999999996</v>
      </c>
      <c r="H87" s="1103">
        <v>4268.6000000000004</v>
      </c>
      <c r="I87" s="1103">
        <v>3936.9</v>
      </c>
      <c r="J87" s="1103">
        <v>3967.3</v>
      </c>
      <c r="K87" s="1103">
        <v>4048.4</v>
      </c>
      <c r="L87" s="1103">
        <v>4180.1000000000004</v>
      </c>
      <c r="M87" s="1103">
        <v>4718.2</v>
      </c>
      <c r="N87" s="1103">
        <v>5028.3</v>
      </c>
      <c r="O87" s="1103">
        <v>5689.6200000000008</v>
      </c>
      <c r="P87" s="540">
        <f t="shared" si="17"/>
        <v>55800.32</v>
      </c>
      <c r="S87" s="261"/>
      <c r="T87" s="261"/>
      <c r="U87" s="261"/>
      <c r="V87" s="261"/>
      <c r="W87" s="261"/>
      <c r="X87" s="261"/>
      <c r="Y87" s="261"/>
      <c r="Z87" s="261"/>
      <c r="AA87" s="261"/>
      <c r="AB87" s="261"/>
      <c r="AC87" s="261"/>
      <c r="AD87" s="687"/>
      <c r="AE87" s="687"/>
      <c r="AF87" s="687"/>
    </row>
    <row r="88" spans="2:32">
      <c r="B88" s="605">
        <v>357200</v>
      </c>
      <c r="C88" s="199" t="s">
        <v>64</v>
      </c>
      <c r="D88" s="1103">
        <v>3013</v>
      </c>
      <c r="E88" s="1103">
        <v>2813.5846319999991</v>
      </c>
      <c r="F88" s="1103">
        <v>2786</v>
      </c>
      <c r="G88" s="1103">
        <v>2656.0014735734671</v>
      </c>
      <c r="H88" s="1103">
        <v>2608.3499999616201</v>
      </c>
      <c r="I88" s="1103">
        <v>2376.4473705469195</v>
      </c>
      <c r="J88" s="1103">
        <v>2431.6446649091727</v>
      </c>
      <c r="K88" s="1103">
        <v>2474</v>
      </c>
      <c r="L88" s="1103">
        <v>2522.9853792734998</v>
      </c>
      <c r="M88" s="1103">
        <v>2733</v>
      </c>
      <c r="N88" s="1103">
        <v>2830.2612592506698</v>
      </c>
      <c r="O88" s="1103">
        <v>3011.9690388474396</v>
      </c>
      <c r="P88" s="540">
        <f>SUM(D88:O88)</f>
        <v>32257.243818362789</v>
      </c>
      <c r="T88" s="687"/>
      <c r="U88" s="687"/>
      <c r="V88" s="687"/>
      <c r="W88" s="687"/>
      <c r="X88" s="687"/>
      <c r="Y88" s="687"/>
      <c r="Z88" s="687"/>
      <c r="AA88" s="687"/>
      <c r="AB88" s="687"/>
      <c r="AC88" s="687"/>
      <c r="AD88" s="687"/>
      <c r="AE88" s="687"/>
      <c r="AF88" s="687"/>
    </row>
    <row r="89" spans="2:32">
      <c r="B89" s="605">
        <v>357100</v>
      </c>
      <c r="C89" s="199" t="s">
        <v>275</v>
      </c>
      <c r="D89" s="1103">
        <v>4482.9481895684303</v>
      </c>
      <c r="E89" s="1103">
        <v>4228.3612820712342</v>
      </c>
      <c r="F89" s="1103">
        <v>4211.3931323061797</v>
      </c>
      <c r="G89" s="1103">
        <v>3947.71888026138</v>
      </c>
      <c r="H89" s="1103">
        <v>3868.5915380209281</v>
      </c>
      <c r="I89" s="1103">
        <v>3502.3610894940921</v>
      </c>
      <c r="J89" s="1103">
        <v>3622.58217496407</v>
      </c>
      <c r="K89" s="1103">
        <v>3606.8819334705281</v>
      </c>
      <c r="L89" s="1103">
        <v>3656.8776356144253</v>
      </c>
      <c r="M89" s="1103">
        <v>4034.2161821967743</v>
      </c>
      <c r="N89" s="1103">
        <v>4183.7507470552464</v>
      </c>
      <c r="O89" s="1103">
        <v>4618.3172149767097</v>
      </c>
      <c r="P89" s="540">
        <f t="shared" si="17"/>
        <v>47964</v>
      </c>
      <c r="S89" s="261"/>
      <c r="T89" s="261"/>
      <c r="U89" s="261"/>
      <c r="V89" s="261"/>
      <c r="W89" s="261"/>
      <c r="X89" s="261"/>
      <c r="Y89" s="261"/>
      <c r="Z89" s="261"/>
      <c r="AA89" s="261"/>
      <c r="AB89" s="261"/>
      <c r="AC89" s="261"/>
      <c r="AD89" s="687"/>
      <c r="AE89" s="687"/>
      <c r="AF89" s="687"/>
    </row>
    <row r="90" spans="2:32">
      <c r="B90" s="605">
        <v>357300</v>
      </c>
      <c r="C90" s="199" t="s">
        <v>68</v>
      </c>
      <c r="D90" s="1103">
        <v>1690</v>
      </c>
      <c r="E90" s="1103">
        <v>1593</v>
      </c>
      <c r="F90" s="1103">
        <v>1535.579</v>
      </c>
      <c r="G90" s="1103">
        <v>1336.1</v>
      </c>
      <c r="H90" s="1103">
        <v>1228</v>
      </c>
      <c r="I90" s="1103">
        <v>1076</v>
      </c>
      <c r="J90" s="1103">
        <v>1084.5</v>
      </c>
      <c r="K90" s="1103">
        <v>1105</v>
      </c>
      <c r="L90" s="1103">
        <v>1201</v>
      </c>
      <c r="M90" s="1103">
        <v>1417</v>
      </c>
      <c r="N90" s="1103">
        <v>1559</v>
      </c>
      <c r="O90" s="1103">
        <v>1727</v>
      </c>
      <c r="P90" s="540">
        <f>SUM(D90:O90)</f>
        <v>16552.179</v>
      </c>
      <c r="T90" s="687"/>
      <c r="U90" s="687"/>
      <c r="V90" s="687"/>
      <c r="W90" s="687"/>
      <c r="X90" s="687"/>
      <c r="Y90" s="687"/>
      <c r="Z90" s="687"/>
      <c r="AA90" s="687"/>
      <c r="AB90" s="687"/>
      <c r="AC90" s="687"/>
      <c r="AD90" s="687"/>
      <c r="AE90" s="687"/>
      <c r="AF90" s="687"/>
    </row>
    <row r="91" spans="2:32">
      <c r="B91" s="605">
        <v>357400</v>
      </c>
      <c r="C91" s="199" t="s">
        <v>69</v>
      </c>
      <c r="D91" s="1103">
        <v>1118</v>
      </c>
      <c r="E91" s="1103">
        <v>1021</v>
      </c>
      <c r="F91" s="1103">
        <v>1036</v>
      </c>
      <c r="G91" s="1103">
        <v>897</v>
      </c>
      <c r="H91" s="1103">
        <v>833</v>
      </c>
      <c r="I91" s="1103">
        <v>766</v>
      </c>
      <c r="J91" s="1103">
        <v>769</v>
      </c>
      <c r="K91" s="1103">
        <v>792</v>
      </c>
      <c r="L91" s="1103">
        <v>805</v>
      </c>
      <c r="M91" s="1103">
        <v>948</v>
      </c>
      <c r="N91" s="1103">
        <v>1024</v>
      </c>
      <c r="O91" s="1103">
        <v>1133</v>
      </c>
      <c r="P91" s="540">
        <f>SUM(D91:O91)</f>
        <v>11142</v>
      </c>
      <c r="T91" s="687"/>
      <c r="U91" s="687"/>
      <c r="V91" s="687"/>
      <c r="W91" s="687"/>
      <c r="X91" s="687"/>
      <c r="Y91" s="687"/>
      <c r="Z91" s="687"/>
      <c r="AA91" s="687"/>
      <c r="AB91" s="687"/>
      <c r="AC91" s="687"/>
      <c r="AD91" s="687"/>
      <c r="AE91" s="687"/>
      <c r="AF91" s="687"/>
    </row>
    <row r="92" spans="2:32">
      <c r="B92" s="605">
        <v>687500</v>
      </c>
      <c r="C92" s="199" t="s">
        <v>70</v>
      </c>
      <c r="D92" s="1103">
        <v>818.3</v>
      </c>
      <c r="E92" s="1103">
        <v>761.46603200000084</v>
      </c>
      <c r="F92" s="1103">
        <v>736</v>
      </c>
      <c r="G92" s="1103">
        <v>664.95911999999987</v>
      </c>
      <c r="H92" s="1103">
        <v>631.71116399999983</v>
      </c>
      <c r="I92" s="1103">
        <v>590.15121899999974</v>
      </c>
      <c r="J92" s="1103">
        <v>598.46320799999978</v>
      </c>
      <c r="K92" s="1103">
        <v>601.77519699999993</v>
      </c>
      <c r="L92" s="1103">
        <v>640.02315299999975</v>
      </c>
      <c r="M92" s="1103">
        <v>714.83105399999977</v>
      </c>
      <c r="N92" s="1103">
        <v>756.39099899999974</v>
      </c>
      <c r="O92" s="1103">
        <v>822.88691099999971</v>
      </c>
      <c r="P92" s="540">
        <f>SUM(D92:O92)</f>
        <v>8336.9580569999998</v>
      </c>
      <c r="T92" s="687"/>
      <c r="U92" s="687"/>
      <c r="V92" s="687"/>
      <c r="W92" s="687"/>
      <c r="X92" s="687"/>
      <c r="Y92" s="687"/>
      <c r="Z92" s="687"/>
      <c r="AA92" s="687"/>
      <c r="AB92" s="687"/>
      <c r="AC92" s="687"/>
      <c r="AD92" s="687"/>
      <c r="AE92" s="687"/>
      <c r="AF92" s="687"/>
    </row>
    <row r="93" spans="2:32">
      <c r="B93" s="605">
        <v>357700</v>
      </c>
      <c r="C93" s="199" t="s">
        <v>67</v>
      </c>
      <c r="D93" s="1103">
        <v>100.22670713240559</v>
      </c>
      <c r="E93" s="1103">
        <v>88.463199796228466</v>
      </c>
      <c r="F93" s="1103">
        <v>81.387238644802096</v>
      </c>
      <c r="G93" s="1103">
        <v>62.89585737627722</v>
      </c>
      <c r="H93" s="1103">
        <v>52.286090427731828</v>
      </c>
      <c r="I93" s="1103">
        <v>42.37989939166944</v>
      </c>
      <c r="J93" s="1103">
        <v>43.864913446187302</v>
      </c>
      <c r="K93" s="1103">
        <v>45.184661703275118</v>
      </c>
      <c r="L93" s="1103">
        <v>54.547340954032002</v>
      </c>
      <c r="M93" s="1103">
        <v>70.717887969003115</v>
      </c>
      <c r="N93" s="1103">
        <v>83.208361395540123</v>
      </c>
      <c r="O93" s="1103">
        <v>98.83784176284756</v>
      </c>
      <c r="P93" s="540">
        <f t="shared" si="17"/>
        <v>823.99999999999989</v>
      </c>
      <c r="T93" s="687"/>
      <c r="U93" s="687"/>
      <c r="V93" s="687"/>
      <c r="W93" s="687"/>
      <c r="X93" s="687"/>
      <c r="Y93" s="687"/>
      <c r="Z93" s="687"/>
      <c r="AA93" s="687"/>
      <c r="AB93" s="687"/>
      <c r="AC93" s="687"/>
      <c r="AD93" s="687"/>
      <c r="AE93" s="687"/>
      <c r="AF93" s="687"/>
    </row>
    <row r="94" spans="2:32">
      <c r="B94" s="605">
        <v>357500</v>
      </c>
      <c r="C94" s="199" t="s">
        <v>71</v>
      </c>
      <c r="D94" s="1157">
        <v>1529.4332340678975</v>
      </c>
      <c r="E94" s="1157">
        <v>1416.8862418106016</v>
      </c>
      <c r="F94" s="1157">
        <v>1462.1060154854079</v>
      </c>
      <c r="G94" s="1157">
        <v>1373.6762358546753</v>
      </c>
      <c r="H94" s="1157">
        <v>1372.6713519952352</v>
      </c>
      <c r="I94" s="1157">
        <v>1291.2757593805836</v>
      </c>
      <c r="J94" s="1157">
        <v>1338.5053007742704</v>
      </c>
      <c r="K94" s="1157">
        <v>1361.6176295413939</v>
      </c>
      <c r="L94" s="1157">
        <v>1342.524836212031</v>
      </c>
      <c r="M94" s="1157">
        <v>1436.9839189994045</v>
      </c>
      <c r="N94" s="1157">
        <v>1428.9448481238833</v>
      </c>
      <c r="O94" s="1157">
        <v>1517.3746277546159</v>
      </c>
      <c r="P94" s="1158">
        <f t="shared" si="17"/>
        <v>16872</v>
      </c>
      <c r="T94" s="687"/>
      <c r="U94" s="687"/>
      <c r="V94" s="687"/>
      <c r="W94" s="687"/>
      <c r="X94" s="687"/>
      <c r="Y94" s="687"/>
      <c r="Z94" s="687"/>
      <c r="AA94" s="687"/>
      <c r="AB94" s="687"/>
      <c r="AC94" s="687"/>
      <c r="AD94" s="687"/>
      <c r="AE94" s="687"/>
      <c r="AF94" s="687"/>
    </row>
    <row r="95" spans="2:32">
      <c r="B95" s="605"/>
      <c r="C95" s="201"/>
      <c r="D95" s="541"/>
      <c r="E95" s="541"/>
      <c r="F95" s="541"/>
      <c r="G95" s="541"/>
      <c r="H95" s="541"/>
      <c r="I95" s="541"/>
      <c r="J95" s="541"/>
      <c r="K95" s="541"/>
      <c r="L95" s="541"/>
      <c r="M95" s="541"/>
      <c r="N95" s="541"/>
      <c r="O95" s="541"/>
      <c r="P95" s="542"/>
      <c r="T95" s="687"/>
      <c r="U95" s="687"/>
      <c r="V95" s="687"/>
      <c r="W95" s="687"/>
      <c r="X95" s="687"/>
      <c r="Y95" s="687"/>
      <c r="Z95" s="687"/>
      <c r="AA95" s="687"/>
      <c r="AB95" s="687"/>
      <c r="AC95" s="687"/>
      <c r="AD95" s="687"/>
      <c r="AE95" s="687"/>
      <c r="AF95" s="687"/>
    </row>
    <row r="96" spans="2:32">
      <c r="B96" s="605">
        <v>1023</v>
      </c>
      <c r="C96" s="196" t="s">
        <v>276</v>
      </c>
      <c r="D96" s="539">
        <f>SUM(D97:D99)+D102+D103+D104</f>
        <v>4455.9474055000001</v>
      </c>
      <c r="E96" s="539">
        <f>SUM(E97:E99)+E102+E103+E104</f>
        <v>4024.7345129999999</v>
      </c>
      <c r="F96" s="539">
        <f t="shared" ref="F96:O96" si="18">SUM(F97:F99)+F102+F103+F104</f>
        <v>3884.3321348000004</v>
      </c>
      <c r="G96" s="539">
        <f t="shared" si="18"/>
        <v>3291.3112487000003</v>
      </c>
      <c r="H96" s="539">
        <f t="shared" si="18"/>
        <v>2931.7009791999999</v>
      </c>
      <c r="I96" s="539">
        <f t="shared" si="18"/>
        <v>2611.1904650000001</v>
      </c>
      <c r="J96" s="539">
        <f t="shared" si="18"/>
        <v>2702.2930347000001</v>
      </c>
      <c r="K96" s="539">
        <f t="shared" si="18"/>
        <v>2760.6941581999999</v>
      </c>
      <c r="L96" s="539">
        <f t="shared" si="18"/>
        <v>2812.3978376</v>
      </c>
      <c r="M96" s="539">
        <f t="shared" si="18"/>
        <v>3391.3161614999999</v>
      </c>
      <c r="N96" s="539">
        <f t="shared" si="18"/>
        <v>3955.8323651999995</v>
      </c>
      <c r="O96" s="539">
        <f t="shared" si="18"/>
        <v>4573.5500425</v>
      </c>
      <c r="P96" s="540">
        <f t="shared" ref="P96:P101" si="19">SUM(D96:O96)</f>
        <v>41395.300345899996</v>
      </c>
    </row>
    <row r="97" spans="2:32">
      <c r="B97" s="605">
        <v>361700</v>
      </c>
      <c r="C97" s="199" t="s">
        <v>96</v>
      </c>
      <c r="D97" s="1103">
        <v>924.5</v>
      </c>
      <c r="E97" s="1103">
        <v>832.9</v>
      </c>
      <c r="F97" s="1103">
        <v>818.6</v>
      </c>
      <c r="G97" s="1103">
        <v>707</v>
      </c>
      <c r="H97" s="1103">
        <v>640.9</v>
      </c>
      <c r="I97" s="1103">
        <v>590.29999999999995</v>
      </c>
      <c r="J97" s="1103">
        <v>611.1</v>
      </c>
      <c r="K97" s="1103">
        <v>653.79999999999995</v>
      </c>
      <c r="L97" s="1103">
        <v>656.09999999999991</v>
      </c>
      <c r="M97" s="1103">
        <v>782.3</v>
      </c>
      <c r="N97" s="1103">
        <v>863.8</v>
      </c>
      <c r="O97" s="1103">
        <v>986.2</v>
      </c>
      <c r="P97" s="540">
        <f t="shared" si="19"/>
        <v>9067.5000000000018</v>
      </c>
    </row>
    <row r="98" spans="2:32">
      <c r="B98" s="605">
        <v>361800</v>
      </c>
      <c r="C98" s="199" t="s">
        <v>97</v>
      </c>
      <c r="D98" s="1103">
        <v>1556.2</v>
      </c>
      <c r="E98" s="1103">
        <v>1419.2</v>
      </c>
      <c r="F98" s="1103">
        <v>1338.3</v>
      </c>
      <c r="G98" s="1103">
        <v>1117.4000000000001</v>
      </c>
      <c r="H98" s="1103">
        <v>994.6</v>
      </c>
      <c r="I98" s="1103">
        <v>890.5</v>
      </c>
      <c r="J98" s="1103">
        <v>909.8</v>
      </c>
      <c r="K98" s="1103">
        <v>908.3</v>
      </c>
      <c r="L98" s="1103">
        <v>899.8</v>
      </c>
      <c r="M98" s="1103">
        <v>1078.8</v>
      </c>
      <c r="N98" s="1103">
        <v>1291.5999999999999</v>
      </c>
      <c r="O98" s="1103">
        <v>1551.5</v>
      </c>
      <c r="P98" s="540">
        <f t="shared" si="19"/>
        <v>13955.999999999998</v>
      </c>
    </row>
    <row r="99" spans="2:32">
      <c r="B99" s="605">
        <v>362200</v>
      </c>
      <c r="C99" s="199" t="s">
        <v>283</v>
      </c>
      <c r="D99" s="539">
        <f>SUM(D100:D101)</f>
        <v>1124.8034514999999</v>
      </c>
      <c r="E99" s="539">
        <f t="shared" ref="E99:O99" si="20">SUM(E100:E101)</f>
        <v>1030.5951679999998</v>
      </c>
      <c r="F99" s="539">
        <f t="shared" si="20"/>
        <v>1002.2944805</v>
      </c>
      <c r="G99" s="539">
        <f t="shared" si="20"/>
        <v>842.58002299999998</v>
      </c>
      <c r="H99" s="539">
        <f t="shared" si="20"/>
        <v>740.17306599999995</v>
      </c>
      <c r="I99" s="539">
        <f t="shared" si="20"/>
        <v>681.76750249999998</v>
      </c>
      <c r="J99" s="539">
        <f t="shared" si="20"/>
        <v>717.86967049999998</v>
      </c>
      <c r="K99" s="539">
        <f t="shared" si="20"/>
        <v>717.67017200000009</v>
      </c>
      <c r="L99" s="539">
        <f t="shared" si="20"/>
        <v>712.26846150000006</v>
      </c>
      <c r="M99" s="539">
        <f t="shared" si="20"/>
        <v>858.38076600000011</v>
      </c>
      <c r="N99" s="539">
        <f t="shared" si="20"/>
        <v>995.79262600000004</v>
      </c>
      <c r="O99" s="539">
        <f t="shared" si="20"/>
        <v>1140.8047844999999</v>
      </c>
      <c r="P99" s="540">
        <f t="shared" si="19"/>
        <v>10565.000172</v>
      </c>
    </row>
    <row r="100" spans="2:32">
      <c r="B100" s="605"/>
      <c r="C100" s="200" t="s">
        <v>284</v>
      </c>
      <c r="D100" s="1103">
        <v>950.94275549999998</v>
      </c>
      <c r="E100" s="1103">
        <v>871.23957599999994</v>
      </c>
      <c r="F100" s="1103">
        <v>839.03758449999998</v>
      </c>
      <c r="G100" s="1103">
        <v>703.33140300000002</v>
      </c>
      <c r="H100" s="1103">
        <v>610.52789399999995</v>
      </c>
      <c r="I100" s="1103">
        <v>561.72560650000003</v>
      </c>
      <c r="J100" s="1103">
        <v>596.3272465</v>
      </c>
      <c r="K100" s="1103">
        <v>593.62686800000006</v>
      </c>
      <c r="L100" s="1103">
        <v>592.42660150000006</v>
      </c>
      <c r="M100" s="1103">
        <v>721.13285000000008</v>
      </c>
      <c r="N100" s="1103">
        <v>838.53784200000007</v>
      </c>
      <c r="O100" s="1103">
        <v>966.14377249999995</v>
      </c>
      <c r="P100" s="540">
        <f t="shared" si="19"/>
        <v>8845</v>
      </c>
    </row>
    <row r="101" spans="2:32">
      <c r="B101" s="605"/>
      <c r="C101" s="200" t="s">
        <v>280</v>
      </c>
      <c r="D101" s="1103">
        <v>173.86069599999999</v>
      </c>
      <c r="E101" s="1103">
        <v>159.355592</v>
      </c>
      <c r="F101" s="1103">
        <v>163.25689599999998</v>
      </c>
      <c r="G101" s="1103">
        <v>139.24862000000002</v>
      </c>
      <c r="H101" s="1103">
        <v>129.645172</v>
      </c>
      <c r="I101" s="1103">
        <v>120.04189599999999</v>
      </c>
      <c r="J101" s="1103">
        <v>121.54242399999998</v>
      </c>
      <c r="K101" s="1103">
        <v>124.04330399999999</v>
      </c>
      <c r="L101" s="1103">
        <v>119.84186000000001</v>
      </c>
      <c r="M101" s="1103">
        <v>137.247916</v>
      </c>
      <c r="N101" s="1103">
        <v>157.254784</v>
      </c>
      <c r="O101" s="1103">
        <v>174.661012</v>
      </c>
      <c r="P101" s="540">
        <f t="shared" si="19"/>
        <v>1720.000172</v>
      </c>
    </row>
    <row r="102" spans="2:32">
      <c r="B102" s="605">
        <v>362466</v>
      </c>
      <c r="C102" s="200" t="s">
        <v>1658</v>
      </c>
      <c r="D102" s="1103">
        <v>249.1</v>
      </c>
      <c r="E102" s="1103">
        <v>218.30000000000004</v>
      </c>
      <c r="F102" s="1103">
        <v>219.80000000000004</v>
      </c>
      <c r="G102" s="1103">
        <v>208.5</v>
      </c>
      <c r="H102" s="1103">
        <v>194.9</v>
      </c>
      <c r="I102" s="1103">
        <v>175.1</v>
      </c>
      <c r="J102" s="1103">
        <v>185.9</v>
      </c>
      <c r="K102" s="1103">
        <v>197.8</v>
      </c>
      <c r="L102" s="1103">
        <v>201.9</v>
      </c>
      <c r="M102" s="1103">
        <v>232.69999999999996</v>
      </c>
      <c r="N102" s="1103">
        <v>262.5</v>
      </c>
      <c r="O102" s="1103">
        <v>278.8</v>
      </c>
      <c r="P102" s="540">
        <f t="shared" ref="P102:P104" si="21">SUM(D102:O102)</f>
        <v>2625.3</v>
      </c>
    </row>
    <row r="103" spans="2:32">
      <c r="B103" s="605"/>
      <c r="C103" s="200" t="s">
        <v>341</v>
      </c>
      <c r="D103" s="1104">
        <v>190.743954</v>
      </c>
      <c r="E103" s="1104">
        <v>171.039345</v>
      </c>
      <c r="F103" s="1104">
        <v>163.43765430000002</v>
      </c>
      <c r="G103" s="1104">
        <v>135.53122569999999</v>
      </c>
      <c r="H103" s="1104">
        <v>121.72791319999999</v>
      </c>
      <c r="I103" s="1104">
        <v>99.6229625</v>
      </c>
      <c r="J103" s="1104">
        <v>101.22336419999999</v>
      </c>
      <c r="K103" s="1104">
        <v>104.5239862</v>
      </c>
      <c r="L103" s="1104">
        <v>127.72937609999998</v>
      </c>
      <c r="M103" s="1104">
        <v>154.13539550000002</v>
      </c>
      <c r="N103" s="1104">
        <v>172.7397392</v>
      </c>
      <c r="O103" s="1104">
        <v>196.54525799999999</v>
      </c>
      <c r="P103" s="540">
        <f t="shared" si="21"/>
        <v>1739.0001738999999</v>
      </c>
      <c r="T103" s="687"/>
      <c r="U103" s="687"/>
      <c r="V103" s="687"/>
      <c r="W103" s="687"/>
      <c r="X103" s="687"/>
      <c r="Y103" s="687"/>
      <c r="Z103" s="687"/>
      <c r="AA103" s="687"/>
      <c r="AB103" s="687"/>
      <c r="AC103" s="687"/>
      <c r="AD103" s="687"/>
      <c r="AE103" s="687"/>
      <c r="AF103" s="687"/>
    </row>
    <row r="104" spans="2:32">
      <c r="B104" s="605"/>
      <c r="C104" s="200" t="s">
        <v>342</v>
      </c>
      <c r="D104" s="1104">
        <v>410.6</v>
      </c>
      <c r="E104" s="1104">
        <v>352.7</v>
      </c>
      <c r="F104" s="1104">
        <v>341.9</v>
      </c>
      <c r="G104" s="1104">
        <v>280.3</v>
      </c>
      <c r="H104" s="1104">
        <v>239.39999999999998</v>
      </c>
      <c r="I104" s="1104">
        <v>173.9</v>
      </c>
      <c r="J104" s="1104">
        <v>176.4</v>
      </c>
      <c r="K104" s="1104">
        <v>178.6</v>
      </c>
      <c r="L104" s="1104">
        <v>214.6</v>
      </c>
      <c r="M104" s="1104">
        <v>285</v>
      </c>
      <c r="N104" s="1104">
        <v>369.4</v>
      </c>
      <c r="O104" s="1104">
        <v>419.7</v>
      </c>
      <c r="P104" s="540">
        <f t="shared" si="21"/>
        <v>3442.4999999999995</v>
      </c>
      <c r="T104" s="687"/>
      <c r="U104" s="687"/>
      <c r="V104" s="687"/>
      <c r="W104" s="687"/>
      <c r="X104" s="687"/>
      <c r="Y104" s="687"/>
      <c r="Z104" s="687"/>
      <c r="AA104" s="687"/>
      <c r="AB104" s="687"/>
      <c r="AC104" s="687"/>
      <c r="AD104" s="687"/>
      <c r="AE104" s="687"/>
      <c r="AF104" s="687"/>
    </row>
    <row r="105" spans="2:32" ht="13.5" thickBot="1">
      <c r="B105" s="605"/>
      <c r="C105" s="203"/>
      <c r="D105" s="543"/>
      <c r="E105" s="543"/>
      <c r="F105" s="543"/>
      <c r="G105" s="543"/>
      <c r="H105" s="543"/>
      <c r="I105" s="543"/>
      <c r="J105" s="543"/>
      <c r="K105" s="543"/>
      <c r="L105" s="543"/>
      <c r="M105" s="543"/>
      <c r="N105" s="543"/>
      <c r="O105" s="543"/>
      <c r="P105" s="544"/>
      <c r="T105" s="687"/>
      <c r="U105" s="687"/>
      <c r="V105" s="687"/>
      <c r="W105" s="687"/>
      <c r="X105" s="687"/>
      <c r="Y105" s="687"/>
      <c r="Z105" s="687"/>
      <c r="AA105" s="687"/>
      <c r="AB105" s="687"/>
      <c r="AC105" s="687"/>
      <c r="AD105" s="687"/>
      <c r="AE105" s="687"/>
      <c r="AF105" s="687"/>
    </row>
  </sheetData>
  <mergeCells count="2">
    <mergeCell ref="C2:P2"/>
    <mergeCell ref="O3:P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1"/>
  <dimension ref="B2:U96"/>
  <sheetViews>
    <sheetView view="pageBreakPreview" topLeftCell="A7" zoomScale="75" zoomScaleNormal="75" workbookViewId="0">
      <selection activeCell="P61" sqref="P61"/>
    </sheetView>
  </sheetViews>
  <sheetFormatPr defaultColWidth="10.6640625" defaultRowHeight="12.75"/>
  <cols>
    <col min="1" max="1" width="6" style="13" customWidth="1"/>
    <col min="2" max="2" width="10.6640625" style="13"/>
    <col min="3" max="3" width="14.6640625" style="13" customWidth="1"/>
    <col min="4" max="4" width="12.1640625" style="13" customWidth="1"/>
    <col min="5" max="5" width="11.1640625" style="13" customWidth="1"/>
    <col min="6" max="6" width="13.33203125" style="13" bestFit="1" customWidth="1"/>
    <col min="7" max="7" width="12.1640625" style="13" bestFit="1" customWidth="1"/>
    <col min="8" max="8" width="12.5" style="13" customWidth="1"/>
    <col min="9" max="9" width="11.6640625" style="13" customWidth="1"/>
    <col min="10" max="10" width="12.33203125" style="13" customWidth="1"/>
    <col min="11" max="11" width="11.6640625" style="13" customWidth="1"/>
    <col min="12" max="12" width="13.6640625" style="13" customWidth="1"/>
    <col min="13" max="13" width="12.1640625" style="13" customWidth="1"/>
    <col min="14" max="14" width="15.1640625" style="13" customWidth="1"/>
    <col min="15" max="15" width="12.1640625" style="13" customWidth="1"/>
    <col min="16" max="16" width="14" style="13" bestFit="1" customWidth="1"/>
    <col min="17" max="17" width="12" style="13" bestFit="1" customWidth="1"/>
    <col min="18" max="18" width="13.33203125" style="13" customWidth="1"/>
    <col min="19" max="19" width="10.83203125" style="13" customWidth="1"/>
    <col min="20" max="20" width="13.33203125" style="13" bestFit="1" customWidth="1"/>
    <col min="21" max="21" width="12.1640625" style="13" bestFit="1" customWidth="1"/>
    <col min="22" max="16384" width="10.6640625" style="13"/>
  </cols>
  <sheetData>
    <row r="2" spans="3:21" ht="25.5">
      <c r="C2" s="11" t="s">
        <v>100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3:21" ht="22.5">
      <c r="C3" s="14"/>
      <c r="D3" s="15"/>
      <c r="E3" s="15"/>
      <c r="F3" s="15"/>
      <c r="G3" s="15"/>
      <c r="I3" s="16" t="s">
        <v>169</v>
      </c>
      <c r="J3" s="17"/>
      <c r="K3" s="17"/>
      <c r="L3" s="1251" t="s">
        <v>77</v>
      </c>
      <c r="M3" s="1251"/>
      <c r="N3" s="18">
        <f>Январь!N3</f>
        <v>2020</v>
      </c>
      <c r="O3" s="17"/>
      <c r="P3" s="15"/>
      <c r="Q3" s="15"/>
      <c r="R3" s="15"/>
      <c r="S3" s="15"/>
      <c r="T3" s="15"/>
    </row>
    <row r="4" spans="3:21" ht="20.25">
      <c r="C4" s="19"/>
      <c r="I4" s="1252" t="s">
        <v>147</v>
      </c>
      <c r="J4" s="1252"/>
      <c r="K4" s="1252"/>
      <c r="L4" s="1252"/>
      <c r="M4" s="1252"/>
      <c r="N4" s="1252"/>
      <c r="O4" s="20"/>
    </row>
    <row r="5" spans="3:21" ht="14.25" customHeight="1">
      <c r="C5" s="32" t="s">
        <v>104</v>
      </c>
      <c r="D5" s="33"/>
      <c r="F5" s="21"/>
      <c r="G5" s="22"/>
      <c r="I5" s="23"/>
      <c r="K5" s="24"/>
      <c r="L5" s="25"/>
      <c r="M5" s="25"/>
      <c r="N5" s="26"/>
      <c r="O5" s="20"/>
    </row>
    <row r="6" spans="3:21" ht="14.25" customHeight="1">
      <c r="C6" s="36" t="s">
        <v>29</v>
      </c>
      <c r="D6" s="37">
        <f>'корпоративный баланс энергии'!V849</f>
        <v>8176.2462527416992</v>
      </c>
      <c r="F6" s="21"/>
      <c r="G6" s="22"/>
      <c r="I6" s="23"/>
      <c r="K6" s="24"/>
      <c r="L6" s="25"/>
      <c r="M6" s="25"/>
      <c r="N6" s="26"/>
      <c r="O6" s="20"/>
    </row>
    <row r="7" spans="3:21" ht="14.25" customHeight="1">
      <c r="C7" s="36" t="s">
        <v>107</v>
      </c>
      <c r="D7" s="37">
        <f>'корпоративный баланс энергии'!X849</f>
        <v>7289.7409179800579</v>
      </c>
      <c r="F7" s="21"/>
      <c r="G7" s="22"/>
      <c r="I7" s="23"/>
      <c r="K7" s="24"/>
      <c r="L7" s="25"/>
      <c r="M7" s="25"/>
      <c r="N7" s="26"/>
      <c r="O7" s="20"/>
    </row>
    <row r="8" spans="3:21" ht="14.25" customHeight="1">
      <c r="C8" s="36" t="s">
        <v>108</v>
      </c>
      <c r="D8" s="40">
        <f>D7-D6</f>
        <v>-886.50533476164128</v>
      </c>
      <c r="F8" s="21"/>
      <c r="G8" s="22"/>
      <c r="I8" s="23"/>
      <c r="K8" s="24"/>
      <c r="L8" s="25"/>
      <c r="M8" s="25"/>
      <c r="N8" s="26"/>
      <c r="O8" s="20"/>
    </row>
    <row r="9" spans="3:21" ht="14.25" customHeight="1">
      <c r="C9" s="41" t="s">
        <v>109</v>
      </c>
      <c r="D9" s="40">
        <f>-D8-G11-I11-J13-J15+F16-E18-F30-G27+K20</f>
        <v>5.3347616412793286E-3</v>
      </c>
      <c r="F9" s="21"/>
      <c r="G9" s="22"/>
      <c r="I9" s="23"/>
      <c r="K9" s="24"/>
      <c r="L9" s="25"/>
      <c r="M9" s="25"/>
      <c r="N9" s="26"/>
      <c r="O9" s="20"/>
    </row>
    <row r="10" spans="3:21" ht="14.25" customHeight="1">
      <c r="C10" s="19"/>
      <c r="F10" s="21"/>
      <c r="G10" s="22" t="s">
        <v>101</v>
      </c>
      <c r="I10" s="158" t="s">
        <v>243</v>
      </c>
      <c r="K10" s="24"/>
      <c r="L10" s="25"/>
      <c r="M10" s="25"/>
      <c r="N10" s="26"/>
      <c r="O10" s="20"/>
    </row>
    <row r="11" spans="3:21" ht="15.75" customHeight="1">
      <c r="C11" s="19"/>
      <c r="F11" s="21"/>
      <c r="G11" s="69">
        <f>-('корпоративный баланс энергии'!W23+'корпоративный баланс энергии'!W59)</f>
        <v>405</v>
      </c>
      <c r="I11" s="27">
        <f>-'корпоративный баланс энергии'!W24</f>
        <v>20</v>
      </c>
      <c r="K11" s="24"/>
      <c r="L11" s="25"/>
      <c r="M11" s="25"/>
      <c r="N11" s="26"/>
      <c r="O11" s="20"/>
    </row>
    <row r="12" spans="3:21" ht="15.75" customHeight="1">
      <c r="C12" s="19"/>
      <c r="F12" s="21"/>
      <c r="J12" s="158" t="s">
        <v>244</v>
      </c>
      <c r="K12" s="15"/>
      <c r="L12" s="25"/>
      <c r="M12" s="25"/>
      <c r="N12" s="26"/>
      <c r="O12" s="29" t="s">
        <v>102</v>
      </c>
      <c r="R12" s="30">
        <f>SUM(D6,H34,D60,K34,N34,Q34,T34)</f>
        <v>82706.176184333133</v>
      </c>
    </row>
    <row r="13" spans="3:21" ht="15" customHeight="1">
      <c r="C13" s="19"/>
      <c r="D13" s="1253" t="s">
        <v>103</v>
      </c>
      <c r="E13" s="1253"/>
      <c r="F13" s="21"/>
      <c r="J13" s="27">
        <f>-'корпоративный баланс энергии'!W25</f>
        <v>40</v>
      </c>
      <c r="K13" s="15"/>
      <c r="L13" s="34"/>
      <c r="M13" s="25"/>
      <c r="N13" s="26"/>
      <c r="O13" s="29" t="s">
        <v>105</v>
      </c>
      <c r="R13" s="30">
        <f>SUM(D7,H35,D61,K35,N35,Q35,T35)</f>
        <v>81902.665072341231</v>
      </c>
    </row>
    <row r="14" spans="3:21" ht="15.75" customHeight="1">
      <c r="C14" s="19"/>
      <c r="E14" s="35">
        <f>-('корпоративный баланс энергии'!W30+'корпоративный баланс энергии'!W31+'корпоративный баланс энергии'!W32+'корпоративный баланс энергии'!W33+'корпоративный баланс энергии'!W61+'корпоративный баланс энергии'!W62+'корпоративный баланс энергии'!W63)</f>
        <v>150</v>
      </c>
      <c r="F14" s="21"/>
      <c r="J14" s="158" t="s">
        <v>245</v>
      </c>
      <c r="K14" s="24"/>
      <c r="L14" s="25"/>
      <c r="M14" s="25"/>
      <c r="N14" s="26"/>
      <c r="O14" s="29" t="s">
        <v>106</v>
      </c>
      <c r="R14" s="30">
        <f>SUM(D8,H36,D62,K36,N36,Q36,T36)</f>
        <v>-803.51111199189381</v>
      </c>
      <c r="S14" s="24"/>
      <c r="T14" s="161">
        <f>-G11-I11-J13-J15+F16-E18-F30-F36-E45-F54-F61-I60-J47-L47-M47-N47+P47-R47-T47-F48</f>
        <v>-803.5</v>
      </c>
      <c r="U14" s="161">
        <f>R13-R12</f>
        <v>-803.511111991902</v>
      </c>
    </row>
    <row r="15" spans="3:21">
      <c r="D15" s="41" t="s">
        <v>109</v>
      </c>
      <c r="E15" s="591">
        <f>-E14+D29+E18-F16</f>
        <v>0</v>
      </c>
      <c r="J15" s="27">
        <f>-'корпоративный баланс энергии'!W26</f>
        <v>1.5</v>
      </c>
      <c r="O15" s="38"/>
      <c r="P15" s="24"/>
      <c r="Q15" s="24"/>
      <c r="R15" s="38"/>
    </row>
    <row r="16" spans="3:21">
      <c r="F16" s="69">
        <f>'корпоративный баланс энергии'!W30+'корпоративный баланс энергии'!W31+'корпоративный баланс энергии'!W32+'корпоративный баланс энергии'!W62+'корпоративный баланс энергии'!W63</f>
        <v>0</v>
      </c>
      <c r="O16" s="38"/>
      <c r="P16" s="24"/>
      <c r="Q16" s="24"/>
      <c r="R16" s="38"/>
    </row>
    <row r="17" spans="4:21" ht="13.5" thickBot="1">
      <c r="O17" s="38"/>
      <c r="P17" s="24"/>
      <c r="Q17" s="24"/>
      <c r="R17" s="38"/>
    </row>
    <row r="18" spans="4:21" ht="15">
      <c r="E18" s="210">
        <f>-('корпоративный баланс энергии'!W33+'корпоративный баланс энергии'!W61)</f>
        <v>150</v>
      </c>
      <c r="P18" s="863" t="s">
        <v>113</v>
      </c>
      <c r="Q18" s="864"/>
      <c r="R18" s="864"/>
      <c r="S18" s="864"/>
      <c r="T18" s="865"/>
      <c r="U18" s="866">
        <f>-O60</f>
        <v>365</v>
      </c>
    </row>
    <row r="19" spans="4:21" ht="14.25">
      <c r="F19" s="43"/>
      <c r="G19" s="1258" t="s">
        <v>110</v>
      </c>
      <c r="H19" s="1258"/>
      <c r="P19" s="867" t="s">
        <v>1070</v>
      </c>
      <c r="Q19" s="868"/>
      <c r="R19" s="868"/>
      <c r="S19" s="868"/>
      <c r="T19" s="869"/>
      <c r="U19" s="870">
        <f>SUM(U20:U21)</f>
        <v>39.997672345097271</v>
      </c>
    </row>
    <row r="20" spans="4:21" ht="15">
      <c r="D20" s="24"/>
      <c r="E20" s="1257" t="s">
        <v>111</v>
      </c>
      <c r="F20" s="1257"/>
      <c r="G20" s="1258" t="s">
        <v>112</v>
      </c>
      <c r="H20" s="1258"/>
      <c r="K20" s="1032">
        <v>5</v>
      </c>
      <c r="P20" s="871" t="s">
        <v>115</v>
      </c>
      <c r="Q20" s="868" t="s">
        <v>507</v>
      </c>
      <c r="R20" s="868"/>
      <c r="S20" s="868"/>
      <c r="T20" s="869"/>
      <c r="U20" s="870">
        <f>-N47</f>
        <v>-30.002327654902729</v>
      </c>
    </row>
    <row r="21" spans="4:21" ht="13.5" thickBot="1">
      <c r="F21" s="44"/>
      <c r="G21" s="36" t="s">
        <v>29</v>
      </c>
      <c r="H21" s="45">
        <f>D6-F22</f>
        <v>7702.9602527416992</v>
      </c>
      <c r="P21" s="872"/>
      <c r="Q21" s="873" t="s">
        <v>116</v>
      </c>
      <c r="R21" s="873"/>
      <c r="S21" s="873"/>
      <c r="T21" s="874"/>
      <c r="U21" s="875">
        <f>-M47</f>
        <v>70</v>
      </c>
    </row>
    <row r="22" spans="4:21" ht="15" thickBot="1">
      <c r="E22" s="36" t="s">
        <v>29</v>
      </c>
      <c r="F22" s="37">
        <f>'корпоративный баланс энергии'!V865</f>
        <v>473.28599999999994</v>
      </c>
      <c r="G22" s="36" t="s">
        <v>107</v>
      </c>
      <c r="H22" s="45">
        <f>D7-F23</f>
        <v>6966.4589179800578</v>
      </c>
      <c r="P22" s="860" t="s">
        <v>1068</v>
      </c>
      <c r="Q22" s="861"/>
      <c r="R22" s="861"/>
      <c r="S22" s="861"/>
      <c r="T22" s="861"/>
      <c r="U22" s="862">
        <f>'корпоративный баланс энергии'!W74</f>
        <v>80</v>
      </c>
    </row>
    <row r="23" spans="4:21" ht="15" thickBot="1">
      <c r="E23" s="36" t="s">
        <v>107</v>
      </c>
      <c r="F23" s="37">
        <f>'корпоративный баланс энергии'!X865</f>
        <v>323.28200000000004</v>
      </c>
      <c r="G23" s="36" t="s">
        <v>108</v>
      </c>
      <c r="H23" s="40">
        <f>H22-H21</f>
        <v>-736.50133476164137</v>
      </c>
      <c r="P23" s="858" t="s">
        <v>1071</v>
      </c>
      <c r="Q23" s="876"/>
      <c r="R23" s="876"/>
      <c r="S23" s="876"/>
      <c r="T23" s="859"/>
      <c r="U23" s="875">
        <f>MIN(ABS(N48),ABS(P48))</f>
        <v>30</v>
      </c>
    </row>
    <row r="24" spans="4:21" ht="15" thickBot="1">
      <c r="E24" s="36" t="s">
        <v>108</v>
      </c>
      <c r="F24" s="46">
        <f>F23-F22</f>
        <v>-150.00399999999991</v>
      </c>
      <c r="G24" s="41" t="s">
        <v>109</v>
      </c>
      <c r="H24" s="40">
        <f>-H23+F16+K20-G11-I11-J13-J15-G27-F30</f>
        <v>1.3347616413739161E-3</v>
      </c>
      <c r="P24" s="877" t="s">
        <v>1072</v>
      </c>
      <c r="Q24" s="873"/>
      <c r="R24" s="873"/>
      <c r="S24" s="873"/>
      <c r="T24" s="874"/>
      <c r="U24" s="875">
        <f>MIN(ABS('корпоративный баланс энергии'!W54),ABS('корпоративный баланс энергии'!W80))</f>
        <v>0</v>
      </c>
    </row>
    <row r="25" spans="4:21" ht="15" thickBot="1">
      <c r="E25" s="41" t="s">
        <v>109</v>
      </c>
      <c r="F25" s="46">
        <f>-F24-E18</f>
        <v>3.9999999999054126E-3</v>
      </c>
      <c r="K25" s="1024">
        <v>100</v>
      </c>
      <c r="P25" s="878" t="s">
        <v>1073</v>
      </c>
      <c r="Q25" s="879"/>
      <c r="R25" s="879"/>
      <c r="S25" s="879"/>
      <c r="T25" s="880"/>
      <c r="U25" s="881">
        <f>ABS(U23)+ABS(U24)</f>
        <v>30</v>
      </c>
    </row>
    <row r="26" spans="4:21" ht="15" thickBot="1">
      <c r="P26" s="877" t="s">
        <v>1257</v>
      </c>
      <c r="Q26" s="873"/>
      <c r="R26" s="873"/>
      <c r="S26" s="873"/>
      <c r="T26" s="874"/>
      <c r="U26" s="875">
        <f>'корпоративный баланс энергии'!W79</f>
        <v>6</v>
      </c>
    </row>
    <row r="27" spans="4:21" ht="15" thickBot="1">
      <c r="G27" s="1159">
        <v>300</v>
      </c>
      <c r="N27" s="86"/>
      <c r="P27" s="884" t="s">
        <v>1074</v>
      </c>
      <c r="Q27" s="885"/>
      <c r="R27" s="885"/>
      <c r="S27" s="885"/>
      <c r="T27" s="886"/>
      <c r="U27" s="887">
        <f>U22+U25+U26</f>
        <v>116</v>
      </c>
    </row>
    <row r="28" spans="4:21" ht="18.75">
      <c r="N28" s="87"/>
      <c r="S28" s="48"/>
      <c r="T28" s="48"/>
      <c r="U28" s="48"/>
    </row>
    <row r="29" spans="4:21">
      <c r="D29" s="600">
        <v>0</v>
      </c>
      <c r="R29" s="52"/>
    </row>
    <row r="30" spans="4:21" ht="9" customHeight="1">
      <c r="F30" s="69">
        <f>-('корпоративный баланс энергии'!W34+'корпоративный баланс энергии'!W64)</f>
        <v>-25</v>
      </c>
    </row>
    <row r="31" spans="4:21" ht="15">
      <c r="G31" s="21" t="s">
        <v>117</v>
      </c>
      <c r="J31" s="28" t="s">
        <v>118</v>
      </c>
      <c r="K31" s="15"/>
      <c r="M31" s="21" t="s">
        <v>117</v>
      </c>
      <c r="P31" s="21" t="s">
        <v>117</v>
      </c>
      <c r="Q31" s="53"/>
      <c r="S31" s="21" t="s">
        <v>117</v>
      </c>
    </row>
    <row r="32" spans="4:21" ht="15">
      <c r="G32" s="28" t="s">
        <v>119</v>
      </c>
      <c r="H32" s="15"/>
      <c r="J32" s="28" t="s">
        <v>120</v>
      </c>
      <c r="K32" s="15"/>
      <c r="M32" s="28" t="s">
        <v>121</v>
      </c>
      <c r="N32" s="15"/>
      <c r="P32" s="28" t="s">
        <v>122</v>
      </c>
      <c r="Q32" s="54"/>
      <c r="S32" s="28" t="s">
        <v>123</v>
      </c>
      <c r="T32" s="15"/>
    </row>
    <row r="33" spans="3:20" ht="14.25">
      <c r="C33" s="21" t="s">
        <v>124</v>
      </c>
    </row>
    <row r="34" spans="3:20" ht="14.25">
      <c r="D34" s="21" t="s">
        <v>125</v>
      </c>
      <c r="G34" s="36" t="s">
        <v>29</v>
      </c>
      <c r="H34" s="37">
        <f>'корпоративный баланс энергии'!V82</f>
        <v>16648.624470357398</v>
      </c>
      <c r="J34" s="36" t="s">
        <v>29</v>
      </c>
      <c r="K34" s="37">
        <f>'корпоративный баланс энергии'!V370</f>
        <v>8789.7674252890556</v>
      </c>
      <c r="M34" s="36" t="s">
        <v>29</v>
      </c>
      <c r="N34" s="37">
        <f>'корпоративный баланс энергии'!V538</f>
        <v>21050.815711122545</v>
      </c>
      <c r="P34" s="36" t="s">
        <v>29</v>
      </c>
      <c r="Q34" s="37">
        <f>'корпоративный баланс энергии'!V1454</f>
        <v>16284.685215230935</v>
      </c>
      <c r="S34" s="36" t="s">
        <v>29</v>
      </c>
      <c r="T34" s="37">
        <f>'корпоративный баланс энергии'!V1674</f>
        <v>3236.0200000000004</v>
      </c>
    </row>
    <row r="35" spans="3:20">
      <c r="E35" s="55">
        <f>-('корпоративный баланс энергии'!W34+'корпоративный баланс энергии'!W35+'корпоративный баланс энергии'!W36+'корпоративный баланс энергии'!W65)</f>
        <v>50</v>
      </c>
      <c r="G35" s="36" t="s">
        <v>107</v>
      </c>
      <c r="H35" s="37">
        <f>'корпоративный баланс энергии'!X82</f>
        <v>18228.629161916928</v>
      </c>
      <c r="J35" s="36" t="s">
        <v>107</v>
      </c>
      <c r="K35" s="37">
        <f>'корпоративный баланс энергии'!X370</f>
        <v>8285.7635077813775</v>
      </c>
      <c r="M35" s="36" t="s">
        <v>107</v>
      </c>
      <c r="N35" s="37">
        <f>'корпоративный баланс энергии'!X538</f>
        <v>20985.806963452222</v>
      </c>
      <c r="P35" s="36" t="s">
        <v>107</v>
      </c>
      <c r="Q35" s="37">
        <f>'корпоративный баланс энергии'!X1454</f>
        <v>16706.006563685838</v>
      </c>
      <c r="S35" s="36" t="s">
        <v>107</v>
      </c>
      <c r="T35" s="37">
        <f>'корпоративный баланс энергии'!X1674</f>
        <v>2931.7009791999999</v>
      </c>
    </row>
    <row r="36" spans="3:20">
      <c r="C36" s="599">
        <v>0</v>
      </c>
      <c r="D36" s="41" t="s">
        <v>109</v>
      </c>
      <c r="E36" s="591">
        <f>-E35-D29+F30+F36-C36</f>
        <v>-25</v>
      </c>
      <c r="F36" s="69">
        <f>-('корпоративный баланс энергии'!W35+'корпоративный баланс энергии'!W36+'корпоративный баланс энергии'!W65)</f>
        <v>50</v>
      </c>
      <c r="G36" s="36" t="s">
        <v>108</v>
      </c>
      <c r="H36" s="46">
        <f>H35-H34</f>
        <v>1580.0046915595303</v>
      </c>
      <c r="I36" s="1030">
        <v>-350</v>
      </c>
      <c r="J36" s="56" t="s">
        <v>108</v>
      </c>
      <c r="K36" s="46">
        <f>K35-K34</f>
        <v>-504.00391750767812</v>
      </c>
      <c r="L36" s="1160">
        <v>100</v>
      </c>
      <c r="M36" s="56" t="s">
        <v>108</v>
      </c>
      <c r="N36" s="57">
        <f>N35-N34</f>
        <v>-65.008747670322919</v>
      </c>
      <c r="O36" s="1162">
        <v>100</v>
      </c>
      <c r="P36" s="56" t="s">
        <v>108</v>
      </c>
      <c r="Q36" s="46">
        <f>Q35-Q34</f>
        <v>421.32134845490327</v>
      </c>
      <c r="R36" s="58">
        <f>T34-T35-T47</f>
        <v>24.319020800000544</v>
      </c>
      <c r="S36" s="56" t="s">
        <v>108</v>
      </c>
      <c r="T36" s="46">
        <f>T35-T34</f>
        <v>-304.31902080000054</v>
      </c>
    </row>
    <row r="37" spans="3:20">
      <c r="G37" s="41" t="s">
        <v>109</v>
      </c>
      <c r="H37" s="46">
        <f>-H36-F36+G27+K25-I36-E45-G40</f>
        <v>-4.6915595303289592E-3</v>
      </c>
      <c r="J37" s="41" t="s">
        <v>109</v>
      </c>
      <c r="K37" s="46">
        <f>-K36+I36-L36-L47-I42</f>
        <v>3.9175076781248208E-3</v>
      </c>
      <c r="L37" s="44"/>
      <c r="M37" s="41" t="s">
        <v>109</v>
      </c>
      <c r="N37" s="57">
        <f>-N36+L36-O36-K20-K25-M47-N47</f>
        <v>6.420015420189884E-3</v>
      </c>
      <c r="P37" s="41" t="s">
        <v>109</v>
      </c>
      <c r="Q37" s="40">
        <f>-Q36+O36+R36-R47+P47</f>
        <v>0</v>
      </c>
      <c r="R37" s="44"/>
      <c r="S37" s="41" t="s">
        <v>109</v>
      </c>
      <c r="T37" s="40">
        <f>-T36-R36-T47</f>
        <v>0</v>
      </c>
    </row>
    <row r="39" spans="3:20" ht="15">
      <c r="H39" s="160" t="s">
        <v>126</v>
      </c>
      <c r="N39" s="59"/>
      <c r="O39" s="24"/>
    </row>
    <row r="40" spans="3:20">
      <c r="G40" s="1161">
        <v>-890</v>
      </c>
      <c r="H40" s="160" t="s">
        <v>127</v>
      </c>
      <c r="N40" s="60"/>
      <c r="O40" s="61"/>
    </row>
    <row r="41" spans="3:20" ht="15" customHeight="1">
      <c r="I41" s="160" t="s">
        <v>128</v>
      </c>
      <c r="N41" s="62"/>
      <c r="O41" s="61"/>
    </row>
    <row r="42" spans="3:20">
      <c r="G42" s="1259" t="s">
        <v>129</v>
      </c>
      <c r="H42" s="1259"/>
      <c r="I42" s="1161">
        <v>50</v>
      </c>
    </row>
    <row r="43" spans="3:20">
      <c r="G43" s="1262" t="s">
        <v>130</v>
      </c>
      <c r="H43" s="1262"/>
    </row>
    <row r="44" spans="3:20">
      <c r="E44" s="44"/>
      <c r="G44" s="36" t="s">
        <v>29</v>
      </c>
      <c r="H44" s="37">
        <f>'корпоративный баланс энергии'!V1122+'корпоративный баланс энергии'!V1089</f>
        <v>2033.016875</v>
      </c>
      <c r="M44" s="160" t="s">
        <v>251</v>
      </c>
      <c r="N44" s="64"/>
      <c r="O44" s="160" t="s">
        <v>248</v>
      </c>
    </row>
    <row r="45" spans="3:20">
      <c r="E45" s="69">
        <f>-('корпоративный баланс энергии'!W37+'корпоративный баланс энергии'!W38+'корпоративный баланс энергии'!W39+'корпоративный баланс энергии'!W66+'корпоративный баланс энергии'!W67+'корпоративный баланс энергии'!W68)</f>
        <v>10</v>
      </c>
      <c r="G45" s="36" t="s">
        <v>107</v>
      </c>
      <c r="H45" s="37">
        <f>'корпоративный баланс энергии'!X1122+'корпоративный баланс энергии'!X1089</f>
        <v>1556.0182323997537</v>
      </c>
      <c r="M45" s="160" t="s">
        <v>336</v>
      </c>
      <c r="O45" s="160" t="s">
        <v>249</v>
      </c>
    </row>
    <row r="46" spans="3:20" ht="14.25">
      <c r="G46" s="36" t="s">
        <v>108</v>
      </c>
      <c r="H46" s="46">
        <f>H45-H44</f>
        <v>-476.99864260024628</v>
      </c>
      <c r="J46" s="160" t="s">
        <v>131</v>
      </c>
      <c r="O46" s="160" t="s">
        <v>250</v>
      </c>
      <c r="R46" s="65" t="s">
        <v>132</v>
      </c>
      <c r="T46" s="21" t="s">
        <v>133</v>
      </c>
    </row>
    <row r="47" spans="3:20">
      <c r="F47" s="29"/>
      <c r="G47" s="41" t="s">
        <v>109</v>
      </c>
      <c r="H47" s="46">
        <f>-H46+G40+I42-J47-F48-G49</f>
        <v>-1.3573997537150717E-3</v>
      </c>
      <c r="J47" s="69">
        <f>-('корпоративный баланс энергии'!W49+'корпоративный баланс энергии'!W50)</f>
        <v>7</v>
      </c>
      <c r="L47" s="69">
        <f>-('корпоративный баланс энергии'!W46+'корпоративный баланс энергии'!W47+'корпоративный баланс энергии'!W74)</f>
        <v>4</v>
      </c>
      <c r="M47" s="66">
        <f>-('корпоративный баланс энергии'!W48+'корпоративный баланс энергии'!W75)</f>
        <v>-70</v>
      </c>
      <c r="N47" s="42">
        <f>P62+P47</f>
        <v>30.002327654902729</v>
      </c>
      <c r="O47" s="1177">
        <f>-'корпоративный баланс энергии'!X53</f>
        <v>14</v>
      </c>
      <c r="P47" s="42">
        <f>Q36-O36-R36+R47</f>
        <v>336.00232765490273</v>
      </c>
      <c r="R47" s="27">
        <f>-('корпоративный баланс энергии'!W27+'корпоративный баланс энергии'!W28+'корпоративный баланс энергии'!W60)</f>
        <v>39</v>
      </c>
      <c r="T47" s="27">
        <f>-'корпоративный баланс энергии'!W29</f>
        <v>280</v>
      </c>
    </row>
    <row r="48" spans="3:20">
      <c r="F48" s="51">
        <f>-('корпоративный баланс энергии'!W40)</f>
        <v>0</v>
      </c>
      <c r="N48" s="584">
        <f>-('корпоративный баланс энергии'!W51+'корпоративный баланс энергии'!W52+'корпоративный баланс энергии'!W76+'корпоративный баланс энергии'!W77)</f>
        <v>30</v>
      </c>
      <c r="P48" s="584">
        <f>'корпоративный баланс энергии'!W53+'корпоративный баланс энергии'!W54+'корпоративный баланс энергии'!W55+'корпоративный баланс энергии'!W56+'корпоративный баланс энергии'!W78+'корпоративный баланс энергии'!W79+'корпоративный баланс энергии'!W80</f>
        <v>336</v>
      </c>
    </row>
    <row r="49" spans="2:19" ht="15.75">
      <c r="C49" s="22" t="s">
        <v>134</v>
      </c>
      <c r="F49" s="160" t="s">
        <v>135</v>
      </c>
      <c r="G49" s="1163">
        <v>-370</v>
      </c>
      <c r="H49" s="160" t="s">
        <v>136</v>
      </c>
      <c r="P49" s="13" t="s">
        <v>90</v>
      </c>
    </row>
    <row r="50" spans="2:19">
      <c r="D50" s="68" t="s">
        <v>137</v>
      </c>
      <c r="H50" s="160" t="s">
        <v>138</v>
      </c>
    </row>
    <row r="51" spans="2:19">
      <c r="E51" s="55">
        <f>-('корпоративный баланс энергии'!W37+'корпоративный баланс энергии'!W38+'корпоративный баланс энергии'!W39+'корпоративный баланс энергии'!W40+'корпоративный баланс энергии'!W41+'корпоративный баланс энергии'!W66+'корпоративный баланс энергии'!W67+'корпоративный баланс энергии'!W68+'корпоративный баланс энергии'!W69+'корпоративный баланс энергии'!W70)</f>
        <v>190</v>
      </c>
      <c r="H51" s="160" t="s">
        <v>508</v>
      </c>
    </row>
    <row r="52" spans="2:19" ht="14.25">
      <c r="C52" s="599">
        <v>0</v>
      </c>
      <c r="D52" s="41" t="s">
        <v>109</v>
      </c>
      <c r="E52" s="591">
        <f>-E51+E45+F48+F54-E54-C52</f>
        <v>0</v>
      </c>
      <c r="G52" s="28"/>
      <c r="H52" s="15"/>
      <c r="O52" s="70"/>
    </row>
    <row r="53" spans="2:19" ht="15">
      <c r="B53" s="581" t="s">
        <v>513</v>
      </c>
      <c r="G53" s="28" t="s">
        <v>890</v>
      </c>
      <c r="H53" s="15"/>
      <c r="I53" s="59"/>
      <c r="J53" s="24"/>
    </row>
    <row r="54" spans="2:19">
      <c r="B54" s="36" t="s">
        <v>29</v>
      </c>
      <c r="C54" s="157">
        <f>'корпоративный баланс энергии'!V1390</f>
        <v>386.71025196009998</v>
      </c>
      <c r="E54" s="51">
        <f>'корпоративный баланс энергии'!W70</f>
        <v>0</v>
      </c>
      <c r="F54" s="69">
        <f>-('корпоративный баланс энергии'!W41+'корпоративный баланс энергии'!W69)</f>
        <v>180</v>
      </c>
      <c r="G54" s="1262" t="s">
        <v>889</v>
      </c>
      <c r="H54" s="1262"/>
      <c r="I54" s="60"/>
      <c r="J54" s="61"/>
      <c r="M54" s="44"/>
    </row>
    <row r="55" spans="2:19" ht="18.75">
      <c r="B55" s="36" t="s">
        <v>107</v>
      </c>
      <c r="C55" s="157">
        <f>'корпоративный баланс энергии'!X1390</f>
        <v>567.81248528702304</v>
      </c>
      <c r="G55" s="36" t="s">
        <v>29</v>
      </c>
      <c r="H55" s="37">
        <f>D60-C54-H44</f>
        <v>6100.2899826313915</v>
      </c>
      <c r="I55" s="62"/>
      <c r="J55" s="61"/>
      <c r="M55" s="221">
        <f>J47+L47+M47</f>
        <v>-59</v>
      </c>
    </row>
    <row r="56" spans="2:19">
      <c r="B56" s="36" t="s">
        <v>108</v>
      </c>
      <c r="C56" s="40">
        <f>C55-C54</f>
        <v>181.10223332692306</v>
      </c>
      <c r="D56" s="582" t="s">
        <v>511</v>
      </c>
      <c r="E56" s="210">
        <f>'корпоративный баланс энергии'!W1390</f>
        <v>181.10223332692306</v>
      </c>
      <c r="G56" s="36" t="s">
        <v>107</v>
      </c>
      <c r="H56" s="37">
        <f>D61-C55-H45</f>
        <v>5351.1862606380309</v>
      </c>
      <c r="I56" s="75"/>
      <c r="L56" s="29" t="s">
        <v>139</v>
      </c>
      <c r="M56" s="51">
        <f>-('корпоративный баланс энергии'!W46+'корпоративный баланс энергии'!W47+'корпоративный баланс энергии'!W48+'корпоративный баланс энергии'!W49+'корпоративный баланс энергии'!W50+'корпоративный баланс энергии'!W74+'корпоративный баланс энергии'!W75)</f>
        <v>-59</v>
      </c>
    </row>
    <row r="57" spans="2:19">
      <c r="B57" s="41" t="s">
        <v>109</v>
      </c>
      <c r="C57" s="40">
        <f>-C56+E54+E56</f>
        <v>0</v>
      </c>
      <c r="D57" s="583" t="s">
        <v>512</v>
      </c>
      <c r="G57" s="36" t="s">
        <v>108</v>
      </c>
      <c r="H57" s="46">
        <f>H56-H55</f>
        <v>-749.10372199336052</v>
      </c>
      <c r="J57" s="76"/>
      <c r="L57" s="29" t="s">
        <v>140</v>
      </c>
      <c r="P57" s="77"/>
    </row>
    <row r="58" spans="2:19" ht="20.25" customHeight="1">
      <c r="G58" s="41" t="s">
        <v>109</v>
      </c>
      <c r="H58" s="78">
        <f>-H57-F54-E56+G49-I60-F61</f>
        <v>1.4886664374671454E-3</v>
      </c>
      <c r="I58" s="29"/>
      <c r="M58" s="79" t="s">
        <v>141</v>
      </c>
    </row>
    <row r="59" spans="2:19" ht="14.25">
      <c r="C59" s="32" t="s">
        <v>246</v>
      </c>
      <c r="D59" s="33"/>
    </row>
    <row r="60" spans="2:19">
      <c r="C60" s="36" t="s">
        <v>29</v>
      </c>
      <c r="D60" s="157">
        <f>'корпоративный баланс энергии'!V1082</f>
        <v>8520.017109591492</v>
      </c>
      <c r="I60" s="80">
        <f>I65</f>
        <v>-5</v>
      </c>
      <c r="L60" s="81" t="s">
        <v>337</v>
      </c>
      <c r="M60" s="81"/>
      <c r="N60" s="81"/>
      <c r="O60" s="82">
        <f>J47+L47+M47+N47-P47</f>
        <v>-365</v>
      </c>
      <c r="P60" s="69">
        <f>-('корпоративный баланс энергии'!W46+'корпоративный баланс энергии'!W47+'корпоративный баланс энергии'!W48+'корпоративный баланс энергии'!W49+'корпоративный баланс энергии'!W50+'корпоративный баланс энергии'!W51+'корпоративный баланс энергии'!W52+'корпоративный баланс энергии'!W53+'корпоративный баланс энергии'!W54+'корпоративный баланс энергии'!W55+'корпоративный баланс энергии'!W56+'корпоративный баланс энергии'!W74+'корпоративный баланс энергии'!W75+'корпоративный баланс энергии'!W76+'корпоративный баланс энергии'!W77+'корпоративный баланс энергии'!W78+'корпоративный баланс энергии'!W79+'корпоративный баланс энергии'!W80)</f>
        <v>-365</v>
      </c>
      <c r="S60" s="161">
        <f>M56+P62</f>
        <v>-365</v>
      </c>
    </row>
    <row r="61" spans="2:19">
      <c r="C61" s="36" t="s">
        <v>107</v>
      </c>
      <c r="D61" s="157">
        <f>'корпоративный баланс энергии'!X1082</f>
        <v>7475.0169783248075</v>
      </c>
      <c r="F61" s="80">
        <f>F65</f>
        <v>23</v>
      </c>
      <c r="H61" s="75"/>
      <c r="N61" s="83"/>
    </row>
    <row r="62" spans="2:19" ht="14.25">
      <c r="C62" s="36" t="s">
        <v>108</v>
      </c>
      <c r="D62" s="40">
        <f>D61-D60</f>
        <v>-1045.0001312666845</v>
      </c>
      <c r="E62" s="21"/>
      <c r="L62" s="209" t="s">
        <v>338</v>
      </c>
      <c r="N62" s="83"/>
      <c r="P62" s="69">
        <f>-('корпоративный баланс энергии'!W51+'корпоративный баланс энергии'!W52+'корпоративный баланс энергии'!W53+'корпоративный баланс энергии'!W54+'корпоративный баланс энергии'!W55+'корпоративный баланс энергии'!W56+'корпоративный баланс энергии'!W76+'корпоративный баланс энергии'!W77+'корпоративный баланс энергии'!W78+'корпоративный баланс энергии'!W79+'корпоративный баланс энергии'!W80)</f>
        <v>-306</v>
      </c>
      <c r="S62" s="161">
        <f>-(P47-N47)</f>
        <v>-306</v>
      </c>
    </row>
    <row r="63" spans="2:19">
      <c r="C63" s="41" t="s">
        <v>109</v>
      </c>
      <c r="D63" s="40">
        <f>-D62+G40+I42-J47-I60-F61-F54-F48</f>
        <v>1.312666845478816E-4</v>
      </c>
      <c r="K63" s="84"/>
      <c r="N63" s="13" t="s">
        <v>75</v>
      </c>
      <c r="O63" s="83" t="s">
        <v>142</v>
      </c>
    </row>
    <row r="64" spans="2:19">
      <c r="F64" s="162" t="s">
        <v>143</v>
      </c>
      <c r="I64" s="31" t="s">
        <v>144</v>
      </c>
      <c r="N64" s="13" t="s">
        <v>145</v>
      </c>
      <c r="O64" s="83" t="s">
        <v>146</v>
      </c>
    </row>
    <row r="65" spans="6:20">
      <c r="F65" s="85">
        <f>-('корпоративный баланс энергии'!W42+'корпоративный баланс энергии'!W44+'корпоративный баланс энергии'!W45+'корпоративный баланс энергии'!W72+'корпоративный баланс энергии'!W73)</f>
        <v>23</v>
      </c>
      <c r="I65" s="85">
        <f>-('корпоративный баланс энергии'!W43+'корпоративный баланс энергии'!W71)</f>
        <v>-5</v>
      </c>
      <c r="O65" s="83"/>
    </row>
    <row r="66" spans="6:20">
      <c r="O66" s="83"/>
    </row>
    <row r="67" spans="6:20">
      <c r="O67" s="83"/>
    </row>
    <row r="68" spans="6:20">
      <c r="O68" s="83"/>
    </row>
    <row r="69" spans="6:20">
      <c r="O69" s="83"/>
    </row>
    <row r="70" spans="6:20">
      <c r="O70" s="83"/>
    </row>
    <row r="72" spans="6:20" ht="14.25" hidden="1">
      <c r="K72" s="1260" t="s">
        <v>149</v>
      </c>
      <c r="L72" s="1261"/>
      <c r="N72" s="1260" t="s">
        <v>149</v>
      </c>
      <c r="O72" s="1261"/>
      <c r="Q72" s="1260" t="s">
        <v>149</v>
      </c>
      <c r="R72" s="1261"/>
    </row>
    <row r="73" spans="6:20" ht="14.25" hidden="1">
      <c r="K73" s="1255" t="s">
        <v>154</v>
      </c>
      <c r="L73" s="1256"/>
      <c r="N73" s="1255" t="s">
        <v>153</v>
      </c>
      <c r="O73" s="1256"/>
      <c r="Q73" s="1255" t="s">
        <v>150</v>
      </c>
      <c r="R73" s="1256"/>
    </row>
    <row r="74" spans="6:20" ht="15.75" hidden="1">
      <c r="F74" s="1263" t="s">
        <v>156</v>
      </c>
      <c r="G74" s="1263"/>
      <c r="H74" s="1263"/>
      <c r="I74" s="1263"/>
      <c r="J74" s="102">
        <f>-L79-M74</f>
        <v>45.452693494657069</v>
      </c>
      <c r="K74" s="97" t="s">
        <v>29</v>
      </c>
      <c r="L74" s="98">
        <f>SUM(L75:L77)</f>
        <v>4280.0806339060573</v>
      </c>
      <c r="M74" s="100">
        <f>O76+P74</f>
        <v>-33.972059588600132</v>
      </c>
      <c r="N74" s="97" t="s">
        <v>29</v>
      </c>
      <c r="O74" s="98">
        <f>'корпоративный баланс энергии'!V1490</f>
        <v>472.89403499999992</v>
      </c>
      <c r="P74" s="100">
        <f>R76-S74</f>
        <v>32.810160088996781</v>
      </c>
      <c r="Q74" s="97" t="s">
        <v>29</v>
      </c>
      <c r="R74" s="98">
        <f>'корпоративный баланс энергии'!V1508</f>
        <v>569.55542306892471</v>
      </c>
      <c r="S74" s="100">
        <f>R36</f>
        <v>24.319020800000544</v>
      </c>
      <c r="T74" s="9" t="s">
        <v>152</v>
      </c>
    </row>
    <row r="75" spans="6:20" hidden="1">
      <c r="J75"/>
      <c r="K75" s="97" t="s">
        <v>56</v>
      </c>
      <c r="L75" s="98">
        <f>'корпоративный баланс энергии'!V1528</f>
        <v>688.92400000000009</v>
      </c>
      <c r="N75" s="97" t="s">
        <v>107</v>
      </c>
      <c r="O75" s="98">
        <f>'корпоративный баланс энергии'!X1490</f>
        <v>406.111815322403</v>
      </c>
      <c r="Q75" s="97" t="s">
        <v>107</v>
      </c>
      <c r="R75" s="98">
        <f>'корпоративный баланс энергии'!X1508</f>
        <v>626.68460395792204</v>
      </c>
    </row>
    <row r="76" spans="6:20" hidden="1">
      <c r="J76"/>
      <c r="K76" s="97" t="s">
        <v>55</v>
      </c>
      <c r="L76" s="98">
        <f>'корпоративный баланс энергии'!V1529</f>
        <v>3515.0747499060567</v>
      </c>
      <c r="N76" s="97" t="s">
        <v>108</v>
      </c>
      <c r="O76" s="98">
        <f>O75-O74</f>
        <v>-66.782219677596913</v>
      </c>
      <c r="Q76" s="97" t="s">
        <v>108</v>
      </c>
      <c r="R76" s="98">
        <f>R75-R74</f>
        <v>57.129180888997325</v>
      </c>
    </row>
    <row r="77" spans="6:20" ht="16.5" hidden="1" thickBot="1">
      <c r="I77" s="103" t="s">
        <v>157</v>
      </c>
      <c r="J77" s="102">
        <v>1265</v>
      </c>
      <c r="K77" s="97" t="s">
        <v>155</v>
      </c>
      <c r="L77" s="98">
        <f>'корпоративный баланс энергии'!V1530</f>
        <v>76.081884000000002</v>
      </c>
      <c r="N77" s="99" t="s">
        <v>151</v>
      </c>
      <c r="O77" s="101">
        <f>-O76-P74+M74</f>
        <v>0</v>
      </c>
      <c r="Q77" s="99" t="s">
        <v>151</v>
      </c>
      <c r="R77" s="101">
        <f>-R76+S74+P74</f>
        <v>0</v>
      </c>
    </row>
    <row r="78" spans="6:20" hidden="1">
      <c r="J78"/>
      <c r="K78" s="97" t="s">
        <v>107</v>
      </c>
      <c r="L78" s="98">
        <f>'корпоративный баланс энергии'!X1527</f>
        <v>4268.6000000000004</v>
      </c>
    </row>
    <row r="79" spans="6:20" ht="15.75" hidden="1">
      <c r="F79" s="1263" t="s">
        <v>158</v>
      </c>
      <c r="G79" s="1263"/>
      <c r="H79" s="1263"/>
      <c r="I79" s="1263"/>
      <c r="J79" s="102">
        <f>SUM(J85:J96)</f>
        <v>501.86095285161298</v>
      </c>
      <c r="K79" s="97" t="s">
        <v>108</v>
      </c>
      <c r="L79" s="98">
        <f>L78-L74</f>
        <v>-11.480633906056937</v>
      </c>
    </row>
    <row r="80" spans="6:20" ht="16.5" hidden="1" thickBot="1">
      <c r="F80" s="1263" t="s">
        <v>159</v>
      </c>
      <c r="G80" s="1263"/>
      <c r="H80" s="1263"/>
      <c r="I80" s="1263"/>
      <c r="J80" s="102">
        <f>L76+(J77-J74)+(L75-J79)</f>
        <v>4921.6851035597865</v>
      </c>
      <c r="K80" s="99" t="s">
        <v>151</v>
      </c>
      <c r="L80" s="101">
        <f>-L79-M74-J74</f>
        <v>0</v>
      </c>
    </row>
    <row r="81" spans="7:11" hidden="1">
      <c r="K81"/>
    </row>
    <row r="82" spans="7:11" hidden="1"/>
    <row r="83" spans="7:11" hidden="1"/>
    <row r="84" spans="7:11" hidden="1"/>
    <row r="85" spans="7:11" hidden="1">
      <c r="G85" s="104" t="s">
        <v>160</v>
      </c>
      <c r="H85" s="24"/>
      <c r="J85" s="119">
        <v>27.183400000000002</v>
      </c>
    </row>
    <row r="86" spans="7:11" hidden="1">
      <c r="G86" s="104" t="s">
        <v>161</v>
      </c>
      <c r="H86" s="24"/>
      <c r="J86" s="119">
        <v>1.9100000000000001</v>
      </c>
    </row>
    <row r="87" spans="7:11" hidden="1">
      <c r="G87" s="104" t="s">
        <v>162</v>
      </c>
      <c r="H87" s="24"/>
      <c r="J87" s="119">
        <v>76.000260999999995</v>
      </c>
    </row>
    <row r="88" spans="7:11" hidden="1">
      <c r="G88" s="104" t="s">
        <v>163</v>
      </c>
      <c r="H88" s="24"/>
      <c r="J88" s="119">
        <v>3.2700000000000005</v>
      </c>
    </row>
    <row r="89" spans="7:11" hidden="1">
      <c r="G89" s="104" t="s">
        <v>164</v>
      </c>
      <c r="H89" s="24"/>
      <c r="J89" s="119">
        <v>85.8314448</v>
      </c>
    </row>
    <row r="90" spans="7:11" hidden="1">
      <c r="G90" s="104" t="s">
        <v>165</v>
      </c>
      <c r="H90" s="24"/>
      <c r="J90" s="119">
        <v>31.248000000000001</v>
      </c>
    </row>
    <row r="91" spans="7:11" hidden="1">
      <c r="G91" s="104" t="s">
        <v>166</v>
      </c>
      <c r="H91" s="24"/>
      <c r="J91" s="119">
        <v>27.063454999999998</v>
      </c>
    </row>
    <row r="92" spans="7:11" hidden="1">
      <c r="G92" s="104" t="s">
        <v>167</v>
      </c>
      <c r="H92" s="24"/>
      <c r="J92" s="119">
        <v>1.4056</v>
      </c>
    </row>
    <row r="93" spans="7:11" hidden="1">
      <c r="G93" s="104" t="s">
        <v>168</v>
      </c>
      <c r="H93" s="24"/>
      <c r="J93" s="119">
        <v>4.4640000000000004</v>
      </c>
    </row>
    <row r="94" spans="7:11" hidden="1">
      <c r="G94" s="104" t="s">
        <v>61</v>
      </c>
      <c r="H94" s="24"/>
      <c r="J94" s="119">
        <v>133.65306080000002</v>
      </c>
    </row>
    <row r="95" spans="7:11" hidden="1">
      <c r="G95" s="104" t="s">
        <v>62</v>
      </c>
      <c r="H95" s="24"/>
      <c r="J95" s="119">
        <v>50.979731251612904</v>
      </c>
    </row>
    <row r="96" spans="7:11" hidden="1">
      <c r="G96" s="104" t="s">
        <v>63</v>
      </c>
      <c r="H96" s="24"/>
      <c r="J96" s="119">
        <v>58.852000000000004</v>
      </c>
    </row>
  </sheetData>
  <mergeCells count="18">
    <mergeCell ref="F80:I80"/>
    <mergeCell ref="K72:L72"/>
    <mergeCell ref="F79:I79"/>
    <mergeCell ref="Q72:R72"/>
    <mergeCell ref="K73:L73"/>
    <mergeCell ref="N73:O73"/>
    <mergeCell ref="Q73:R73"/>
    <mergeCell ref="N72:O72"/>
    <mergeCell ref="E20:F20"/>
    <mergeCell ref="G20:H20"/>
    <mergeCell ref="G42:H42"/>
    <mergeCell ref="F74:I74"/>
    <mergeCell ref="L3:M3"/>
    <mergeCell ref="I4:N4"/>
    <mergeCell ref="D13:E13"/>
    <mergeCell ref="G19:H19"/>
    <mergeCell ref="G54:H54"/>
    <mergeCell ref="G43:H43"/>
  </mergeCells>
  <phoneticPr fontId="20" type="noConversion"/>
  <conditionalFormatting sqref="G85:G96">
    <cfRule type="cellIs" dxfId="9" priority="1" stopIfTrue="1" operator="notEqual">
      <formula>G84</formula>
    </cfRule>
  </conditionalFormatting>
  <pageMargins left="0.75" right="0.75" top="0.19" bottom="0.18" header="0.17" footer="0.17"/>
  <pageSetup paperSize="9" scale="51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2"/>
  <dimension ref="B2:U96"/>
  <sheetViews>
    <sheetView view="pageBreakPreview" topLeftCell="A7" zoomScale="75" zoomScaleNormal="75" zoomScaleSheetLayoutView="75" workbookViewId="0">
      <selection activeCell="O60" sqref="O60"/>
    </sheetView>
  </sheetViews>
  <sheetFormatPr defaultColWidth="10.6640625" defaultRowHeight="12.75"/>
  <cols>
    <col min="1" max="1" width="5.1640625" style="13" customWidth="1"/>
    <col min="2" max="2" width="11.33203125" style="13" customWidth="1"/>
    <col min="3" max="3" width="14.6640625" style="13" customWidth="1"/>
    <col min="4" max="4" width="12.1640625" style="13" customWidth="1"/>
    <col min="5" max="5" width="11.1640625" style="13" customWidth="1"/>
    <col min="6" max="7" width="13.33203125" style="13" bestFit="1" customWidth="1"/>
    <col min="8" max="8" width="12.5" style="13" customWidth="1"/>
    <col min="9" max="9" width="11.6640625" style="13" customWidth="1"/>
    <col min="10" max="10" width="12.33203125" style="13" customWidth="1"/>
    <col min="11" max="11" width="11.6640625" style="13" customWidth="1"/>
    <col min="12" max="12" width="13.6640625" style="13" customWidth="1"/>
    <col min="13" max="13" width="12.1640625" style="13" customWidth="1"/>
    <col min="14" max="14" width="15.1640625" style="13" customWidth="1"/>
    <col min="15" max="15" width="12.1640625" style="13" customWidth="1"/>
    <col min="16" max="16" width="14" style="13" bestFit="1" customWidth="1"/>
    <col min="17" max="17" width="12" style="13" bestFit="1" customWidth="1"/>
    <col min="18" max="18" width="13.33203125" style="13" customWidth="1"/>
    <col min="19" max="19" width="10.83203125" style="13" customWidth="1"/>
    <col min="20" max="20" width="13.33203125" style="13" bestFit="1" customWidth="1"/>
    <col min="21" max="21" width="13" style="13" bestFit="1" customWidth="1"/>
    <col min="22" max="16384" width="10.6640625" style="13"/>
  </cols>
  <sheetData>
    <row r="2" spans="3:21" ht="25.5">
      <c r="C2" s="11" t="s">
        <v>100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3:21" ht="22.5">
      <c r="C3" s="14"/>
      <c r="D3" s="15"/>
      <c r="E3" s="15"/>
      <c r="F3" s="15"/>
      <c r="G3" s="15"/>
      <c r="I3" s="16" t="s">
        <v>169</v>
      </c>
      <c r="J3" s="17"/>
      <c r="K3" s="17"/>
      <c r="L3" s="1251" t="s">
        <v>78</v>
      </c>
      <c r="M3" s="1251"/>
      <c r="N3" s="16">
        <f>Январь!N3</f>
        <v>2020</v>
      </c>
      <c r="O3" s="17"/>
      <c r="P3" s="15"/>
      <c r="Q3" s="15"/>
      <c r="R3" s="15"/>
      <c r="S3" s="15"/>
      <c r="T3" s="15"/>
    </row>
    <row r="4" spans="3:21" ht="20.25">
      <c r="C4" s="19"/>
      <c r="I4" s="1252" t="s">
        <v>147</v>
      </c>
      <c r="J4" s="1252"/>
      <c r="K4" s="1252"/>
      <c r="L4" s="1252"/>
      <c r="M4" s="1252"/>
      <c r="N4" s="1252"/>
      <c r="O4" s="20"/>
    </row>
    <row r="5" spans="3:21" ht="14.25" customHeight="1">
      <c r="C5" s="32" t="s">
        <v>104</v>
      </c>
      <c r="D5" s="33"/>
      <c r="F5" s="21"/>
      <c r="G5" s="22"/>
      <c r="I5" s="23"/>
      <c r="K5" s="24"/>
      <c r="L5" s="25"/>
      <c r="M5" s="25"/>
      <c r="N5" s="26"/>
      <c r="O5" s="20"/>
    </row>
    <row r="6" spans="3:21" ht="14.25" customHeight="1">
      <c r="C6" s="36" t="s">
        <v>29</v>
      </c>
      <c r="D6" s="37">
        <f>'корпоративный баланс энергии'!Y849</f>
        <v>7734.4699020432126</v>
      </c>
      <c r="F6" s="21"/>
      <c r="G6" s="22"/>
      <c r="I6" s="23"/>
      <c r="K6" s="24"/>
      <c r="L6" s="25"/>
      <c r="M6" s="25"/>
      <c r="N6" s="26"/>
      <c r="O6" s="20"/>
    </row>
    <row r="7" spans="3:21" ht="14.25" customHeight="1">
      <c r="C7" s="36" t="s">
        <v>107</v>
      </c>
      <c r="D7" s="37">
        <f>'корпоративный баланс энергии'!AA849</f>
        <v>6643.9647352846578</v>
      </c>
      <c r="F7" s="21"/>
      <c r="G7" s="22"/>
      <c r="I7" s="23"/>
      <c r="K7" s="24"/>
      <c r="L7" s="25"/>
      <c r="M7" s="25"/>
      <c r="N7" s="26"/>
      <c r="O7" s="20"/>
    </row>
    <row r="8" spans="3:21" ht="14.25" customHeight="1">
      <c r="C8" s="36" t="s">
        <v>108</v>
      </c>
      <c r="D8" s="40">
        <f>D7-D6</f>
        <v>-1090.5051667585549</v>
      </c>
      <c r="F8" s="21"/>
      <c r="G8" s="22"/>
      <c r="I8" s="23"/>
      <c r="K8" s="24"/>
      <c r="L8" s="25"/>
      <c r="M8" s="25"/>
      <c r="N8" s="26"/>
      <c r="O8" s="20"/>
    </row>
    <row r="9" spans="3:21" ht="14.25" customHeight="1">
      <c r="C9" s="41" t="s">
        <v>109</v>
      </c>
      <c r="D9" s="40">
        <f>-D8-G11-I11-J13-J15+F16-E18-F30-G27+K20</f>
        <v>5.16675855487847E-3</v>
      </c>
      <c r="F9" s="21"/>
      <c r="G9" s="22"/>
      <c r="I9" s="23"/>
      <c r="K9" s="24"/>
      <c r="L9" s="25"/>
      <c r="M9" s="25"/>
      <c r="N9" s="26"/>
      <c r="O9" s="20"/>
    </row>
    <row r="10" spans="3:21" ht="14.25" customHeight="1">
      <c r="C10" s="19"/>
      <c r="F10" s="21"/>
      <c r="G10" s="22" t="s">
        <v>101</v>
      </c>
      <c r="I10" s="158" t="s">
        <v>243</v>
      </c>
      <c r="K10" s="24"/>
      <c r="L10" s="25"/>
      <c r="M10" s="25"/>
      <c r="N10" s="26"/>
      <c r="O10" s="20"/>
    </row>
    <row r="11" spans="3:21" ht="15.75" customHeight="1">
      <c r="C11" s="19"/>
      <c r="F11" s="21"/>
      <c r="G11" s="69">
        <f>-('корпоративный баланс энергии'!Z23+'корпоративный баланс энергии'!Z59)</f>
        <v>380</v>
      </c>
      <c r="I11" s="27">
        <f>-'корпоративный баланс энергии'!Z24</f>
        <v>20</v>
      </c>
      <c r="K11" s="24"/>
      <c r="L11" s="25"/>
      <c r="M11" s="25"/>
      <c r="N11" s="26"/>
      <c r="O11" s="20"/>
    </row>
    <row r="12" spans="3:21" ht="15.75" customHeight="1">
      <c r="C12" s="19"/>
      <c r="F12" s="21"/>
      <c r="J12" s="158" t="s">
        <v>244</v>
      </c>
      <c r="K12" s="15"/>
      <c r="L12" s="25"/>
      <c r="M12" s="25"/>
      <c r="N12" s="26"/>
      <c r="O12" s="29" t="s">
        <v>102</v>
      </c>
      <c r="R12" s="30">
        <f>SUM(D6,H34,D60,K34,N34,Q34,T34)</f>
        <v>78700.334871954983</v>
      </c>
    </row>
    <row r="13" spans="3:21" ht="15" customHeight="1">
      <c r="C13" s="19"/>
      <c r="D13" s="1253" t="s">
        <v>103</v>
      </c>
      <c r="E13" s="1253"/>
      <c r="F13" s="21"/>
      <c r="J13" s="27">
        <f>-'корпоративный баланс энергии'!Z25</f>
        <v>35</v>
      </c>
      <c r="K13" s="15"/>
      <c r="L13" s="34"/>
      <c r="M13" s="25"/>
      <c r="N13" s="26"/>
      <c r="O13" s="29" t="s">
        <v>105</v>
      </c>
      <c r="R13" s="30">
        <f>SUM(D7,H35,D61,K35,N35,Q35,T35)</f>
        <v>77734.845167784704</v>
      </c>
    </row>
    <row r="14" spans="3:21" ht="15.75" customHeight="1">
      <c r="C14" s="19"/>
      <c r="E14" s="35">
        <f>-('корпоративный баланс энергии'!Z30+'корпоративный баланс энергии'!Z31+'корпоративный баланс энергии'!Z32+'корпоративный баланс энергии'!Z33+'корпоративный баланс энергии'!Z61+'корпоративный баланс энергии'!Z62+'корпоративный баланс энергии'!Z63)</f>
        <v>320</v>
      </c>
      <c r="F14" s="21"/>
      <c r="J14" s="158" t="s">
        <v>245</v>
      </c>
      <c r="K14" s="24"/>
      <c r="L14" s="25"/>
      <c r="M14" s="25"/>
      <c r="N14" s="26"/>
      <c r="O14" s="29" t="s">
        <v>106</v>
      </c>
      <c r="R14" s="30">
        <f>SUM(D8,H36,D62,K36,N36,Q36,T36)</f>
        <v>-965.48970417029568</v>
      </c>
      <c r="S14" s="24"/>
      <c r="T14" s="161">
        <f>-G11-I11-J13-J15+F16-E18-F30-F36-E45-F54-F61-I60-J47-L47-M47-N47+P47-R47-T47-F48</f>
        <v>-965.5</v>
      </c>
      <c r="U14" s="161">
        <f>R13-R12</f>
        <v>-965.48970417027886</v>
      </c>
    </row>
    <row r="15" spans="3:21">
      <c r="D15" s="41" t="s">
        <v>109</v>
      </c>
      <c r="E15" s="591">
        <f>-E14+D29+E18-F16</f>
        <v>0</v>
      </c>
      <c r="J15" s="27">
        <f>-'корпоративный баланс энергии'!Z26</f>
        <v>1.5</v>
      </c>
      <c r="O15" s="38"/>
      <c r="P15" s="24"/>
      <c r="Q15" s="24"/>
      <c r="R15" s="38"/>
    </row>
    <row r="16" spans="3:21">
      <c r="F16" s="69">
        <f>'корпоративный баланс энергии'!Z30+'корпоративный баланс энергии'!Z31+'корпоративный баланс энергии'!Z32+'корпоративный баланс энергии'!Z62+'корпоративный баланс энергии'!Z63</f>
        <v>-20</v>
      </c>
      <c r="O16" s="38"/>
      <c r="P16" s="24"/>
      <c r="Q16" s="24"/>
      <c r="R16" s="38"/>
    </row>
    <row r="17" spans="4:21" ht="13.5" thickBot="1">
      <c r="O17" s="38"/>
      <c r="P17" s="24"/>
      <c r="Q17" s="24"/>
      <c r="R17" s="38"/>
    </row>
    <row r="18" spans="4:21" ht="15">
      <c r="E18" s="27">
        <f>-('корпоративный баланс энергии'!Z33+'корпоративный баланс энергии'!Z61)</f>
        <v>300</v>
      </c>
      <c r="P18" s="863" t="s">
        <v>113</v>
      </c>
      <c r="Q18" s="864"/>
      <c r="R18" s="864"/>
      <c r="S18" s="864"/>
      <c r="T18" s="865"/>
      <c r="U18" s="866">
        <f>-O60</f>
        <v>344</v>
      </c>
    </row>
    <row r="19" spans="4:21" ht="14.25">
      <c r="F19" s="43"/>
      <c r="G19" s="1258" t="s">
        <v>110</v>
      </c>
      <c r="H19" s="1258"/>
      <c r="P19" s="867" t="s">
        <v>1070</v>
      </c>
      <c r="Q19" s="868"/>
      <c r="R19" s="868"/>
      <c r="S19" s="868"/>
      <c r="T19" s="869"/>
      <c r="U19" s="870">
        <f>SUM(U20:U21)</f>
        <v>90.000015816122414</v>
      </c>
    </row>
    <row r="20" spans="4:21" ht="15">
      <c r="D20" s="24"/>
      <c r="E20" s="1257" t="s">
        <v>111</v>
      </c>
      <c r="F20" s="1257"/>
      <c r="G20" s="1258" t="s">
        <v>112</v>
      </c>
      <c r="H20" s="1258"/>
      <c r="K20" s="1032">
        <v>6</v>
      </c>
      <c r="P20" s="871" t="s">
        <v>115</v>
      </c>
      <c r="Q20" s="868" t="s">
        <v>507</v>
      </c>
      <c r="R20" s="868"/>
      <c r="S20" s="868"/>
      <c r="T20" s="869"/>
      <c r="U20" s="870">
        <f>-N47</f>
        <v>-19.999984183877586</v>
      </c>
    </row>
    <row r="21" spans="4:21" ht="13.5" thickBot="1">
      <c r="F21" s="44"/>
      <c r="G21" s="36" t="s">
        <v>29</v>
      </c>
      <c r="H21" s="45">
        <f>D6-F22</f>
        <v>7136.8839020432124</v>
      </c>
      <c r="P21" s="872"/>
      <c r="Q21" s="873" t="s">
        <v>116</v>
      </c>
      <c r="R21" s="873"/>
      <c r="S21" s="873"/>
      <c r="T21" s="874"/>
      <c r="U21" s="875">
        <f>-M47</f>
        <v>110</v>
      </c>
    </row>
    <row r="22" spans="4:21" ht="15" thickBot="1">
      <c r="E22" s="36" t="s">
        <v>29</v>
      </c>
      <c r="F22" s="37">
        <f>'корпоративный баланс энергии'!Y865</f>
        <v>597.58600000000001</v>
      </c>
      <c r="G22" s="36" t="s">
        <v>107</v>
      </c>
      <c r="H22" s="45">
        <f>D7-F23</f>
        <v>6346.3837352846576</v>
      </c>
      <c r="P22" s="860" t="s">
        <v>1068</v>
      </c>
      <c r="Q22" s="861"/>
      <c r="R22" s="861"/>
      <c r="S22" s="861"/>
      <c r="T22" s="861"/>
      <c r="U22" s="862">
        <f>'корпоративный баланс энергии'!Z74</f>
        <v>70</v>
      </c>
    </row>
    <row r="23" spans="4:21" ht="15" thickBot="1">
      <c r="E23" s="36" t="s">
        <v>107</v>
      </c>
      <c r="F23" s="37">
        <f>'корпоративный баланс энергии'!AA865</f>
        <v>297.58100000000007</v>
      </c>
      <c r="G23" s="36" t="s">
        <v>108</v>
      </c>
      <c r="H23" s="40">
        <f>H22-H21</f>
        <v>-790.50016675855477</v>
      </c>
      <c r="P23" s="858" t="s">
        <v>1071</v>
      </c>
      <c r="Q23" s="876"/>
      <c r="R23" s="876"/>
      <c r="S23" s="876"/>
      <c r="T23" s="859"/>
      <c r="U23" s="875">
        <f>MIN(ABS(N48),ABS(P48))</f>
        <v>20</v>
      </c>
    </row>
    <row r="24" spans="4:21" ht="15" thickBot="1">
      <c r="E24" s="36" t="s">
        <v>108</v>
      </c>
      <c r="F24" s="46">
        <f>F23-F22</f>
        <v>-300.00499999999994</v>
      </c>
      <c r="G24" s="41" t="s">
        <v>109</v>
      </c>
      <c r="H24" s="40">
        <f>-H23+F16+K20-G11-I11-J13-J15-G27-F30</f>
        <v>1.6675855476933066E-4</v>
      </c>
      <c r="P24" s="877" t="s">
        <v>1072</v>
      </c>
      <c r="Q24" s="873"/>
      <c r="R24" s="873"/>
      <c r="S24" s="873"/>
      <c r="T24" s="874"/>
      <c r="U24" s="875">
        <f>MIN(ABS('корпоративный баланс энергии'!Z54),ABS('корпоративный баланс энергии'!Z80))</f>
        <v>50</v>
      </c>
    </row>
    <row r="25" spans="4:21" ht="15" thickBot="1">
      <c r="E25" s="41" t="s">
        <v>109</v>
      </c>
      <c r="F25" s="46">
        <f>-F24-E18</f>
        <v>4.9999999999386091E-3</v>
      </c>
      <c r="K25" s="1161">
        <v>70</v>
      </c>
      <c r="P25" s="878" t="s">
        <v>1073</v>
      </c>
      <c r="Q25" s="879"/>
      <c r="R25" s="879"/>
      <c r="S25" s="879"/>
      <c r="T25" s="880"/>
      <c r="U25" s="881">
        <f>ABS(U23)+ABS(U24)</f>
        <v>70</v>
      </c>
    </row>
    <row r="26" spans="4:21" ht="15" thickBot="1">
      <c r="P26" s="877" t="s">
        <v>1257</v>
      </c>
      <c r="Q26" s="873"/>
      <c r="R26" s="873"/>
      <c r="S26" s="873"/>
      <c r="T26" s="874"/>
      <c r="U26" s="875">
        <f>'корпоративный баланс энергии'!Z79</f>
        <v>6</v>
      </c>
    </row>
    <row r="27" spans="4:21" ht="15" thickBot="1">
      <c r="G27" s="1159">
        <v>370</v>
      </c>
      <c r="N27" s="86"/>
      <c r="P27" s="884" t="s">
        <v>1074</v>
      </c>
      <c r="Q27" s="885"/>
      <c r="R27" s="885"/>
      <c r="S27" s="885"/>
      <c r="T27" s="886"/>
      <c r="U27" s="887">
        <f>U22+U25+U26</f>
        <v>146</v>
      </c>
    </row>
    <row r="28" spans="4:21" ht="18.75">
      <c r="N28" s="87"/>
      <c r="S28" s="48"/>
      <c r="T28" s="48"/>
      <c r="U28" s="48"/>
    </row>
    <row r="29" spans="4:21">
      <c r="D29" s="600">
        <v>0</v>
      </c>
      <c r="R29" s="52"/>
    </row>
    <row r="30" spans="4:21">
      <c r="F30" s="69">
        <f>-('корпоративный баланс энергии'!Z34+'корпоративный баланс энергии'!Z64)</f>
        <v>-30</v>
      </c>
    </row>
    <row r="31" spans="4:21" ht="15">
      <c r="G31" s="21" t="s">
        <v>117</v>
      </c>
      <c r="J31" s="28" t="s">
        <v>118</v>
      </c>
      <c r="K31" s="15"/>
      <c r="M31" s="21" t="s">
        <v>117</v>
      </c>
      <c r="P31" s="21" t="s">
        <v>117</v>
      </c>
      <c r="Q31" s="53"/>
      <c r="S31" s="21" t="s">
        <v>117</v>
      </c>
    </row>
    <row r="32" spans="4:21" ht="15">
      <c r="G32" s="28" t="s">
        <v>119</v>
      </c>
      <c r="H32" s="15"/>
      <c r="J32" s="28" t="s">
        <v>120</v>
      </c>
      <c r="K32" s="15"/>
      <c r="M32" s="28" t="s">
        <v>121</v>
      </c>
      <c r="N32" s="15"/>
      <c r="P32" s="28" t="s">
        <v>122</v>
      </c>
      <c r="Q32" s="54"/>
      <c r="S32" s="28" t="s">
        <v>123</v>
      </c>
      <c r="T32" s="15"/>
    </row>
    <row r="33" spans="3:20" ht="14.25">
      <c r="C33" s="21" t="s">
        <v>124</v>
      </c>
    </row>
    <row r="34" spans="3:20" ht="14.25">
      <c r="D34" s="21" t="s">
        <v>125</v>
      </c>
      <c r="G34" s="36" t="s">
        <v>29</v>
      </c>
      <c r="H34" s="37">
        <f>'корпоративный баланс энергии'!Y82</f>
        <v>16678.691807060997</v>
      </c>
      <c r="J34" s="36" t="s">
        <v>29</v>
      </c>
      <c r="K34" s="37">
        <f>'корпоративный баланс энергии'!Y370</f>
        <v>8022.3586912076908</v>
      </c>
      <c r="M34" s="36" t="s">
        <v>29</v>
      </c>
      <c r="N34" s="37">
        <f>'корпоративный баланс энергии'!Y538</f>
        <v>19922.569263269488</v>
      </c>
      <c r="P34" s="36" t="s">
        <v>29</v>
      </c>
      <c r="Q34" s="37">
        <f>'корпоративный баланс энергии'!Y1454</f>
        <v>14957.418730148906</v>
      </c>
      <c r="S34" s="36" t="s">
        <v>29</v>
      </c>
      <c r="T34" s="37">
        <f>'корпоративный баланс энергии'!Y1674</f>
        <v>2942.951</v>
      </c>
    </row>
    <row r="35" spans="3:20">
      <c r="E35" s="55">
        <f>-('корпоративный баланс энергии'!Z34+'корпоративный баланс энергии'!Z35+'корпоративный баланс энергии'!Z36+'корпоративный баланс энергии'!Z65)</f>
        <v>-30</v>
      </c>
      <c r="G35" s="36" t="s">
        <v>107</v>
      </c>
      <c r="H35" s="37">
        <f>'корпоративный баланс энергии'!AA82</f>
        <v>17508.685442080874</v>
      </c>
      <c r="J35" s="36" t="s">
        <v>107</v>
      </c>
      <c r="K35" s="37">
        <f>'корпоративный баланс энергии'!AA370</f>
        <v>8268.3691709907253</v>
      </c>
      <c r="M35" s="36" t="s">
        <v>107</v>
      </c>
      <c r="N35" s="37">
        <f>'корпоративный баланс энергии'!AA538</f>
        <v>19736.57528503381</v>
      </c>
      <c r="P35" s="36" t="s">
        <v>107</v>
      </c>
      <c r="Q35" s="37">
        <f>'корпоративный баланс энергии'!AA1454</f>
        <v>15257.179249332783</v>
      </c>
      <c r="S35" s="36" t="s">
        <v>107</v>
      </c>
      <c r="T35" s="37">
        <f>'корпоративный баланс энергии'!AA1674</f>
        <v>2611.1904650000001</v>
      </c>
    </row>
    <row r="36" spans="3:20">
      <c r="C36" s="599">
        <v>0</v>
      </c>
      <c r="D36" s="41" t="s">
        <v>109</v>
      </c>
      <c r="E36" s="591">
        <f>-E35-D29+F30+F36-C36</f>
        <v>-30</v>
      </c>
      <c r="F36" s="69">
        <f>-('корпоративный баланс энергии'!Z35+'корпоративный баланс энергии'!Z36+'корпоративный баланс энергии'!Z65)</f>
        <v>-30</v>
      </c>
      <c r="G36" s="36" t="s">
        <v>108</v>
      </c>
      <c r="H36" s="46">
        <f>H35-H34</f>
        <v>829.99363501987682</v>
      </c>
      <c r="I36" s="1160">
        <v>150</v>
      </c>
      <c r="J36" s="56" t="s">
        <v>108</v>
      </c>
      <c r="K36" s="46">
        <f>K35-K34</f>
        <v>246.0104797830345</v>
      </c>
      <c r="L36" s="1160">
        <v>-150</v>
      </c>
      <c r="M36" s="56" t="s">
        <v>108</v>
      </c>
      <c r="N36" s="57">
        <f>N35-N34</f>
        <v>-185.99397823567779</v>
      </c>
      <c r="O36" s="1162">
        <v>50</v>
      </c>
      <c r="P36" s="56" t="s">
        <v>108</v>
      </c>
      <c r="Q36" s="46">
        <f>Q35-Q34</f>
        <v>299.76051918387748</v>
      </c>
      <c r="R36" s="58">
        <f>T34-T35-T47</f>
        <v>21.760534999999891</v>
      </c>
      <c r="S36" s="56" t="s">
        <v>108</v>
      </c>
      <c r="T36" s="46">
        <f>T35-T34</f>
        <v>-331.76053499999989</v>
      </c>
    </row>
    <row r="37" spans="3:20">
      <c r="G37" s="41" t="s">
        <v>109</v>
      </c>
      <c r="H37" s="46">
        <f>-H36-F36+G27+K25-I36-E45-G40</f>
        <v>6.3649801231804304E-3</v>
      </c>
      <c r="J37" s="41" t="s">
        <v>109</v>
      </c>
      <c r="K37" s="46">
        <f>-K36+I36-L36-L47-I42</f>
        <v>-1.0479783034497814E-2</v>
      </c>
      <c r="L37" s="44"/>
      <c r="M37" s="41" t="s">
        <v>109</v>
      </c>
      <c r="N37" s="57">
        <f>-N36+L36-O36-K20-K25-M47-N47</f>
        <v>-6.0059481997996045E-3</v>
      </c>
      <c r="P37" s="41" t="s">
        <v>109</v>
      </c>
      <c r="Q37" s="40">
        <f>-Q36+O36+R36-R47+P47</f>
        <v>0</v>
      </c>
      <c r="R37" s="44"/>
      <c r="S37" s="41" t="s">
        <v>109</v>
      </c>
      <c r="T37" s="40">
        <f>-T36-R36-T47</f>
        <v>0</v>
      </c>
    </row>
    <row r="39" spans="3:20" ht="15">
      <c r="H39" s="160" t="s">
        <v>126</v>
      </c>
      <c r="N39" s="59"/>
      <c r="O39" s="24"/>
    </row>
    <row r="40" spans="3:20">
      <c r="G40" s="1161">
        <v>-570</v>
      </c>
      <c r="H40" s="160" t="s">
        <v>127</v>
      </c>
      <c r="N40" s="60"/>
      <c r="O40" s="61"/>
    </row>
    <row r="41" spans="3:20" ht="15" customHeight="1">
      <c r="I41" s="160" t="s">
        <v>128</v>
      </c>
      <c r="N41" s="62"/>
      <c r="O41" s="61"/>
    </row>
    <row r="42" spans="3:20">
      <c r="G42" s="1259" t="s">
        <v>129</v>
      </c>
      <c r="H42" s="1259"/>
      <c r="I42" s="1161">
        <v>50</v>
      </c>
    </row>
    <row r="43" spans="3:20">
      <c r="G43" s="1262" t="s">
        <v>130</v>
      </c>
      <c r="H43" s="1262"/>
    </row>
    <row r="44" spans="3:20">
      <c r="E44" s="44"/>
      <c r="G44" s="36" t="s">
        <v>29</v>
      </c>
      <c r="H44" s="37">
        <f>'корпоративный баланс энергии'!Y1122+'корпоративный баланс энергии'!Y1089</f>
        <v>1759.3308447265624</v>
      </c>
      <c r="M44" s="160" t="s">
        <v>251</v>
      </c>
      <c r="N44" s="64"/>
      <c r="O44" s="160" t="s">
        <v>248</v>
      </c>
    </row>
    <row r="45" spans="3:20">
      <c r="E45" s="69">
        <f>-('корпоративный баланс энергии'!Z37+'корпоративный баланс энергии'!Z38+'корпоративный баланс энергии'!Z39+'корпоративный баланс энергии'!Z66+'корпоративный баланс энергии'!Z67+'корпоративный баланс энергии'!Z68)</f>
        <v>60</v>
      </c>
      <c r="G45" s="36" t="s">
        <v>107</v>
      </c>
      <c r="H45" s="37">
        <f>'корпоративный баланс энергии'!AA1122+'корпоративный баланс энергии'!AA1089</f>
        <v>1591.3331627668279</v>
      </c>
      <c r="M45" s="160" t="s">
        <v>336</v>
      </c>
      <c r="O45" s="160" t="s">
        <v>249</v>
      </c>
    </row>
    <row r="46" spans="3:20" ht="14.25">
      <c r="G46" s="36" t="s">
        <v>108</v>
      </c>
      <c r="H46" s="46">
        <f>H45-H44</f>
        <v>-167.99768195973456</v>
      </c>
      <c r="J46" s="160" t="s">
        <v>131</v>
      </c>
      <c r="O46" s="160" t="s">
        <v>250</v>
      </c>
      <c r="R46" s="65" t="s">
        <v>132</v>
      </c>
      <c r="T46" s="21" t="s">
        <v>133</v>
      </c>
    </row>
    <row r="47" spans="3:20">
      <c r="F47" s="29"/>
      <c r="G47" s="41" t="s">
        <v>109</v>
      </c>
      <c r="H47" s="46">
        <f>-H46+G40+I42-J47-F48-G49</f>
        <v>-2.3180402654361387E-3</v>
      </c>
      <c r="J47" s="69">
        <f>-('корпоративный баланс энергии'!Z49+'корпоративный баланс энергии'!Z50)</f>
        <v>8</v>
      </c>
      <c r="L47" s="69">
        <f>-('корпоративный баланс энергии'!Z46+'корпоративный баланс энергии'!Z47+'корпоративный баланс энергии'!Z74)</f>
        <v>4</v>
      </c>
      <c r="M47" s="66">
        <f>-('корпоративный баланс энергии'!Z48+'корпоративный баланс энергии'!Z75)</f>
        <v>-110</v>
      </c>
      <c r="N47" s="42">
        <f>P62+P47</f>
        <v>19.999984183877586</v>
      </c>
      <c r="O47" s="1177">
        <f>-'корпоративный баланс энергии'!AA53</f>
        <v>14</v>
      </c>
      <c r="P47" s="42">
        <f>Q36-O36-R36+R47</f>
        <v>265.99998418387759</v>
      </c>
      <c r="R47" s="27">
        <f>-('корпоративный баланс энергии'!Z27+'корпоративный баланс энергии'!Z28+'корпоративный баланс энергии'!Z60)</f>
        <v>38</v>
      </c>
      <c r="T47" s="27">
        <f>-'корпоративный баланс энергии'!Z29</f>
        <v>310</v>
      </c>
    </row>
    <row r="48" spans="3:20">
      <c r="F48" s="51">
        <f>-('корпоративный баланс энергии'!Z40)</f>
        <v>0</v>
      </c>
      <c r="N48" s="584">
        <f>-('корпоративный баланс энергии'!Z51+'корпоративный баланс энергии'!Z52+'корпоративный баланс энергии'!Z76+'корпоративный баланс энергии'!Z77)</f>
        <v>20</v>
      </c>
      <c r="P48" s="584">
        <f>'корпоративный баланс энергии'!Z53+'корпоративный баланс энергии'!Z54+'корпоративный баланс энергии'!Z55+'корпоративный баланс энергии'!Z56+'корпоративный баланс энергии'!Z78+'корпоративный баланс энергии'!Z79+'корпоративный баланс энергии'!Z80</f>
        <v>266</v>
      </c>
    </row>
    <row r="49" spans="2:19" ht="15.75">
      <c r="C49" s="22" t="s">
        <v>134</v>
      </c>
      <c r="F49" s="160" t="s">
        <v>135</v>
      </c>
      <c r="G49" s="1163">
        <v>-360</v>
      </c>
      <c r="H49" s="160" t="s">
        <v>136</v>
      </c>
      <c r="P49" s="13" t="s">
        <v>90</v>
      </c>
    </row>
    <row r="50" spans="2:19">
      <c r="D50" s="68" t="s">
        <v>137</v>
      </c>
      <c r="H50" s="160" t="s">
        <v>138</v>
      </c>
    </row>
    <row r="51" spans="2:19">
      <c r="E51" s="55">
        <f>-('корпоративный баланс энергии'!Z37+'корпоративный баланс энергии'!Z38+'корпоративный баланс энергии'!Z39+'корпоративный баланс энергии'!Z40+'корпоративный баланс энергии'!Z41+'корпоративный баланс энергии'!Z66+'корпоративный баланс энергии'!Z67+'корпоративный баланс энергии'!Z68+'корпоративный баланс энергии'!Z69+'корпоративный баланс энергии'!Z70)</f>
        <v>290</v>
      </c>
      <c r="H51" s="160" t="s">
        <v>508</v>
      </c>
    </row>
    <row r="52" spans="2:19" ht="14.25">
      <c r="C52" s="599">
        <v>0</v>
      </c>
      <c r="D52" s="41" t="s">
        <v>109</v>
      </c>
      <c r="E52" s="591">
        <f>-E51+E45+F48+F54-E54-C52</f>
        <v>0</v>
      </c>
      <c r="G52" s="28"/>
      <c r="H52" s="15"/>
      <c r="O52" s="70"/>
    </row>
    <row r="53" spans="2:19" ht="15">
      <c r="B53" s="581" t="s">
        <v>513</v>
      </c>
      <c r="G53" s="28" t="s">
        <v>890</v>
      </c>
      <c r="H53" s="15"/>
      <c r="I53" s="59"/>
      <c r="J53" s="24"/>
    </row>
    <row r="54" spans="2:19">
      <c r="B54" s="36" t="s">
        <v>29</v>
      </c>
      <c r="C54" s="157">
        <f>'корпоративный баланс энергии'!Y1390</f>
        <v>437.97435485599999</v>
      </c>
      <c r="E54" s="51">
        <f>'корпоративный баланс энергии'!Z70</f>
        <v>0</v>
      </c>
      <c r="F54" s="69">
        <f>-('корпоративный баланс энергии'!Z41+'корпоративный баланс энергии'!Z69)</f>
        <v>230</v>
      </c>
      <c r="G54" s="1262" t="s">
        <v>889</v>
      </c>
      <c r="H54" s="1262"/>
      <c r="I54" s="60"/>
      <c r="J54" s="61"/>
      <c r="M54" s="44"/>
    </row>
    <row r="55" spans="2:19" ht="18.75">
      <c r="B55" s="36" t="s">
        <v>107</v>
      </c>
      <c r="C55" s="157">
        <f>'корпоративный баланс энергии'!AA1390</f>
        <v>578.66378722526429</v>
      </c>
      <c r="G55" s="36" t="s">
        <v>29</v>
      </c>
      <c r="H55" s="37">
        <f>D60-C54-H44</f>
        <v>6244.5702786421261</v>
      </c>
      <c r="I55" s="62"/>
      <c r="J55" s="61"/>
      <c r="M55" s="221">
        <f>J47+L47+M47</f>
        <v>-98</v>
      </c>
    </row>
    <row r="56" spans="2:19">
      <c r="B56" s="36" t="s">
        <v>108</v>
      </c>
      <c r="C56" s="40">
        <f>C55-C54</f>
        <v>140.6894323692643</v>
      </c>
      <c r="D56" s="582" t="s">
        <v>511</v>
      </c>
      <c r="E56" s="210">
        <f>'корпоративный баланс энергии'!Z1390</f>
        <v>140.6894323692643</v>
      </c>
      <c r="G56" s="36" t="s">
        <v>107</v>
      </c>
      <c r="H56" s="37">
        <f>D61-C55-H45</f>
        <v>5538.8838700697452</v>
      </c>
      <c r="I56" s="75"/>
      <c r="L56" s="29" t="s">
        <v>139</v>
      </c>
      <c r="M56" s="51">
        <f>-('корпоративный баланс энергии'!Z46+'корпоративный баланс энергии'!Z47+'корпоративный баланс энергии'!Z48+'корпоративный баланс энергии'!Z49+'корпоративный баланс энергии'!Z50+'корпоративный баланс энергии'!Z74+'корпоративный баланс энергии'!Z75)</f>
        <v>-98</v>
      </c>
    </row>
    <row r="57" spans="2:19">
      <c r="B57" s="41" t="s">
        <v>109</v>
      </c>
      <c r="C57" s="40">
        <f>-C56+E54+E56</f>
        <v>0</v>
      </c>
      <c r="D57" s="583" t="s">
        <v>512</v>
      </c>
      <c r="G57" s="36" t="s">
        <v>108</v>
      </c>
      <c r="H57" s="46">
        <f>H56-H55</f>
        <v>-705.68640857238097</v>
      </c>
      <c r="J57" s="76"/>
      <c r="L57" s="29" t="s">
        <v>140</v>
      </c>
      <c r="P57" s="77"/>
    </row>
    <row r="58" spans="2:19" ht="20.25" customHeight="1">
      <c r="G58" s="41" t="s">
        <v>109</v>
      </c>
      <c r="H58" s="78">
        <f>-H57-F54-E56+G49-I60-F61</f>
        <v>-3.023796883326213E-3</v>
      </c>
      <c r="I58" s="29"/>
      <c r="M58" s="79" t="s">
        <v>141</v>
      </c>
    </row>
    <row r="59" spans="2:19" ht="14.25">
      <c r="C59" s="32" t="s">
        <v>246</v>
      </c>
      <c r="D59" s="33"/>
    </row>
    <row r="60" spans="2:19">
      <c r="C60" s="36" t="s">
        <v>29</v>
      </c>
      <c r="D60" s="157">
        <f>'корпоративный баланс энергии'!Y1082</f>
        <v>8441.8754782246888</v>
      </c>
      <c r="I60" s="80">
        <f>I65</f>
        <v>-5</v>
      </c>
      <c r="L60" s="81" t="s">
        <v>337</v>
      </c>
      <c r="M60" s="81"/>
      <c r="N60" s="81"/>
      <c r="O60" s="82">
        <f>J47+L47+M47+N47-P47</f>
        <v>-344</v>
      </c>
      <c r="P60" s="69">
        <f>-('корпоративный баланс энергии'!Z46+'корпоративный баланс энергии'!Z47+'корпоративный баланс энергии'!Z48+'корпоративный баланс энергии'!Z49+'корпоративный баланс энергии'!Z50+'корпоративный баланс энергии'!Z51+'корпоративный баланс энергии'!Z52+'корпоративный баланс энергии'!Z53+'корпоративный баланс энергии'!Z54+'корпоративный баланс энергии'!Z55+'корпоративный баланс энергии'!Z56+'корпоративный баланс энергии'!Z74+'корпоративный баланс энергии'!Z75+'корпоративный баланс энергии'!Z76+'корпоративный баланс энергии'!Z77+'корпоративный баланс энергии'!Z78+'корпоративный баланс энергии'!Z79+'корпоративный баланс энергии'!Z80)</f>
        <v>-344</v>
      </c>
      <c r="S60" s="161">
        <f>M56+P62</f>
        <v>-344</v>
      </c>
    </row>
    <row r="61" spans="2:19">
      <c r="C61" s="36" t="s">
        <v>107</v>
      </c>
      <c r="D61" s="157">
        <f>'корпоративный баланс энергии'!AA1082</f>
        <v>7708.8808200618369</v>
      </c>
      <c r="F61" s="80">
        <f>F65</f>
        <v>-20</v>
      </c>
      <c r="H61" s="75"/>
      <c r="N61" s="83"/>
    </row>
    <row r="62" spans="2:19" ht="14.25">
      <c r="C62" s="36" t="s">
        <v>108</v>
      </c>
      <c r="D62" s="40">
        <f>D61-D60</f>
        <v>-732.99465816285192</v>
      </c>
      <c r="E62" s="21"/>
      <c r="L62" s="209" t="s">
        <v>338</v>
      </c>
      <c r="N62" s="83"/>
      <c r="P62" s="69">
        <f>-('корпоративный баланс энергии'!Z51+'корпоративный баланс энергии'!Z52+'корпоративный баланс энергии'!Z53+'корпоративный баланс энергии'!Z54+'корпоративный баланс энергии'!Z55+'корпоративный баланс энергии'!Z56+'корпоративный баланс энергии'!Z76+'корпоративный баланс энергии'!Z77+'корпоративный баланс энергии'!Z78+'корпоративный баланс энергии'!Z79+'корпоративный баланс энергии'!Z80)</f>
        <v>-246</v>
      </c>
      <c r="S62" s="161">
        <f>-(P47-N47)</f>
        <v>-246</v>
      </c>
    </row>
    <row r="63" spans="2:19">
      <c r="C63" s="41" t="s">
        <v>109</v>
      </c>
      <c r="D63" s="40">
        <f>-D62+G40+I42-J47-I60-F61-F54-F48</f>
        <v>-5.3418371480802307E-3</v>
      </c>
      <c r="K63" s="84"/>
      <c r="N63" s="13" t="s">
        <v>75</v>
      </c>
      <c r="O63" s="83" t="s">
        <v>142</v>
      </c>
    </row>
    <row r="64" spans="2:19">
      <c r="F64" s="162" t="s">
        <v>143</v>
      </c>
      <c r="I64" s="31" t="s">
        <v>144</v>
      </c>
      <c r="N64" s="13" t="s">
        <v>145</v>
      </c>
      <c r="O64" s="83" t="s">
        <v>146</v>
      </c>
    </row>
    <row r="65" spans="6:20">
      <c r="F65" s="85">
        <f>-('корпоративный баланс энергии'!Z42+'корпоративный баланс энергии'!Z44+'корпоративный баланс энергии'!Z45+'корпоративный баланс энергии'!Z72)</f>
        <v>-20</v>
      </c>
      <c r="I65" s="85">
        <f>-('корпоративный баланс энергии'!Z43+'корпоративный баланс энергии'!Z71)</f>
        <v>-5</v>
      </c>
      <c r="O65" s="83"/>
    </row>
    <row r="66" spans="6:20">
      <c r="O66" s="83"/>
    </row>
    <row r="67" spans="6:20">
      <c r="O67" s="83"/>
    </row>
    <row r="68" spans="6:20">
      <c r="O68" s="83"/>
    </row>
    <row r="69" spans="6:20">
      <c r="O69" s="83"/>
    </row>
    <row r="70" spans="6:20">
      <c r="O70" s="83"/>
    </row>
    <row r="72" spans="6:20" ht="14.25" hidden="1">
      <c r="K72" s="1260" t="s">
        <v>149</v>
      </c>
      <c r="L72" s="1261"/>
      <c r="N72" s="1260" t="s">
        <v>149</v>
      </c>
      <c r="O72" s="1261"/>
      <c r="Q72" s="1260" t="s">
        <v>149</v>
      </c>
      <c r="R72" s="1261"/>
    </row>
    <row r="73" spans="6:20" ht="14.25" hidden="1">
      <c r="K73" s="1255" t="s">
        <v>154</v>
      </c>
      <c r="L73" s="1256"/>
      <c r="N73" s="1255" t="s">
        <v>153</v>
      </c>
      <c r="O73" s="1256"/>
      <c r="Q73" s="1255" t="s">
        <v>150</v>
      </c>
      <c r="R73" s="1256"/>
    </row>
    <row r="74" spans="6:20" ht="15.75" hidden="1">
      <c r="F74" s="1263" t="s">
        <v>156</v>
      </c>
      <c r="G74" s="1263"/>
      <c r="H74" s="1263"/>
      <c r="I74" s="1263"/>
      <c r="J74" s="102">
        <f>-L79-M74</f>
        <v>282.28693299448167</v>
      </c>
      <c r="K74" s="97" t="s">
        <v>29</v>
      </c>
      <c r="L74" s="98">
        <f>SUM(L75:L77)</f>
        <v>4097.605851824098</v>
      </c>
      <c r="M74" s="100">
        <f>O76+P74</f>
        <v>-121.58108117038381</v>
      </c>
      <c r="N74" s="97" t="s">
        <v>29</v>
      </c>
      <c r="O74" s="98">
        <f>'корпоративный баланс энергии'!Y1490</f>
        <v>464.54014749999999</v>
      </c>
      <c r="P74" s="100">
        <f>R76-S74</f>
        <v>-22.346765994383418</v>
      </c>
      <c r="Q74" s="97" t="s">
        <v>29</v>
      </c>
      <c r="R74" s="98">
        <f>'корпоративный баланс энергии'!Y1508</f>
        <v>568.94431018990258</v>
      </c>
      <c r="S74" s="100">
        <f>R36</f>
        <v>21.760534999999891</v>
      </c>
      <c r="T74" s="9" t="s">
        <v>152</v>
      </c>
    </row>
    <row r="75" spans="6:20" hidden="1">
      <c r="J75"/>
      <c r="K75" s="97" t="s">
        <v>56</v>
      </c>
      <c r="L75" s="98">
        <f>'корпоративный баланс энергии'!Y1528</f>
        <v>592.70699999999999</v>
      </c>
      <c r="N75" s="97" t="s">
        <v>107</v>
      </c>
      <c r="O75" s="98">
        <f>'корпоративный баланс энергии'!AA1490</f>
        <v>365.3058323239996</v>
      </c>
      <c r="Q75" s="97" t="s">
        <v>107</v>
      </c>
      <c r="R75" s="98">
        <f>'корпоративный баланс энергии'!AA1508</f>
        <v>568.35807919551905</v>
      </c>
    </row>
    <row r="76" spans="6:20" hidden="1">
      <c r="J76"/>
      <c r="K76" s="97" t="s">
        <v>55</v>
      </c>
      <c r="L76" s="98">
        <f>'корпоративный баланс энергии'!Y1529</f>
        <v>3449.2552338240985</v>
      </c>
      <c r="N76" s="97" t="s">
        <v>108</v>
      </c>
      <c r="O76" s="98">
        <f>O75-O74</f>
        <v>-99.234315176000393</v>
      </c>
      <c r="Q76" s="97" t="s">
        <v>108</v>
      </c>
      <c r="R76" s="98">
        <f>R75-R74</f>
        <v>-0.5862309943835271</v>
      </c>
    </row>
    <row r="77" spans="6:20" ht="16.5" hidden="1" thickBot="1">
      <c r="I77" s="103" t="s">
        <v>157</v>
      </c>
      <c r="J77" s="102">
        <v>1224</v>
      </c>
      <c r="K77" s="97" t="s">
        <v>155</v>
      </c>
      <c r="L77" s="98">
        <f>'корпоративный баланс энергии'!Y1530</f>
        <v>55.643618000000004</v>
      </c>
      <c r="N77" s="99" t="s">
        <v>151</v>
      </c>
      <c r="O77" s="101">
        <f>-O76-P74+M74</f>
        <v>0</v>
      </c>
      <c r="Q77" s="99" t="s">
        <v>151</v>
      </c>
      <c r="R77" s="101">
        <f>-R76+S74+P74</f>
        <v>0</v>
      </c>
    </row>
    <row r="78" spans="6:20" hidden="1">
      <c r="J78"/>
      <c r="K78" s="97" t="s">
        <v>107</v>
      </c>
      <c r="L78" s="98">
        <f>'корпоративный баланс энергии'!AA1527</f>
        <v>3936.9</v>
      </c>
    </row>
    <row r="79" spans="6:20" ht="15.75" hidden="1">
      <c r="F79" s="1263" t="s">
        <v>158</v>
      </c>
      <c r="G79" s="1263"/>
      <c r="H79" s="1263"/>
      <c r="I79" s="1263"/>
      <c r="J79" s="102">
        <f>SUM(J85:J96)</f>
        <v>287.97717</v>
      </c>
      <c r="K79" s="97" t="s">
        <v>108</v>
      </c>
      <c r="L79" s="98">
        <f>L78-L74</f>
        <v>-160.70585182409786</v>
      </c>
    </row>
    <row r="80" spans="6:20" ht="16.5" hidden="1" thickBot="1">
      <c r="F80" s="1263" t="s">
        <v>159</v>
      </c>
      <c r="G80" s="1263"/>
      <c r="H80" s="1263"/>
      <c r="I80" s="1263"/>
      <c r="J80" s="102">
        <f>L76+(J77-J74)+(L75-J79)</f>
        <v>4695.6981308296172</v>
      </c>
      <c r="K80" s="99" t="s">
        <v>151</v>
      </c>
      <c r="L80" s="101">
        <f>-L79-M74-J74</f>
        <v>0</v>
      </c>
    </row>
    <row r="81" spans="7:11" hidden="1">
      <c r="K81"/>
    </row>
    <row r="82" spans="7:11" hidden="1"/>
    <row r="83" spans="7:11" hidden="1"/>
    <row r="84" spans="7:11" hidden="1"/>
    <row r="85" spans="7:11" hidden="1">
      <c r="G85" s="104" t="s">
        <v>160</v>
      </c>
      <c r="H85" s="24"/>
      <c r="J85" s="119">
        <v>14.882</v>
      </c>
    </row>
    <row r="86" spans="7:11" hidden="1">
      <c r="G86" s="104" t="s">
        <v>161</v>
      </c>
      <c r="H86" s="24"/>
      <c r="J86" s="119">
        <v>0</v>
      </c>
    </row>
    <row r="87" spans="7:11" hidden="1">
      <c r="G87" s="104" t="s">
        <v>162</v>
      </c>
      <c r="H87" s="24"/>
      <c r="J87" s="119">
        <v>63.999500000000005</v>
      </c>
    </row>
    <row r="88" spans="7:11" hidden="1">
      <c r="G88" s="104" t="s">
        <v>163</v>
      </c>
      <c r="H88" s="24"/>
      <c r="J88" s="119">
        <v>2.16</v>
      </c>
    </row>
    <row r="89" spans="7:11" hidden="1">
      <c r="G89" s="104" t="s">
        <v>164</v>
      </c>
      <c r="H89" s="24"/>
      <c r="J89" s="119">
        <v>28.069480000000002</v>
      </c>
    </row>
    <row r="90" spans="7:11" hidden="1">
      <c r="G90" s="104" t="s">
        <v>165</v>
      </c>
      <c r="H90" s="24"/>
      <c r="J90" s="119">
        <v>28.8</v>
      </c>
    </row>
    <row r="91" spans="7:11" hidden="1">
      <c r="G91" s="104" t="s">
        <v>166</v>
      </c>
      <c r="H91" s="24"/>
      <c r="J91" s="119">
        <v>9.4333140000000011</v>
      </c>
    </row>
    <row r="92" spans="7:11" hidden="1">
      <c r="G92" s="104" t="s">
        <v>167</v>
      </c>
      <c r="H92" s="24"/>
      <c r="J92" s="119">
        <v>0</v>
      </c>
    </row>
    <row r="93" spans="7:11" hidden="1">
      <c r="G93" s="104" t="s">
        <v>168</v>
      </c>
      <c r="H93" s="24"/>
      <c r="J93" s="119">
        <v>0</v>
      </c>
    </row>
    <row r="94" spans="7:11" hidden="1">
      <c r="G94" s="104" t="s">
        <v>61</v>
      </c>
      <c r="H94" s="24"/>
      <c r="J94" s="119">
        <v>49.355387999999998</v>
      </c>
    </row>
    <row r="95" spans="7:11" hidden="1">
      <c r="G95" s="104" t="s">
        <v>62</v>
      </c>
      <c r="H95" s="24"/>
      <c r="J95" s="119">
        <v>37.877488</v>
      </c>
    </row>
    <row r="96" spans="7:11" hidden="1">
      <c r="G96" s="104" t="s">
        <v>63</v>
      </c>
      <c r="H96" s="24"/>
      <c r="J96" s="119">
        <v>53.4</v>
      </c>
    </row>
  </sheetData>
  <mergeCells count="18">
    <mergeCell ref="F80:I80"/>
    <mergeCell ref="K72:L72"/>
    <mergeCell ref="F79:I79"/>
    <mergeCell ref="Q72:R72"/>
    <mergeCell ref="K73:L73"/>
    <mergeCell ref="N73:O73"/>
    <mergeCell ref="Q73:R73"/>
    <mergeCell ref="N72:O72"/>
    <mergeCell ref="E20:F20"/>
    <mergeCell ref="G20:H20"/>
    <mergeCell ref="G42:H42"/>
    <mergeCell ref="F74:I74"/>
    <mergeCell ref="L3:M3"/>
    <mergeCell ref="I4:N4"/>
    <mergeCell ref="D13:E13"/>
    <mergeCell ref="G19:H19"/>
    <mergeCell ref="G43:H43"/>
    <mergeCell ref="G54:H54"/>
  </mergeCells>
  <phoneticPr fontId="20" type="noConversion"/>
  <conditionalFormatting sqref="G85:G96">
    <cfRule type="cellIs" dxfId="8" priority="1" stopIfTrue="1" operator="notEqual">
      <formula>G84</formula>
    </cfRule>
  </conditionalFormatting>
  <pageMargins left="0.75" right="0.75" top="0.2" bottom="0.23" header="0.17" footer="0.17"/>
  <pageSetup paperSize="9" scale="51" orientation="landscape" r:id="rId1"/>
  <headerFooter alignWithMargins="0"/>
  <rowBreaks count="1" manualBreakCount="1">
    <brk id="77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3"/>
  <dimension ref="B2:U96"/>
  <sheetViews>
    <sheetView view="pageBreakPreview" topLeftCell="A7" zoomScale="75" zoomScaleNormal="75" zoomScaleSheetLayoutView="75" workbookViewId="0">
      <selection activeCell="O60" sqref="O60"/>
    </sheetView>
  </sheetViews>
  <sheetFormatPr defaultColWidth="10.6640625" defaultRowHeight="12.75"/>
  <cols>
    <col min="1" max="1" width="4.1640625" style="13" customWidth="1"/>
    <col min="2" max="2" width="11.5" style="13" customWidth="1"/>
    <col min="3" max="3" width="14.6640625" style="13" customWidth="1"/>
    <col min="4" max="4" width="12.1640625" style="13" customWidth="1"/>
    <col min="5" max="5" width="11.1640625" style="13" customWidth="1"/>
    <col min="6" max="7" width="13.33203125" style="13" bestFit="1" customWidth="1"/>
    <col min="8" max="8" width="12.5" style="13" customWidth="1"/>
    <col min="9" max="9" width="11.6640625" style="13" customWidth="1"/>
    <col min="10" max="10" width="12.33203125" style="13" customWidth="1"/>
    <col min="11" max="11" width="11.6640625" style="13" customWidth="1"/>
    <col min="12" max="12" width="13.6640625" style="13" customWidth="1"/>
    <col min="13" max="13" width="12.1640625" style="13" customWidth="1"/>
    <col min="14" max="14" width="15.1640625" style="13" customWidth="1"/>
    <col min="15" max="15" width="12.1640625" style="13" customWidth="1"/>
    <col min="16" max="16" width="14" style="13" bestFit="1" customWidth="1"/>
    <col min="17" max="17" width="12" style="13" bestFit="1" customWidth="1"/>
    <col min="18" max="18" width="13.33203125" style="13" customWidth="1"/>
    <col min="19" max="19" width="10.83203125" style="13" customWidth="1"/>
    <col min="20" max="20" width="13.33203125" style="13" bestFit="1" customWidth="1"/>
    <col min="21" max="21" width="13" style="13" bestFit="1" customWidth="1"/>
    <col min="22" max="16384" width="10.6640625" style="13"/>
  </cols>
  <sheetData>
    <row r="2" spans="3:21" ht="25.5">
      <c r="C2" s="11" t="s">
        <v>100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3:21" ht="22.5">
      <c r="C3" s="14"/>
      <c r="D3" s="15"/>
      <c r="E3" s="15"/>
      <c r="F3" s="15"/>
      <c r="G3" s="15"/>
      <c r="I3" s="16" t="s">
        <v>169</v>
      </c>
      <c r="J3" s="17"/>
      <c r="K3" s="17"/>
      <c r="L3" s="1251" t="s">
        <v>79</v>
      </c>
      <c r="M3" s="1251"/>
      <c r="N3" s="18">
        <f>Январь!N3</f>
        <v>2020</v>
      </c>
      <c r="O3" s="17"/>
      <c r="P3" s="15"/>
      <c r="Q3" s="15"/>
      <c r="R3" s="15"/>
      <c r="S3" s="15"/>
      <c r="T3" s="15"/>
    </row>
    <row r="4" spans="3:21" ht="20.25">
      <c r="C4" s="19"/>
      <c r="I4" s="1252" t="s">
        <v>147</v>
      </c>
      <c r="J4" s="1252"/>
      <c r="K4" s="1252"/>
      <c r="L4" s="1252"/>
      <c r="M4" s="1252"/>
      <c r="N4" s="1252"/>
      <c r="O4" s="20"/>
    </row>
    <row r="5" spans="3:21" ht="14.25" customHeight="1">
      <c r="C5" s="32" t="s">
        <v>104</v>
      </c>
      <c r="D5" s="33"/>
      <c r="F5" s="21"/>
      <c r="G5" s="22"/>
      <c r="I5" s="23"/>
      <c r="K5" s="24"/>
      <c r="L5" s="25"/>
      <c r="M5" s="25"/>
      <c r="N5" s="26"/>
      <c r="O5" s="20"/>
    </row>
    <row r="6" spans="3:21" ht="14.25" customHeight="1">
      <c r="C6" s="36" t="s">
        <v>29</v>
      </c>
      <c r="D6" s="37">
        <f>'корпоративный баланс энергии'!AB849</f>
        <v>7948.3618313781735</v>
      </c>
      <c r="F6" s="21"/>
      <c r="G6" s="22"/>
      <c r="I6" s="23"/>
      <c r="K6" s="24"/>
      <c r="L6" s="25"/>
      <c r="M6" s="25"/>
      <c r="N6" s="26"/>
      <c r="O6" s="20"/>
    </row>
    <row r="7" spans="3:21" ht="14.25" customHeight="1">
      <c r="C7" s="36" t="s">
        <v>107</v>
      </c>
      <c r="D7" s="37">
        <f>'корпоративный баланс энергии'!AD849</f>
        <v>6723.865559665488</v>
      </c>
      <c r="F7" s="21"/>
      <c r="G7" s="22"/>
      <c r="I7" s="23"/>
      <c r="K7" s="24"/>
      <c r="L7" s="25"/>
      <c r="M7" s="25"/>
      <c r="N7" s="26"/>
      <c r="O7" s="20"/>
    </row>
    <row r="8" spans="3:21" ht="14.25" customHeight="1">
      <c r="C8" s="36" t="s">
        <v>108</v>
      </c>
      <c r="D8" s="40">
        <f>D7-D6</f>
        <v>-1224.4962717126855</v>
      </c>
      <c r="F8" s="21"/>
      <c r="G8" s="22"/>
      <c r="I8" s="23"/>
      <c r="K8" s="24"/>
      <c r="L8" s="25"/>
      <c r="M8" s="25"/>
      <c r="N8" s="26"/>
      <c r="O8" s="20"/>
    </row>
    <row r="9" spans="3:21" ht="14.25" customHeight="1">
      <c r="C9" s="41" t="s">
        <v>109</v>
      </c>
      <c r="D9" s="40">
        <f>-D8-G11-I11-J13-J15+F16-E18-F30-G27+K20</f>
        <v>-3.7282873145159101E-3</v>
      </c>
      <c r="F9" s="21"/>
      <c r="G9" s="22"/>
      <c r="I9" s="23"/>
      <c r="K9" s="24"/>
      <c r="L9" s="25"/>
      <c r="M9" s="25"/>
      <c r="N9" s="26"/>
      <c r="O9" s="20"/>
    </row>
    <row r="10" spans="3:21" ht="14.25" customHeight="1">
      <c r="C10" s="19"/>
      <c r="F10" s="21"/>
      <c r="G10" s="22" t="s">
        <v>101</v>
      </c>
      <c r="I10" s="158" t="s">
        <v>243</v>
      </c>
      <c r="K10" s="24"/>
      <c r="L10" s="25"/>
      <c r="M10" s="25"/>
      <c r="N10" s="26"/>
      <c r="O10" s="20"/>
    </row>
    <row r="11" spans="3:21" ht="15.75" customHeight="1">
      <c r="C11" s="19"/>
      <c r="F11" s="21"/>
      <c r="G11" s="69">
        <f>-('корпоративный баланс энергии'!AC23+'корпоративный баланс энергии'!AC59)</f>
        <v>380</v>
      </c>
      <c r="I11" s="27">
        <f>-'корпоративный баланс энергии'!AC24</f>
        <v>30</v>
      </c>
      <c r="K11" s="24"/>
      <c r="L11" s="25"/>
      <c r="M11" s="25"/>
      <c r="N11" s="26"/>
      <c r="O11" s="20"/>
    </row>
    <row r="12" spans="3:21" ht="15.75" customHeight="1">
      <c r="C12" s="19"/>
      <c r="F12" s="21"/>
      <c r="J12" s="158" t="s">
        <v>244</v>
      </c>
      <c r="K12" s="15"/>
      <c r="L12" s="25"/>
      <c r="M12" s="25"/>
      <c r="N12" s="26"/>
      <c r="O12" s="29" t="s">
        <v>102</v>
      </c>
      <c r="R12" s="30">
        <f>SUM(D6,H34,D60,K34,N34,Q34,T34)</f>
        <v>81407.302352915314</v>
      </c>
    </row>
    <row r="13" spans="3:21" ht="15" customHeight="1">
      <c r="C13" s="19"/>
      <c r="D13" s="1253" t="s">
        <v>103</v>
      </c>
      <c r="E13" s="1253"/>
      <c r="F13" s="21"/>
      <c r="J13" s="27">
        <f>-'корпоративный баланс энергии'!AC25</f>
        <v>45</v>
      </c>
      <c r="K13" s="15"/>
      <c r="L13" s="34"/>
      <c r="M13" s="25"/>
      <c r="N13" s="26"/>
      <c r="O13" s="29" t="s">
        <v>105</v>
      </c>
      <c r="R13" s="30">
        <f>SUM(D7,H35,D61,K35,N35,Q35,T35)</f>
        <v>80092.789785229455</v>
      </c>
    </row>
    <row r="14" spans="3:21" ht="15.75" customHeight="1">
      <c r="C14" s="19"/>
      <c r="E14" s="35">
        <f>-('корпоративный баланс энергии'!AC30+'корпоративный баланс энергии'!AC31+'корпоративный баланс энергии'!AC32+'корпоративный баланс энергии'!AC33+'корпоративный баланс энергии'!AC61+'корпоративный баланс энергии'!AC62+'корпоративный баланс энергии'!AC63)</f>
        <v>470</v>
      </c>
      <c r="F14" s="21"/>
      <c r="J14" s="158" t="s">
        <v>245</v>
      </c>
      <c r="K14" s="24"/>
      <c r="L14" s="25"/>
      <c r="M14" s="25"/>
      <c r="N14" s="26"/>
      <c r="O14" s="29" t="s">
        <v>106</v>
      </c>
      <c r="R14" s="30">
        <f>SUM(D8,H36,D62,K36,N36,Q36,T36)</f>
        <v>-1314.5125676858447</v>
      </c>
      <c r="S14" s="24"/>
      <c r="T14" s="161">
        <f>-G11-I11-J13-J15+F16-E18-F30-F36-E45-F54-F61-I60-J47-L47-M47-N47+P47-R47-T47-F48</f>
        <v>-1314.5</v>
      </c>
      <c r="U14" s="161">
        <f>R13-R12</f>
        <v>-1314.5125676858588</v>
      </c>
    </row>
    <row r="15" spans="3:21">
      <c r="D15" s="41" t="s">
        <v>109</v>
      </c>
      <c r="E15" s="591">
        <f>-E14+D29+E18-F16</f>
        <v>0</v>
      </c>
      <c r="J15" s="27">
        <f>-'корпоративный баланс энергии'!AC26</f>
        <v>1.5</v>
      </c>
      <c r="O15" s="38"/>
      <c r="P15" s="24"/>
      <c r="Q15" s="24"/>
      <c r="R15" s="38"/>
    </row>
    <row r="16" spans="3:21">
      <c r="F16" s="69">
        <f>'корпоративный баланс энергии'!AC30+'корпоративный баланс энергии'!AC31+'корпоративный баланс энергии'!AC32+'корпоративный баланс энергии'!AC62+'корпоративный баланс энергии'!AC63</f>
        <v>-170</v>
      </c>
      <c r="O16" s="38"/>
      <c r="P16" s="24"/>
      <c r="Q16" s="24"/>
      <c r="R16" s="38"/>
    </row>
    <row r="17" spans="4:21" ht="13.5" thickBot="1">
      <c r="O17" s="38"/>
      <c r="P17" s="24"/>
      <c r="Q17" s="24"/>
      <c r="R17" s="38"/>
    </row>
    <row r="18" spans="4:21" ht="15">
      <c r="E18" s="210">
        <f>-('корпоративный баланс энергии'!AC33+'корпоративный баланс энергии'!AC61)</f>
        <v>300</v>
      </c>
      <c r="P18" s="863" t="s">
        <v>113</v>
      </c>
      <c r="Q18" s="864"/>
      <c r="R18" s="864"/>
      <c r="S18" s="864"/>
      <c r="T18" s="865"/>
      <c r="U18" s="866">
        <f>-O60</f>
        <v>93</v>
      </c>
    </row>
    <row r="19" spans="4:21" ht="14.25">
      <c r="F19" s="43"/>
      <c r="G19" s="1258" t="s">
        <v>110</v>
      </c>
      <c r="H19" s="1258"/>
      <c r="P19" s="867" t="s">
        <v>1070</v>
      </c>
      <c r="Q19" s="868"/>
      <c r="R19" s="868"/>
      <c r="S19" s="868"/>
      <c r="T19" s="869"/>
      <c r="U19" s="870">
        <f>SUM(U20:U21)</f>
        <v>-125.00422736675091</v>
      </c>
    </row>
    <row r="20" spans="4:21" ht="15">
      <c r="D20" s="24"/>
      <c r="E20" s="1257" t="s">
        <v>111</v>
      </c>
      <c r="F20" s="1257"/>
      <c r="G20" s="1258" t="s">
        <v>112</v>
      </c>
      <c r="H20" s="1258"/>
      <c r="K20" s="554">
        <v>2</v>
      </c>
      <c r="P20" s="871" t="s">
        <v>115</v>
      </c>
      <c r="Q20" s="868" t="s">
        <v>507</v>
      </c>
      <c r="R20" s="868"/>
      <c r="S20" s="868"/>
      <c r="T20" s="869"/>
      <c r="U20" s="870">
        <f>-N47</f>
        <v>-45.004227366750911</v>
      </c>
    </row>
    <row r="21" spans="4:21" ht="13.5" thickBot="1">
      <c r="F21" s="44"/>
      <c r="G21" s="36" t="s">
        <v>29</v>
      </c>
      <c r="H21" s="45">
        <f>D6-F22</f>
        <v>7341.1008313781731</v>
      </c>
      <c r="P21" s="872"/>
      <c r="Q21" s="873" t="s">
        <v>116</v>
      </c>
      <c r="R21" s="873"/>
      <c r="S21" s="873"/>
      <c r="T21" s="874"/>
      <c r="U21" s="875">
        <f>-M47</f>
        <v>-80</v>
      </c>
    </row>
    <row r="22" spans="4:21" ht="15" thickBot="1">
      <c r="E22" s="36" t="s">
        <v>29</v>
      </c>
      <c r="F22" s="37">
        <f>'корпоративный баланс энергии'!AB865</f>
        <v>607.26100000000008</v>
      </c>
      <c r="G22" s="36" t="s">
        <v>107</v>
      </c>
      <c r="H22" s="45">
        <f>D7-F23</f>
        <v>6416.6035596654883</v>
      </c>
      <c r="P22" s="860" t="s">
        <v>1068</v>
      </c>
      <c r="Q22" s="861"/>
      <c r="R22" s="861"/>
      <c r="S22" s="861"/>
      <c r="T22" s="861"/>
      <c r="U22" s="862">
        <f>'корпоративный баланс энергии'!AC74</f>
        <v>80</v>
      </c>
    </row>
    <row r="23" spans="4:21" ht="15" thickBot="1">
      <c r="E23" s="36" t="s">
        <v>107</v>
      </c>
      <c r="F23" s="37">
        <f>'корпоративный баланс энергии'!AD865</f>
        <v>307.262</v>
      </c>
      <c r="G23" s="36" t="s">
        <v>108</v>
      </c>
      <c r="H23" s="40">
        <f>H22-H21</f>
        <v>-924.49727171268478</v>
      </c>
      <c r="P23" s="858" t="s">
        <v>1071</v>
      </c>
      <c r="Q23" s="876"/>
      <c r="R23" s="876"/>
      <c r="S23" s="876"/>
      <c r="T23" s="859"/>
      <c r="U23" s="875">
        <f>MIN(ABS(N48),ABS(P48))</f>
        <v>45</v>
      </c>
    </row>
    <row r="24" spans="4:21" ht="15" thickBot="1">
      <c r="E24" s="36" t="s">
        <v>108</v>
      </c>
      <c r="F24" s="46">
        <f>F23-F22</f>
        <v>-299.99900000000008</v>
      </c>
      <c r="G24" s="41" t="s">
        <v>109</v>
      </c>
      <c r="H24" s="40">
        <f>-H23+F16+K20-G11-I11-J13-J15-G27-F30</f>
        <v>-2.728287315221678E-3</v>
      </c>
      <c r="P24" s="877" t="s">
        <v>1072</v>
      </c>
      <c r="Q24" s="873"/>
      <c r="R24" s="873"/>
      <c r="S24" s="873"/>
      <c r="T24" s="874"/>
      <c r="U24" s="875">
        <f>MIN(ABS('корпоративный баланс энергии'!AC54),ABS('корпоративный баланс энергии'!AC80))</f>
        <v>100</v>
      </c>
    </row>
    <row r="25" spans="4:21" ht="15" thickBot="1">
      <c r="E25" s="41" t="s">
        <v>109</v>
      </c>
      <c r="F25" s="46">
        <f>-F24-E18</f>
        <v>-9.9999999991950972E-4</v>
      </c>
      <c r="K25" s="555">
        <v>50</v>
      </c>
      <c r="P25" s="878" t="s">
        <v>1073</v>
      </c>
      <c r="Q25" s="879"/>
      <c r="R25" s="879"/>
      <c r="S25" s="879"/>
      <c r="T25" s="880"/>
      <c r="U25" s="881">
        <f>ABS(U23)+ABS(U24)</f>
        <v>145</v>
      </c>
    </row>
    <row r="26" spans="4:21" ht="15" thickBot="1">
      <c r="P26" s="877" t="s">
        <v>1257</v>
      </c>
      <c r="Q26" s="873"/>
      <c r="R26" s="873"/>
      <c r="S26" s="873"/>
      <c r="T26" s="874"/>
      <c r="U26" s="875">
        <f>'корпоративный баланс энергии'!AC79</f>
        <v>16</v>
      </c>
    </row>
    <row r="27" spans="4:21" ht="15" thickBot="1">
      <c r="G27" s="1159">
        <v>300</v>
      </c>
      <c r="P27" s="884" t="s">
        <v>1074</v>
      </c>
      <c r="Q27" s="885"/>
      <c r="R27" s="885"/>
      <c r="S27" s="885"/>
      <c r="T27" s="886"/>
      <c r="U27" s="887">
        <f>U22+U25+U26</f>
        <v>241</v>
      </c>
    </row>
    <row r="28" spans="4:21">
      <c r="S28" s="48"/>
      <c r="T28" s="48"/>
      <c r="U28" s="48"/>
    </row>
    <row r="29" spans="4:21">
      <c r="D29" s="600">
        <v>0</v>
      </c>
      <c r="R29" s="52"/>
    </row>
    <row r="30" spans="4:21">
      <c r="F30" s="69">
        <f>-('корпоративный баланс энергии'!AC34+'корпоративный баланс энергии'!AC64)</f>
        <v>0</v>
      </c>
    </row>
    <row r="31" spans="4:21" ht="15">
      <c r="G31" s="21" t="s">
        <v>117</v>
      </c>
      <c r="J31" s="28" t="s">
        <v>118</v>
      </c>
      <c r="K31" s="15"/>
      <c r="M31" s="21" t="s">
        <v>117</v>
      </c>
      <c r="P31" s="21" t="s">
        <v>117</v>
      </c>
      <c r="Q31" s="53"/>
      <c r="S31" s="21" t="s">
        <v>117</v>
      </c>
    </row>
    <row r="32" spans="4:21" ht="15">
      <c r="G32" s="28" t="s">
        <v>119</v>
      </c>
      <c r="H32" s="15"/>
      <c r="J32" s="28" t="s">
        <v>120</v>
      </c>
      <c r="K32" s="15"/>
      <c r="M32" s="28" t="s">
        <v>121</v>
      </c>
      <c r="N32" s="15"/>
      <c r="P32" s="28" t="s">
        <v>122</v>
      </c>
      <c r="Q32" s="54"/>
      <c r="S32" s="28" t="s">
        <v>123</v>
      </c>
      <c r="T32" s="15"/>
    </row>
    <row r="33" spans="3:20" ht="14.25">
      <c r="C33" s="21" t="s">
        <v>124</v>
      </c>
    </row>
    <row r="34" spans="3:20" ht="14.25">
      <c r="D34" s="21" t="s">
        <v>125</v>
      </c>
      <c r="G34" s="36" t="s">
        <v>29</v>
      </c>
      <c r="H34" s="37">
        <f>'корпоративный баланс энергии'!AB82</f>
        <v>16605.41148998143</v>
      </c>
      <c r="J34" s="36" t="s">
        <v>29</v>
      </c>
      <c r="K34" s="37">
        <f>'корпоративный баланс энергии'!AB370</f>
        <v>8700.4306698920154</v>
      </c>
      <c r="M34" s="36" t="s">
        <v>29</v>
      </c>
      <c r="N34" s="37">
        <f>'корпоративный баланс энергии'!AB538</f>
        <v>20354.380423453156</v>
      </c>
      <c r="P34" s="36" t="s">
        <v>29</v>
      </c>
      <c r="Q34" s="37">
        <f>'корпоративный баланс энергии'!AB1454</f>
        <v>15237.905118916586</v>
      </c>
      <c r="S34" s="36" t="s">
        <v>29</v>
      </c>
      <c r="T34" s="37">
        <f>'корпоративный баланс энергии'!AB1674</f>
        <v>3074.373</v>
      </c>
    </row>
    <row r="35" spans="3:20">
      <c r="E35" s="55">
        <f>-('корпоративный баланс энергии'!AC34+'корпоративный баланс энергии'!AC35+'корпоративный баланс энергии'!AC36+'корпоративный баланс энергии'!AC65)</f>
        <v>-25</v>
      </c>
      <c r="G35" s="36" t="s">
        <v>107</v>
      </c>
      <c r="H35" s="37">
        <f>'корпоративный баланс энергии'!AD82</f>
        <v>17810.408228474211</v>
      </c>
      <c r="J35" s="36" t="s">
        <v>107</v>
      </c>
      <c r="K35" s="37">
        <f>'корпоративный баланс энергии'!AD370</f>
        <v>8586.4178610727176</v>
      </c>
      <c r="M35" s="36" t="s">
        <v>107</v>
      </c>
      <c r="N35" s="37">
        <f>'корпоративный баланс энергии'!AD538</f>
        <v>19977.371942838086</v>
      </c>
      <c r="P35" s="36" t="s">
        <v>107</v>
      </c>
      <c r="Q35" s="37">
        <f>'корпоративный баланс энергии'!AD1454</f>
        <v>15562.989311583337</v>
      </c>
      <c r="S35" s="36" t="s">
        <v>107</v>
      </c>
      <c r="T35" s="37">
        <f>'корпоративный баланс энергии'!AD1674</f>
        <v>2702.2930347000001</v>
      </c>
    </row>
    <row r="36" spans="3:20">
      <c r="C36" s="599">
        <v>0</v>
      </c>
      <c r="D36" s="41" t="s">
        <v>109</v>
      </c>
      <c r="E36" s="591">
        <f>-E35-D29+F30+F36-C36</f>
        <v>0</v>
      </c>
      <c r="F36" s="69">
        <f>-('корпоративный баланс энергии'!AC35+'корпоративный баланс энергии'!AC36+'корпоративный баланс энергии'!AC65)</f>
        <v>-25</v>
      </c>
      <c r="G36" s="36" t="s">
        <v>108</v>
      </c>
      <c r="H36" s="46">
        <f>H35-H34</f>
        <v>1204.9967384927804</v>
      </c>
      <c r="I36" s="1160">
        <v>-160</v>
      </c>
      <c r="J36" s="56" t="s">
        <v>108</v>
      </c>
      <c r="K36" s="46">
        <f>K35-K34</f>
        <v>-114.01280881929779</v>
      </c>
      <c r="L36" s="1160">
        <v>-100</v>
      </c>
      <c r="M36" s="56" t="s">
        <v>108</v>
      </c>
      <c r="N36" s="57">
        <f>N35-N34</f>
        <v>-377.00848061506986</v>
      </c>
      <c r="O36" s="1162">
        <v>100</v>
      </c>
      <c r="P36" s="56" t="s">
        <v>108</v>
      </c>
      <c r="Q36" s="46">
        <f>Q35-Q34</f>
        <v>325.08419266675082</v>
      </c>
      <c r="R36" s="58">
        <f>T34-T35-T47</f>
        <v>22.079965299999913</v>
      </c>
      <c r="S36" s="56" t="s">
        <v>108</v>
      </c>
      <c r="T36" s="46">
        <f>T35-T34</f>
        <v>-372.07996529999991</v>
      </c>
    </row>
    <row r="37" spans="3:20">
      <c r="G37" s="41" t="s">
        <v>109</v>
      </c>
      <c r="H37" s="46">
        <f>-H36-F36+G27+K25-I36-E45-G40</f>
        <v>3.2615072195767425E-3</v>
      </c>
      <c r="J37" s="41" t="s">
        <v>109</v>
      </c>
      <c r="K37" s="46">
        <f>-K36+I36-L36-L47-I42</f>
        <v>1.2808819297788432E-2</v>
      </c>
      <c r="L37" s="44"/>
      <c r="M37" s="41" t="s">
        <v>109</v>
      </c>
      <c r="N37" s="57">
        <f>-N36+L36-O36-K20-K25-M47-N47</f>
        <v>4.2532483189461345E-3</v>
      </c>
      <c r="P37" s="41" t="s">
        <v>109</v>
      </c>
      <c r="Q37" s="40">
        <f>-Q36+O36+R36-R47+P47</f>
        <v>0</v>
      </c>
      <c r="R37" s="44"/>
      <c r="S37" s="41" t="s">
        <v>109</v>
      </c>
      <c r="T37" s="40">
        <f>-T36-R36-T47</f>
        <v>0</v>
      </c>
    </row>
    <row r="39" spans="3:20" ht="15">
      <c r="H39" s="160" t="s">
        <v>126</v>
      </c>
      <c r="N39" s="59"/>
      <c r="O39" s="24"/>
    </row>
    <row r="40" spans="3:20">
      <c r="G40" s="1161">
        <v>-620</v>
      </c>
      <c r="H40" s="160" t="s">
        <v>127</v>
      </c>
      <c r="N40" s="60"/>
      <c r="O40" s="61"/>
    </row>
    <row r="41" spans="3:20" ht="13.5" customHeight="1">
      <c r="I41" s="160" t="s">
        <v>128</v>
      </c>
      <c r="N41" s="62"/>
      <c r="O41" s="61"/>
    </row>
    <row r="42" spans="3:20">
      <c r="G42" s="1259" t="s">
        <v>129</v>
      </c>
      <c r="H42" s="1259"/>
      <c r="I42" s="1161">
        <v>50</v>
      </c>
    </row>
    <row r="43" spans="3:20">
      <c r="G43" s="1262" t="s">
        <v>130</v>
      </c>
      <c r="H43" s="1262"/>
    </row>
    <row r="44" spans="3:20">
      <c r="E44" s="44"/>
      <c r="G44" s="36" t="s">
        <v>29</v>
      </c>
      <c r="H44" s="37">
        <f>'корпоративный баланс энергии'!AB1122+'корпоративный баланс энергии'!AB1089</f>
        <v>1594.74176171875</v>
      </c>
      <c r="M44" s="160" t="s">
        <v>251</v>
      </c>
      <c r="N44" s="64"/>
      <c r="O44" s="160" t="s">
        <v>248</v>
      </c>
    </row>
    <row r="45" spans="3:20">
      <c r="E45" s="69">
        <f>-('корпоративный баланс энергии'!AC37+'корпоративный баланс энергии'!AC38+'корпоративный баланс энергии'!AC39+'корпоративный баланс энергии'!AC66+'корпоративный баланс энергии'!AC67+'корпоративный баланс энергии'!AC68)</f>
        <v>-50</v>
      </c>
      <c r="G45" s="36" t="s">
        <v>107</v>
      </c>
      <c r="H45" s="37">
        <f>'корпоративный баланс энергии'!AD1122+'корпоративный баланс энергии'!AD1089</f>
        <v>1760.7442094851581</v>
      </c>
      <c r="M45" s="160" t="s">
        <v>336</v>
      </c>
      <c r="O45" s="160" t="s">
        <v>249</v>
      </c>
    </row>
    <row r="46" spans="3:20" ht="14.25">
      <c r="G46" s="36" t="s">
        <v>108</v>
      </c>
      <c r="H46" s="46">
        <f>H45-H44</f>
        <v>166.00244776640807</v>
      </c>
      <c r="J46" s="160" t="s">
        <v>131</v>
      </c>
      <c r="O46" s="160" t="s">
        <v>250</v>
      </c>
      <c r="R46" s="65" t="s">
        <v>132</v>
      </c>
      <c r="T46" s="21" t="s">
        <v>133</v>
      </c>
    </row>
    <row r="47" spans="3:20">
      <c r="F47" s="29"/>
      <c r="G47" s="41" t="s">
        <v>109</v>
      </c>
      <c r="H47" s="46">
        <f>-H46+G40+I42-J47-F48-G49</f>
        <v>-2.4477664080677641E-3</v>
      </c>
      <c r="J47" s="69">
        <f>-('корпоративный баланс энергии'!AC49+'корпоративный баланс энергии'!AC50)</f>
        <v>14</v>
      </c>
      <c r="L47" s="210">
        <f>-('корпоративный баланс энергии'!AC46+'корпоративный баланс энергии'!AC47+'корпоративный баланс энергии'!AC74)</f>
        <v>4</v>
      </c>
      <c r="M47" s="66">
        <f>-('корпоративный баланс энергии'!AC48+'корпоративный баланс энергии'!AC75)</f>
        <v>80</v>
      </c>
      <c r="N47" s="42">
        <f>P62+P47</f>
        <v>45.004227366750911</v>
      </c>
      <c r="O47" s="1177">
        <f>-'корпоративный баланс энергии'!AD53</f>
        <v>14</v>
      </c>
      <c r="P47" s="42">
        <f>Q36-O36-R36+R47</f>
        <v>236.00422736675091</v>
      </c>
      <c r="R47" s="27">
        <f>-('корпоративный баланс энергии'!AC27+'корпоративный баланс энергии'!AC28+'корпоративный баланс энергии'!AC60)</f>
        <v>33</v>
      </c>
      <c r="T47" s="27">
        <f>-'корпоративный баланс энергии'!AC29</f>
        <v>350</v>
      </c>
    </row>
    <row r="48" spans="3:20">
      <c r="F48" s="51">
        <f>-('корпоративный баланс энергии'!AC40)</f>
        <v>0</v>
      </c>
      <c r="N48" s="584">
        <f>-('корпоративный баланс энергии'!AC51+'корпоративный баланс энергии'!AC52+'корпоративный баланс энергии'!AC76+'корпоративный баланс энергии'!AC77)</f>
        <v>45</v>
      </c>
      <c r="P48" s="584">
        <f>'корпоративный баланс энергии'!AC53+'корпоративный баланс энергии'!AC54+'корпоративный баланс энергии'!AC55+'корпоративный баланс энергии'!AC56+'корпоративный баланс энергии'!AC78+'корпоративный баланс энергии'!AC79+'корпоративный баланс энергии'!AC80</f>
        <v>236</v>
      </c>
    </row>
    <row r="49" spans="2:19" ht="15.75">
      <c r="C49" s="22" t="s">
        <v>134</v>
      </c>
      <c r="F49" s="160" t="s">
        <v>135</v>
      </c>
      <c r="G49" s="1163">
        <v>-750</v>
      </c>
      <c r="H49" s="160" t="s">
        <v>136</v>
      </c>
      <c r="P49" s="13" t="s">
        <v>90</v>
      </c>
    </row>
    <row r="50" spans="2:19">
      <c r="D50" s="68" t="s">
        <v>137</v>
      </c>
      <c r="H50" s="160" t="s">
        <v>138</v>
      </c>
    </row>
    <row r="51" spans="2:19">
      <c r="E51" s="55">
        <f>-('корпоративный баланс энергии'!AC37+'корпоративный баланс энергии'!AC38+'корпоративный баланс энергии'!AC39+'корпоративный баланс энергии'!AC40+'корпоративный баланс энергии'!AC41+'корпоративный баланс энергии'!AC66+'корпоративный баланс энергии'!AC67+'корпоративный баланс энергии'!AC68+'корпоративный баланс энергии'!AC69+'корпоративный баланс энергии'!AC70)</f>
        <v>160</v>
      </c>
      <c r="H51" s="160" t="s">
        <v>508</v>
      </c>
    </row>
    <row r="52" spans="2:19" ht="14.25">
      <c r="C52" s="599">
        <v>0</v>
      </c>
      <c r="D52" s="41" t="s">
        <v>109</v>
      </c>
      <c r="E52" s="591">
        <f>-E51+E45+F48+F54-E54-C52</f>
        <v>0</v>
      </c>
      <c r="G52" s="28"/>
      <c r="H52" s="15"/>
      <c r="O52" s="70"/>
    </row>
    <row r="53" spans="2:19" ht="15">
      <c r="B53" s="581" t="s">
        <v>513</v>
      </c>
      <c r="G53" s="28" t="s">
        <v>890</v>
      </c>
      <c r="H53" s="15"/>
      <c r="I53" s="59"/>
      <c r="J53" s="24"/>
    </row>
    <row r="54" spans="2:19">
      <c r="B54" s="36" t="s">
        <v>29</v>
      </c>
      <c r="C54" s="157">
        <f>'корпоративный баланс энергии'!AB1390</f>
        <v>490.37682699999999</v>
      </c>
      <c r="E54" s="51">
        <f>'корпоративный баланс энергии'!AC70</f>
        <v>0</v>
      </c>
      <c r="F54" s="69">
        <f>-'корпоративный баланс энергии'!AC41+'корпоративный баланс энергии'!AC69</f>
        <v>210</v>
      </c>
      <c r="G54" s="1262" t="s">
        <v>889</v>
      </c>
      <c r="H54" s="1262"/>
      <c r="I54" s="60"/>
      <c r="J54" s="61"/>
      <c r="M54" s="44"/>
    </row>
    <row r="55" spans="2:19" ht="18.75">
      <c r="B55" s="36" t="s">
        <v>107</v>
      </c>
      <c r="C55" s="157">
        <f>'корпоративный баланс энергии'!AD1390</f>
        <v>675.11132597077949</v>
      </c>
      <c r="G55" s="36" t="s">
        <v>29</v>
      </c>
      <c r="H55" s="37">
        <f>D60-C54-H44</f>
        <v>7401.3212305751904</v>
      </c>
      <c r="I55" s="62"/>
      <c r="J55" s="61"/>
      <c r="M55" s="221">
        <f>J47+L47+M47</f>
        <v>98</v>
      </c>
    </row>
    <row r="56" spans="2:19">
      <c r="B56" s="36" t="s">
        <v>108</v>
      </c>
      <c r="C56" s="40">
        <f>C55-C54</f>
        <v>184.7344989707795</v>
      </c>
      <c r="D56" s="582" t="s">
        <v>511</v>
      </c>
      <c r="E56" s="210">
        <f>'корпоративный баланс энергии'!AC1390</f>
        <v>184.7344989707795</v>
      </c>
      <c r="G56" s="36" t="s">
        <v>107</v>
      </c>
      <c r="H56" s="37">
        <f>D61-C55-H45</f>
        <v>6293.5883114396802</v>
      </c>
      <c r="I56" s="75"/>
      <c r="L56" s="29" t="s">
        <v>139</v>
      </c>
      <c r="M56" s="51">
        <f>-('корпоративный баланс энергии'!AC46+'корпоративный баланс энергии'!AC47+'корпоративный баланс энергии'!AC48+'корпоративный баланс энергии'!AC49+'корпоративный баланс энергии'!AC50+'корпоративный баланс энергии'!AC74+'корпоративный баланс энергии'!AC75)</f>
        <v>98</v>
      </c>
    </row>
    <row r="57" spans="2:19">
      <c r="B57" s="41" t="s">
        <v>109</v>
      </c>
      <c r="C57" s="40">
        <f>-C56+E54+E56</f>
        <v>0</v>
      </c>
      <c r="D57" s="583" t="s">
        <v>512</v>
      </c>
      <c r="G57" s="36" t="s">
        <v>108</v>
      </c>
      <c r="H57" s="46">
        <f>H56-H55</f>
        <v>-1107.7329191355102</v>
      </c>
      <c r="J57" s="76"/>
      <c r="L57" s="29" t="s">
        <v>140</v>
      </c>
      <c r="P57" s="77"/>
    </row>
    <row r="58" spans="2:19" ht="20.25" customHeight="1">
      <c r="G58" s="41" t="s">
        <v>109</v>
      </c>
      <c r="H58" s="78">
        <f>-H57-F54-E56+G49-I60-F61</f>
        <v>-1.5798352692399931E-3</v>
      </c>
      <c r="I58" s="29"/>
      <c r="M58" s="79" t="s">
        <v>141</v>
      </c>
    </row>
    <row r="59" spans="2:19" ht="14.25">
      <c r="C59" s="32" t="s">
        <v>246</v>
      </c>
      <c r="D59" s="33"/>
    </row>
    <row r="60" spans="2:19">
      <c r="C60" s="36" t="s">
        <v>29</v>
      </c>
      <c r="D60" s="157">
        <f>'корпоративный баланс энергии'!AB1082</f>
        <v>9486.4398192939407</v>
      </c>
      <c r="I60" s="80">
        <f>I65</f>
        <v>-5</v>
      </c>
      <c r="L60" s="81" t="s">
        <v>337</v>
      </c>
      <c r="M60" s="81"/>
      <c r="N60" s="81"/>
      <c r="O60" s="82">
        <f>J47+L47+M47+N47-P47</f>
        <v>-93</v>
      </c>
      <c r="P60" s="69">
        <f>-('корпоративный баланс энергии'!AC46+'корпоративный баланс энергии'!AC47+'корпоративный баланс энергии'!AC48+'корпоративный баланс энергии'!AC49+'корпоративный баланс энергии'!AC50+'корпоративный баланс энергии'!AC51+'корпоративный баланс энергии'!AC52+'корпоративный баланс энергии'!AC53+'корпоративный баланс энергии'!AC54+'корпоративный баланс энергии'!AC55+'корпоративный баланс энергии'!AC56+'корпоративный баланс энергии'!AC74+'корпоративный баланс энергии'!AC75+'корпоративный баланс энергии'!AC76+'корпоративный баланс энергии'!AC77+'корпоративный баланс энергии'!AC78+'корпоративный баланс энергии'!AC79+'корпоративный баланс энергии'!AC80)</f>
        <v>-93</v>
      </c>
      <c r="S60" s="161">
        <f>M56+P62</f>
        <v>-93</v>
      </c>
    </row>
    <row r="61" spans="2:19">
      <c r="C61" s="36" t="s">
        <v>107</v>
      </c>
      <c r="D61" s="157">
        <f>'корпоративный баланс энергии'!AD1082</f>
        <v>8729.4438468956178</v>
      </c>
      <c r="F61" s="80">
        <f>F65</f>
        <v>-32</v>
      </c>
      <c r="H61" s="75"/>
      <c r="N61" s="83"/>
    </row>
    <row r="62" spans="2:19" ht="14.25">
      <c r="C62" s="36" t="s">
        <v>108</v>
      </c>
      <c r="D62" s="40">
        <f>D61-D60</f>
        <v>-756.99597239832292</v>
      </c>
      <c r="E62" s="21"/>
      <c r="L62" s="209" t="s">
        <v>338</v>
      </c>
      <c r="N62" s="83"/>
      <c r="P62" s="69">
        <f>-('корпоративный баланс энергии'!AC51+'корпоративный баланс энергии'!AC52+'корпоративный баланс энергии'!AC53+'корпоративный баланс энергии'!AC54+'корпоративный баланс энергии'!AC55+'корпоративный баланс энергии'!AC56+'корпоративный баланс энергии'!AC76+'корпоративный баланс энергии'!AC77+'корпоративный баланс энергии'!AC78+'корпоративный баланс энергии'!AC79+'корпоративный баланс энергии'!AC80)</f>
        <v>-191</v>
      </c>
      <c r="S62" s="161">
        <f>-(P47-N47)</f>
        <v>-191</v>
      </c>
    </row>
    <row r="63" spans="2:19">
      <c r="C63" s="41" t="s">
        <v>109</v>
      </c>
      <c r="D63" s="40">
        <f>-D62+G40+I42-J47-I60-F61-F54-F48</f>
        <v>-4.0276016770803835E-3</v>
      </c>
      <c r="K63" s="84"/>
      <c r="N63" s="13" t="s">
        <v>75</v>
      </c>
      <c r="O63" s="83" t="s">
        <v>142</v>
      </c>
    </row>
    <row r="64" spans="2:19">
      <c r="F64" s="162" t="s">
        <v>143</v>
      </c>
      <c r="I64" s="31" t="s">
        <v>144</v>
      </c>
      <c r="N64" s="13" t="s">
        <v>145</v>
      </c>
      <c r="O64" s="83" t="s">
        <v>146</v>
      </c>
    </row>
    <row r="65" spans="6:20">
      <c r="F65" s="85">
        <f>-('корпоративный баланс энергии'!AC42+'корпоративный баланс энергии'!AC44+'корпоративный баланс энергии'!AC45+'корпоративный баланс энергии'!AC72)</f>
        <v>-32</v>
      </c>
      <c r="I65" s="85">
        <f>-('корпоративный баланс энергии'!AC43+'корпоративный баланс энергии'!AC71)</f>
        <v>-5</v>
      </c>
      <c r="O65" s="83"/>
    </row>
    <row r="66" spans="6:20">
      <c r="O66" s="83"/>
    </row>
    <row r="67" spans="6:20">
      <c r="O67" s="83"/>
    </row>
    <row r="68" spans="6:20">
      <c r="O68" s="83"/>
    </row>
    <row r="69" spans="6:20">
      <c r="O69" s="83"/>
    </row>
    <row r="70" spans="6:20">
      <c r="O70" s="83"/>
    </row>
    <row r="72" spans="6:20" ht="14.25" hidden="1">
      <c r="K72" s="1260" t="s">
        <v>149</v>
      </c>
      <c r="L72" s="1261"/>
      <c r="N72" s="1260" t="s">
        <v>149</v>
      </c>
      <c r="O72" s="1261"/>
      <c r="Q72" s="1260" t="s">
        <v>149</v>
      </c>
      <c r="R72" s="1261"/>
    </row>
    <row r="73" spans="6:20" ht="14.25" hidden="1">
      <c r="K73" s="1255" t="s">
        <v>154</v>
      </c>
      <c r="L73" s="1256"/>
      <c r="N73" s="1255" t="s">
        <v>153</v>
      </c>
      <c r="O73" s="1256"/>
      <c r="Q73" s="1255" t="s">
        <v>150</v>
      </c>
      <c r="R73" s="1256"/>
    </row>
    <row r="74" spans="6:20" ht="15.75" hidden="1">
      <c r="F74" s="1263" t="s">
        <v>156</v>
      </c>
      <c r="G74" s="1263"/>
      <c r="H74" s="1263"/>
      <c r="I74" s="1263"/>
      <c r="J74" s="102">
        <f>-L79-M74</f>
        <v>414.65618261327324</v>
      </c>
      <c r="K74" s="97" t="s">
        <v>29</v>
      </c>
      <c r="L74" s="98">
        <f>SUM(L75:L77)</f>
        <v>4308.9165373629021</v>
      </c>
      <c r="M74" s="100">
        <f>O76+P74</f>
        <v>-73.039645250371336</v>
      </c>
      <c r="N74" s="97" t="s">
        <v>29</v>
      </c>
      <c r="O74" s="98">
        <f>'корпоративный баланс энергии'!AB1490</f>
        <v>460.69377499999996</v>
      </c>
      <c r="P74" s="100">
        <f>R76-S74</f>
        <v>14.226113066391804</v>
      </c>
      <c r="Q74" s="97" t="s">
        <v>29</v>
      </c>
      <c r="R74" s="98">
        <f>'корпоративный баланс энергии'!AB1508</f>
        <v>545.3949544400092</v>
      </c>
      <c r="S74" s="100">
        <f>R36</f>
        <v>22.079965299999913</v>
      </c>
      <c r="T74" s="9" t="s">
        <v>152</v>
      </c>
    </row>
    <row r="75" spans="6:20" hidden="1">
      <c r="J75"/>
      <c r="K75" s="97" t="s">
        <v>56</v>
      </c>
      <c r="L75" s="98">
        <f>'корпоративный баланс энергии'!AB1528</f>
        <v>475.52800000000002</v>
      </c>
      <c r="N75" s="97" t="s">
        <v>107</v>
      </c>
      <c r="O75" s="98">
        <f>'корпоративный баланс энергии'!AD1490</f>
        <v>373.42801668323682</v>
      </c>
      <c r="Q75" s="97" t="s">
        <v>107</v>
      </c>
      <c r="R75" s="98">
        <f>'корпоративный баланс энергии'!AD1508</f>
        <v>581.70103280640092</v>
      </c>
    </row>
    <row r="76" spans="6:20" hidden="1">
      <c r="J76"/>
      <c r="K76" s="97" t="s">
        <v>55</v>
      </c>
      <c r="L76" s="98">
        <f>'корпоративный баланс энергии'!AB1529</f>
        <v>3779.9708873629015</v>
      </c>
      <c r="N76" s="97" t="s">
        <v>108</v>
      </c>
      <c r="O76" s="98">
        <f>O75-O74</f>
        <v>-87.26575831676314</v>
      </c>
      <c r="Q76" s="97" t="s">
        <v>108</v>
      </c>
      <c r="R76" s="98">
        <f>R75-R74</f>
        <v>36.306078366391716</v>
      </c>
    </row>
    <row r="77" spans="6:20" ht="16.5" hidden="1" thickBot="1">
      <c r="I77" s="103" t="s">
        <v>157</v>
      </c>
      <c r="J77" s="102">
        <v>1265</v>
      </c>
      <c r="K77" s="97" t="s">
        <v>155</v>
      </c>
      <c r="L77" s="98">
        <f>'корпоративный баланс энергии'!AB1530</f>
        <v>53.417650000000002</v>
      </c>
      <c r="N77" s="99" t="s">
        <v>151</v>
      </c>
      <c r="O77" s="101">
        <f>-O76-P74+M74</f>
        <v>0</v>
      </c>
      <c r="Q77" s="99" t="s">
        <v>151</v>
      </c>
      <c r="R77" s="101">
        <f>-R76+S74+P74</f>
        <v>0</v>
      </c>
    </row>
    <row r="78" spans="6:20" hidden="1">
      <c r="J78"/>
      <c r="K78" s="97" t="s">
        <v>107</v>
      </c>
      <c r="L78" s="98">
        <f>'корпоративный баланс энергии'!AD1527</f>
        <v>3967.3</v>
      </c>
    </row>
    <row r="79" spans="6:20" ht="15.75" hidden="1">
      <c r="F79" s="1263" t="s">
        <v>158</v>
      </c>
      <c r="G79" s="1263"/>
      <c r="H79" s="1263"/>
      <c r="I79" s="1263"/>
      <c r="J79" s="102">
        <f>SUM(J85:J96)</f>
        <v>268.292980736</v>
      </c>
      <c r="K79" s="97" t="s">
        <v>108</v>
      </c>
      <c r="L79" s="98">
        <f>L78-L74</f>
        <v>-341.61653736290191</v>
      </c>
    </row>
    <row r="80" spans="6:20" ht="16.5" hidden="1" thickBot="1">
      <c r="F80" s="1263" t="s">
        <v>159</v>
      </c>
      <c r="G80" s="1263"/>
      <c r="H80" s="1263"/>
      <c r="I80" s="1263"/>
      <c r="J80" s="102">
        <f>L76+(J77-J74)+(L75-J79)</f>
        <v>4837.5497240136283</v>
      </c>
      <c r="K80" s="99" t="s">
        <v>151</v>
      </c>
      <c r="L80" s="101">
        <f>-L79-M74-J74</f>
        <v>0</v>
      </c>
    </row>
    <row r="81" spans="7:11" hidden="1">
      <c r="K81"/>
    </row>
    <row r="82" spans="7:11" hidden="1"/>
    <row r="83" spans="7:11" hidden="1"/>
    <row r="84" spans="7:11" hidden="1"/>
    <row r="85" spans="7:11" hidden="1">
      <c r="G85" s="104" t="s">
        <v>160</v>
      </c>
      <c r="H85" s="24"/>
      <c r="J85" s="119">
        <v>9.7279999999999998</v>
      </c>
    </row>
    <row r="86" spans="7:11" hidden="1">
      <c r="G86" s="104" t="s">
        <v>161</v>
      </c>
      <c r="H86" s="24"/>
      <c r="J86" s="119">
        <v>0</v>
      </c>
    </row>
    <row r="87" spans="7:11" hidden="1">
      <c r="G87" s="104" t="s">
        <v>162</v>
      </c>
      <c r="H87" s="24"/>
      <c r="J87" s="119">
        <v>69.999517999999995</v>
      </c>
    </row>
    <row r="88" spans="7:11" hidden="1">
      <c r="G88" s="104" t="s">
        <v>163</v>
      </c>
      <c r="H88" s="24"/>
      <c r="J88" s="119">
        <v>2.23</v>
      </c>
    </row>
    <row r="89" spans="7:11" hidden="1">
      <c r="G89" s="104" t="s">
        <v>164</v>
      </c>
      <c r="H89" s="24"/>
      <c r="J89" s="119">
        <v>22.8148096</v>
      </c>
    </row>
    <row r="90" spans="7:11" hidden="1">
      <c r="G90" s="104" t="s">
        <v>165</v>
      </c>
      <c r="H90" s="24"/>
      <c r="J90" s="119">
        <v>18.600000000000001</v>
      </c>
    </row>
    <row r="91" spans="7:11" hidden="1">
      <c r="G91" s="104" t="s">
        <v>166</v>
      </c>
      <c r="H91" s="24"/>
      <c r="J91" s="119">
        <v>7.0764100000000001</v>
      </c>
    </row>
    <row r="92" spans="7:11" hidden="1">
      <c r="G92" s="104" t="s">
        <v>167</v>
      </c>
      <c r="H92" s="24"/>
      <c r="J92" s="119">
        <v>0</v>
      </c>
    </row>
    <row r="93" spans="7:11" hidden="1">
      <c r="G93" s="104" t="s">
        <v>168</v>
      </c>
      <c r="H93" s="24"/>
      <c r="J93" s="119">
        <v>0</v>
      </c>
    </row>
    <row r="94" spans="7:11" hidden="1">
      <c r="G94" s="104" t="s">
        <v>61</v>
      </c>
      <c r="H94" s="24"/>
      <c r="J94" s="119">
        <v>52.333123399999998</v>
      </c>
    </row>
    <row r="95" spans="7:11" hidden="1">
      <c r="G95" s="104" t="s">
        <v>62</v>
      </c>
      <c r="H95" s="24"/>
      <c r="J95" s="119">
        <v>28.971119735999999</v>
      </c>
    </row>
    <row r="96" spans="7:11" hidden="1">
      <c r="G96" s="104" t="s">
        <v>63</v>
      </c>
      <c r="H96" s="24"/>
      <c r="J96" s="119">
        <v>56.54</v>
      </c>
    </row>
  </sheetData>
  <mergeCells count="18">
    <mergeCell ref="F80:I80"/>
    <mergeCell ref="K72:L72"/>
    <mergeCell ref="F79:I79"/>
    <mergeCell ref="Q72:R72"/>
    <mergeCell ref="K73:L73"/>
    <mergeCell ref="N73:O73"/>
    <mergeCell ref="Q73:R73"/>
    <mergeCell ref="N72:O72"/>
    <mergeCell ref="E20:F20"/>
    <mergeCell ref="G20:H20"/>
    <mergeCell ref="G42:H42"/>
    <mergeCell ref="F74:I74"/>
    <mergeCell ref="L3:M3"/>
    <mergeCell ref="I4:N4"/>
    <mergeCell ref="D13:E13"/>
    <mergeCell ref="G19:H19"/>
    <mergeCell ref="G43:H43"/>
    <mergeCell ref="G54:H54"/>
  </mergeCells>
  <phoneticPr fontId="20" type="noConversion"/>
  <conditionalFormatting sqref="G85:G96">
    <cfRule type="cellIs" dxfId="7" priority="1" stopIfTrue="1" operator="notEqual">
      <formula>G84</formula>
    </cfRule>
  </conditionalFormatting>
  <pageMargins left="0.75" right="0.75" top="0.23" bottom="0.2" header="0.17" footer="0.17"/>
  <pageSetup paperSize="9" scale="51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4"/>
  <dimension ref="B2:U96"/>
  <sheetViews>
    <sheetView view="pageBreakPreview" topLeftCell="A4" zoomScale="75" zoomScaleNormal="75" zoomScaleSheetLayoutView="75" workbookViewId="0">
      <selection activeCell="O60" sqref="O60"/>
    </sheetView>
  </sheetViews>
  <sheetFormatPr defaultColWidth="10.6640625" defaultRowHeight="12.75"/>
  <cols>
    <col min="1" max="1" width="4.6640625" style="13" customWidth="1"/>
    <col min="2" max="2" width="11.5" style="13" customWidth="1"/>
    <col min="3" max="3" width="14.6640625" style="13" customWidth="1"/>
    <col min="4" max="4" width="12.1640625" style="13" customWidth="1"/>
    <col min="5" max="5" width="11.1640625" style="13" customWidth="1"/>
    <col min="6" max="6" width="13.33203125" style="13" bestFit="1" customWidth="1"/>
    <col min="7" max="7" width="12.1640625" style="13" bestFit="1" customWidth="1"/>
    <col min="8" max="8" width="12.5" style="13" customWidth="1"/>
    <col min="9" max="9" width="11.6640625" style="13" customWidth="1"/>
    <col min="10" max="10" width="12.33203125" style="13" customWidth="1"/>
    <col min="11" max="11" width="11.6640625" style="13" customWidth="1"/>
    <col min="12" max="12" width="13.6640625" style="13" customWidth="1"/>
    <col min="13" max="13" width="12.1640625" style="13" customWidth="1"/>
    <col min="14" max="14" width="15.1640625" style="13" customWidth="1"/>
    <col min="15" max="15" width="12.1640625" style="13" customWidth="1"/>
    <col min="16" max="16" width="14" style="13" bestFit="1" customWidth="1"/>
    <col min="17" max="17" width="12" style="13" bestFit="1" customWidth="1"/>
    <col min="18" max="18" width="13.33203125" style="13" customWidth="1"/>
    <col min="19" max="19" width="10.83203125" style="13" customWidth="1"/>
    <col min="20" max="20" width="13.33203125" style="13" bestFit="1" customWidth="1"/>
    <col min="21" max="21" width="12.1640625" style="13" bestFit="1" customWidth="1"/>
    <col min="22" max="16384" width="10.6640625" style="13"/>
  </cols>
  <sheetData>
    <row r="2" spans="3:21" ht="25.5">
      <c r="C2" s="11" t="s">
        <v>100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3:21" ht="22.5">
      <c r="C3" s="14"/>
      <c r="D3" s="15"/>
      <c r="E3" s="15"/>
      <c r="F3" s="15"/>
      <c r="G3" s="15"/>
      <c r="I3" s="16" t="s">
        <v>169</v>
      </c>
      <c r="J3" s="17"/>
      <c r="K3" s="17"/>
      <c r="L3" s="1251" t="s">
        <v>80</v>
      </c>
      <c r="M3" s="1251"/>
      <c r="N3" s="18">
        <f>Январь!N3</f>
        <v>2020</v>
      </c>
      <c r="O3" s="17"/>
      <c r="P3" s="15"/>
      <c r="Q3" s="15"/>
      <c r="R3" s="15"/>
      <c r="S3" s="15"/>
      <c r="T3" s="15"/>
    </row>
    <row r="4" spans="3:21" ht="20.25">
      <c r="C4" s="19"/>
      <c r="I4" s="1252" t="s">
        <v>147</v>
      </c>
      <c r="J4" s="1252"/>
      <c r="K4" s="1252"/>
      <c r="L4" s="1252"/>
      <c r="M4" s="1252"/>
      <c r="N4" s="1252"/>
      <c r="O4" s="20"/>
    </row>
    <row r="5" spans="3:21" ht="14.25" customHeight="1">
      <c r="C5" s="32" t="s">
        <v>104</v>
      </c>
      <c r="D5" s="33"/>
      <c r="F5" s="21"/>
      <c r="G5" s="22"/>
      <c r="I5" s="23"/>
      <c r="K5" s="24"/>
      <c r="L5" s="25"/>
      <c r="M5" s="25"/>
      <c r="N5" s="26"/>
      <c r="O5" s="20"/>
    </row>
    <row r="6" spans="3:21" ht="14.25" customHeight="1">
      <c r="C6" s="36" t="s">
        <v>29</v>
      </c>
      <c r="D6" s="37">
        <f>'корпоративный баланс энергии'!AE849</f>
        <v>7879.9872289644773</v>
      </c>
      <c r="F6" s="21"/>
      <c r="G6" s="22"/>
      <c r="I6" s="23"/>
      <c r="K6" s="24"/>
      <c r="L6" s="25"/>
      <c r="M6" s="25"/>
      <c r="N6" s="26"/>
      <c r="O6" s="20"/>
    </row>
    <row r="7" spans="3:21" ht="14.25" customHeight="1">
      <c r="C7" s="36" t="s">
        <v>107</v>
      </c>
      <c r="D7" s="37">
        <f>'корпоративный баланс энергии'!AG849</f>
        <v>6958.4889890640079</v>
      </c>
      <c r="F7" s="21"/>
      <c r="G7" s="22"/>
      <c r="I7" s="23"/>
      <c r="K7" s="24"/>
      <c r="L7" s="25"/>
      <c r="M7" s="25"/>
      <c r="N7" s="26"/>
      <c r="O7" s="20"/>
    </row>
    <row r="8" spans="3:21" ht="14.25" customHeight="1">
      <c r="C8" s="36" t="s">
        <v>108</v>
      </c>
      <c r="D8" s="40">
        <f>D7-D6</f>
        <v>-921.49823990046934</v>
      </c>
      <c r="F8" s="21"/>
      <c r="G8" s="22"/>
      <c r="I8" s="23"/>
      <c r="K8" s="24"/>
      <c r="L8" s="25"/>
      <c r="M8" s="25"/>
      <c r="N8" s="26"/>
      <c r="O8" s="20"/>
    </row>
    <row r="9" spans="3:21" ht="14.25" customHeight="1">
      <c r="C9" s="41" t="s">
        <v>109</v>
      </c>
      <c r="D9" s="40">
        <f>-D8-G11-I11-J13-J15+F16-E18-F30-G27+K20</f>
        <v>-1.7600995306565892E-3</v>
      </c>
      <c r="F9" s="21"/>
      <c r="G9" s="22"/>
      <c r="I9" s="23"/>
      <c r="K9" s="24"/>
      <c r="L9" s="25"/>
      <c r="M9" s="25"/>
      <c r="N9" s="26"/>
      <c r="O9" s="20"/>
    </row>
    <row r="10" spans="3:21" ht="14.25" customHeight="1">
      <c r="C10" s="19"/>
      <c r="F10" s="21"/>
      <c r="G10" s="22" t="s">
        <v>101</v>
      </c>
      <c r="I10" s="158" t="s">
        <v>243</v>
      </c>
      <c r="K10" s="24"/>
      <c r="L10" s="25"/>
      <c r="M10" s="25"/>
      <c r="N10" s="26"/>
      <c r="O10" s="20"/>
    </row>
    <row r="11" spans="3:21" ht="15.75" customHeight="1">
      <c r="C11" s="19"/>
      <c r="F11" s="21"/>
      <c r="G11" s="27">
        <f>-('корпоративный баланс энергии'!AF23+'корпоративный баланс энергии'!AF59)</f>
        <v>585</v>
      </c>
      <c r="I11" s="27">
        <f>-'корпоративный баланс энергии'!AF24</f>
        <v>30</v>
      </c>
      <c r="K11" s="24"/>
      <c r="L11" s="25"/>
      <c r="M11" s="25"/>
      <c r="N11" s="26"/>
      <c r="O11" s="20"/>
    </row>
    <row r="12" spans="3:21" ht="15.75" customHeight="1">
      <c r="C12" s="19"/>
      <c r="F12" s="21"/>
      <c r="J12" s="158" t="s">
        <v>244</v>
      </c>
      <c r="K12" s="15"/>
      <c r="L12" s="25"/>
      <c r="M12" s="25"/>
      <c r="N12" s="26"/>
      <c r="O12" s="29" t="s">
        <v>102</v>
      </c>
      <c r="R12" s="30">
        <f>SUM(D6,H34,D60,K34,N34,Q34,T34)</f>
        <v>83075.420034248775</v>
      </c>
    </row>
    <row r="13" spans="3:21" ht="15" customHeight="1">
      <c r="C13" s="19"/>
      <c r="D13" s="1253" t="s">
        <v>103</v>
      </c>
      <c r="E13" s="1253"/>
      <c r="F13" s="21"/>
      <c r="J13" s="27">
        <f>-'корпоративный баланс энергии'!AF25</f>
        <v>45</v>
      </c>
      <c r="K13" s="15"/>
      <c r="L13" s="34"/>
      <c r="M13" s="25"/>
      <c r="N13" s="26"/>
      <c r="O13" s="29" t="s">
        <v>105</v>
      </c>
      <c r="R13" s="30">
        <f>SUM(D7,H35,D61,K35,N35,Q35,T35)</f>
        <v>81348.918017519565</v>
      </c>
    </row>
    <row r="14" spans="3:21" ht="15.75" customHeight="1">
      <c r="C14" s="19"/>
      <c r="E14" s="35">
        <f>-('корпоративный баланс энергии'!AF30+'корпоративный баланс энергии'!AF31+'корпоративный баланс энергии'!AF32+'корпоративный баланс энергии'!AF33+'корпоративный баланс энергии'!AF61+'корпоративный баланс энергии'!AF62+'корпоративный баланс энергии'!AF63)</f>
        <v>445</v>
      </c>
      <c r="F14" s="21"/>
      <c r="J14" s="158" t="s">
        <v>245</v>
      </c>
      <c r="K14" s="24"/>
      <c r="L14" s="25"/>
      <c r="M14" s="25"/>
      <c r="N14" s="26"/>
      <c r="O14" s="29" t="s">
        <v>106</v>
      </c>
      <c r="R14" s="30">
        <f>SUM(D8,H36,D62,K36,N36,Q36,T36)</f>
        <v>-1726.5020167292159</v>
      </c>
      <c r="S14" s="24"/>
      <c r="T14" s="161">
        <f>-G11-I11-J13-J15+F16-E18-F30-F36-E45-F54-F61-I60-J47-L47-M47-N47+P47-R47-T47-F48</f>
        <v>-1726.5</v>
      </c>
      <c r="U14" s="161">
        <f>R13-R12</f>
        <v>-1726.5020167292096</v>
      </c>
    </row>
    <row r="15" spans="3:21">
      <c r="D15" s="41" t="s">
        <v>109</v>
      </c>
      <c r="E15" s="591">
        <f>-E14+D29+E18-F16</f>
        <v>0</v>
      </c>
      <c r="J15" s="27">
        <f>-'корпоративный баланс энергии'!AF26</f>
        <v>1.5</v>
      </c>
      <c r="O15" s="38"/>
      <c r="P15" s="24"/>
      <c r="Q15" s="24"/>
      <c r="R15" s="38"/>
    </row>
    <row r="16" spans="3:21">
      <c r="F16" s="69">
        <f>'корпоративный баланс энергии'!AF30+'корпоративный баланс энергии'!AF31+'корпоративный баланс энергии'!AF32+'корпоративный баланс энергии'!AF62+'корпоративный баланс энергии'!AF63</f>
        <v>-145</v>
      </c>
      <c r="O16" s="38"/>
      <c r="P16" s="24"/>
      <c r="Q16" s="24"/>
      <c r="R16" s="38"/>
    </row>
    <row r="17" spans="4:21" ht="13.5" thickBot="1">
      <c r="O17" s="38"/>
      <c r="P17" s="24"/>
      <c r="Q17" s="24"/>
      <c r="R17" s="38"/>
    </row>
    <row r="18" spans="4:21" ht="15">
      <c r="E18" s="210">
        <f>-('корпоративный баланс энергии'!AF33+'корпоративный баланс энергии'!AF61)</f>
        <v>300</v>
      </c>
      <c r="P18" s="863" t="s">
        <v>113</v>
      </c>
      <c r="Q18" s="864"/>
      <c r="R18" s="864"/>
      <c r="S18" s="864"/>
      <c r="T18" s="865"/>
      <c r="U18" s="866">
        <f>-O60</f>
        <v>81</v>
      </c>
    </row>
    <row r="19" spans="4:21" ht="14.25">
      <c r="F19" s="43"/>
      <c r="G19" s="1258" t="s">
        <v>110</v>
      </c>
      <c r="H19" s="1258"/>
      <c r="P19" s="867" t="s">
        <v>1070</v>
      </c>
      <c r="Q19" s="868"/>
      <c r="R19" s="868"/>
      <c r="S19" s="868"/>
      <c r="T19" s="869"/>
      <c r="U19" s="870">
        <f>SUM(U20:U21)</f>
        <v>-22.995724207624335</v>
      </c>
    </row>
    <row r="20" spans="4:21" ht="15">
      <c r="D20" s="24"/>
      <c r="E20" s="1257" t="s">
        <v>111</v>
      </c>
      <c r="F20" s="1257"/>
      <c r="G20" s="1258" t="s">
        <v>112</v>
      </c>
      <c r="H20" s="1258"/>
      <c r="K20" s="1032">
        <v>5</v>
      </c>
      <c r="P20" s="871" t="s">
        <v>115</v>
      </c>
      <c r="Q20" s="868" t="s">
        <v>507</v>
      </c>
      <c r="R20" s="868"/>
      <c r="S20" s="868"/>
      <c r="T20" s="869"/>
      <c r="U20" s="870">
        <f>-N47</f>
        <v>-92.995724207624335</v>
      </c>
    </row>
    <row r="21" spans="4:21" ht="13.5" thickBot="1">
      <c r="F21" s="44"/>
      <c r="G21" s="36" t="s">
        <v>29</v>
      </c>
      <c r="H21" s="45">
        <f>D6-F22</f>
        <v>7263.6372289644769</v>
      </c>
      <c r="P21" s="872"/>
      <c r="Q21" s="873" t="s">
        <v>116</v>
      </c>
      <c r="R21" s="873"/>
      <c r="S21" s="873"/>
      <c r="T21" s="874"/>
      <c r="U21" s="875">
        <f>-M47</f>
        <v>70</v>
      </c>
    </row>
    <row r="22" spans="4:21" ht="15" thickBot="1">
      <c r="E22" s="36" t="s">
        <v>29</v>
      </c>
      <c r="F22" s="37">
        <f>'корпоративный баланс энергии'!AE865</f>
        <v>616.35000000000014</v>
      </c>
      <c r="G22" s="36" t="s">
        <v>107</v>
      </c>
      <c r="H22" s="45">
        <f>D7-F23</f>
        <v>6642.1379890640083</v>
      </c>
      <c r="P22" s="860" t="s">
        <v>1068</v>
      </c>
      <c r="Q22" s="861"/>
      <c r="R22" s="861"/>
      <c r="S22" s="861"/>
      <c r="T22" s="861"/>
      <c r="U22" s="862">
        <f>'корпоративный баланс энергии'!AF74</f>
        <v>60</v>
      </c>
    </row>
    <row r="23" spans="4:21" ht="15" thickBot="1">
      <c r="E23" s="36" t="s">
        <v>107</v>
      </c>
      <c r="F23" s="37">
        <f>'корпоративный баланс энергии'!AG865</f>
        <v>316.35100000000006</v>
      </c>
      <c r="G23" s="36" t="s">
        <v>108</v>
      </c>
      <c r="H23" s="40">
        <f>H22-H21</f>
        <v>-621.49923990046864</v>
      </c>
      <c r="P23" s="858" t="s">
        <v>1071</v>
      </c>
      <c r="Q23" s="876"/>
      <c r="R23" s="876"/>
      <c r="S23" s="876"/>
      <c r="T23" s="859"/>
      <c r="U23" s="875">
        <f>MIN(ABS(N48),ABS(P48))</f>
        <v>93</v>
      </c>
    </row>
    <row r="24" spans="4:21" ht="15" thickBot="1">
      <c r="E24" s="36" t="s">
        <v>108</v>
      </c>
      <c r="F24" s="46">
        <f>F23-F22</f>
        <v>-299.99900000000008</v>
      </c>
      <c r="G24" s="41" t="s">
        <v>109</v>
      </c>
      <c r="H24" s="40">
        <f>-H23+F16+K20-G11-I11-J13-J15-G27-F30</f>
        <v>-7.6009953136235708E-4</v>
      </c>
      <c r="P24" s="877" t="s">
        <v>1072</v>
      </c>
      <c r="Q24" s="873"/>
      <c r="R24" s="873"/>
      <c r="S24" s="873"/>
      <c r="T24" s="874"/>
      <c r="U24" s="875">
        <f>MIN(ABS('корпоративный баланс энергии'!AF54),ABS('корпоративный баланс энергии'!AF80))</f>
        <v>170</v>
      </c>
    </row>
    <row r="25" spans="4:21" ht="15" thickBot="1">
      <c r="E25" s="41" t="s">
        <v>109</v>
      </c>
      <c r="F25" s="46">
        <f>-F24-E18</f>
        <v>-9.9999999991950972E-4</v>
      </c>
      <c r="K25" s="1024">
        <v>60</v>
      </c>
      <c r="P25" s="878" t="s">
        <v>1073</v>
      </c>
      <c r="Q25" s="879"/>
      <c r="R25" s="879"/>
      <c r="S25" s="879"/>
      <c r="T25" s="880"/>
      <c r="U25" s="881">
        <f>ABS(U23)+ABS(U24)</f>
        <v>263</v>
      </c>
    </row>
    <row r="26" spans="4:21" ht="15" thickBot="1">
      <c r="P26" s="877" t="s">
        <v>1257</v>
      </c>
      <c r="Q26" s="873"/>
      <c r="R26" s="873"/>
      <c r="S26" s="873"/>
      <c r="T26" s="874"/>
      <c r="U26" s="875">
        <f>'корпоративный баланс энергии'!AF79</f>
        <v>6</v>
      </c>
    </row>
    <row r="27" spans="4:21" ht="15" thickBot="1">
      <c r="G27" s="1159">
        <v>-150</v>
      </c>
      <c r="P27" s="884" t="s">
        <v>1074</v>
      </c>
      <c r="Q27" s="885"/>
      <c r="R27" s="885"/>
      <c r="S27" s="885"/>
      <c r="T27" s="886"/>
      <c r="U27" s="887">
        <f>U22+U25+U26</f>
        <v>329</v>
      </c>
    </row>
    <row r="28" spans="4:21">
      <c r="S28" s="48"/>
      <c r="T28" s="48"/>
      <c r="U28" s="48"/>
    </row>
    <row r="29" spans="4:21">
      <c r="D29" s="600">
        <v>0</v>
      </c>
      <c r="R29" s="52"/>
    </row>
    <row r="30" spans="4:21">
      <c r="F30" s="69">
        <f>-('корпоративный баланс энергии'!AF34+'корпоративный баланс энергии'!AF64)</f>
        <v>-30</v>
      </c>
    </row>
    <row r="31" spans="4:21" ht="15">
      <c r="G31" s="21" t="s">
        <v>117</v>
      </c>
      <c r="J31" s="28" t="s">
        <v>118</v>
      </c>
      <c r="K31" s="15"/>
      <c r="M31" s="21" t="s">
        <v>117</v>
      </c>
      <c r="P31" s="21" t="s">
        <v>117</v>
      </c>
      <c r="Q31" s="53"/>
      <c r="S31" s="21" t="s">
        <v>117</v>
      </c>
    </row>
    <row r="32" spans="4:21" ht="15">
      <c r="G32" s="28" t="s">
        <v>119</v>
      </c>
      <c r="H32" s="15"/>
      <c r="J32" s="28" t="s">
        <v>120</v>
      </c>
      <c r="K32" s="15"/>
      <c r="M32" s="28" t="s">
        <v>121</v>
      </c>
      <c r="N32" s="15"/>
      <c r="P32" s="28" t="s">
        <v>122</v>
      </c>
      <c r="Q32" s="54"/>
      <c r="S32" s="28" t="s">
        <v>123</v>
      </c>
      <c r="T32" s="15"/>
    </row>
    <row r="33" spans="3:20" ht="14.25">
      <c r="C33" s="21" t="s">
        <v>124</v>
      </c>
    </row>
    <row r="34" spans="3:20" ht="14.25">
      <c r="D34" s="21" t="s">
        <v>125</v>
      </c>
      <c r="G34" s="36" t="s">
        <v>29</v>
      </c>
      <c r="H34" s="37">
        <f>'корпоративный баланс энергии'!AE82</f>
        <v>17456.156901933584</v>
      </c>
      <c r="J34" s="36" t="s">
        <v>29</v>
      </c>
      <c r="K34" s="37">
        <f>'корпоративный баланс энергии'!AE370</f>
        <v>8622.7487887938187</v>
      </c>
      <c r="M34" s="36" t="s">
        <v>29</v>
      </c>
      <c r="N34" s="37">
        <f>'корпоративный баланс энергии'!AE538</f>
        <v>20776.511481545873</v>
      </c>
      <c r="P34" s="36" t="s">
        <v>29</v>
      </c>
      <c r="Q34" s="37">
        <f>'корпоративный баланс энергии'!AE1454</f>
        <v>15635.450571350895</v>
      </c>
      <c r="S34" s="36" t="s">
        <v>29</v>
      </c>
      <c r="T34" s="37">
        <f>'корпоративный баланс энергии'!AE1674</f>
        <v>3183.0940000000001</v>
      </c>
    </row>
    <row r="35" spans="3:20">
      <c r="E35" s="598">
        <f>-('корпоративный баланс энергии'!AF34+'корпоративный баланс энергии'!AF35+'корпоративный баланс энергии'!AF36+'корпоративный баланс энергии'!AF65)</f>
        <v>-20</v>
      </c>
      <c r="G35" s="36" t="s">
        <v>107</v>
      </c>
      <c r="H35" s="37">
        <f>'корпоративный баланс энергии'!AG82</f>
        <v>18196.15942050123</v>
      </c>
      <c r="J35" s="36" t="s">
        <v>107</v>
      </c>
      <c r="K35" s="37">
        <f>'корпоративный баланс энергии'!AG370</f>
        <v>8548.7524988013429</v>
      </c>
      <c r="M35" s="36" t="s">
        <v>107</v>
      </c>
      <c r="N35" s="37">
        <f>'корпоративный баланс энергии'!AG538</f>
        <v>20438.50544904374</v>
      </c>
      <c r="P35" s="36" t="s">
        <v>107</v>
      </c>
      <c r="Q35" s="37">
        <f>'корпоративный баланс энергии'!AG1454</f>
        <v>15775.84613735852</v>
      </c>
      <c r="S35" s="36" t="s">
        <v>107</v>
      </c>
      <c r="T35" s="37">
        <f>'корпоративный баланс энергии'!AG1674</f>
        <v>2760.6941581999999</v>
      </c>
    </row>
    <row r="36" spans="3:20">
      <c r="C36" s="599">
        <v>0</v>
      </c>
      <c r="D36" s="41" t="s">
        <v>109</v>
      </c>
      <c r="E36" s="591">
        <f>-E35-D29+F30+F36-C36</f>
        <v>-30</v>
      </c>
      <c r="F36" s="69">
        <f>-('корпоративный баланс энергии'!AF35+'корпоративный баланс энергии'!AF36+'корпоративный баланс энергии'!AF65)</f>
        <v>-20</v>
      </c>
      <c r="G36" s="36" t="s">
        <v>108</v>
      </c>
      <c r="H36" s="46">
        <f>H35-H34</f>
        <v>740.00251856764589</v>
      </c>
      <c r="I36" s="1030">
        <v>-50</v>
      </c>
      <c r="J36" s="56" t="s">
        <v>108</v>
      </c>
      <c r="K36" s="46">
        <f>K35-K34</f>
        <v>-73.996289992475795</v>
      </c>
      <c r="L36" s="1030">
        <v>-200</v>
      </c>
      <c r="M36" s="56" t="s">
        <v>108</v>
      </c>
      <c r="N36" s="57">
        <f>N35-N34</f>
        <v>-338.00603250213317</v>
      </c>
      <c r="O36" s="1162">
        <v>50</v>
      </c>
      <c r="P36" s="56" t="s">
        <v>108</v>
      </c>
      <c r="Q36" s="46">
        <f>Q35-Q34</f>
        <v>140.39556600762444</v>
      </c>
      <c r="R36" s="58">
        <f>T34-T35-T47</f>
        <v>22.399841800000104</v>
      </c>
      <c r="S36" s="56" t="s">
        <v>108</v>
      </c>
      <c r="T36" s="46">
        <f>T35-T34</f>
        <v>-422.3998418000001</v>
      </c>
    </row>
    <row r="37" spans="3:20">
      <c r="G37" s="41" t="s">
        <v>109</v>
      </c>
      <c r="H37" s="46">
        <f>-H36-F36+G27+K25-I36-E45-G40</f>
        <v>-2.5185676458931994E-3</v>
      </c>
      <c r="J37" s="41" t="s">
        <v>109</v>
      </c>
      <c r="K37" s="46">
        <f>-K36+I36-L36-L47-I42</f>
        <v>-3.7100075242051389E-3</v>
      </c>
      <c r="L37" s="44"/>
      <c r="M37" s="41" t="s">
        <v>109</v>
      </c>
      <c r="N37" s="57">
        <f>-N36+L36-O36-K20-K25-M47-N47</f>
        <v>1.030829450883175E-2</v>
      </c>
      <c r="P37" s="41" t="s">
        <v>109</v>
      </c>
      <c r="Q37" s="40">
        <f>-Q36+O36+R36-R47+P47</f>
        <v>0</v>
      </c>
      <c r="R37" s="44"/>
      <c r="S37" s="41" t="s">
        <v>109</v>
      </c>
      <c r="T37" s="40">
        <f>-T36-R36-T47</f>
        <v>0</v>
      </c>
    </row>
    <row r="39" spans="3:20" ht="15">
      <c r="H39" s="160" t="s">
        <v>126</v>
      </c>
      <c r="N39" s="59"/>
      <c r="O39" s="24"/>
    </row>
    <row r="40" spans="3:20">
      <c r="G40" s="1024">
        <v>-800</v>
      </c>
      <c r="H40" s="160" t="s">
        <v>127</v>
      </c>
      <c r="N40" s="60"/>
      <c r="O40" s="61"/>
    </row>
    <row r="41" spans="3:20" ht="15" customHeight="1">
      <c r="I41" s="160" t="s">
        <v>128</v>
      </c>
      <c r="N41" s="62"/>
      <c r="O41" s="61"/>
    </row>
    <row r="42" spans="3:20">
      <c r="G42" s="1259" t="s">
        <v>129</v>
      </c>
      <c r="H42" s="1259"/>
      <c r="I42" s="1161">
        <v>220</v>
      </c>
    </row>
    <row r="43" spans="3:20">
      <c r="G43" s="1262" t="s">
        <v>130</v>
      </c>
      <c r="H43" s="1262"/>
    </row>
    <row r="44" spans="3:20">
      <c r="E44" s="44"/>
      <c r="G44" s="36" t="s">
        <v>29</v>
      </c>
      <c r="H44" s="37">
        <f>'корпоративный баланс энергии'!AE1122+'корпоративный баланс энергии'!AE1089</f>
        <v>1542.6493457031249</v>
      </c>
      <c r="M44" s="160" t="s">
        <v>251</v>
      </c>
      <c r="N44" s="64"/>
      <c r="O44" s="160" t="s">
        <v>248</v>
      </c>
    </row>
    <row r="45" spans="3:20">
      <c r="E45" s="69">
        <f>-('корпоративный баланс энергии'!AF37+'корпоративный баланс энергии'!AF38+'корпоративный баланс энергии'!AF39+'корпоративный баланс энергии'!AF66+'корпоративный баланс энергии'!AF67+'корпоративный баланс энергии'!AF68)</f>
        <v>40</v>
      </c>
      <c r="G45" s="36" t="s">
        <v>107</v>
      </c>
      <c r="H45" s="37">
        <f>'корпоративный баланс энергии'!AG1122+'корпоративный баланс энергии'!AG1089</f>
        <v>1704.6509191827654</v>
      </c>
      <c r="M45" s="160" t="s">
        <v>336</v>
      </c>
      <c r="O45" s="160" t="s">
        <v>249</v>
      </c>
    </row>
    <row r="46" spans="3:20" ht="14.25">
      <c r="G46" s="36" t="s">
        <v>108</v>
      </c>
      <c r="H46" s="46">
        <f>H45-H44</f>
        <v>162.00157347964046</v>
      </c>
      <c r="J46" s="160" t="s">
        <v>131</v>
      </c>
      <c r="O46" s="160" t="s">
        <v>250</v>
      </c>
      <c r="R46" s="65" t="s">
        <v>132</v>
      </c>
      <c r="T46" s="21" t="s">
        <v>133</v>
      </c>
    </row>
    <row r="47" spans="3:20">
      <c r="F47" s="29"/>
      <c r="G47" s="41" t="s">
        <v>109</v>
      </c>
      <c r="H47" s="46">
        <f>-H46+G40+I42-J47-F48-G49</f>
        <v>-1.5734796404558438E-3</v>
      </c>
      <c r="J47" s="69">
        <f>-('корпоративный баланс энергии'!AF49+'корпоративный баланс энергии'!AF50)</f>
        <v>8</v>
      </c>
      <c r="L47" s="69">
        <f>-('корпоративный баланс энергии'!AF46+'корпоративный баланс энергии'!AF47+'корпоративный баланс энергии'!AF74)</f>
        <v>4</v>
      </c>
      <c r="M47" s="66">
        <f>-('корпоративный баланс энергии'!AF48+'корпоративный баланс энергии'!AF75)</f>
        <v>-70</v>
      </c>
      <c r="N47" s="42">
        <f>P62+P47</f>
        <v>92.995724207624335</v>
      </c>
      <c r="O47" s="1177">
        <f>-'корпоративный баланс энергии'!AG53</f>
        <v>14</v>
      </c>
      <c r="P47" s="42">
        <f>Q36-O36-R36+R47</f>
        <v>115.99572420762433</v>
      </c>
      <c r="R47" s="27">
        <f>-('корпоративный баланс энергии'!AF27+'корпоративный баланс энергии'!AF28+'корпоративный баланс энергии'!AF60)</f>
        <v>48</v>
      </c>
      <c r="T47" s="27">
        <f>-'корпоративный баланс энергии'!AF29</f>
        <v>400</v>
      </c>
    </row>
    <row r="48" spans="3:20">
      <c r="F48" s="51">
        <f>-('корпоративный баланс энергии'!AF40)</f>
        <v>0</v>
      </c>
      <c r="N48" s="584">
        <f>-('корпоративный баланс энергии'!AF51+'корпоративный баланс энергии'!AF52+'корпоративный баланс энергии'!AF76+'корпоративный баланс энергии'!AF77)</f>
        <v>93</v>
      </c>
      <c r="P48" s="584">
        <f>'корпоративный баланс энергии'!AF53+'корпоративный баланс энергии'!AF54+'корпоративный баланс энергии'!AF55+'корпоративный баланс энергии'!AF56+'корпоративный баланс энергии'!AF78+'корпоративный баланс энергии'!AF79+'корпоративный баланс энергии'!AF80</f>
        <v>116</v>
      </c>
    </row>
    <row r="49" spans="2:19" ht="15.75">
      <c r="C49" s="22" t="s">
        <v>134</v>
      </c>
      <c r="F49" s="160" t="s">
        <v>135</v>
      </c>
      <c r="G49" s="1163">
        <v>-750</v>
      </c>
      <c r="H49" s="160" t="s">
        <v>136</v>
      </c>
      <c r="P49" s="13" t="s">
        <v>90</v>
      </c>
    </row>
    <row r="50" spans="2:19">
      <c r="D50" s="68" t="s">
        <v>137</v>
      </c>
      <c r="H50" s="160" t="s">
        <v>138</v>
      </c>
    </row>
    <row r="51" spans="2:19">
      <c r="E51" s="55">
        <f>-('корпоративный баланс энергии'!AF37+'корпоративный баланс энергии'!AF38+'корпоративный баланс энергии'!AF39+'корпоративный баланс энергии'!AF40+'корпоративный баланс энергии'!AF41+'корпоративный баланс энергии'!AF66+'корпоративный баланс энергии'!AF67+'корпоративный баланс энергии'!AF68+'корпоративный баланс энергии'!AF69+'корпоративный баланс энергии'!AF70)</f>
        <v>270</v>
      </c>
      <c r="H51" s="160" t="s">
        <v>508</v>
      </c>
    </row>
    <row r="52" spans="2:19" ht="14.25">
      <c r="C52" s="599">
        <v>0</v>
      </c>
      <c r="D52" s="41" t="s">
        <v>109</v>
      </c>
      <c r="E52" s="591">
        <f>-E51+E45+F48+F54-E54-C52</f>
        <v>0</v>
      </c>
      <c r="G52" s="28"/>
      <c r="H52" s="15"/>
      <c r="O52" s="70"/>
    </row>
    <row r="53" spans="2:19" ht="15">
      <c r="B53" s="581" t="s">
        <v>513</v>
      </c>
      <c r="G53" s="28" t="s">
        <v>890</v>
      </c>
      <c r="H53" s="15"/>
      <c r="I53" s="59"/>
      <c r="J53" s="24"/>
    </row>
    <row r="54" spans="2:19">
      <c r="B54" s="36" t="s">
        <v>29</v>
      </c>
      <c r="C54" s="157">
        <f>'корпоративный баланс энергии'!AE1390</f>
        <v>496.48733262370001</v>
      </c>
      <c r="E54" s="51">
        <f>'корпоративный баланс энергии'!AF70</f>
        <v>0</v>
      </c>
      <c r="F54" s="69">
        <f>-('корпоративный баланс энергии'!AF41+'корпоративный баланс энергии'!AF69)</f>
        <v>230</v>
      </c>
      <c r="G54" s="1262" t="s">
        <v>889</v>
      </c>
      <c r="H54" s="1262"/>
      <c r="I54" s="60"/>
      <c r="J54" s="61"/>
      <c r="M54" s="44"/>
    </row>
    <row r="55" spans="2:19" ht="18.75">
      <c r="B55" s="36" t="s">
        <v>107</v>
      </c>
      <c r="C55" s="157">
        <f>'корпоративный баланс энергии'!AG1390</f>
        <v>684.40566617532181</v>
      </c>
      <c r="G55" s="36" t="s">
        <v>29</v>
      </c>
      <c r="H55" s="37">
        <f>D60-C54-H44</f>
        <v>7482.3343833333074</v>
      </c>
      <c r="I55" s="62"/>
      <c r="J55" s="61"/>
      <c r="M55" s="221">
        <f>J47+L47+M47</f>
        <v>-58</v>
      </c>
    </row>
    <row r="56" spans="2:19">
      <c r="B56" s="36" t="s">
        <v>108</v>
      </c>
      <c r="C56" s="40">
        <f>C55-C54</f>
        <v>187.9183335516218</v>
      </c>
      <c r="D56" s="582" t="s">
        <v>511</v>
      </c>
      <c r="E56" s="210">
        <f>'корпоративный баланс энергии'!AF1390</f>
        <v>187.9183335516218</v>
      </c>
      <c r="G56" s="36" t="s">
        <v>107</v>
      </c>
      <c r="H56" s="37">
        <f>D61-C55-H45</f>
        <v>6281.4147791926362</v>
      </c>
      <c r="I56" s="75"/>
      <c r="L56" s="29" t="s">
        <v>139</v>
      </c>
      <c r="M56" s="51">
        <f>-('корпоративный баланс энергии'!AF46+'корпоративный баланс энергии'!AF47+'корпоративный баланс энергии'!AF48+'корпоративный баланс энергии'!AF49+'корпоративный баланс энергии'!AF50+'корпоративный баланс энергии'!AF74+'корпоративный баланс энергии'!AF75)</f>
        <v>-58</v>
      </c>
    </row>
    <row r="57" spans="2:19">
      <c r="B57" s="41" t="s">
        <v>109</v>
      </c>
      <c r="C57" s="40">
        <f>-C56+E54+E56</f>
        <v>0</v>
      </c>
      <c r="D57" s="583" t="s">
        <v>512</v>
      </c>
      <c r="G57" s="36" t="s">
        <v>108</v>
      </c>
      <c r="H57" s="46">
        <f>H56-H55</f>
        <v>-1200.9196041406713</v>
      </c>
      <c r="J57" s="76"/>
      <c r="L57" s="29" t="s">
        <v>140</v>
      </c>
      <c r="P57" s="77"/>
    </row>
    <row r="58" spans="2:19" ht="20.25" customHeight="1">
      <c r="G58" s="41" t="s">
        <v>109</v>
      </c>
      <c r="H58" s="78">
        <f>-H57-F54-E56+G49-I60-F61</f>
        <v>1.2705890494544292E-3</v>
      </c>
      <c r="I58" s="29"/>
      <c r="M58" s="79" t="s">
        <v>141</v>
      </c>
    </row>
    <row r="59" spans="2:19" ht="14.25">
      <c r="C59" s="32" t="s">
        <v>246</v>
      </c>
      <c r="D59" s="33"/>
    </row>
    <row r="60" spans="2:19">
      <c r="C60" s="36" t="s">
        <v>29</v>
      </c>
      <c r="D60" s="157">
        <f>'корпоративный баланс энергии'!AE1082</f>
        <v>9521.4710616601315</v>
      </c>
      <c r="I60" s="80">
        <f>I65</f>
        <v>-5</v>
      </c>
      <c r="L60" s="81" t="s">
        <v>337</v>
      </c>
      <c r="M60" s="81"/>
      <c r="N60" s="81"/>
      <c r="O60" s="82">
        <f>J47+L47+M47+N47-P47</f>
        <v>-81</v>
      </c>
      <c r="P60" s="69">
        <f>-('корпоративный баланс энергии'!AF46+'корпоративный баланс энергии'!AF47+'корпоративный баланс энергии'!AF48+'корпоративный баланс энергии'!AF49+'корпоративный баланс энергии'!AF50+'корпоративный баланс энергии'!AF51+'корпоративный баланс энергии'!AF52+'корпоративный баланс энергии'!AF53+'корпоративный баланс энергии'!AF54+'корпоративный баланс энергии'!AF55+'корпоративный баланс энергии'!AF56+'корпоративный баланс энергии'!AF74+'корпоративный баланс энергии'!AF75+'корпоративный баланс энергии'!AF76+'корпоративный баланс энергии'!AF77+'корпоративный баланс энергии'!AF78+'корпоративный баланс энергии'!AF79+'корпоративный баланс энергии'!AF80)</f>
        <v>-81</v>
      </c>
      <c r="S60" s="161">
        <f>M56+P62</f>
        <v>-81</v>
      </c>
    </row>
    <row r="61" spans="2:19">
      <c r="C61" s="36" t="s">
        <v>107</v>
      </c>
      <c r="D61" s="157">
        <f>'корпоративный баланс энергии'!AG1082</f>
        <v>8670.4713645507236</v>
      </c>
      <c r="F61" s="80">
        <f>F65</f>
        <v>38</v>
      </c>
      <c r="H61" s="75"/>
      <c r="N61" s="83"/>
    </row>
    <row r="62" spans="2:19" ht="14.25">
      <c r="C62" s="36" t="s">
        <v>108</v>
      </c>
      <c r="D62" s="40">
        <f>D61-D60</f>
        <v>-850.99969710940786</v>
      </c>
      <c r="E62" s="21"/>
      <c r="L62" s="209" t="s">
        <v>338</v>
      </c>
      <c r="N62" s="83"/>
      <c r="P62" s="69">
        <f>-('корпоративный баланс энергии'!AF51+'корпоративный баланс энергии'!AF52+'корпоративный баланс энергии'!AF53+'корпоративный баланс энергии'!AF54+'корпоративный баланс энергии'!AF55+'корпоративный баланс энергии'!AF56+'корпоративный баланс энергии'!AF76+'корпоративный баланс энергии'!AF77+'корпоративный баланс энергии'!AF78+'корпоративный баланс энергии'!AF79+'корпоративный баланс энергии'!AF80)</f>
        <v>-23</v>
      </c>
      <c r="S62" s="161">
        <f>-(P47-N47)</f>
        <v>-23</v>
      </c>
    </row>
    <row r="63" spans="2:19">
      <c r="C63" s="41" t="s">
        <v>109</v>
      </c>
      <c r="D63" s="40">
        <f>-D62+G40+I42-J47-I60-F61-F54-F48</f>
        <v>-3.0289059213828295E-4</v>
      </c>
      <c r="K63" s="84"/>
      <c r="N63" s="13" t="s">
        <v>75</v>
      </c>
      <c r="O63" s="83" t="s">
        <v>142</v>
      </c>
    </row>
    <row r="64" spans="2:19">
      <c r="F64" s="65" t="s">
        <v>143</v>
      </c>
      <c r="I64" s="31" t="s">
        <v>144</v>
      </c>
      <c r="N64" s="13" t="s">
        <v>145</v>
      </c>
      <c r="O64" s="83" t="s">
        <v>146</v>
      </c>
    </row>
    <row r="65" spans="6:20">
      <c r="F65" s="85">
        <f>-('корпоративный баланс энергии'!AF42+'корпоративный баланс энергии'!AF44+'корпоративный баланс энергии'!AF45+'корпоративный баланс энергии'!AF72+'корпоративный баланс энергии'!AF73)</f>
        <v>38</v>
      </c>
      <c r="I65" s="85">
        <f>-('корпоративный баланс энергии'!AF43+'корпоративный баланс энергии'!AF71)</f>
        <v>-5</v>
      </c>
      <c r="O65" s="83"/>
    </row>
    <row r="66" spans="6:20">
      <c r="O66" s="83"/>
    </row>
    <row r="67" spans="6:20">
      <c r="O67" s="83"/>
    </row>
    <row r="68" spans="6:20">
      <c r="O68" s="83"/>
    </row>
    <row r="69" spans="6:20">
      <c r="O69" s="83"/>
    </row>
    <row r="70" spans="6:20">
      <c r="O70" s="83"/>
    </row>
    <row r="72" spans="6:20" ht="14.25" hidden="1">
      <c r="K72" s="1260" t="s">
        <v>149</v>
      </c>
      <c r="L72" s="1261"/>
      <c r="N72" s="1260" t="s">
        <v>149</v>
      </c>
      <c r="O72" s="1261"/>
      <c r="Q72" s="1260" t="s">
        <v>149</v>
      </c>
      <c r="R72" s="1261"/>
    </row>
    <row r="73" spans="6:20" ht="14.25" hidden="1">
      <c r="K73" s="1255" t="s">
        <v>154</v>
      </c>
      <c r="L73" s="1256"/>
      <c r="N73" s="1255" t="s">
        <v>153</v>
      </c>
      <c r="O73" s="1256"/>
      <c r="Q73" s="1255" t="s">
        <v>150</v>
      </c>
      <c r="R73" s="1256"/>
    </row>
    <row r="74" spans="6:20" ht="15.75" hidden="1">
      <c r="F74" s="1263" t="s">
        <v>156</v>
      </c>
      <c r="G74" s="1263"/>
      <c r="H74" s="1263"/>
      <c r="I74" s="1263"/>
      <c r="J74" s="102">
        <f>-L79-M74</f>
        <v>652.11040448836366</v>
      </c>
      <c r="K74" s="97" t="s">
        <v>29</v>
      </c>
      <c r="L74" s="98">
        <f>SUM(L75:L77)</f>
        <v>4515.8347781733228</v>
      </c>
      <c r="M74" s="100">
        <f>O76+P74</f>
        <v>-184.67562631504092</v>
      </c>
      <c r="N74" s="97" t="s">
        <v>29</v>
      </c>
      <c r="O74" s="98">
        <f>'корпоративный баланс энергии'!AE1490</f>
        <v>514.68339249999997</v>
      </c>
      <c r="P74" s="100">
        <f>R76-S74</f>
        <v>-51.01862724366697</v>
      </c>
      <c r="Q74" s="97" t="s">
        <v>29</v>
      </c>
      <c r="R74" s="98">
        <f>'корпоративный баланс энергии'!AE1508</f>
        <v>616.57910765836391</v>
      </c>
      <c r="S74" s="100">
        <f>R36</f>
        <v>22.399841800000104</v>
      </c>
      <c r="T74" s="9" t="s">
        <v>152</v>
      </c>
    </row>
    <row r="75" spans="6:20" hidden="1">
      <c r="J75"/>
      <c r="K75" s="97" t="s">
        <v>56</v>
      </c>
      <c r="L75" s="98">
        <f>'корпоративный баланс энергии'!AE1528</f>
        <v>578.14799999999991</v>
      </c>
      <c r="N75" s="97" t="s">
        <v>107</v>
      </c>
      <c r="O75" s="98">
        <f>'корпоративный баланс энергии'!AG1490</f>
        <v>381.02639342862602</v>
      </c>
      <c r="Q75" s="97" t="s">
        <v>107</v>
      </c>
      <c r="R75" s="98">
        <f>'корпоративный баланс энергии'!AG1508</f>
        <v>587.96032221469704</v>
      </c>
    </row>
    <row r="76" spans="6:20" hidden="1">
      <c r="J76"/>
      <c r="K76" s="97" t="s">
        <v>55</v>
      </c>
      <c r="L76" s="98">
        <f>'корпоративный баланс энергии'!AE1529</f>
        <v>3858.0214531733227</v>
      </c>
      <c r="N76" s="97" t="s">
        <v>108</v>
      </c>
      <c r="O76" s="98">
        <f>O75-O74</f>
        <v>-133.65699907137395</v>
      </c>
      <c r="Q76" s="97" t="s">
        <v>108</v>
      </c>
      <c r="R76" s="98">
        <f>R75-R74</f>
        <v>-28.618785443666866</v>
      </c>
    </row>
    <row r="77" spans="6:20" ht="16.5" hidden="1" thickBot="1">
      <c r="I77" s="103" t="s">
        <v>157</v>
      </c>
      <c r="J77" s="102">
        <v>1265</v>
      </c>
      <c r="K77" s="97" t="s">
        <v>155</v>
      </c>
      <c r="L77" s="98">
        <f>'корпоративный баланс энергии'!AE1530</f>
        <v>79.665324999999996</v>
      </c>
      <c r="N77" s="99" t="s">
        <v>151</v>
      </c>
      <c r="O77" s="101">
        <f>-O76-P74+M74</f>
        <v>0</v>
      </c>
      <c r="Q77" s="99" t="s">
        <v>151</v>
      </c>
      <c r="R77" s="101">
        <f>-R76+S74+P74</f>
        <v>0</v>
      </c>
    </row>
    <row r="78" spans="6:20" hidden="1">
      <c r="J78"/>
      <c r="K78" s="97" t="s">
        <v>107</v>
      </c>
      <c r="L78" s="98">
        <f>'корпоративный баланс энергии'!AG1527</f>
        <v>4048.4</v>
      </c>
    </row>
    <row r="79" spans="6:20" ht="15.75" hidden="1">
      <c r="F79" s="1263" t="s">
        <v>158</v>
      </c>
      <c r="G79" s="1263"/>
      <c r="H79" s="1263"/>
      <c r="I79" s="1263"/>
      <c r="J79" s="102">
        <f>SUM(J85:J96)</f>
        <v>278.73458959999999</v>
      </c>
      <c r="K79" s="97" t="s">
        <v>108</v>
      </c>
      <c r="L79" s="98">
        <f>L78-L74</f>
        <v>-467.43477817332268</v>
      </c>
    </row>
    <row r="80" spans="6:20" ht="16.5" hidden="1" thickBot="1">
      <c r="F80" s="1263" t="s">
        <v>159</v>
      </c>
      <c r="G80" s="1263"/>
      <c r="H80" s="1263"/>
      <c r="I80" s="1263"/>
      <c r="J80" s="102">
        <f>L76+(J77-J74)+(L75-J79)</f>
        <v>4770.3244590849581</v>
      </c>
      <c r="K80" s="99" t="s">
        <v>151</v>
      </c>
      <c r="L80" s="101">
        <f>-L79-M74-J74</f>
        <v>0</v>
      </c>
    </row>
    <row r="81" spans="7:11" hidden="1">
      <c r="K81"/>
    </row>
    <row r="82" spans="7:11" hidden="1"/>
    <row r="83" spans="7:11" hidden="1"/>
    <row r="84" spans="7:11" hidden="1"/>
    <row r="85" spans="7:11" hidden="1">
      <c r="G85" s="104" t="s">
        <v>160</v>
      </c>
      <c r="H85" s="24"/>
      <c r="J85" s="119">
        <v>10.255000000000001</v>
      </c>
    </row>
    <row r="86" spans="7:11" hidden="1">
      <c r="G86" s="104" t="s">
        <v>161</v>
      </c>
      <c r="H86" s="24"/>
      <c r="J86" s="119">
        <v>0</v>
      </c>
    </row>
    <row r="87" spans="7:11" hidden="1">
      <c r="G87" s="104" t="s">
        <v>162</v>
      </c>
      <c r="H87" s="24"/>
      <c r="J87" s="119">
        <v>65.912419999999997</v>
      </c>
    </row>
    <row r="88" spans="7:11" hidden="1">
      <c r="G88" s="104" t="s">
        <v>163</v>
      </c>
      <c r="H88" s="24"/>
      <c r="J88" s="119">
        <v>2.23</v>
      </c>
    </row>
    <row r="89" spans="7:11" hidden="1">
      <c r="G89" s="104" t="s">
        <v>164</v>
      </c>
      <c r="H89" s="24"/>
      <c r="J89" s="119">
        <v>25.424029200000003</v>
      </c>
    </row>
    <row r="90" spans="7:11" hidden="1">
      <c r="G90" s="104" t="s">
        <v>165</v>
      </c>
      <c r="H90" s="24"/>
      <c r="J90" s="119">
        <v>11.904</v>
      </c>
    </row>
    <row r="91" spans="7:11" hidden="1">
      <c r="G91" s="104" t="s">
        <v>166</v>
      </c>
      <c r="H91" s="24"/>
      <c r="J91" s="119">
        <v>9.2996939999999988</v>
      </c>
    </row>
    <row r="92" spans="7:11" hidden="1">
      <c r="G92" s="104" t="s">
        <v>167</v>
      </c>
      <c r="H92" s="24"/>
      <c r="J92" s="119">
        <v>0</v>
      </c>
    </row>
    <row r="93" spans="7:11" hidden="1">
      <c r="G93" s="104" t="s">
        <v>168</v>
      </c>
      <c r="H93" s="24"/>
      <c r="J93" s="119">
        <v>0</v>
      </c>
    </row>
    <row r="94" spans="7:11" hidden="1">
      <c r="G94" s="104" t="s">
        <v>61</v>
      </c>
      <c r="H94" s="24"/>
      <c r="J94" s="119">
        <v>64.253476800000001</v>
      </c>
    </row>
    <row r="95" spans="7:11" hidden="1">
      <c r="G95" s="104" t="s">
        <v>62</v>
      </c>
      <c r="H95" s="24"/>
      <c r="J95" s="119">
        <v>31.887969599999998</v>
      </c>
    </row>
    <row r="96" spans="7:11" hidden="1">
      <c r="G96" s="104" t="s">
        <v>63</v>
      </c>
      <c r="H96" s="24"/>
      <c r="J96" s="119">
        <v>57.567999999999998</v>
      </c>
    </row>
  </sheetData>
  <mergeCells count="18">
    <mergeCell ref="F80:I80"/>
    <mergeCell ref="K72:L72"/>
    <mergeCell ref="F79:I79"/>
    <mergeCell ref="Q72:R72"/>
    <mergeCell ref="K73:L73"/>
    <mergeCell ref="N73:O73"/>
    <mergeCell ref="Q73:R73"/>
    <mergeCell ref="N72:O72"/>
    <mergeCell ref="E20:F20"/>
    <mergeCell ref="G20:H20"/>
    <mergeCell ref="G42:H42"/>
    <mergeCell ref="F74:I74"/>
    <mergeCell ref="L3:M3"/>
    <mergeCell ref="I4:N4"/>
    <mergeCell ref="D13:E13"/>
    <mergeCell ref="G19:H19"/>
    <mergeCell ref="G54:H54"/>
    <mergeCell ref="G43:H43"/>
  </mergeCells>
  <phoneticPr fontId="20" type="noConversion"/>
  <conditionalFormatting sqref="G85:G96">
    <cfRule type="cellIs" dxfId="6" priority="1" stopIfTrue="1" operator="notEqual">
      <formula>G84</formula>
    </cfRule>
  </conditionalFormatting>
  <pageMargins left="0.75" right="0.75" top="0.21" bottom="0.21" header="0.17" footer="0.17"/>
  <pageSetup paperSize="9" scale="51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5"/>
  <dimension ref="B2:U96"/>
  <sheetViews>
    <sheetView view="pageBreakPreview" topLeftCell="A7" zoomScale="75" zoomScaleNormal="75" zoomScaleSheetLayoutView="75" workbookViewId="0">
      <selection activeCell="O60" sqref="O60"/>
    </sheetView>
  </sheetViews>
  <sheetFormatPr defaultColWidth="10.6640625" defaultRowHeight="12.75"/>
  <cols>
    <col min="1" max="1" width="4.1640625" style="13" customWidth="1"/>
    <col min="2" max="2" width="12" style="13" customWidth="1"/>
    <col min="3" max="3" width="14.6640625" style="13" customWidth="1"/>
    <col min="4" max="4" width="12.1640625" style="13" customWidth="1"/>
    <col min="5" max="5" width="11.1640625" style="13" customWidth="1"/>
    <col min="6" max="7" width="13.33203125" style="13" bestFit="1" customWidth="1"/>
    <col min="8" max="8" width="12.5" style="13" customWidth="1"/>
    <col min="9" max="9" width="11.6640625" style="13" customWidth="1"/>
    <col min="10" max="10" width="12.33203125" style="13" customWidth="1"/>
    <col min="11" max="11" width="11.6640625" style="13" customWidth="1"/>
    <col min="12" max="12" width="13.6640625" style="13" customWidth="1"/>
    <col min="13" max="13" width="12.1640625" style="13" customWidth="1"/>
    <col min="14" max="14" width="15.1640625" style="13" customWidth="1"/>
    <col min="15" max="15" width="12.1640625" style="13" customWidth="1"/>
    <col min="16" max="16" width="14" style="13" bestFit="1" customWidth="1"/>
    <col min="17" max="17" width="12" style="13" bestFit="1" customWidth="1"/>
    <col min="18" max="18" width="13.33203125" style="13" customWidth="1"/>
    <col min="19" max="19" width="10.83203125" style="13" customWidth="1"/>
    <col min="20" max="20" width="13.33203125" style="13" bestFit="1" customWidth="1"/>
    <col min="21" max="21" width="13" style="13" bestFit="1" customWidth="1"/>
    <col min="22" max="16384" width="10.6640625" style="13"/>
  </cols>
  <sheetData>
    <row r="2" spans="3:21" ht="25.5">
      <c r="C2" s="11" t="s">
        <v>100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3:21" ht="22.5">
      <c r="C3" s="14"/>
      <c r="D3" s="15"/>
      <c r="E3" s="15"/>
      <c r="F3" s="15"/>
      <c r="G3" s="15"/>
      <c r="I3" s="16" t="s">
        <v>169</v>
      </c>
      <c r="J3" s="17"/>
      <c r="K3" s="17"/>
      <c r="L3" s="1251" t="s">
        <v>81</v>
      </c>
      <c r="M3" s="1251"/>
      <c r="N3" s="18">
        <f>Январь!N3</f>
        <v>2020</v>
      </c>
      <c r="O3" s="17"/>
      <c r="P3" s="15"/>
      <c r="Q3" s="15"/>
      <c r="R3" s="15"/>
      <c r="S3" s="15"/>
      <c r="T3" s="15"/>
    </row>
    <row r="4" spans="3:21" ht="20.25">
      <c r="C4" s="19"/>
      <c r="I4" s="1252" t="s">
        <v>147</v>
      </c>
      <c r="J4" s="1252"/>
      <c r="K4" s="1252"/>
      <c r="L4" s="1252"/>
      <c r="M4" s="1252"/>
      <c r="N4" s="1252"/>
      <c r="O4" s="20"/>
    </row>
    <row r="5" spans="3:21" ht="14.25" customHeight="1">
      <c r="C5" s="32" t="s">
        <v>104</v>
      </c>
      <c r="D5" s="33"/>
      <c r="F5" s="21"/>
      <c r="G5" s="22"/>
      <c r="I5" s="23"/>
      <c r="K5" s="24"/>
      <c r="L5" s="25"/>
      <c r="M5" s="25"/>
      <c r="N5" s="26"/>
      <c r="O5" s="20"/>
    </row>
    <row r="6" spans="3:21" ht="14.25" customHeight="1">
      <c r="C6" s="36" t="s">
        <v>29</v>
      </c>
      <c r="D6" s="37">
        <f>'корпоративный баланс энергии'!AH849</f>
        <v>8206.8437620086661</v>
      </c>
      <c r="F6" s="21"/>
      <c r="G6" s="22"/>
      <c r="I6" s="23"/>
      <c r="K6" s="24"/>
      <c r="L6" s="25"/>
      <c r="M6" s="25"/>
      <c r="N6" s="26"/>
      <c r="O6" s="20"/>
    </row>
    <row r="7" spans="3:21" ht="14.25" customHeight="1">
      <c r="C7" s="36" t="s">
        <v>107</v>
      </c>
      <c r="D7" s="37">
        <f>'корпоративный баланс энергии'!AJ849</f>
        <v>7275.3405278224518</v>
      </c>
      <c r="F7" s="21"/>
      <c r="G7" s="22"/>
      <c r="I7" s="23"/>
      <c r="K7" s="24"/>
      <c r="L7" s="25"/>
      <c r="M7" s="25"/>
      <c r="N7" s="26"/>
      <c r="O7" s="20"/>
    </row>
    <row r="8" spans="3:21" ht="14.25" customHeight="1">
      <c r="C8" s="36" t="s">
        <v>108</v>
      </c>
      <c r="D8" s="40">
        <f>D7-D6</f>
        <v>-931.50323418621429</v>
      </c>
      <c r="F8" s="21"/>
      <c r="G8" s="22"/>
      <c r="I8" s="23"/>
      <c r="K8" s="24"/>
      <c r="L8" s="25"/>
      <c r="M8" s="25"/>
      <c r="N8" s="26"/>
      <c r="O8" s="20"/>
    </row>
    <row r="9" spans="3:21" ht="14.25" customHeight="1">
      <c r="C9" s="41" t="s">
        <v>109</v>
      </c>
      <c r="D9" s="40">
        <f>-D8-G11-I11-J13-J15+F16-E18-F30-G27+K20</f>
        <v>3.2341862142857281E-3</v>
      </c>
      <c r="F9" s="21"/>
      <c r="G9" s="22"/>
      <c r="I9" s="23"/>
      <c r="K9" s="24"/>
      <c r="L9" s="25"/>
      <c r="M9" s="25"/>
      <c r="N9" s="26"/>
      <c r="O9" s="20"/>
    </row>
    <row r="10" spans="3:21" ht="14.25" customHeight="1">
      <c r="C10" s="19"/>
      <c r="F10" s="21"/>
      <c r="G10" s="22" t="s">
        <v>101</v>
      </c>
      <c r="I10" s="158" t="s">
        <v>243</v>
      </c>
      <c r="K10" s="24"/>
      <c r="L10" s="25"/>
      <c r="M10" s="25"/>
      <c r="N10" s="26"/>
      <c r="O10" s="20"/>
    </row>
    <row r="11" spans="3:21" ht="15.75" customHeight="1">
      <c r="C11" s="19"/>
      <c r="F11" s="21"/>
      <c r="G11" s="27">
        <f>-('корпоративный баланс энергии'!AI23+'корпоративный баланс энергии'!AI59)</f>
        <v>620</v>
      </c>
      <c r="I11" s="27">
        <f>-'корпоративный баланс энергии'!AI24</f>
        <v>40</v>
      </c>
      <c r="K11" s="24"/>
      <c r="L11" s="25"/>
      <c r="M11" s="25"/>
      <c r="N11" s="26"/>
      <c r="O11" s="20"/>
    </row>
    <row r="12" spans="3:21" ht="15.75" customHeight="1">
      <c r="C12" s="19"/>
      <c r="F12" s="21"/>
      <c r="J12" s="158" t="s">
        <v>244</v>
      </c>
      <c r="K12" s="15"/>
      <c r="L12" s="25"/>
      <c r="M12" s="25"/>
      <c r="N12" s="26"/>
      <c r="O12" s="29" t="s">
        <v>102</v>
      </c>
      <c r="R12" s="30">
        <f>SUM(D6,H34,D60,K34,N34,Q34,T34)</f>
        <v>83772.921181997663</v>
      </c>
    </row>
    <row r="13" spans="3:21" ht="15" customHeight="1">
      <c r="C13" s="19"/>
      <c r="D13" s="1253" t="s">
        <v>103</v>
      </c>
      <c r="E13" s="1253"/>
      <c r="F13" s="21"/>
      <c r="J13" s="27">
        <f>-'корпоративный баланс энергии'!AI25</f>
        <v>45</v>
      </c>
      <c r="K13" s="15"/>
      <c r="L13" s="34"/>
      <c r="M13" s="25"/>
      <c r="N13" s="26"/>
      <c r="O13" s="29" t="s">
        <v>105</v>
      </c>
      <c r="R13" s="30">
        <f>SUM(D7,H35,D61,K35,N35,Q35,T35)</f>
        <v>81673.426379050739</v>
      </c>
    </row>
    <row r="14" spans="3:21" ht="15.75" customHeight="1">
      <c r="C14" s="19"/>
      <c r="E14" s="35">
        <f>-('корпоративный баланс энергии'!AI30+'корпоративный баланс энергии'!AI31+'корпоративный баланс энергии'!AI32+'корпоративный баланс энергии'!AI33+'корпоративный баланс энергии'!AI61+'корпоративный баланс энергии'!AI62+'корпоративный баланс энергии'!AI63)</f>
        <v>365</v>
      </c>
      <c r="F14" s="21"/>
      <c r="J14" s="158" t="s">
        <v>245</v>
      </c>
      <c r="K14" s="24"/>
      <c r="L14" s="25"/>
      <c r="M14" s="25"/>
      <c r="N14" s="26"/>
      <c r="O14" s="29" t="s">
        <v>106</v>
      </c>
      <c r="R14" s="30">
        <f>SUM(D8,H36,D62,K36,N36,Q36,T36)</f>
        <v>-2099.4948029469301</v>
      </c>
      <c r="S14" s="24"/>
      <c r="T14" s="161">
        <f>-G11-I11-J13-J15+F16-E18-F30-F36-E45-F54-F61-I60-J47-L47-M47-N47+P47-R47-T47-F48</f>
        <v>-2099.5</v>
      </c>
      <c r="U14" s="161">
        <f>R13-R12</f>
        <v>-2099.4948029469233</v>
      </c>
    </row>
    <row r="15" spans="3:21">
      <c r="D15" s="41" t="s">
        <v>109</v>
      </c>
      <c r="E15" s="591">
        <f>-E14+D29+E18-F16</f>
        <v>0</v>
      </c>
      <c r="J15" s="27">
        <f>-'корпоративный баланс энергии'!AI26</f>
        <v>1.5</v>
      </c>
      <c r="O15" s="38"/>
      <c r="P15" s="24"/>
      <c r="Q15" s="24"/>
      <c r="R15" s="38"/>
    </row>
    <row r="16" spans="3:21">
      <c r="F16" s="69">
        <f>'корпоративный баланс энергии'!AI30+'корпоративный баланс энергии'!AI31+'корпоративный баланс энергии'!AI32+'корпоративный баланс энергии'!AI62+'корпоративный баланс энергии'!AI63</f>
        <v>-65</v>
      </c>
      <c r="O16" s="38"/>
      <c r="P16" s="24"/>
      <c r="Q16" s="24"/>
      <c r="R16" s="38"/>
    </row>
    <row r="17" spans="4:21" ht="13.5" thickBot="1">
      <c r="O17" s="38"/>
      <c r="P17" s="24"/>
      <c r="Q17" s="24"/>
      <c r="R17" s="38"/>
    </row>
    <row r="18" spans="4:21" ht="15">
      <c r="E18" s="210">
        <f>-('корпоративный баланс энергии'!AI33+'корпоративный баланс энергии'!AI61)</f>
        <v>300</v>
      </c>
      <c r="P18" s="863" t="s">
        <v>113</v>
      </c>
      <c r="Q18" s="864"/>
      <c r="R18" s="864"/>
      <c r="S18" s="864"/>
      <c r="T18" s="865"/>
      <c r="U18" s="866">
        <f>-O60</f>
        <v>-119</v>
      </c>
    </row>
    <row r="19" spans="4:21" ht="14.25">
      <c r="F19" s="43"/>
      <c r="G19" s="1258" t="s">
        <v>110</v>
      </c>
      <c r="H19" s="1258"/>
      <c r="P19" s="867" t="s">
        <v>1070</v>
      </c>
      <c r="Q19" s="868"/>
      <c r="R19" s="868"/>
      <c r="S19" s="868"/>
      <c r="T19" s="869"/>
      <c r="U19" s="870">
        <f>SUM(U20:U21)</f>
        <v>-175.00209395744105</v>
      </c>
    </row>
    <row r="20" spans="4:21" ht="15">
      <c r="D20" s="24"/>
      <c r="E20" s="1257" t="s">
        <v>111</v>
      </c>
      <c r="F20" s="1257"/>
      <c r="G20" s="1258" t="s">
        <v>112</v>
      </c>
      <c r="H20" s="1258"/>
      <c r="K20" s="1032">
        <v>10</v>
      </c>
      <c r="P20" s="871" t="s">
        <v>115</v>
      </c>
      <c r="Q20" s="868" t="s">
        <v>507</v>
      </c>
      <c r="R20" s="868"/>
      <c r="S20" s="868"/>
      <c r="T20" s="869"/>
      <c r="U20" s="870">
        <f>-N47</f>
        <v>-225.00209395744105</v>
      </c>
    </row>
    <row r="21" spans="4:21" ht="13.5" thickBot="1">
      <c r="F21" s="44"/>
      <c r="G21" s="36" t="s">
        <v>29</v>
      </c>
      <c r="H21" s="45">
        <f>D6-F22</f>
        <v>7582.0097620086663</v>
      </c>
      <c r="P21" s="872"/>
      <c r="Q21" s="873" t="s">
        <v>116</v>
      </c>
      <c r="R21" s="873"/>
      <c r="S21" s="873"/>
      <c r="T21" s="874"/>
      <c r="U21" s="875">
        <f>-M47</f>
        <v>50</v>
      </c>
    </row>
    <row r="22" spans="4:21" ht="15.75" thickBot="1">
      <c r="E22" s="36" t="s">
        <v>29</v>
      </c>
      <c r="F22" s="37">
        <f>'корпоративный баланс энергии'!AH865</f>
        <v>624.83399999999995</v>
      </c>
      <c r="G22" s="36" t="s">
        <v>107</v>
      </c>
      <c r="H22" s="45">
        <f>D7-F23</f>
        <v>6950.506527822452</v>
      </c>
      <c r="I22" s="59"/>
      <c r="J22" s="24"/>
      <c r="P22" s="860" t="s">
        <v>1068</v>
      </c>
      <c r="Q22" s="861"/>
      <c r="R22" s="861"/>
      <c r="S22" s="861"/>
      <c r="T22" s="861"/>
      <c r="U22" s="862">
        <f>'корпоративный баланс энергии'!AI74</f>
        <v>70</v>
      </c>
    </row>
    <row r="23" spans="4:21" ht="15" thickBot="1">
      <c r="E23" s="36" t="s">
        <v>107</v>
      </c>
      <c r="F23" s="37">
        <f>'корпоративный баланс энергии'!AJ865</f>
        <v>324.834</v>
      </c>
      <c r="G23" s="36" t="s">
        <v>108</v>
      </c>
      <c r="H23" s="40">
        <f>H22-H21</f>
        <v>-631.50323418621429</v>
      </c>
      <c r="I23" s="60"/>
      <c r="J23" s="61"/>
      <c r="P23" s="858" t="s">
        <v>1071</v>
      </c>
      <c r="Q23" s="876"/>
      <c r="R23" s="876"/>
      <c r="S23" s="876"/>
      <c r="T23" s="859"/>
      <c r="U23" s="875">
        <f>MIN(ABS(N48),ABS(P48))</f>
        <v>66</v>
      </c>
    </row>
    <row r="24" spans="4:21" ht="19.5" thickBot="1">
      <c r="E24" s="36" t="s">
        <v>108</v>
      </c>
      <c r="F24" s="46">
        <f>F23-F22</f>
        <v>-299.99999999999994</v>
      </c>
      <c r="G24" s="41" t="s">
        <v>109</v>
      </c>
      <c r="H24" s="40">
        <f>-H23+F16+K20-G11-I11-J13-J15-G27-F30</f>
        <v>3.2341862142857281E-3</v>
      </c>
      <c r="I24" s="62"/>
      <c r="J24" s="61"/>
      <c r="P24" s="877" t="s">
        <v>1072</v>
      </c>
      <c r="Q24" s="873"/>
      <c r="R24" s="873"/>
      <c r="S24" s="873"/>
      <c r="T24" s="874"/>
      <c r="U24" s="875">
        <f>MIN(ABS('корпоративный баланс энергии'!AI54),ABS('корпоративный баланс энергии'!AI80))</f>
        <v>170</v>
      </c>
    </row>
    <row r="25" spans="4:21" ht="15" thickBot="1">
      <c r="E25" s="41" t="s">
        <v>109</v>
      </c>
      <c r="F25" s="46">
        <f>-F24-E18</f>
        <v>0</v>
      </c>
      <c r="K25" s="1024">
        <v>20</v>
      </c>
      <c r="P25" s="878" t="s">
        <v>1073</v>
      </c>
      <c r="Q25" s="879"/>
      <c r="R25" s="879"/>
      <c r="S25" s="879"/>
      <c r="T25" s="880"/>
      <c r="U25" s="881">
        <f>ABS(U23)+ABS(U24)</f>
        <v>236</v>
      </c>
    </row>
    <row r="26" spans="4:21" ht="15" thickBot="1">
      <c r="P26" s="877" t="s">
        <v>1257</v>
      </c>
      <c r="Q26" s="873"/>
      <c r="R26" s="873"/>
      <c r="S26" s="873"/>
      <c r="T26" s="874"/>
      <c r="U26" s="875">
        <f>'корпоративный баланс энергии'!AI79</f>
        <v>26</v>
      </c>
    </row>
    <row r="27" spans="4:21" ht="15" thickBot="1">
      <c r="G27" s="1159">
        <v>-150</v>
      </c>
      <c r="P27" s="884" t="s">
        <v>1074</v>
      </c>
      <c r="Q27" s="885"/>
      <c r="R27" s="885"/>
      <c r="S27" s="885"/>
      <c r="T27" s="886"/>
      <c r="U27" s="887">
        <f>U22+U25+U26</f>
        <v>332</v>
      </c>
    </row>
    <row r="28" spans="4:21">
      <c r="S28" s="48"/>
      <c r="T28" s="48"/>
      <c r="U28" s="48"/>
    </row>
    <row r="29" spans="4:21">
      <c r="D29" s="601">
        <v>0</v>
      </c>
      <c r="R29" s="52"/>
    </row>
    <row r="30" spans="4:21">
      <c r="F30" s="69">
        <f>-('корпоративный баланс энергии'!AI34+'корпоративный баланс энергии'!AI64)</f>
        <v>20</v>
      </c>
    </row>
    <row r="31" spans="4:21" ht="15">
      <c r="G31" s="21" t="s">
        <v>117</v>
      </c>
      <c r="J31" s="28" t="s">
        <v>118</v>
      </c>
      <c r="K31" s="15"/>
      <c r="M31" s="21" t="s">
        <v>117</v>
      </c>
      <c r="P31" s="21" t="s">
        <v>117</v>
      </c>
      <c r="Q31" s="53"/>
      <c r="S31" s="21" t="s">
        <v>117</v>
      </c>
    </row>
    <row r="32" spans="4:21" ht="15">
      <c r="G32" s="28" t="s">
        <v>119</v>
      </c>
      <c r="H32" s="15"/>
      <c r="J32" s="28" t="s">
        <v>120</v>
      </c>
      <c r="K32" s="15"/>
      <c r="M32" s="28" t="s">
        <v>121</v>
      </c>
      <c r="N32" s="15"/>
      <c r="P32" s="28" t="s">
        <v>122</v>
      </c>
      <c r="Q32" s="54"/>
      <c r="S32" s="28" t="s">
        <v>123</v>
      </c>
      <c r="T32" s="15"/>
    </row>
    <row r="33" spans="3:20" ht="14.25">
      <c r="C33" s="21" t="s">
        <v>124</v>
      </c>
    </row>
    <row r="34" spans="3:20" ht="14.25">
      <c r="D34" s="21" t="s">
        <v>125</v>
      </c>
      <c r="G34" s="36" t="s">
        <v>29</v>
      </c>
      <c r="H34" s="37">
        <f>'корпоративный баланс энергии'!AH82</f>
        <v>17970.274864808795</v>
      </c>
      <c r="J34" s="36" t="s">
        <v>29</v>
      </c>
      <c r="K34" s="37">
        <f>'корпоративный баланс энергии'!AH370</f>
        <v>8634.5732343550226</v>
      </c>
      <c r="M34" s="36" t="s">
        <v>29</v>
      </c>
      <c r="N34" s="37">
        <f>'корпоративный баланс энергии'!AH538</f>
        <v>21132.459897346173</v>
      </c>
      <c r="P34" s="36" t="s">
        <v>29</v>
      </c>
      <c r="Q34" s="37">
        <f>'корпоративный баланс энергии'!AH1454</f>
        <v>16050.402927983783</v>
      </c>
      <c r="S34" s="36" t="s">
        <v>29</v>
      </c>
      <c r="T34" s="37">
        <f>'корпоративный баланс энергии'!AH1674</f>
        <v>3155.7579999999998</v>
      </c>
    </row>
    <row r="35" spans="3:20">
      <c r="E35" s="55">
        <f>-('корпоративный баланс энергии'!AI34+'корпоративный баланс энергии'!AI35+'корпоративный баланс энергии'!AI36+'корпоративный баланс энергии'!AI65)</f>
        <v>70</v>
      </c>
      <c r="G35" s="36" t="s">
        <v>107</v>
      </c>
      <c r="H35" s="37">
        <f>'корпоративный баланс энергии'!AJ82</f>
        <v>18670.267775955414</v>
      </c>
      <c r="J35" s="36" t="s">
        <v>107</v>
      </c>
      <c r="K35" s="37">
        <f>'корпоративный баланс энергии'!AJ370</f>
        <v>8530.584840276666</v>
      </c>
      <c r="M35" s="36" t="s">
        <v>107</v>
      </c>
      <c r="N35" s="37">
        <f>'корпоративный баланс энергии'!AJ538</f>
        <v>20607.455120310031</v>
      </c>
      <c r="P35" s="36" t="s">
        <v>107</v>
      </c>
      <c r="Q35" s="37">
        <f>'корпоративный баланс энергии'!AJ1454</f>
        <v>16214.765184341224</v>
      </c>
      <c r="S35" s="36" t="s">
        <v>107</v>
      </c>
      <c r="T35" s="37">
        <f>'корпоративный баланс энергии'!AJ1674</f>
        <v>2812.3978376</v>
      </c>
    </row>
    <row r="36" spans="3:20">
      <c r="C36" s="599">
        <v>0</v>
      </c>
      <c r="D36" s="41" t="s">
        <v>109</v>
      </c>
      <c r="E36" s="591">
        <f>-E35-D29+F30+F36-C36</f>
        <v>0</v>
      </c>
      <c r="F36" s="69">
        <f>-('корпоративный баланс энергии'!AI35+'корпоративный баланс энергии'!AI36+'корпоративный баланс энергии'!AI65)</f>
        <v>50</v>
      </c>
      <c r="G36" s="36" t="s">
        <v>108</v>
      </c>
      <c r="H36" s="46">
        <f>H35-H34</f>
        <v>699.99291114661901</v>
      </c>
      <c r="I36" s="1030">
        <v>-200</v>
      </c>
      <c r="J36" s="56" t="s">
        <v>108</v>
      </c>
      <c r="K36" s="46">
        <f>K35-K34</f>
        <v>-103.98839407835658</v>
      </c>
      <c r="L36" s="1030">
        <v>-200</v>
      </c>
      <c r="M36" s="56" t="s">
        <v>108</v>
      </c>
      <c r="N36" s="57">
        <f>N35-N34</f>
        <v>-525.0047770361416</v>
      </c>
      <c r="O36" s="1160">
        <v>120</v>
      </c>
      <c r="P36" s="56" t="s">
        <v>108</v>
      </c>
      <c r="Q36" s="46">
        <f>Q35-Q34</f>
        <v>164.36225635744086</v>
      </c>
      <c r="R36" s="58">
        <f>T34-T35-T47</f>
        <v>23.360162399999808</v>
      </c>
      <c r="S36" s="56" t="s">
        <v>108</v>
      </c>
      <c r="T36" s="46">
        <f>T35-T34</f>
        <v>-343.36016239999981</v>
      </c>
    </row>
    <row r="37" spans="3:20" ht="18">
      <c r="G37" s="41" t="s">
        <v>109</v>
      </c>
      <c r="H37" s="46">
        <f>-H36-F36+G27+K25-I36-E45-G40</f>
        <v>7.0888533809920773E-3</v>
      </c>
      <c r="J37" s="41" t="s">
        <v>109</v>
      </c>
      <c r="K37" s="46">
        <f>-K36+I36-L36-L47-I42</f>
        <v>-1.1605921643422334E-2</v>
      </c>
      <c r="L37" s="44"/>
      <c r="M37" s="41" t="s">
        <v>109</v>
      </c>
      <c r="N37" s="57">
        <f>-N36+L36-O36-K20-K25-M47-N47</f>
        <v>2.6830787005565071E-3</v>
      </c>
      <c r="P37" s="41" t="s">
        <v>109</v>
      </c>
      <c r="Q37" s="40">
        <f>-Q36+O36+R36-R47+P47</f>
        <v>0</v>
      </c>
      <c r="R37" s="88"/>
      <c r="S37" s="41" t="s">
        <v>109</v>
      </c>
      <c r="T37" s="40">
        <f>-T36-R36-T47</f>
        <v>0</v>
      </c>
    </row>
    <row r="39" spans="3:20" ht="18">
      <c r="G39" s="88"/>
      <c r="H39" s="160" t="s">
        <v>126</v>
      </c>
      <c r="N39" s="71"/>
    </row>
    <row r="40" spans="3:20">
      <c r="G40" s="1024">
        <v>-750</v>
      </c>
      <c r="H40" s="160" t="s">
        <v>127</v>
      </c>
      <c r="N40" s="60"/>
      <c r="O40" s="73"/>
    </row>
    <row r="41" spans="3:20" ht="15.75" customHeight="1">
      <c r="I41" s="160" t="s">
        <v>128</v>
      </c>
      <c r="N41" s="62"/>
      <c r="O41" s="73"/>
    </row>
    <row r="42" spans="3:20">
      <c r="G42" s="1259" t="s">
        <v>129</v>
      </c>
      <c r="H42" s="1259"/>
      <c r="I42" s="1161">
        <v>100</v>
      </c>
    </row>
    <row r="43" spans="3:20">
      <c r="G43" s="1262" t="s">
        <v>130</v>
      </c>
      <c r="H43" s="1262"/>
    </row>
    <row r="44" spans="3:20">
      <c r="E44" s="44"/>
      <c r="G44" s="36" t="s">
        <v>29</v>
      </c>
      <c r="H44" s="37">
        <f>'корпоративный баланс энергии'!AH1122+'корпоративный баланс энергии'!AH1089</f>
        <v>1441.0780610351562</v>
      </c>
      <c r="M44" s="160" t="s">
        <v>251</v>
      </c>
      <c r="N44" s="64"/>
      <c r="O44" s="160" t="s">
        <v>248</v>
      </c>
    </row>
    <row r="45" spans="3:20">
      <c r="E45" s="69">
        <f>-('корпоративный баланс энергии'!AI37+'корпоративный баланс энергии'!AI38+'корпоративный баланс энергии'!AI39+'корпоративный баланс энергии'!AI66+'корпоративный баланс энергии'!AI67+'корпоративный баланс энергии'!AI68)</f>
        <v>70</v>
      </c>
      <c r="G45" s="36" t="s">
        <v>107</v>
      </c>
      <c r="H45" s="37">
        <f>'корпоративный баланс энергии'!AJ1122+'корпоративный баланс энергии'!AJ1089</f>
        <v>1515.0803214054854</v>
      </c>
      <c r="M45" s="160" t="s">
        <v>336</v>
      </c>
      <c r="O45" s="160" t="s">
        <v>249</v>
      </c>
    </row>
    <row r="46" spans="3:20" ht="14.25">
      <c r="G46" s="36" t="s">
        <v>108</v>
      </c>
      <c r="H46" s="46">
        <f>H45-H44</f>
        <v>74.002260370329168</v>
      </c>
      <c r="J46" s="160" t="s">
        <v>131</v>
      </c>
      <c r="O46" s="160" t="s">
        <v>250</v>
      </c>
      <c r="R46" s="65" t="s">
        <v>132</v>
      </c>
      <c r="T46" s="21" t="s">
        <v>133</v>
      </c>
    </row>
    <row r="47" spans="3:20">
      <c r="F47" s="29"/>
      <c r="G47" s="41" t="s">
        <v>109</v>
      </c>
      <c r="H47" s="46">
        <f>-H46+G40+I42-J47-F48-G49</f>
        <v>-2.2603703291679267E-3</v>
      </c>
      <c r="J47" s="69">
        <f>-('корпоративный баланс энергии'!AI49+'корпоративный баланс энергии'!AI50)</f>
        <v>6</v>
      </c>
      <c r="L47" s="69">
        <f>-('корпоративный баланс энергии'!AI46+'корпоративный баланс энергии'!AI47+'корпоративный баланс энергии'!AI74)</f>
        <v>4</v>
      </c>
      <c r="M47" s="66">
        <f>-('корпоративный баланс энергии'!AI48+'корпоративный баланс энергии'!AI75)</f>
        <v>-50</v>
      </c>
      <c r="N47" s="42">
        <f>P62+P47</f>
        <v>225.00209395744105</v>
      </c>
      <c r="O47" s="1177">
        <f>-'корпоративный баланс энергии'!AJ53</f>
        <v>14</v>
      </c>
      <c r="P47" s="42">
        <f>Q36-O36-R36+R47</f>
        <v>66.002093957441048</v>
      </c>
      <c r="R47" s="27">
        <f>-('корпоративный баланс энергии'!AI27+'корпоративный баланс энергии'!AI28+'корпоративный баланс энергии'!AI60)</f>
        <v>45</v>
      </c>
      <c r="T47" s="27">
        <f>-'корпоративный баланс энергии'!AI29</f>
        <v>320</v>
      </c>
    </row>
    <row r="48" spans="3:20">
      <c r="F48" s="51">
        <f>-('корпоративный баланс энергии'!AI40)</f>
        <v>0</v>
      </c>
      <c r="M48" s="76"/>
      <c r="N48" s="584">
        <f>-('корпоративный баланс энергии'!AI51+'корпоративный баланс энергии'!AI52+'корпоративный баланс энергии'!AI76+'корпоративный баланс энергии'!AI77)</f>
        <v>225</v>
      </c>
      <c r="P48" s="584">
        <f>'корпоративный баланс энергии'!AI53+'корпоративный баланс энергии'!AI54+'корпоративный баланс энергии'!AI55+'корпоративный баланс энергии'!AI56+'корпоративный баланс энергии'!AI78+'корпоративный баланс энергии'!AI79+'корпоративный баланс энергии'!AI80</f>
        <v>66</v>
      </c>
    </row>
    <row r="49" spans="2:19" ht="15.75">
      <c r="C49" s="22" t="s">
        <v>134</v>
      </c>
      <c r="F49" s="160" t="s">
        <v>135</v>
      </c>
      <c r="G49" s="1023">
        <v>-730</v>
      </c>
      <c r="H49" s="160" t="s">
        <v>136</v>
      </c>
      <c r="P49" s="13" t="s">
        <v>90</v>
      </c>
    </row>
    <row r="50" spans="2:19" ht="18">
      <c r="D50" s="68" t="s">
        <v>137</v>
      </c>
      <c r="G50" s="88"/>
      <c r="H50" s="160" t="s">
        <v>138</v>
      </c>
    </row>
    <row r="51" spans="2:19">
      <c r="E51" s="55">
        <f>-('корпоративный баланс энергии'!AI37+'корпоративный баланс энергии'!AI38+'корпоративный баланс энергии'!AI39+'корпоративный баланс энергии'!AI40+'корпоративный баланс энергии'!AI41+'корпоративный баланс энергии'!AI66+'корпоративный баланс энергии'!AI67+'корпоративный баланс энергии'!AI68+'корпоративный баланс энергии'!AI69+'корпоративный баланс энергии'!AI70)</f>
        <v>330</v>
      </c>
      <c r="H51" s="160" t="s">
        <v>508</v>
      </c>
    </row>
    <row r="52" spans="2:19" ht="14.25">
      <c r="C52" s="599">
        <v>0</v>
      </c>
      <c r="D52" s="41" t="s">
        <v>109</v>
      </c>
      <c r="E52" s="591">
        <f>-E51+E45+F48+F54-E54-C52</f>
        <v>0</v>
      </c>
      <c r="G52" s="28"/>
      <c r="H52" s="15"/>
      <c r="O52" s="70"/>
    </row>
    <row r="53" spans="2:19" ht="15">
      <c r="B53" s="581" t="s">
        <v>513</v>
      </c>
      <c r="G53" s="28" t="s">
        <v>890</v>
      </c>
      <c r="H53" s="15"/>
      <c r="I53" s="71"/>
    </row>
    <row r="54" spans="2:19">
      <c r="B54" s="36" t="s">
        <v>29</v>
      </c>
      <c r="C54" s="157">
        <f>'корпоративный баланс энергии'!AH1390</f>
        <v>465.70123400000006</v>
      </c>
      <c r="E54" s="51">
        <f>'корпоративный баланс энергии'!AI70</f>
        <v>0</v>
      </c>
      <c r="F54" s="69">
        <f>-('корпоративный баланс энергии'!AI41+'корпоративный баланс энергии'!AI69)</f>
        <v>260</v>
      </c>
      <c r="G54" s="1262" t="s">
        <v>889</v>
      </c>
      <c r="H54" s="1262"/>
      <c r="I54" s="60"/>
      <c r="J54" s="73"/>
      <c r="M54" s="44"/>
    </row>
    <row r="55" spans="2:19" ht="18.75">
      <c r="B55" s="36" t="s">
        <v>107</v>
      </c>
      <c r="C55" s="157">
        <f>'корпоративный баланс энергии'!AJ1390</f>
        <v>573.63554849676905</v>
      </c>
      <c r="G55" s="36" t="s">
        <v>29</v>
      </c>
      <c r="H55" s="37">
        <f>D60-C54-H44</f>
        <v>6715.8292004600626</v>
      </c>
      <c r="I55" s="62"/>
      <c r="J55" s="73"/>
      <c r="M55" s="221">
        <f>J47+L47+M47</f>
        <v>-40</v>
      </c>
    </row>
    <row r="56" spans="2:19">
      <c r="B56" s="36" t="s">
        <v>108</v>
      </c>
      <c r="C56" s="40">
        <f>C55-C54</f>
        <v>107.93431449676899</v>
      </c>
      <c r="D56" s="582" t="s">
        <v>511</v>
      </c>
      <c r="E56" s="210">
        <f>'корпоративный баланс энергии'!AI1390</f>
        <v>107.93431449676899</v>
      </c>
      <c r="G56" s="36" t="s">
        <v>107</v>
      </c>
      <c r="H56" s="37">
        <f>D61-C55-H45</f>
        <v>5473.8992228426869</v>
      </c>
      <c r="I56" s="75"/>
      <c r="L56" s="29" t="s">
        <v>139</v>
      </c>
      <c r="M56" s="51">
        <f>-('корпоративный баланс энергии'!AI46+'корпоративный баланс энергии'!AI47+'корпоративный баланс энергии'!AI48+'корпоративный баланс энергии'!AI49+'корпоративный баланс энергии'!AI50+'корпоративный баланс энергии'!AI74+'корпоративный баланс энергии'!AI75)</f>
        <v>-40</v>
      </c>
    </row>
    <row r="57" spans="2:19">
      <c r="B57" s="41" t="s">
        <v>109</v>
      </c>
      <c r="C57" s="40">
        <f>-C56+E54+E56</f>
        <v>0</v>
      </c>
      <c r="D57" s="583" t="s">
        <v>512</v>
      </c>
      <c r="G57" s="36" t="s">
        <v>108</v>
      </c>
      <c r="H57" s="46">
        <f>H56-H55</f>
        <v>-1241.9299776173757</v>
      </c>
      <c r="J57" s="76"/>
      <c r="L57" s="29" t="s">
        <v>140</v>
      </c>
      <c r="P57" s="77"/>
    </row>
    <row r="58" spans="2:19" ht="20.25" customHeight="1">
      <c r="G58" s="41" t="s">
        <v>109</v>
      </c>
      <c r="H58" s="78">
        <f>-H57-F54-E56+G49-I60-F61</f>
        <v>-4.3368793933495908E-3</v>
      </c>
      <c r="I58" s="29"/>
      <c r="M58" s="79" t="s">
        <v>141</v>
      </c>
    </row>
    <row r="59" spans="2:19" ht="14.25">
      <c r="C59" s="32" t="s">
        <v>246</v>
      </c>
      <c r="D59" s="33"/>
    </row>
    <row r="60" spans="2:19">
      <c r="C60" s="36" t="s">
        <v>29</v>
      </c>
      <c r="D60" s="157">
        <f>'корпоративный баланс энергии'!AH1082</f>
        <v>8622.6084954952184</v>
      </c>
      <c r="I60" s="80">
        <f>I65</f>
        <v>-5</v>
      </c>
      <c r="L60" s="81" t="s">
        <v>337</v>
      </c>
      <c r="M60" s="81"/>
      <c r="N60" s="81"/>
      <c r="O60" s="82">
        <f>J47+L47+M47+N47-P47</f>
        <v>119</v>
      </c>
      <c r="P60" s="69">
        <f>-('корпоративный баланс энергии'!AI46+'корпоративный баланс энергии'!AI47+'корпоративный баланс энергии'!AI48+'корпоративный баланс энергии'!AI49+'корпоративный баланс энергии'!AI50+'корпоративный баланс энергии'!AI51+'корпоративный баланс энергии'!AI52+'корпоративный баланс энергии'!AI53+'корпоративный баланс энергии'!AI54+'корпоративный баланс энергии'!AI55+'корпоративный баланс энергии'!AI56+'корпоративный баланс энергии'!AI74+'корпоративный баланс энергии'!AI75+'корпоративный баланс энергии'!AI76+'корпоративный баланс энергии'!AI77+'корпоративный баланс энергии'!AI78+'корпоративный баланс энергии'!AI79+'корпоративный баланс энергии'!AI80)</f>
        <v>119</v>
      </c>
      <c r="S60" s="161">
        <f>M56+P62</f>
        <v>119</v>
      </c>
    </row>
    <row r="61" spans="2:19">
      <c r="C61" s="36" t="s">
        <v>107</v>
      </c>
      <c r="D61" s="157">
        <f>'корпоративный баланс энергии'!AJ1082</f>
        <v>7562.6150927449407</v>
      </c>
      <c r="F61" s="80">
        <f>F65</f>
        <v>149</v>
      </c>
      <c r="H61" s="75"/>
      <c r="N61" s="83"/>
    </row>
    <row r="62" spans="2:19" ht="14.25">
      <c r="C62" s="36" t="s">
        <v>108</v>
      </c>
      <c r="D62" s="40">
        <f>D61-D60</f>
        <v>-1059.9934027502777</v>
      </c>
      <c r="E62" s="21"/>
      <c r="L62" s="209" t="s">
        <v>338</v>
      </c>
      <c r="N62" s="83"/>
      <c r="P62" s="69">
        <f>-('корпоративный баланс энергии'!AI51+'корпоративный баланс энергии'!AI52+'корпоративный баланс энергии'!AI53+'корпоративный баланс энергии'!AI54+'корпоративный баланс энергии'!AI55+'корпоративный баланс энергии'!AI56+'корпоративный баланс энергии'!AI76+'корпоративный баланс энергии'!AI77+'корпоративный баланс энергии'!AI78+'корпоративный баланс энергии'!AI79+'корпоративный баланс энергии'!AI80)</f>
        <v>159</v>
      </c>
      <c r="S62" s="161">
        <f>-(P47-N47)</f>
        <v>159</v>
      </c>
    </row>
    <row r="63" spans="2:19">
      <c r="C63" s="41" t="s">
        <v>109</v>
      </c>
      <c r="D63" s="40">
        <f>-D62+G40+I42-J47-I60-F61-F54-F48</f>
        <v>-6.5972497222901438E-3</v>
      </c>
      <c r="K63" s="84"/>
      <c r="N63" s="13" t="s">
        <v>75</v>
      </c>
      <c r="O63" s="83" t="s">
        <v>142</v>
      </c>
    </row>
    <row r="64" spans="2:19">
      <c r="F64" s="162" t="s">
        <v>143</v>
      </c>
      <c r="I64" s="31" t="s">
        <v>144</v>
      </c>
      <c r="N64" s="13" t="s">
        <v>145</v>
      </c>
      <c r="O64" s="83" t="s">
        <v>146</v>
      </c>
    </row>
    <row r="65" spans="6:20">
      <c r="F65" s="85">
        <f>-('корпоративный баланс энергии'!AI42+'корпоративный баланс энергии'!AI44+'корпоративный баланс энергии'!AI45+'корпоративный баланс энергии'!AI72)</f>
        <v>149</v>
      </c>
      <c r="I65" s="85">
        <f>-('корпоративный баланс энергии'!AI43+'корпоративный баланс энергии'!AI71)</f>
        <v>-5</v>
      </c>
      <c r="O65" s="83"/>
    </row>
    <row r="66" spans="6:20">
      <c r="O66" s="83"/>
    </row>
    <row r="67" spans="6:20">
      <c r="O67" s="83"/>
    </row>
    <row r="68" spans="6:20">
      <c r="O68" s="83"/>
    </row>
    <row r="69" spans="6:20">
      <c r="O69" s="83"/>
    </row>
    <row r="70" spans="6:20">
      <c r="O70" s="83"/>
    </row>
    <row r="72" spans="6:20" ht="14.25" hidden="1">
      <c r="K72" s="1260" t="s">
        <v>149</v>
      </c>
      <c r="L72" s="1261"/>
      <c r="N72" s="1260" t="s">
        <v>149</v>
      </c>
      <c r="O72" s="1261"/>
      <c r="Q72" s="1260" t="s">
        <v>149</v>
      </c>
      <c r="R72" s="1261"/>
    </row>
    <row r="73" spans="6:20" ht="14.25" hidden="1">
      <c r="K73" s="1255" t="s">
        <v>154</v>
      </c>
      <c r="L73" s="1256"/>
      <c r="N73" s="1255" t="s">
        <v>153</v>
      </c>
      <c r="O73" s="1256"/>
      <c r="Q73" s="1255" t="s">
        <v>150</v>
      </c>
      <c r="R73" s="1256"/>
    </row>
    <row r="74" spans="6:20" ht="15.75" hidden="1">
      <c r="F74" s="1263" t="s">
        <v>156</v>
      </c>
      <c r="G74" s="1263"/>
      <c r="H74" s="1263"/>
      <c r="I74" s="1263"/>
      <c r="J74" s="102">
        <f>-L79-M74</f>
        <v>211.19951559163934</v>
      </c>
      <c r="K74" s="97" t="s">
        <v>29</v>
      </c>
      <c r="L74" s="98">
        <f>SUM(L75:L77)</f>
        <v>4359.4791768303203</v>
      </c>
      <c r="M74" s="100">
        <f>O76+P74</f>
        <v>-31.82033876131942</v>
      </c>
      <c r="N74" s="97" t="s">
        <v>29</v>
      </c>
      <c r="O74" s="98">
        <f>'корпоративный баланс энергии'!AH1490</f>
        <v>448.21713749999998</v>
      </c>
      <c r="P74" s="100">
        <f>R76-S74</f>
        <v>13.725897431338694</v>
      </c>
      <c r="Q74" s="97" t="s">
        <v>29</v>
      </c>
      <c r="R74" s="98">
        <f>'корпоративный баланс энергии'!AH1508</f>
        <v>575.94987814855551</v>
      </c>
      <c r="S74" s="100">
        <f>R36</f>
        <v>23.360162399999808</v>
      </c>
      <c r="T74" s="9" t="s">
        <v>152</v>
      </c>
    </row>
    <row r="75" spans="6:20" hidden="1">
      <c r="J75"/>
      <c r="K75" s="97" t="s">
        <v>56</v>
      </c>
      <c r="L75" s="98">
        <f>'корпоративный баланс энергии'!AH1528</f>
        <v>483.23499999999996</v>
      </c>
      <c r="N75" s="97" t="s">
        <v>107</v>
      </c>
      <c r="O75" s="98">
        <f>'корпоративный баланс энергии'!AJ1490</f>
        <v>402.67090130734186</v>
      </c>
      <c r="Q75" s="97" t="s">
        <v>107</v>
      </c>
      <c r="R75" s="98">
        <f>'корпоративный баланс энергии'!AJ1508</f>
        <v>613.03593797989402</v>
      </c>
    </row>
    <row r="76" spans="6:20" hidden="1">
      <c r="J76"/>
      <c r="K76" s="97" t="s">
        <v>55</v>
      </c>
      <c r="L76" s="98">
        <f>'корпоративный баланс энергии'!AH1529</f>
        <v>3797.7357518303206</v>
      </c>
      <c r="N76" s="97" t="s">
        <v>108</v>
      </c>
      <c r="O76" s="98">
        <f>O75-O74</f>
        <v>-45.546236192658114</v>
      </c>
      <c r="Q76" s="97" t="s">
        <v>108</v>
      </c>
      <c r="R76" s="98">
        <f>R75-R74</f>
        <v>37.086059831338503</v>
      </c>
    </row>
    <row r="77" spans="6:20" ht="16.5" hidden="1" thickBot="1">
      <c r="I77" s="103" t="s">
        <v>157</v>
      </c>
      <c r="J77" s="102">
        <v>1224</v>
      </c>
      <c r="K77" s="97" t="s">
        <v>155</v>
      </c>
      <c r="L77" s="98">
        <f>'корпоративный баланс энергии'!AH1530</f>
        <v>78.508425000000003</v>
      </c>
      <c r="N77" s="99" t="s">
        <v>151</v>
      </c>
      <c r="O77" s="101">
        <f>-O76-P74+M74</f>
        <v>0</v>
      </c>
      <c r="Q77" s="99" t="s">
        <v>151</v>
      </c>
      <c r="R77" s="101">
        <f>-R76+S74+P74</f>
        <v>0</v>
      </c>
    </row>
    <row r="78" spans="6:20" hidden="1">
      <c r="J78"/>
      <c r="K78" s="97" t="s">
        <v>107</v>
      </c>
      <c r="L78" s="98">
        <f>'корпоративный баланс энергии'!AJ1527</f>
        <v>4180.1000000000004</v>
      </c>
    </row>
    <row r="79" spans="6:20" ht="15.75" hidden="1">
      <c r="F79" s="1263" t="s">
        <v>158</v>
      </c>
      <c r="G79" s="1263"/>
      <c r="H79" s="1263"/>
      <c r="I79" s="1263"/>
      <c r="J79" s="102">
        <f>SUM(J85:J96)</f>
        <v>359.07227319999998</v>
      </c>
      <c r="K79" s="97" t="s">
        <v>108</v>
      </c>
      <c r="L79" s="98">
        <f>L78-L74</f>
        <v>-179.37917683031992</v>
      </c>
    </row>
    <row r="80" spans="6:20" ht="16.5" hidden="1" thickBot="1">
      <c r="F80" s="1263" t="s">
        <v>159</v>
      </c>
      <c r="G80" s="1263"/>
      <c r="H80" s="1263"/>
      <c r="I80" s="1263"/>
      <c r="J80" s="102">
        <f>L76+(J77-J74)+(L75-J79)</f>
        <v>4934.6989630386815</v>
      </c>
      <c r="K80" s="99" t="s">
        <v>151</v>
      </c>
      <c r="L80" s="101">
        <f>-L79-M74-J74</f>
        <v>0</v>
      </c>
    </row>
    <row r="81" spans="7:11" hidden="1">
      <c r="K81"/>
    </row>
    <row r="82" spans="7:11" hidden="1"/>
    <row r="83" spans="7:11" hidden="1"/>
    <row r="84" spans="7:11" hidden="1"/>
    <row r="85" spans="7:11" hidden="1">
      <c r="G85" s="104" t="s">
        <v>160</v>
      </c>
      <c r="H85" s="24"/>
      <c r="J85" s="119">
        <v>23.226710000000004</v>
      </c>
    </row>
    <row r="86" spans="7:11" hidden="1">
      <c r="G86" s="104" t="s">
        <v>161</v>
      </c>
      <c r="H86" s="24"/>
      <c r="J86" s="119">
        <v>1.4</v>
      </c>
    </row>
    <row r="87" spans="7:11" hidden="1">
      <c r="G87" s="104" t="s">
        <v>162</v>
      </c>
      <c r="H87" s="24"/>
      <c r="J87" s="119">
        <v>71.3</v>
      </c>
    </row>
    <row r="88" spans="7:11" hidden="1">
      <c r="G88" s="104" t="s">
        <v>163</v>
      </c>
      <c r="H88" s="24"/>
      <c r="J88" s="119">
        <v>2</v>
      </c>
    </row>
    <row r="89" spans="7:11" hidden="1">
      <c r="G89" s="104" t="s">
        <v>164</v>
      </c>
      <c r="H89" s="24"/>
      <c r="J89" s="119">
        <v>66.978529200000011</v>
      </c>
    </row>
    <row r="90" spans="7:11" hidden="1">
      <c r="G90" s="104" t="s">
        <v>165</v>
      </c>
      <c r="H90" s="24"/>
      <c r="J90" s="119">
        <v>18.72</v>
      </c>
    </row>
    <row r="91" spans="7:11" hidden="1">
      <c r="G91" s="104" t="s">
        <v>166</v>
      </c>
      <c r="H91" s="24"/>
      <c r="J91" s="119">
        <v>16.884640000000001</v>
      </c>
    </row>
    <row r="92" spans="7:11" hidden="1">
      <c r="G92" s="104" t="s">
        <v>167</v>
      </c>
      <c r="H92" s="24"/>
      <c r="J92" s="119">
        <v>0</v>
      </c>
    </row>
    <row r="93" spans="7:11" hidden="1">
      <c r="G93" s="104" t="s">
        <v>168</v>
      </c>
      <c r="H93" s="24"/>
      <c r="J93" s="119">
        <v>0</v>
      </c>
    </row>
    <row r="94" spans="7:11" hidden="1">
      <c r="G94" s="104" t="s">
        <v>61</v>
      </c>
      <c r="H94" s="24"/>
      <c r="J94" s="119">
        <v>69.292079999999999</v>
      </c>
    </row>
    <row r="95" spans="7:11" hidden="1">
      <c r="G95" s="104" t="s">
        <v>62</v>
      </c>
      <c r="H95" s="24"/>
      <c r="J95" s="119">
        <v>38.870314000000015</v>
      </c>
    </row>
    <row r="96" spans="7:11" hidden="1">
      <c r="G96" s="104" t="s">
        <v>63</v>
      </c>
      <c r="H96" s="24"/>
      <c r="J96" s="119">
        <v>50.4</v>
      </c>
    </row>
  </sheetData>
  <mergeCells count="18">
    <mergeCell ref="F80:I80"/>
    <mergeCell ref="K72:L72"/>
    <mergeCell ref="F79:I79"/>
    <mergeCell ref="Q72:R72"/>
    <mergeCell ref="K73:L73"/>
    <mergeCell ref="N73:O73"/>
    <mergeCell ref="Q73:R73"/>
    <mergeCell ref="N72:O72"/>
    <mergeCell ref="E20:F20"/>
    <mergeCell ref="G20:H20"/>
    <mergeCell ref="G42:H42"/>
    <mergeCell ref="F74:I74"/>
    <mergeCell ref="L3:M3"/>
    <mergeCell ref="I4:N4"/>
    <mergeCell ref="D13:E13"/>
    <mergeCell ref="G19:H19"/>
    <mergeCell ref="G43:H43"/>
    <mergeCell ref="G54:H54"/>
  </mergeCells>
  <phoneticPr fontId="20" type="noConversion"/>
  <conditionalFormatting sqref="G85:G96">
    <cfRule type="cellIs" dxfId="5" priority="1" stopIfTrue="1" operator="notEqual">
      <formula>G84</formula>
    </cfRule>
  </conditionalFormatting>
  <pageMargins left="0.75" right="0.75" top="0.19" bottom="0.23" header="0.17" footer="0.17"/>
  <pageSetup paperSize="9" scale="50" orientation="landscape" r:id="rId1"/>
  <headerFooter alignWithMargins="0"/>
  <rowBreaks count="1" manualBreakCount="1">
    <brk id="77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6"/>
  <dimension ref="B2:U96"/>
  <sheetViews>
    <sheetView view="pageBreakPreview" topLeftCell="A7" zoomScale="75" zoomScaleNormal="75" zoomScaleSheetLayoutView="75" workbookViewId="0">
      <selection activeCell="O60" sqref="O60"/>
    </sheetView>
  </sheetViews>
  <sheetFormatPr defaultColWidth="10.6640625" defaultRowHeight="12.75"/>
  <cols>
    <col min="1" max="1" width="4.83203125" style="13" customWidth="1"/>
    <col min="2" max="2" width="10.6640625" style="13"/>
    <col min="3" max="3" width="14.6640625" style="13" customWidth="1"/>
    <col min="4" max="4" width="12.1640625" style="13" customWidth="1"/>
    <col min="5" max="5" width="11.1640625" style="13" customWidth="1"/>
    <col min="6" max="7" width="13.33203125" style="13" bestFit="1" customWidth="1"/>
    <col min="8" max="8" width="12.5" style="13" customWidth="1"/>
    <col min="9" max="9" width="11.6640625" style="13" customWidth="1"/>
    <col min="10" max="10" width="12.33203125" style="13" customWidth="1"/>
    <col min="11" max="11" width="11.6640625" style="13" customWidth="1"/>
    <col min="12" max="12" width="13.6640625" style="13" customWidth="1"/>
    <col min="13" max="13" width="12.1640625" style="13" customWidth="1"/>
    <col min="14" max="14" width="15.1640625" style="13" customWidth="1"/>
    <col min="15" max="15" width="12.1640625" style="13" customWidth="1"/>
    <col min="16" max="16" width="14" style="13" bestFit="1" customWidth="1"/>
    <col min="17" max="17" width="12" style="13" bestFit="1" customWidth="1"/>
    <col min="18" max="18" width="13.33203125" style="13" customWidth="1"/>
    <col min="19" max="19" width="10.83203125" style="13" customWidth="1"/>
    <col min="20" max="20" width="13.33203125" style="13" bestFit="1" customWidth="1"/>
    <col min="21" max="21" width="13" style="13" bestFit="1" customWidth="1"/>
    <col min="22" max="16384" width="10.6640625" style="13"/>
  </cols>
  <sheetData>
    <row r="2" spans="3:21" ht="25.5">
      <c r="C2" s="11" t="s">
        <v>100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3:21" ht="22.5">
      <c r="C3" s="14"/>
      <c r="D3" s="15"/>
      <c r="E3" s="15"/>
      <c r="F3" s="15"/>
      <c r="G3" s="15"/>
      <c r="I3" s="16" t="s">
        <v>169</v>
      </c>
      <c r="J3" s="17"/>
      <c r="K3" s="17"/>
      <c r="L3" s="1251" t="s">
        <v>82</v>
      </c>
      <c r="M3" s="1251"/>
      <c r="N3" s="18">
        <f>Январь!N3</f>
        <v>2020</v>
      </c>
      <c r="O3" s="17"/>
      <c r="P3" s="15"/>
      <c r="Q3" s="15"/>
      <c r="R3" s="15"/>
      <c r="S3" s="15"/>
      <c r="T3" s="15"/>
    </row>
    <row r="4" spans="3:21" ht="20.25">
      <c r="C4" s="19"/>
      <c r="I4" s="1252" t="s">
        <v>147</v>
      </c>
      <c r="J4" s="1252"/>
      <c r="K4" s="1252"/>
      <c r="L4" s="1252"/>
      <c r="M4" s="1252"/>
      <c r="N4" s="1252"/>
      <c r="O4" s="20"/>
    </row>
    <row r="5" spans="3:21" ht="14.25" customHeight="1">
      <c r="C5" s="32" t="s">
        <v>104</v>
      </c>
      <c r="D5" s="33"/>
      <c r="F5" s="21"/>
      <c r="G5" s="22"/>
      <c r="I5" s="23"/>
      <c r="K5" s="24"/>
      <c r="L5" s="25"/>
      <c r="M5" s="25"/>
      <c r="N5" s="26"/>
      <c r="O5" s="20"/>
    </row>
    <row r="6" spans="3:21" ht="14.25" customHeight="1">
      <c r="C6" s="36" t="s">
        <v>29</v>
      </c>
      <c r="D6" s="37">
        <f>'корпоративный баланс энергии'!AK849</f>
        <v>9500.1984391468759</v>
      </c>
      <c r="F6" s="21"/>
      <c r="G6" s="22"/>
      <c r="I6" s="23"/>
      <c r="K6" s="24"/>
      <c r="L6" s="25"/>
      <c r="M6" s="25"/>
      <c r="N6" s="26"/>
      <c r="O6" s="20"/>
    </row>
    <row r="7" spans="3:21" ht="14.25" customHeight="1">
      <c r="C7" s="36" t="s">
        <v>107</v>
      </c>
      <c r="D7" s="37">
        <f>'корпоративный баланс энергии'!AM849</f>
        <v>8306.6952254744283</v>
      </c>
      <c r="F7" s="21"/>
      <c r="G7" s="22"/>
      <c r="I7" s="23"/>
      <c r="K7" s="24"/>
      <c r="L7" s="25"/>
      <c r="M7" s="25"/>
      <c r="N7" s="26"/>
      <c r="O7" s="20"/>
    </row>
    <row r="8" spans="3:21" ht="14.25" customHeight="1">
      <c r="C8" s="36" t="s">
        <v>108</v>
      </c>
      <c r="D8" s="40">
        <f>D7-D6</f>
        <v>-1193.5032136724476</v>
      </c>
      <c r="F8" s="21"/>
      <c r="G8" s="22"/>
      <c r="I8" s="23"/>
      <c r="K8" s="24"/>
      <c r="L8" s="25"/>
      <c r="M8" s="25"/>
      <c r="N8" s="26"/>
      <c r="O8" s="20"/>
    </row>
    <row r="9" spans="3:21" ht="14.25" customHeight="1">
      <c r="C9" s="41" t="s">
        <v>109</v>
      </c>
      <c r="D9" s="40">
        <f>-D8-G11-I11-J13-J15+F16-E18-F30-G27+K20</f>
        <v>3.2136724476004019E-3</v>
      </c>
      <c r="F9" s="21"/>
      <c r="G9" s="22"/>
      <c r="I9" s="23"/>
      <c r="K9" s="24"/>
      <c r="L9" s="25"/>
      <c r="M9" s="25"/>
      <c r="N9" s="26"/>
      <c r="O9" s="20"/>
    </row>
    <row r="10" spans="3:21" ht="14.25" customHeight="1">
      <c r="C10" s="19"/>
      <c r="F10" s="21"/>
      <c r="G10" s="22" t="s">
        <v>101</v>
      </c>
      <c r="I10" s="158" t="s">
        <v>243</v>
      </c>
      <c r="K10" s="24"/>
      <c r="L10" s="25"/>
      <c r="M10" s="25"/>
      <c r="N10" s="26"/>
      <c r="O10" s="20"/>
    </row>
    <row r="11" spans="3:21" ht="15.75" customHeight="1">
      <c r="C11" s="19"/>
      <c r="F11" s="21"/>
      <c r="G11" s="69">
        <f>-('корпоративный баланс энергии'!AL23+'корпоративный баланс энергии'!AL59)</f>
        <v>640</v>
      </c>
      <c r="I11" s="27">
        <f>-'корпоративный баланс энергии'!AL24</f>
        <v>45</v>
      </c>
      <c r="K11" s="24"/>
      <c r="L11" s="25"/>
      <c r="M11" s="25"/>
      <c r="N11" s="26"/>
      <c r="O11" s="20"/>
    </row>
    <row r="12" spans="3:21" ht="15.75" customHeight="1">
      <c r="C12" s="19"/>
      <c r="F12" s="21"/>
      <c r="J12" s="158" t="s">
        <v>244</v>
      </c>
      <c r="K12" s="15"/>
      <c r="L12" s="25"/>
      <c r="M12" s="25"/>
      <c r="N12" s="26"/>
      <c r="O12" s="29" t="s">
        <v>102</v>
      </c>
      <c r="R12" s="30">
        <f>SUM(D6,H34,D60,K34,N34,Q34,T34)</f>
        <v>93991.388304373773</v>
      </c>
    </row>
    <row r="13" spans="3:21" ht="15" customHeight="1">
      <c r="C13" s="19"/>
      <c r="D13" s="1253" t="s">
        <v>103</v>
      </c>
      <c r="E13" s="1253"/>
      <c r="F13" s="21"/>
      <c r="J13" s="27">
        <f>-'корпоративный баланс энергии'!AL25</f>
        <v>45</v>
      </c>
      <c r="K13" s="15"/>
      <c r="L13" s="34"/>
      <c r="M13" s="25"/>
      <c r="N13" s="26"/>
      <c r="O13" s="29" t="s">
        <v>105</v>
      </c>
      <c r="R13" s="30">
        <f>SUM(D7,H35,D61,K35,N35,Q35,T35)</f>
        <v>92260.885746203043</v>
      </c>
    </row>
    <row r="14" spans="3:21" ht="15.75" customHeight="1">
      <c r="C14" s="19"/>
      <c r="E14" s="35">
        <f>-('корпоративный баланс энергии'!AL30+'корпоративный баланс энергии'!AL31+'корпоративный баланс энергии'!AL32+'корпоративный баланс энергии'!AL33+'корпоративный баланс энергии'!AL61+'корпоративный баланс энергии'!AL62+'корпоративный баланс энергии'!AL63)</f>
        <v>315</v>
      </c>
      <c r="F14" s="21"/>
      <c r="J14" s="158" t="s">
        <v>245</v>
      </c>
      <c r="K14" s="24"/>
      <c r="L14" s="25"/>
      <c r="M14" s="25"/>
      <c r="N14" s="26"/>
      <c r="O14" s="29" t="s">
        <v>106</v>
      </c>
      <c r="R14" s="30">
        <f>SUM(D8,H36,D62,K36,N36,Q36,T36)</f>
        <v>-1730.5025581707355</v>
      </c>
      <c r="S14" s="24"/>
      <c r="T14" s="161">
        <f>-G11-I11-J13-J15+F16-E18-F30-F36-E45-F54-F61-I60-J47-L47-M47-N47+P47-R47-T47-F48</f>
        <v>-1730.5</v>
      </c>
      <c r="U14" s="161">
        <f>R13-R12</f>
        <v>-1730.5025581707305</v>
      </c>
    </row>
    <row r="15" spans="3:21">
      <c r="D15" s="41" t="s">
        <v>109</v>
      </c>
      <c r="E15" s="591">
        <f>-E14+D29+E18-F16</f>
        <v>0</v>
      </c>
      <c r="J15" s="27">
        <f>-'корпоративный баланс энергии'!AL26</f>
        <v>1.5</v>
      </c>
      <c r="O15" s="38"/>
      <c r="P15" s="24"/>
      <c r="Q15" s="24"/>
      <c r="R15" s="38"/>
    </row>
    <row r="16" spans="3:21">
      <c r="F16" s="69">
        <f>'корпоративный баланс энергии'!AL30+'корпоративный баланс энергии'!AL31+'корпоративный баланс энергии'!AL32+'корпоративный баланс энергии'!AL62+'корпоративный баланс энергии'!AL63</f>
        <v>-15</v>
      </c>
      <c r="O16" s="38"/>
      <c r="P16" s="24"/>
      <c r="Q16" s="24"/>
      <c r="R16" s="38"/>
    </row>
    <row r="17" spans="4:21" ht="13.5" thickBot="1">
      <c r="O17" s="38"/>
      <c r="P17" s="24"/>
      <c r="Q17" s="24"/>
      <c r="R17" s="38"/>
    </row>
    <row r="18" spans="4:21" ht="15">
      <c r="E18" s="27">
        <f>-('корпоративный баланс энергии'!AL33+'корпоративный баланс энергии'!AL61)</f>
        <v>300</v>
      </c>
      <c r="P18" s="863" t="s">
        <v>113</v>
      </c>
      <c r="Q18" s="864"/>
      <c r="R18" s="864"/>
      <c r="S18" s="864"/>
      <c r="T18" s="865"/>
      <c r="U18" s="866">
        <f>-O60</f>
        <v>61</v>
      </c>
    </row>
    <row r="19" spans="4:21" ht="14.25">
      <c r="F19" s="43"/>
      <c r="G19" s="1258" t="s">
        <v>110</v>
      </c>
      <c r="H19" s="1258"/>
      <c r="P19" s="867" t="s">
        <v>1070</v>
      </c>
      <c r="Q19" s="868"/>
      <c r="R19" s="868"/>
      <c r="S19" s="868"/>
      <c r="T19" s="869"/>
      <c r="U19" s="870">
        <f>SUM(U20:U21)</f>
        <v>-24.995631499816682</v>
      </c>
    </row>
    <row r="20" spans="4:21" ht="15">
      <c r="D20" s="24"/>
      <c r="E20" s="1257" t="s">
        <v>111</v>
      </c>
      <c r="F20" s="1257"/>
      <c r="G20" s="1258" t="s">
        <v>112</v>
      </c>
      <c r="H20" s="1258"/>
      <c r="K20" s="1032">
        <v>8</v>
      </c>
      <c r="P20" s="871" t="s">
        <v>115</v>
      </c>
      <c r="Q20" s="868" t="s">
        <v>507</v>
      </c>
      <c r="R20" s="868"/>
      <c r="S20" s="868"/>
      <c r="T20" s="869"/>
      <c r="U20" s="870">
        <f>-N47</f>
        <v>-74.995631499816682</v>
      </c>
    </row>
    <row r="21" spans="4:21" ht="13.5" thickBot="1">
      <c r="F21" s="44"/>
      <c r="G21" s="36" t="s">
        <v>29</v>
      </c>
      <c r="H21" s="45">
        <f>D6-F22</f>
        <v>8812.6174391468758</v>
      </c>
      <c r="P21" s="872"/>
      <c r="Q21" s="873" t="s">
        <v>116</v>
      </c>
      <c r="R21" s="873"/>
      <c r="S21" s="873"/>
      <c r="T21" s="874"/>
      <c r="U21" s="875">
        <f>-M47</f>
        <v>50</v>
      </c>
    </row>
    <row r="22" spans="4:21" ht="15" thickBot="1">
      <c r="E22" s="36" t="s">
        <v>29</v>
      </c>
      <c r="F22" s="37">
        <f>'корпоративный баланс энергии'!AK865</f>
        <v>687.58100000000002</v>
      </c>
      <c r="G22" s="36" t="s">
        <v>107</v>
      </c>
      <c r="H22" s="45">
        <f>D7-F23</f>
        <v>7919.1142254744282</v>
      </c>
      <c r="P22" s="860" t="s">
        <v>1068</v>
      </c>
      <c r="Q22" s="861"/>
      <c r="R22" s="861"/>
      <c r="S22" s="861"/>
      <c r="T22" s="861"/>
      <c r="U22" s="862">
        <f>'корпоративный баланс энергии'!AL74</f>
        <v>80</v>
      </c>
    </row>
    <row r="23" spans="4:21" ht="15" thickBot="1">
      <c r="E23" s="36" t="s">
        <v>107</v>
      </c>
      <c r="F23" s="37">
        <f>'корпоративный баланс энергии'!AM865</f>
        <v>387.58100000000002</v>
      </c>
      <c r="G23" s="36" t="s">
        <v>108</v>
      </c>
      <c r="H23" s="40">
        <f>H22-H21</f>
        <v>-893.5032136724476</v>
      </c>
      <c r="P23" s="858" t="s">
        <v>1071</v>
      </c>
      <c r="Q23" s="876"/>
      <c r="R23" s="876"/>
      <c r="S23" s="876"/>
      <c r="T23" s="859"/>
      <c r="U23" s="875">
        <f>MIN(ABS(N48),ABS(P48))</f>
        <v>75</v>
      </c>
    </row>
    <row r="24" spans="4:21" ht="15" thickBot="1">
      <c r="E24" s="36" t="s">
        <v>108</v>
      </c>
      <c r="F24" s="46">
        <f>F23-F22</f>
        <v>-300</v>
      </c>
      <c r="G24" s="41" t="s">
        <v>109</v>
      </c>
      <c r="H24" s="40">
        <f>-H23+F16+K20-G11-I11-J13-J15-G27-F30</f>
        <v>3.2136724476004019E-3</v>
      </c>
      <c r="P24" s="877" t="s">
        <v>1072</v>
      </c>
      <c r="Q24" s="873"/>
      <c r="R24" s="873"/>
      <c r="S24" s="873"/>
      <c r="T24" s="874"/>
      <c r="U24" s="875">
        <f>MIN(ABS('корпоративный баланс энергии'!AL54),ABS('корпоративный баланс энергии'!AL80))</f>
        <v>150</v>
      </c>
    </row>
    <row r="25" spans="4:21" ht="15" thickBot="1">
      <c r="E25" s="41" t="s">
        <v>109</v>
      </c>
      <c r="F25" s="46">
        <f>-F24-E18</f>
        <v>0</v>
      </c>
      <c r="K25" s="1024">
        <v>50</v>
      </c>
      <c r="P25" s="878" t="s">
        <v>1073</v>
      </c>
      <c r="Q25" s="879"/>
      <c r="R25" s="879"/>
      <c r="S25" s="879"/>
      <c r="T25" s="880"/>
      <c r="U25" s="881">
        <f>ABS(U23)+ABS(U24)</f>
        <v>225</v>
      </c>
    </row>
    <row r="26" spans="4:21" ht="15" thickBot="1">
      <c r="P26" s="877" t="s">
        <v>1257</v>
      </c>
      <c r="Q26" s="873"/>
      <c r="R26" s="873"/>
      <c r="S26" s="873"/>
      <c r="T26" s="874"/>
      <c r="U26" s="875">
        <f>'корпоративный баланс энергии'!AL79</f>
        <v>6</v>
      </c>
    </row>
    <row r="27" spans="4:21" ht="15" thickBot="1">
      <c r="G27" s="1159">
        <v>115</v>
      </c>
      <c r="P27" s="884" t="s">
        <v>1074</v>
      </c>
      <c r="Q27" s="885"/>
      <c r="R27" s="885"/>
      <c r="S27" s="885"/>
      <c r="T27" s="886"/>
      <c r="U27" s="887">
        <f>U22+U25+U26</f>
        <v>311</v>
      </c>
    </row>
    <row r="28" spans="4:21">
      <c r="S28" s="48"/>
      <c r="T28" s="48"/>
      <c r="U28" s="48"/>
    </row>
    <row r="29" spans="4:21">
      <c r="D29" s="600">
        <v>0</v>
      </c>
      <c r="R29" s="52"/>
    </row>
    <row r="30" spans="4:21">
      <c r="F30" s="69">
        <f>-('корпоративный баланс энергии'!AL34+'корпоративный баланс энергии'!AL64)</f>
        <v>40</v>
      </c>
    </row>
    <row r="31" spans="4:21" ht="15">
      <c r="G31" s="21" t="s">
        <v>117</v>
      </c>
      <c r="J31" s="28" t="s">
        <v>118</v>
      </c>
      <c r="K31" s="15"/>
      <c r="M31" s="21" t="s">
        <v>117</v>
      </c>
      <c r="P31" s="21" t="s">
        <v>117</v>
      </c>
      <c r="Q31" s="53"/>
      <c r="S31" s="21" t="s">
        <v>117</v>
      </c>
    </row>
    <row r="32" spans="4:21" ht="15">
      <c r="G32" s="28" t="s">
        <v>119</v>
      </c>
      <c r="H32" s="15"/>
      <c r="J32" s="28" t="s">
        <v>120</v>
      </c>
      <c r="K32" s="15"/>
      <c r="M32" s="28" t="s">
        <v>121</v>
      </c>
      <c r="N32" s="15"/>
      <c r="P32" s="28" t="s">
        <v>122</v>
      </c>
      <c r="Q32" s="54"/>
      <c r="S32" s="28" t="s">
        <v>123</v>
      </c>
      <c r="T32" s="15"/>
    </row>
    <row r="33" spans="3:20" ht="14.25">
      <c r="C33" s="21" t="s">
        <v>124</v>
      </c>
    </row>
    <row r="34" spans="3:20" ht="14.25">
      <c r="D34" s="21" t="s">
        <v>125</v>
      </c>
      <c r="G34" s="36" t="s">
        <v>29</v>
      </c>
      <c r="H34" s="37">
        <f>'корпоративный баланс энергии'!AK82</f>
        <v>21793.534393070277</v>
      </c>
      <c r="J34" s="36" t="s">
        <v>29</v>
      </c>
      <c r="K34" s="37">
        <f>'корпоративный баланс энергии'!AK370</f>
        <v>8973.9424735426328</v>
      </c>
      <c r="M34" s="36" t="s">
        <v>29</v>
      </c>
      <c r="N34" s="37">
        <f>'корпоративный баланс энергии'!AK538</f>
        <v>23260.688580846778</v>
      </c>
      <c r="P34" s="36" t="s">
        <v>29</v>
      </c>
      <c r="Q34" s="37">
        <f>'корпоративный баланс энергии'!AK1454</f>
        <v>17984.190278358827</v>
      </c>
      <c r="S34" s="36" t="s">
        <v>29</v>
      </c>
      <c r="T34" s="37">
        <f>'корпоративный баланс энергии'!AK1674</f>
        <v>3718.5159999999996</v>
      </c>
    </row>
    <row r="35" spans="3:20">
      <c r="E35" s="55">
        <f>-('корпоративный баланс энергии'!AL34+'корпоративный баланс энергии'!AL35+'корпоративный баланс энергии'!AL36+'корпоративный баланс энергии'!AL65)</f>
        <v>100</v>
      </c>
      <c r="G35" s="36" t="s">
        <v>107</v>
      </c>
      <c r="H35" s="37">
        <f>'корпоративный баланс энергии'!AM82</f>
        <v>21493.534942946761</v>
      </c>
      <c r="J35" s="36" t="s">
        <v>107</v>
      </c>
      <c r="K35" s="37">
        <f>'корпоративный баланс энергии'!AM370</f>
        <v>9559.9429544832419</v>
      </c>
      <c r="M35" s="36" t="s">
        <v>107</v>
      </c>
      <c r="N35" s="37">
        <f>'корпоративный баланс энергии'!AM538</f>
        <v>22877.692191788236</v>
      </c>
      <c r="P35" s="36" t="s">
        <v>107</v>
      </c>
      <c r="Q35" s="37">
        <f>'корпоративный баланс энергии'!AM1454</f>
        <v>18177.385748358643</v>
      </c>
      <c r="S35" s="36" t="s">
        <v>107</v>
      </c>
      <c r="T35" s="37">
        <f>'корпоративный баланс энергии'!AM1674</f>
        <v>3391.3161614999995</v>
      </c>
    </row>
    <row r="36" spans="3:20">
      <c r="C36" s="599">
        <v>0</v>
      </c>
      <c r="D36" s="41" t="s">
        <v>109</v>
      </c>
      <c r="E36" s="591">
        <f>-E35-D29+F30+F36-C36</f>
        <v>0</v>
      </c>
      <c r="F36" s="69">
        <f>-('корпоративный баланс энергии'!AL35+'корпоративный баланс энергии'!AL36+'корпоративный баланс энергии'!AL65)</f>
        <v>60</v>
      </c>
      <c r="G36" s="36" t="s">
        <v>108</v>
      </c>
      <c r="H36" s="46">
        <f>H35-H34</f>
        <v>-299.999450123516</v>
      </c>
      <c r="I36" s="1030">
        <v>490</v>
      </c>
      <c r="J36" s="56" t="s">
        <v>108</v>
      </c>
      <c r="K36" s="46">
        <f>K35-K34</f>
        <v>586.00048094060912</v>
      </c>
      <c r="L36" s="1030">
        <v>-200</v>
      </c>
      <c r="M36" s="56" t="s">
        <v>108</v>
      </c>
      <c r="N36" s="57">
        <f>N35-N34</f>
        <v>-382.99638905854226</v>
      </c>
      <c r="O36" s="1162">
        <v>100</v>
      </c>
      <c r="P36" s="56" t="s">
        <v>108</v>
      </c>
      <c r="Q36" s="46">
        <f>Q35-Q34</f>
        <v>193.19546999981685</v>
      </c>
      <c r="R36" s="58">
        <f>T34-T35-T47</f>
        <v>27.199838500000169</v>
      </c>
      <c r="S36" s="56" t="s">
        <v>108</v>
      </c>
      <c r="T36" s="46">
        <f>T35-T34</f>
        <v>-327.19983850000017</v>
      </c>
    </row>
    <row r="37" spans="3:20">
      <c r="G37" s="41" t="s">
        <v>109</v>
      </c>
      <c r="H37" s="46">
        <f>-H36-F36+G27+K25-I36-E45-G40</f>
        <v>-5.4987648400128819E-4</v>
      </c>
      <c r="J37" s="41" t="s">
        <v>109</v>
      </c>
      <c r="K37" s="46">
        <f>-K36+I36-L36-L47-I42</f>
        <v>-4.8094060912262648E-4</v>
      </c>
      <c r="L37" s="44"/>
      <c r="M37" s="41" t="s">
        <v>109</v>
      </c>
      <c r="N37" s="57">
        <f>-N36+L36-O36-K20-K25-M47-N47</f>
        <v>7.575587255814753E-4</v>
      </c>
      <c r="P37" s="41" t="s">
        <v>109</v>
      </c>
      <c r="Q37" s="40">
        <f>-Q36+O36+R36-R47+P47</f>
        <v>0</v>
      </c>
      <c r="R37" s="44"/>
      <c r="S37" s="41" t="s">
        <v>109</v>
      </c>
      <c r="T37" s="40">
        <f>-T36-R36-T47</f>
        <v>0</v>
      </c>
    </row>
    <row r="39" spans="3:20">
      <c r="H39" s="160" t="s">
        <v>126</v>
      </c>
    </row>
    <row r="40" spans="3:20">
      <c r="G40" s="1024">
        <v>-145</v>
      </c>
      <c r="H40" s="160" t="s">
        <v>127</v>
      </c>
    </row>
    <row r="41" spans="3:20">
      <c r="I41" s="160" t="s">
        <v>128</v>
      </c>
    </row>
    <row r="42" spans="3:20">
      <c r="G42" s="1259" t="s">
        <v>129</v>
      </c>
      <c r="H42" s="1259"/>
      <c r="I42" s="1024">
        <v>100</v>
      </c>
    </row>
    <row r="43" spans="3:20">
      <c r="G43" s="1262" t="s">
        <v>130</v>
      </c>
      <c r="H43" s="1262"/>
    </row>
    <row r="44" spans="3:20">
      <c r="E44" s="44"/>
      <c r="G44" s="36" t="s">
        <v>29</v>
      </c>
      <c r="H44" s="37">
        <f>'корпоративный баланс энергии'!AK1122+'корпоративный баланс энергии'!AK1089</f>
        <v>1603.5048193359376</v>
      </c>
      <c r="M44" s="160" t="s">
        <v>251</v>
      </c>
      <c r="N44" s="64"/>
      <c r="O44" s="160" t="s">
        <v>248</v>
      </c>
    </row>
    <row r="45" spans="3:20">
      <c r="E45" s="69">
        <f>-('корпоративный баланс энергии'!AL37+'корпоративный баланс энергии'!AL38+'корпоративный баланс энергии'!AL39+'корпоративный баланс энергии'!AL66+'корпоративный баланс энергии'!AL67+'корпоративный баланс энергии'!AL68)</f>
        <v>60</v>
      </c>
      <c r="G45" s="36" t="s">
        <v>107</v>
      </c>
      <c r="H45" s="37">
        <f>'корпоративный баланс энергии'!AM1122+'корпоративный баланс энергии'!AM1089</f>
        <v>1737.5029464590921</v>
      </c>
      <c r="M45" s="160" t="s">
        <v>336</v>
      </c>
      <c r="O45" s="160" t="s">
        <v>249</v>
      </c>
    </row>
    <row r="46" spans="3:20" ht="14.25">
      <c r="G46" s="36" t="s">
        <v>108</v>
      </c>
      <c r="H46" s="46">
        <f>H45-H44</f>
        <v>133.99812712315452</v>
      </c>
      <c r="J46" s="160" t="s">
        <v>131</v>
      </c>
      <c r="O46" s="160" t="s">
        <v>250</v>
      </c>
      <c r="R46" s="65" t="s">
        <v>132</v>
      </c>
      <c r="T46" s="21" t="s">
        <v>133</v>
      </c>
    </row>
    <row r="47" spans="3:20">
      <c r="F47" s="29"/>
      <c r="G47" s="41" t="s">
        <v>109</v>
      </c>
      <c r="H47" s="46">
        <f>-H46+G40+I42-J47-F48-G49</f>
        <v>1.8728768454820965E-3</v>
      </c>
      <c r="J47" s="69">
        <f>-('корпоративный баланс энергии'!AL49+'корпоративный баланс энергии'!AL50)</f>
        <v>6</v>
      </c>
      <c r="L47" s="69">
        <f>-('корпоративный баланс энергии'!AL46+'корпоративный баланс энергии'!AL47+'корпоративный баланс энергии'!AL74)</f>
        <v>4</v>
      </c>
      <c r="M47" s="66">
        <f>-('корпоративный баланс энергии'!AL48+'корпоративный баланс энергии'!AL75)</f>
        <v>-50</v>
      </c>
      <c r="N47" s="42">
        <f>P62+P47</f>
        <v>74.995631499816682</v>
      </c>
      <c r="O47" s="1177">
        <f>-'корпоративный баланс энергии'!AM53</f>
        <v>14</v>
      </c>
      <c r="P47" s="42">
        <f>Q36-O36-R36+R47</f>
        <v>95.995631499816682</v>
      </c>
      <c r="R47" s="27">
        <f>-('корпоративный баланс энергии'!AL27+'корпоративный баланс энергии'!AL28+'корпоративный баланс энергии'!AL60)</f>
        <v>30</v>
      </c>
      <c r="T47" s="27">
        <f>-'корпоративный баланс энергии'!AL29</f>
        <v>300</v>
      </c>
    </row>
    <row r="48" spans="3:20">
      <c r="F48" s="51">
        <f>-('корпоративный баланс энергии'!AL40)</f>
        <v>0</v>
      </c>
      <c r="N48" s="584">
        <f>-('корпоративный баланс энергии'!AL51+'корпоративный баланс энергии'!AL52+'корпоративный баланс энергии'!AL76+'корпоративный баланс энергии'!AL77)</f>
        <v>75</v>
      </c>
      <c r="P48" s="584">
        <f>'корпоративный баланс энергии'!AL53+'корпоративный баланс энергии'!AL54+'корпоративный баланс энергии'!AL55+'корпоративный баланс энергии'!AL56+'корпоративный баланс энергии'!AL78+'корпоративный баланс энергии'!AL79+'корпоративный баланс энергии'!AL80</f>
        <v>96</v>
      </c>
    </row>
    <row r="49" spans="2:19" ht="15.75">
      <c r="C49" s="22" t="s">
        <v>134</v>
      </c>
      <c r="F49" s="160" t="s">
        <v>135</v>
      </c>
      <c r="G49" s="1033">
        <v>-185</v>
      </c>
      <c r="H49" s="160" t="s">
        <v>136</v>
      </c>
      <c r="P49" s="13" t="s">
        <v>90</v>
      </c>
    </row>
    <row r="50" spans="2:19">
      <c r="D50" s="68" t="s">
        <v>137</v>
      </c>
      <c r="H50" s="160" t="s">
        <v>138</v>
      </c>
    </row>
    <row r="51" spans="2:19">
      <c r="E51" s="55">
        <f>-('корпоративный баланс энергии'!AL37+'корпоративный баланс энергии'!AL38+'корпоративный баланс энергии'!AL39+'корпоративный баланс энергии'!AL40+'корпоративный баланс энергии'!AL41+'корпоративный баланс энергии'!AL66+'корпоративный баланс энергии'!AL67+'корпоративный баланс энергии'!AL68+'корпоративный баланс энергии'!AL69+'корпоративный баланс энергии'!AL70)</f>
        <v>310</v>
      </c>
      <c r="H51" s="160" t="s">
        <v>508</v>
      </c>
    </row>
    <row r="52" spans="2:19" ht="14.25">
      <c r="C52" s="599">
        <v>0</v>
      </c>
      <c r="D52" s="41" t="s">
        <v>109</v>
      </c>
      <c r="E52" s="591">
        <f>-E51+E45+F48+F54-E54-C52</f>
        <v>0</v>
      </c>
      <c r="G52" s="28"/>
      <c r="H52" s="15"/>
      <c r="O52" s="70"/>
    </row>
    <row r="53" spans="2:19" ht="15">
      <c r="B53" s="581" t="s">
        <v>513</v>
      </c>
      <c r="G53" s="28" t="s">
        <v>890</v>
      </c>
      <c r="H53" s="15"/>
    </row>
    <row r="54" spans="2:19">
      <c r="B54" s="36" t="s">
        <v>29</v>
      </c>
      <c r="C54" s="157">
        <f>'корпоративный баланс энергии'!AK1390</f>
        <v>491.39833299999998</v>
      </c>
      <c r="E54" s="51">
        <f>'корпоративный баланс энергии'!AL70</f>
        <v>0</v>
      </c>
      <c r="F54" s="602">
        <f>-('корпоративный баланс энергии'!AL41+'корпоративный баланс энергии'!AL69)</f>
        <v>250</v>
      </c>
      <c r="G54" s="1262" t="s">
        <v>889</v>
      </c>
      <c r="H54" s="1262"/>
      <c r="J54" s="86"/>
      <c r="M54" s="44"/>
    </row>
    <row r="55" spans="2:19" ht="18.75">
      <c r="B55" s="36" t="s">
        <v>107</v>
      </c>
      <c r="C55" s="157">
        <f>'корпоративный баланс энергии'!AM1390</f>
        <v>650.26304971044908</v>
      </c>
      <c r="G55" s="36" t="s">
        <v>29</v>
      </c>
      <c r="H55" s="37">
        <f>D60-C54-H44</f>
        <v>6665.414987072445</v>
      </c>
      <c r="I55" s="89"/>
      <c r="J55" s="87"/>
      <c r="M55" s="221">
        <f>J47+L47+M47</f>
        <v>-40</v>
      </c>
    </row>
    <row r="56" spans="2:19">
      <c r="B56" s="36" t="s">
        <v>108</v>
      </c>
      <c r="C56" s="40">
        <f>C55-C54</f>
        <v>158.8647167104491</v>
      </c>
      <c r="D56" s="582" t="s">
        <v>511</v>
      </c>
      <c r="E56" s="210">
        <f>'корпоративный баланс энергии'!AL1390</f>
        <v>158.8647167104491</v>
      </c>
      <c r="G56" s="36" t="s">
        <v>107</v>
      </c>
      <c r="H56" s="37">
        <f>D61-C55-H45</f>
        <v>6066.552525482186</v>
      </c>
      <c r="I56" s="75"/>
      <c r="L56" s="29" t="s">
        <v>139</v>
      </c>
      <c r="M56" s="51">
        <f>-('корпоративный баланс энергии'!AL46+'корпоративный баланс энергии'!AL47+'корпоративный баланс энергии'!AL48+'корпоративный баланс энергии'!AL49+'корпоративный баланс энергии'!AL50+'корпоративный баланс энергии'!AL74+'корпоративный баланс энергии'!AL75)</f>
        <v>-40</v>
      </c>
    </row>
    <row r="57" spans="2:19">
      <c r="B57" s="41" t="s">
        <v>109</v>
      </c>
      <c r="C57" s="40">
        <f>-C56+E54+E56</f>
        <v>0</v>
      </c>
      <c r="D57" s="583" t="s">
        <v>512</v>
      </c>
      <c r="G57" s="36" t="s">
        <v>108</v>
      </c>
      <c r="H57" s="46">
        <f>H56-H55</f>
        <v>-598.86246159025904</v>
      </c>
      <c r="J57" s="76"/>
      <c r="L57" s="29" t="s">
        <v>140</v>
      </c>
      <c r="P57" s="77"/>
    </row>
    <row r="58" spans="2:19" ht="20.25" customHeight="1">
      <c r="G58" s="41" t="s">
        <v>109</v>
      </c>
      <c r="H58" s="78">
        <f>-H57-F54-E56+G49-I60-F61</f>
        <v>-2.255120190056914E-3</v>
      </c>
      <c r="I58" s="29"/>
      <c r="M58" s="79" t="s">
        <v>141</v>
      </c>
    </row>
    <row r="59" spans="2:19" ht="14.25">
      <c r="C59" s="32" t="s">
        <v>246</v>
      </c>
      <c r="D59" s="33"/>
    </row>
    <row r="60" spans="2:19">
      <c r="C60" s="36" t="s">
        <v>29</v>
      </c>
      <c r="D60" s="157">
        <f>'корпоративный баланс энергии'!AK1082</f>
        <v>8760.3181394083822</v>
      </c>
      <c r="I60" s="80">
        <f>I65</f>
        <v>-5</v>
      </c>
      <c r="L60" s="81" t="s">
        <v>337</v>
      </c>
      <c r="M60" s="81"/>
      <c r="N60" s="81"/>
      <c r="O60" s="82">
        <f>J47+L47+M47+N47-P47</f>
        <v>-61</v>
      </c>
      <c r="P60" s="69">
        <f>-('корпоративный баланс энергии'!AL46+'корпоративный баланс энергии'!AL47+'корпоративный баланс энергии'!AL48+'корпоративный баланс энергии'!AL49+'корпоративный баланс энергии'!AL50+'корпоративный баланс энергии'!AL51+'корпоративный баланс энергии'!AL52+'корпоративный баланс энергии'!AL53+'корпоративный баланс энергии'!AL54+'корпоративный баланс энергии'!AL55+'корпоративный баланс энергии'!AL56+'корпоративный баланс энергии'!AL74+'корпоративный баланс энергии'!AL75+'корпоративный баланс энергии'!AL76+'корпоративный баланс энергии'!AL77+'корпоративный баланс энергии'!AL78+'корпоративный баланс энергии'!AL79+'корпоративный баланс энергии'!AL80)</f>
        <v>-61</v>
      </c>
      <c r="S60" s="161">
        <f>M56+P62</f>
        <v>-61</v>
      </c>
    </row>
    <row r="61" spans="2:19">
      <c r="C61" s="36" t="s">
        <v>107</v>
      </c>
      <c r="D61" s="157">
        <f>'корпоративный баланс энергии'!AM1082</f>
        <v>8454.3185216517268</v>
      </c>
      <c r="F61" s="80">
        <f>F65</f>
        <v>10</v>
      </c>
      <c r="H61" s="75"/>
      <c r="N61" s="83"/>
    </row>
    <row r="62" spans="2:19" ht="14.25">
      <c r="C62" s="36" t="s">
        <v>108</v>
      </c>
      <c r="D62" s="40">
        <f>D61-D60</f>
        <v>-305.99961775665543</v>
      </c>
      <c r="E62" s="21"/>
      <c r="L62" s="209" t="s">
        <v>338</v>
      </c>
      <c r="N62" s="83"/>
      <c r="P62" s="69">
        <f>-('корпоративный баланс энергии'!AL51+'корпоративный баланс энергии'!AL52+'корпоративный баланс энергии'!AL53+'корпоративный баланс энергии'!AL54+'корпоративный баланс энергии'!AL55+'корпоративный баланс энергии'!AL56+'корпоративный баланс энергии'!AL76+'корпоративный баланс энергии'!AL77+'корпоративный баланс энергии'!AL78+'корпоративный баланс энергии'!AL79+'корпоративный баланс энергии'!AL80)</f>
        <v>-21</v>
      </c>
      <c r="S62" s="161">
        <f>-(P47-N47)</f>
        <v>-21</v>
      </c>
    </row>
    <row r="63" spans="2:19">
      <c r="C63" s="41" t="s">
        <v>109</v>
      </c>
      <c r="D63" s="40">
        <f>-D62+G40+I42-J47-I60-F61-F54-F48</f>
        <v>-3.8224334457481746E-4</v>
      </c>
      <c r="K63" s="84"/>
      <c r="N63" s="13" t="s">
        <v>75</v>
      </c>
      <c r="O63" s="83" t="s">
        <v>142</v>
      </c>
    </row>
    <row r="64" spans="2:19">
      <c r="F64" s="163" t="s">
        <v>143</v>
      </c>
      <c r="I64" s="31" t="s">
        <v>144</v>
      </c>
      <c r="N64" s="13" t="s">
        <v>145</v>
      </c>
      <c r="O64" s="83" t="s">
        <v>146</v>
      </c>
    </row>
    <row r="65" spans="6:20">
      <c r="F65" s="85">
        <f>-('корпоративный баланс энергии'!AL42+'корпоративный баланс энергии'!AL44+'корпоративный баланс энергии'!AL45+'корпоративный баланс энергии'!AL72+'корпоративный баланс энергии'!AL73)</f>
        <v>10</v>
      </c>
      <c r="I65" s="85">
        <f>-('корпоративный баланс энергии'!AL43+'корпоративный баланс энергии'!AL71)</f>
        <v>-5</v>
      </c>
      <c r="O65" s="83"/>
    </row>
    <row r="66" spans="6:20">
      <c r="O66" s="83"/>
    </row>
    <row r="67" spans="6:20">
      <c r="O67" s="83"/>
    </row>
    <row r="68" spans="6:20">
      <c r="O68" s="83"/>
    </row>
    <row r="69" spans="6:20">
      <c r="O69" s="83"/>
    </row>
    <row r="70" spans="6:20">
      <c r="O70" s="83"/>
    </row>
    <row r="72" spans="6:20" ht="14.25" hidden="1">
      <c r="K72" s="1260" t="s">
        <v>149</v>
      </c>
      <c r="L72" s="1261"/>
      <c r="N72" s="1260" t="s">
        <v>149</v>
      </c>
      <c r="O72" s="1261"/>
      <c r="Q72" s="1260" t="s">
        <v>149</v>
      </c>
      <c r="R72" s="1261"/>
    </row>
    <row r="73" spans="6:20" ht="14.25" hidden="1">
      <c r="K73" s="1255" t="s">
        <v>154</v>
      </c>
      <c r="L73" s="1256"/>
      <c r="N73" s="1255" t="s">
        <v>153</v>
      </c>
      <c r="O73" s="1256"/>
      <c r="Q73" s="1255" t="s">
        <v>150</v>
      </c>
      <c r="R73" s="1256"/>
    </row>
    <row r="74" spans="6:20" ht="15.75" hidden="1">
      <c r="F74" s="1263" t="s">
        <v>156</v>
      </c>
      <c r="G74" s="1263"/>
      <c r="H74" s="1263"/>
      <c r="I74" s="1263"/>
      <c r="J74" s="102">
        <f>-L79-M74</f>
        <v>170.83272000875746</v>
      </c>
      <c r="K74" s="97" t="s">
        <v>29</v>
      </c>
      <c r="L74" s="98">
        <f>SUM(L75:L77)</f>
        <v>4837.2435597588674</v>
      </c>
      <c r="M74" s="100">
        <f>O76+P74</f>
        <v>-51.789160249889903</v>
      </c>
      <c r="N74" s="97" t="s">
        <v>29</v>
      </c>
      <c r="O74" s="98">
        <f>'корпоративный баланс энергии'!AK1490</f>
        <v>502.5224</v>
      </c>
      <c r="P74" s="100">
        <f>R76-S74</f>
        <v>-25.750555605596901</v>
      </c>
      <c r="Q74" s="97" t="s">
        <v>29</v>
      </c>
      <c r="R74" s="98">
        <f>'корпоративный баланс энергии'!AK1508</f>
        <v>688.5036269433507</v>
      </c>
      <c r="S74" s="100">
        <f>R36</f>
        <v>27.199838500000169</v>
      </c>
      <c r="T74" s="9" t="s">
        <v>152</v>
      </c>
    </row>
    <row r="75" spans="6:20" hidden="1">
      <c r="J75"/>
      <c r="K75" s="97" t="s">
        <v>56</v>
      </c>
      <c r="L75" s="98">
        <f>'корпоративный баланс энергии'!AK1528</f>
        <v>859.43400000000008</v>
      </c>
      <c r="N75" s="97" t="s">
        <v>107</v>
      </c>
      <c r="O75" s="98">
        <f>'корпоративный баланс энергии'!AM1490</f>
        <v>476.483795355707</v>
      </c>
      <c r="Q75" s="97" t="s">
        <v>107</v>
      </c>
      <c r="R75" s="98">
        <f>'корпоративный баланс энергии'!AM1508</f>
        <v>689.95290983775396</v>
      </c>
    </row>
    <row r="76" spans="6:20" hidden="1">
      <c r="J76"/>
      <c r="K76" s="97" t="s">
        <v>55</v>
      </c>
      <c r="L76" s="98">
        <f>'корпоративный баланс энергии'!AK1529</f>
        <v>3895.3660807588676</v>
      </c>
      <c r="N76" s="97" t="s">
        <v>108</v>
      </c>
      <c r="O76" s="98">
        <f>O75-O74</f>
        <v>-26.038604644293002</v>
      </c>
      <c r="Q76" s="97" t="s">
        <v>108</v>
      </c>
      <c r="R76" s="98">
        <f>R75-R74</f>
        <v>1.4492828944032681</v>
      </c>
    </row>
    <row r="77" spans="6:20" ht="16.5" hidden="1" thickBot="1">
      <c r="I77" s="103" t="s">
        <v>157</v>
      </c>
      <c r="J77" s="102">
        <v>1265</v>
      </c>
      <c r="K77" s="97" t="s">
        <v>155</v>
      </c>
      <c r="L77" s="98">
        <f>'корпоративный баланс энергии'!AK1530</f>
        <v>82.443478999999996</v>
      </c>
      <c r="N77" s="99" t="s">
        <v>151</v>
      </c>
      <c r="O77" s="101">
        <f>-O76-P74+M74</f>
        <v>0</v>
      </c>
      <c r="Q77" s="99" t="s">
        <v>151</v>
      </c>
      <c r="R77" s="101">
        <f>-R76+S74+P74</f>
        <v>0</v>
      </c>
    </row>
    <row r="78" spans="6:20" hidden="1">
      <c r="J78"/>
      <c r="K78" s="97" t="s">
        <v>107</v>
      </c>
      <c r="L78" s="98">
        <f>'корпоративный баланс энергии'!AM1527</f>
        <v>4718.2</v>
      </c>
    </row>
    <row r="79" spans="6:20" ht="15.75" hidden="1">
      <c r="F79" s="1263" t="s">
        <v>158</v>
      </c>
      <c r="G79" s="1263"/>
      <c r="H79" s="1263"/>
      <c r="I79" s="1263"/>
      <c r="J79" s="102">
        <f>SUM(J85:J96)</f>
        <v>726.18141938451606</v>
      </c>
      <c r="K79" s="97" t="s">
        <v>108</v>
      </c>
      <c r="L79" s="98">
        <f>L78-L74</f>
        <v>-119.04355975886756</v>
      </c>
    </row>
    <row r="80" spans="6:20" ht="16.5" hidden="1" thickBot="1">
      <c r="F80" s="1263" t="s">
        <v>159</v>
      </c>
      <c r="G80" s="1263"/>
      <c r="H80" s="1263"/>
      <c r="I80" s="1263"/>
      <c r="J80" s="102">
        <f>L76+(J77-J74)+(L75-J79)</f>
        <v>5122.7859413655951</v>
      </c>
      <c r="K80" s="99" t="s">
        <v>151</v>
      </c>
      <c r="L80" s="101">
        <f>-L79-M74-J74</f>
        <v>0</v>
      </c>
    </row>
    <row r="81" spans="7:11" hidden="1">
      <c r="K81"/>
    </row>
    <row r="82" spans="7:11" hidden="1"/>
    <row r="83" spans="7:11" hidden="1"/>
    <row r="84" spans="7:11" hidden="1"/>
    <row r="85" spans="7:11" hidden="1">
      <c r="G85" s="104" t="s">
        <v>160</v>
      </c>
      <c r="H85" s="24"/>
      <c r="J85" s="119">
        <v>46.313507984516121</v>
      </c>
    </row>
    <row r="86" spans="7:11" hidden="1">
      <c r="G86" s="104" t="s">
        <v>161</v>
      </c>
      <c r="H86" s="24"/>
      <c r="J86" s="119">
        <v>4.8</v>
      </c>
    </row>
    <row r="87" spans="7:11" hidden="1">
      <c r="G87" s="104" t="s">
        <v>162</v>
      </c>
      <c r="H87" s="24"/>
      <c r="J87" s="119">
        <v>84.499649999999988</v>
      </c>
    </row>
    <row r="88" spans="7:11" hidden="1">
      <c r="G88" s="104" t="s">
        <v>163</v>
      </c>
      <c r="H88" s="24"/>
      <c r="J88" s="119">
        <v>6.23</v>
      </c>
    </row>
    <row r="89" spans="7:11" hidden="1">
      <c r="G89" s="104" t="s">
        <v>164</v>
      </c>
      <c r="H89" s="24"/>
      <c r="J89" s="119">
        <v>151.525148</v>
      </c>
    </row>
    <row r="90" spans="7:11" hidden="1">
      <c r="G90" s="104" t="s">
        <v>165</v>
      </c>
      <c r="H90" s="24"/>
      <c r="J90" s="119">
        <v>26.832000000000001</v>
      </c>
    </row>
    <row r="91" spans="7:11" hidden="1">
      <c r="G91" s="104" t="s">
        <v>166</v>
      </c>
      <c r="H91" s="24"/>
      <c r="J91" s="119">
        <v>50.687304000000005</v>
      </c>
    </row>
    <row r="92" spans="7:11" hidden="1">
      <c r="G92" s="104" t="s">
        <v>167</v>
      </c>
      <c r="H92" s="24"/>
      <c r="J92" s="119">
        <v>4.46</v>
      </c>
    </row>
    <row r="93" spans="7:11" hidden="1">
      <c r="G93" s="104" t="s">
        <v>168</v>
      </c>
      <c r="H93" s="24"/>
      <c r="J93" s="119">
        <v>6.1</v>
      </c>
    </row>
    <row r="94" spans="7:11" hidden="1">
      <c r="G94" s="104" t="s">
        <v>61</v>
      </c>
      <c r="H94" s="24"/>
      <c r="J94" s="119">
        <v>201.9450808</v>
      </c>
    </row>
    <row r="95" spans="7:11" hidden="1">
      <c r="G95" s="104" t="s">
        <v>62</v>
      </c>
      <c r="H95" s="24"/>
      <c r="J95" s="119">
        <v>78.3277286</v>
      </c>
    </row>
    <row r="96" spans="7:11" hidden="1">
      <c r="G96" s="104" t="s">
        <v>63</v>
      </c>
      <c r="H96" s="24"/>
      <c r="J96" s="119">
        <v>64.460999999999999</v>
      </c>
    </row>
  </sheetData>
  <mergeCells count="18">
    <mergeCell ref="F80:I80"/>
    <mergeCell ref="K72:L72"/>
    <mergeCell ref="F79:I79"/>
    <mergeCell ref="Q72:R72"/>
    <mergeCell ref="K73:L73"/>
    <mergeCell ref="N73:O73"/>
    <mergeCell ref="Q73:R73"/>
    <mergeCell ref="N72:O72"/>
    <mergeCell ref="E20:F20"/>
    <mergeCell ref="G20:H20"/>
    <mergeCell ref="G42:H42"/>
    <mergeCell ref="F74:I74"/>
    <mergeCell ref="L3:M3"/>
    <mergeCell ref="I4:N4"/>
    <mergeCell ref="D13:E13"/>
    <mergeCell ref="G19:H19"/>
    <mergeCell ref="G43:H43"/>
    <mergeCell ref="G54:H54"/>
  </mergeCells>
  <phoneticPr fontId="20" type="noConversion"/>
  <conditionalFormatting sqref="G85:G96">
    <cfRule type="cellIs" dxfId="4" priority="1" stopIfTrue="1" operator="notEqual">
      <formula>G84</formula>
    </cfRule>
  </conditionalFormatting>
  <pageMargins left="0.75" right="0.75" top="0.2" bottom="0.23" header="0.17" footer="0.17"/>
  <pageSetup paperSize="9" scale="51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7"/>
  <dimension ref="B2:U96"/>
  <sheetViews>
    <sheetView view="pageBreakPreview" topLeftCell="A7" zoomScale="75" zoomScaleNormal="75" zoomScaleSheetLayoutView="75" workbookViewId="0">
      <selection activeCell="O60" sqref="O60"/>
    </sheetView>
  </sheetViews>
  <sheetFormatPr defaultColWidth="10.6640625" defaultRowHeight="12.75"/>
  <cols>
    <col min="1" max="1" width="4.6640625" style="13" customWidth="1"/>
    <col min="2" max="2" width="12.1640625" style="13" customWidth="1"/>
    <col min="3" max="3" width="14.6640625" style="13" customWidth="1"/>
    <col min="4" max="4" width="12.1640625" style="13" customWidth="1"/>
    <col min="5" max="5" width="11.33203125" style="13" customWidth="1"/>
    <col min="6" max="7" width="13.33203125" style="13" bestFit="1" customWidth="1"/>
    <col min="8" max="8" width="12.5" style="13" customWidth="1"/>
    <col min="9" max="9" width="11.6640625" style="13" customWidth="1"/>
    <col min="10" max="10" width="12.33203125" style="13" customWidth="1"/>
    <col min="11" max="11" width="11.6640625" style="13" customWidth="1"/>
    <col min="12" max="12" width="13.6640625" style="13" customWidth="1"/>
    <col min="13" max="13" width="12.1640625" style="13" customWidth="1"/>
    <col min="14" max="14" width="15.1640625" style="13" customWidth="1"/>
    <col min="15" max="15" width="12.1640625" style="13" customWidth="1"/>
    <col min="16" max="16" width="14" style="13" bestFit="1" customWidth="1"/>
    <col min="17" max="17" width="12" style="13" bestFit="1" customWidth="1"/>
    <col min="18" max="18" width="13.33203125" style="13" customWidth="1"/>
    <col min="19" max="19" width="10.83203125" style="13" customWidth="1"/>
    <col min="20" max="20" width="13.33203125" style="13" bestFit="1" customWidth="1"/>
    <col min="21" max="21" width="13" style="13" bestFit="1" customWidth="1"/>
    <col min="22" max="16384" width="10.6640625" style="13"/>
  </cols>
  <sheetData>
    <row r="2" spans="3:21" ht="25.5">
      <c r="C2" s="11" t="s">
        <v>100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3:21" ht="22.5">
      <c r="C3" s="14"/>
      <c r="D3" s="15"/>
      <c r="E3" s="15"/>
      <c r="F3" s="15"/>
      <c r="G3" s="15"/>
      <c r="I3" s="16" t="s">
        <v>169</v>
      </c>
      <c r="J3" s="17"/>
      <c r="K3" s="17"/>
      <c r="L3" s="1251" t="s">
        <v>83</v>
      </c>
      <c r="M3" s="1251"/>
      <c r="N3" s="18">
        <f>Январь!N3</f>
        <v>2020</v>
      </c>
      <c r="O3" s="17"/>
      <c r="P3" s="15"/>
      <c r="Q3" s="15"/>
      <c r="R3" s="15"/>
      <c r="S3" s="15"/>
      <c r="T3" s="15"/>
    </row>
    <row r="4" spans="3:21" ht="20.25">
      <c r="C4" s="19"/>
      <c r="I4" s="1252" t="s">
        <v>147</v>
      </c>
      <c r="J4" s="1252"/>
      <c r="K4" s="1252"/>
      <c r="L4" s="1252"/>
      <c r="M4" s="1252"/>
      <c r="N4" s="1252"/>
      <c r="O4" s="20"/>
    </row>
    <row r="5" spans="3:21" ht="14.25" customHeight="1">
      <c r="C5" s="32" t="s">
        <v>104</v>
      </c>
      <c r="D5" s="33"/>
      <c r="F5" s="21"/>
      <c r="G5" s="22"/>
      <c r="I5" s="23"/>
      <c r="K5" s="24"/>
      <c r="L5" s="25"/>
      <c r="M5" s="25"/>
      <c r="N5" s="26"/>
      <c r="O5" s="20"/>
    </row>
    <row r="6" spans="3:21" ht="14.25" customHeight="1">
      <c r="C6" s="36" t="s">
        <v>29</v>
      </c>
      <c r="D6" s="37">
        <f>'корпоративный баланс энергии'!AN849</f>
        <v>9759.8127294213864</v>
      </c>
      <c r="F6" s="21"/>
      <c r="G6" s="22"/>
      <c r="I6" s="23"/>
      <c r="K6" s="24"/>
      <c r="L6" s="25"/>
      <c r="M6" s="25"/>
      <c r="N6" s="26"/>
      <c r="O6" s="20"/>
    </row>
    <row r="7" spans="3:21" ht="14.25" customHeight="1">
      <c r="C7" s="36" t="s">
        <v>107</v>
      </c>
      <c r="D7" s="37">
        <f>'корпоративный баланс энергии'!AP849</f>
        <v>8770.8118057253123</v>
      </c>
      <c r="F7" s="21"/>
      <c r="G7" s="22"/>
      <c r="I7" s="23"/>
      <c r="K7" s="24"/>
      <c r="L7" s="25"/>
      <c r="M7" s="25"/>
      <c r="N7" s="26"/>
      <c r="O7" s="20"/>
    </row>
    <row r="8" spans="3:21" ht="14.25" customHeight="1">
      <c r="C8" s="36" t="s">
        <v>108</v>
      </c>
      <c r="D8" s="40">
        <f>D7-D6</f>
        <v>-989.0009236960741</v>
      </c>
      <c r="F8" s="21"/>
      <c r="G8" s="22"/>
      <c r="I8" s="23"/>
      <c r="K8" s="24"/>
      <c r="L8" s="25"/>
      <c r="M8" s="25"/>
      <c r="N8" s="26"/>
      <c r="O8" s="20"/>
    </row>
    <row r="9" spans="3:21" ht="14.25" customHeight="1">
      <c r="C9" s="41" t="s">
        <v>109</v>
      </c>
      <c r="D9" s="40">
        <f>-D8-G11-I11-J13-J15+F16-E18-F30-G27+K20</f>
        <v>9.2369607409636956E-4</v>
      </c>
      <c r="F9" s="21"/>
      <c r="G9" s="22"/>
      <c r="I9" s="23"/>
      <c r="K9" s="24"/>
      <c r="L9" s="25"/>
      <c r="M9" s="25"/>
      <c r="N9" s="26"/>
      <c r="O9" s="20"/>
    </row>
    <row r="10" spans="3:21" ht="14.25" customHeight="1">
      <c r="C10" s="19"/>
      <c r="F10" s="21"/>
      <c r="G10" s="22" t="s">
        <v>101</v>
      </c>
      <c r="I10" s="158" t="s">
        <v>243</v>
      </c>
      <c r="K10" s="24"/>
      <c r="L10" s="25"/>
      <c r="M10" s="25"/>
      <c r="N10" s="26"/>
      <c r="O10" s="20"/>
    </row>
    <row r="11" spans="3:21" ht="15.75" customHeight="1">
      <c r="C11" s="19"/>
      <c r="F11" s="21"/>
      <c r="G11" s="69">
        <f>-('корпоративный баланс энергии'!AO23+'корпоративный баланс энергии'!AO59)</f>
        <v>700</v>
      </c>
      <c r="I11" s="27">
        <f>-'корпоративный баланс энергии'!AO24</f>
        <v>30</v>
      </c>
      <c r="K11" s="24"/>
      <c r="L11" s="25"/>
      <c r="M11" s="25"/>
      <c r="N11" s="26"/>
      <c r="O11" s="20"/>
    </row>
    <row r="12" spans="3:21" ht="15.75" customHeight="1">
      <c r="C12" s="19"/>
      <c r="F12" s="21"/>
      <c r="J12" s="158" t="s">
        <v>244</v>
      </c>
      <c r="K12" s="15"/>
      <c r="L12" s="25"/>
      <c r="M12" s="25"/>
      <c r="N12" s="26"/>
      <c r="O12" s="29" t="s">
        <v>102</v>
      </c>
      <c r="R12" s="30">
        <f>SUM(D6,H34,D60,K34,N34,Q34,T34)</f>
        <v>98912.447236223175</v>
      </c>
    </row>
    <row r="13" spans="3:21" ht="15" customHeight="1">
      <c r="C13" s="19"/>
      <c r="D13" s="1253" t="s">
        <v>103</v>
      </c>
      <c r="E13" s="1253"/>
      <c r="F13" s="21"/>
      <c r="J13" s="27">
        <f>-'корпоративный баланс энергии'!AO25</f>
        <v>45</v>
      </c>
      <c r="K13" s="15"/>
      <c r="L13" s="34"/>
      <c r="M13" s="25"/>
      <c r="N13" s="26"/>
      <c r="O13" s="29" t="s">
        <v>105</v>
      </c>
      <c r="R13" s="30">
        <f>SUM(D7,H35,D61,K35,N35,Q35,T35)</f>
        <v>97098.440391726923</v>
      </c>
    </row>
    <row r="14" spans="3:21" ht="15.75" customHeight="1">
      <c r="C14" s="19"/>
      <c r="E14" s="35">
        <f>-('корпоративный баланс энергии'!AO30+'корпоративный баланс энергии'!AO31+'корпоративный баланс энергии'!AO32+'корпоративный баланс энергии'!AO33+'корпоративный баланс энергии'!AO61+'корпоративный баланс энергии'!AO62+'корпоративный баланс энергии'!AO63)</f>
        <v>325</v>
      </c>
      <c r="F14" s="21"/>
      <c r="J14" s="158" t="s">
        <v>245</v>
      </c>
      <c r="K14" s="24"/>
      <c r="L14" s="25"/>
      <c r="M14" s="25"/>
      <c r="N14" s="26"/>
      <c r="O14" s="29" t="s">
        <v>106</v>
      </c>
      <c r="R14" s="30">
        <f>SUM(D8,H36,D62,K36,N36,Q36,T36)</f>
        <v>-1814.0068444962576</v>
      </c>
      <c r="S14" s="24"/>
      <c r="T14" s="161">
        <f>-G11-I11-J13-J15+F16-E18-F30-F36-E45-F54-F61-I60-J47-L47-M47-N47+P47-R47-T47-F48</f>
        <v>-1814</v>
      </c>
      <c r="U14" s="161">
        <f>R13-R12</f>
        <v>-1814.0068444962526</v>
      </c>
    </row>
    <row r="15" spans="3:21">
      <c r="D15" s="41" t="s">
        <v>109</v>
      </c>
      <c r="E15" s="591">
        <f>-E14+D29+E18-F16</f>
        <v>0</v>
      </c>
      <c r="J15" s="27">
        <f>-'корпоративный баланс энергии'!AO26</f>
        <v>2</v>
      </c>
      <c r="O15" s="38"/>
      <c r="P15" s="24"/>
      <c r="Q15" s="24"/>
      <c r="R15" s="38"/>
    </row>
    <row r="16" spans="3:21">
      <c r="F16" s="69">
        <f>'корпоративный баланс энергии'!AO30+'корпоративный баланс энергии'!AO31+'корпоративный баланс энергии'!AO32+'корпоративный баланс энергии'!AO62+'корпоративный баланс энергии'!AO63</f>
        <v>-85</v>
      </c>
      <c r="O16" s="38"/>
      <c r="P16" s="24"/>
      <c r="Q16" s="24"/>
      <c r="R16" s="38"/>
    </row>
    <row r="17" spans="4:21" ht="13.5" thickBot="1">
      <c r="O17" s="38"/>
      <c r="P17" s="24"/>
      <c r="Q17" s="24"/>
      <c r="R17" s="38"/>
    </row>
    <row r="18" spans="4:21" ht="15">
      <c r="E18" s="27">
        <f>-('корпоративный баланс энергии'!AO33+'корпоративный баланс энергии'!AO61)</f>
        <v>240</v>
      </c>
      <c r="P18" s="863" t="s">
        <v>113</v>
      </c>
      <c r="Q18" s="864"/>
      <c r="R18" s="864"/>
      <c r="S18" s="864"/>
      <c r="T18" s="865"/>
      <c r="U18" s="866">
        <f>-O60</f>
        <v>81</v>
      </c>
    </row>
    <row r="19" spans="4:21" ht="14.25">
      <c r="F19" s="43"/>
      <c r="G19" s="1258" t="s">
        <v>110</v>
      </c>
      <c r="H19" s="1258"/>
      <c r="P19" s="867" t="s">
        <v>1070</v>
      </c>
      <c r="Q19" s="868"/>
      <c r="R19" s="868"/>
      <c r="S19" s="868"/>
      <c r="T19" s="869"/>
      <c r="U19" s="870">
        <f>SUM(U20:U21)</f>
        <v>-64.997461998812014</v>
      </c>
    </row>
    <row r="20" spans="4:21" ht="15">
      <c r="D20" s="24"/>
      <c r="E20" s="1257" t="s">
        <v>111</v>
      </c>
      <c r="F20" s="1257"/>
      <c r="G20" s="1258" t="s">
        <v>112</v>
      </c>
      <c r="H20" s="1258"/>
      <c r="K20" s="1032">
        <v>8</v>
      </c>
      <c r="P20" s="871" t="s">
        <v>115</v>
      </c>
      <c r="Q20" s="868" t="s">
        <v>507</v>
      </c>
      <c r="R20" s="868"/>
      <c r="S20" s="868"/>
      <c r="T20" s="869"/>
      <c r="U20" s="870">
        <f>-N47</f>
        <v>-84.997461998812014</v>
      </c>
    </row>
    <row r="21" spans="4:21" ht="13.5" thickBot="1">
      <c r="F21" s="44"/>
      <c r="G21" s="36" t="s">
        <v>29</v>
      </c>
      <c r="H21" s="45">
        <f>D6-F22</f>
        <v>9105.9707294213858</v>
      </c>
      <c r="P21" s="872"/>
      <c r="Q21" s="873" t="s">
        <v>116</v>
      </c>
      <c r="R21" s="873"/>
      <c r="S21" s="873"/>
      <c r="T21" s="874"/>
      <c r="U21" s="875">
        <f>-M47</f>
        <v>20</v>
      </c>
    </row>
    <row r="22" spans="4:21" ht="15" thickBot="1">
      <c r="E22" s="36" t="s">
        <v>29</v>
      </c>
      <c r="F22" s="37">
        <f>'корпоративный баланс энергии'!AN865</f>
        <v>653.84199999999998</v>
      </c>
      <c r="G22" s="36" t="s">
        <v>107</v>
      </c>
      <c r="H22" s="45">
        <f>D7-F23</f>
        <v>8356.966805725313</v>
      </c>
      <c r="P22" s="860" t="s">
        <v>1068</v>
      </c>
      <c r="Q22" s="861"/>
      <c r="R22" s="861"/>
      <c r="S22" s="861"/>
      <c r="T22" s="861"/>
      <c r="U22" s="862">
        <f>'корпоративный баланс энергии'!AO74</f>
        <v>70</v>
      </c>
    </row>
    <row r="23" spans="4:21" ht="15" thickBot="1">
      <c r="E23" s="36" t="s">
        <v>107</v>
      </c>
      <c r="F23" s="37">
        <f>'корпоративный баланс энергии'!AP865</f>
        <v>413.84500000000003</v>
      </c>
      <c r="G23" s="36" t="s">
        <v>108</v>
      </c>
      <c r="H23" s="40">
        <f>H22-H21</f>
        <v>-749.00392369607289</v>
      </c>
      <c r="P23" s="858" t="s">
        <v>1071</v>
      </c>
      <c r="Q23" s="876"/>
      <c r="R23" s="876"/>
      <c r="S23" s="876"/>
      <c r="T23" s="859"/>
      <c r="U23" s="875">
        <f>MIN(ABS(N48),ABS(P48))</f>
        <v>85</v>
      </c>
    </row>
    <row r="24" spans="4:21" ht="15" thickBot="1">
      <c r="E24" s="36" t="s">
        <v>108</v>
      </c>
      <c r="F24" s="46">
        <f>F23-F22</f>
        <v>-239.99699999999996</v>
      </c>
      <c r="G24" s="41" t="s">
        <v>109</v>
      </c>
      <c r="H24" s="40">
        <f>-H23+F16+K20-G11-I11-J13-J15-G27-F30</f>
        <v>3.9236960728885606E-3</v>
      </c>
      <c r="P24" s="877" t="s">
        <v>1072</v>
      </c>
      <c r="Q24" s="873"/>
      <c r="R24" s="873"/>
      <c r="S24" s="873"/>
      <c r="T24" s="874"/>
      <c r="U24" s="875">
        <f>MIN(ABS('корпоративный баланс энергии'!AO54),ABS('корпоративный баланс энергии'!AO80))</f>
        <v>100</v>
      </c>
    </row>
    <row r="25" spans="4:21" ht="15" thickBot="1">
      <c r="E25" s="41" t="s">
        <v>109</v>
      </c>
      <c r="F25" s="46">
        <f>-F24-E18</f>
        <v>-3.0000000000427463E-3</v>
      </c>
      <c r="K25" s="1024">
        <v>30</v>
      </c>
      <c r="P25" s="878" t="s">
        <v>1073</v>
      </c>
      <c r="Q25" s="879"/>
      <c r="R25" s="879"/>
      <c r="S25" s="879"/>
      <c r="T25" s="880"/>
      <c r="U25" s="881">
        <f>ABS(U23)+ABS(U24)</f>
        <v>185</v>
      </c>
    </row>
    <row r="26" spans="4:21" ht="15" thickBot="1">
      <c r="P26" s="877" t="s">
        <v>1257</v>
      </c>
      <c r="Q26" s="873"/>
      <c r="R26" s="873"/>
      <c r="S26" s="873"/>
      <c r="T26" s="874"/>
      <c r="U26" s="875">
        <f>'корпоративный баланс энергии'!AO79</f>
        <v>16</v>
      </c>
    </row>
    <row r="27" spans="4:21" ht="15" thickBot="1">
      <c r="G27" s="1159">
        <v>-150</v>
      </c>
      <c r="P27" s="884" t="s">
        <v>1074</v>
      </c>
      <c r="Q27" s="885"/>
      <c r="R27" s="885"/>
      <c r="S27" s="885"/>
      <c r="T27" s="886"/>
      <c r="U27" s="887">
        <f>U22+U25+U26</f>
        <v>271</v>
      </c>
    </row>
    <row r="28" spans="4:21">
      <c r="S28" s="48"/>
      <c r="T28" s="48"/>
      <c r="U28" s="48"/>
    </row>
    <row r="29" spans="4:21">
      <c r="D29" s="600">
        <v>0</v>
      </c>
      <c r="R29" s="52"/>
    </row>
    <row r="30" spans="4:21">
      <c r="F30" s="69">
        <f>-('корпоративный баланс энергии'!AO34+'корпоративный баланс энергии'!AO64)</f>
        <v>45</v>
      </c>
    </row>
    <row r="31" spans="4:21" ht="15">
      <c r="G31" s="21" t="s">
        <v>117</v>
      </c>
      <c r="J31" s="28" t="s">
        <v>118</v>
      </c>
      <c r="K31" s="15"/>
      <c r="M31" s="21" t="s">
        <v>117</v>
      </c>
      <c r="P31" s="21" t="s">
        <v>117</v>
      </c>
      <c r="Q31" s="53"/>
      <c r="S31" s="21" t="s">
        <v>117</v>
      </c>
    </row>
    <row r="32" spans="4:21" ht="15">
      <c r="G32" s="28" t="s">
        <v>119</v>
      </c>
      <c r="H32" s="15"/>
      <c r="J32" s="28" t="s">
        <v>120</v>
      </c>
      <c r="K32" s="15"/>
      <c r="M32" s="28" t="s">
        <v>121</v>
      </c>
      <c r="N32" s="15"/>
      <c r="P32" s="28" t="s">
        <v>122</v>
      </c>
      <c r="Q32" s="54"/>
      <c r="S32" s="28" t="s">
        <v>123</v>
      </c>
      <c r="T32" s="15"/>
    </row>
    <row r="33" spans="3:20" ht="14.25">
      <c r="C33" s="21" t="s">
        <v>124</v>
      </c>
    </row>
    <row r="34" spans="3:20" ht="14.25">
      <c r="D34" s="21" t="s">
        <v>125</v>
      </c>
      <c r="G34" s="36" t="s">
        <v>29</v>
      </c>
      <c r="H34" s="37">
        <f>'корпоративный баланс энергии'!AN82</f>
        <v>23161.986436003157</v>
      </c>
      <c r="J34" s="36" t="s">
        <v>29</v>
      </c>
      <c r="K34" s="37">
        <f>'корпоративный баланс энергии'!AN370</f>
        <v>9513.2118064519291</v>
      </c>
      <c r="M34" s="36" t="s">
        <v>29</v>
      </c>
      <c r="N34" s="37">
        <f>'корпоративный баланс энергии'!AN538</f>
        <v>23881.068181530871</v>
      </c>
      <c r="P34" s="36" t="s">
        <v>29</v>
      </c>
      <c r="Q34" s="37">
        <f>'корпоративный баланс энергии'!AN1454</f>
        <v>18861.26418958509</v>
      </c>
      <c r="S34" s="36" t="s">
        <v>29</v>
      </c>
      <c r="T34" s="37">
        <f>'корпоративный баланс энергии'!AN1674</f>
        <v>4275.271999999999</v>
      </c>
    </row>
    <row r="35" spans="3:20">
      <c r="E35" s="55">
        <f>-('корпоративный баланс энергии'!AO34+'корпоративный баланс энергии'!AO35+'корпоративный баланс энергии'!AO36+'корпоративный баланс энергии'!AO65)</f>
        <v>70</v>
      </c>
      <c r="G35" s="36" t="s">
        <v>107</v>
      </c>
      <c r="H35" s="37">
        <f>'корпоративный баланс энергии'!AP82</f>
        <v>22426.984640813433</v>
      </c>
      <c r="J35" s="36" t="s">
        <v>107</v>
      </c>
      <c r="K35" s="37">
        <f>'корпоративный баланс энергии'!AP370</f>
        <v>10009.204178998523</v>
      </c>
      <c r="M35" s="36" t="s">
        <v>107</v>
      </c>
      <c r="N35" s="37">
        <f>'корпоративный баланс энергии'!AP538</f>
        <v>23428.070263048707</v>
      </c>
      <c r="P35" s="36" t="s">
        <v>107</v>
      </c>
      <c r="Q35" s="37">
        <f>'корпоративный баланс энергии'!AP1454</f>
        <v>19166.701286383901</v>
      </c>
      <c r="S35" s="36" t="s">
        <v>107</v>
      </c>
      <c r="T35" s="37">
        <f>'корпоративный баланс энергии'!AP1674</f>
        <v>3955.8323652000004</v>
      </c>
    </row>
    <row r="36" spans="3:20">
      <c r="C36" s="599">
        <v>0</v>
      </c>
      <c r="D36" s="41" t="s">
        <v>109</v>
      </c>
      <c r="E36" s="591">
        <f>-E35-D29+F30+F36-C36</f>
        <v>0</v>
      </c>
      <c r="F36" s="69">
        <f>-('корпоративный баланс энергии'!AO35+'корпоративный баланс энергии'!AO36+'корпоративный баланс энергии'!AO65)</f>
        <v>25</v>
      </c>
      <c r="G36" s="36" t="s">
        <v>108</v>
      </c>
      <c r="H36" s="46">
        <f>H35-H34</f>
        <v>-735.00179518972436</v>
      </c>
      <c r="I36" s="1160">
        <v>450</v>
      </c>
      <c r="J36" s="56" t="s">
        <v>108</v>
      </c>
      <c r="K36" s="46">
        <f>K35-K34</f>
        <v>495.9923725465942</v>
      </c>
      <c r="L36" s="1160">
        <v>-200</v>
      </c>
      <c r="M36" s="56" t="s">
        <v>108</v>
      </c>
      <c r="N36" s="57">
        <f>N35-N34</f>
        <v>-452.9979184821641</v>
      </c>
      <c r="O36" s="1162">
        <v>150</v>
      </c>
      <c r="P36" s="56" t="s">
        <v>108</v>
      </c>
      <c r="Q36" s="46">
        <f>Q35-Q34</f>
        <v>305.43709679881067</v>
      </c>
      <c r="R36" s="58">
        <f>T34-T35-T47</f>
        <v>29.439634799998657</v>
      </c>
      <c r="S36" s="56" t="s">
        <v>108</v>
      </c>
      <c r="T36" s="46">
        <f>T35-T34</f>
        <v>-319.43963479999866</v>
      </c>
    </row>
    <row r="37" spans="3:20">
      <c r="G37" s="41" t="s">
        <v>109</v>
      </c>
      <c r="H37" s="46">
        <f>-H36-F36+G27+K25-I36-E45-G40</f>
        <v>1.7951897243619896E-3</v>
      </c>
      <c r="J37" s="41" t="s">
        <v>109</v>
      </c>
      <c r="K37" s="46">
        <f>-K36+I36-L36-L47-I42</f>
        <v>7.6274534058029531E-3</v>
      </c>
      <c r="L37" s="44"/>
      <c r="M37" s="41" t="s">
        <v>109</v>
      </c>
      <c r="N37" s="57">
        <f>-N36+L36-O36-K20-K25-M47-N47</f>
        <v>4.5648335208170465E-4</v>
      </c>
      <c r="P37" s="41" t="s">
        <v>109</v>
      </c>
      <c r="Q37" s="40">
        <f>-Q36+O36+R36-R47+P47</f>
        <v>0</v>
      </c>
      <c r="R37" s="44"/>
      <c r="S37" s="41" t="s">
        <v>109</v>
      </c>
      <c r="T37" s="40">
        <f>-T36-R36-T47</f>
        <v>0</v>
      </c>
    </row>
    <row r="39" spans="3:20">
      <c r="H39" s="160" t="s">
        <v>126</v>
      </c>
    </row>
    <row r="40" spans="3:20">
      <c r="G40" s="1161">
        <v>20</v>
      </c>
      <c r="H40" s="160" t="s">
        <v>127</v>
      </c>
    </row>
    <row r="41" spans="3:20">
      <c r="I41" s="160" t="s">
        <v>128</v>
      </c>
    </row>
    <row r="42" spans="3:20">
      <c r="G42" s="1259" t="s">
        <v>129</v>
      </c>
      <c r="H42" s="1259"/>
      <c r="I42" s="1024">
        <v>150</v>
      </c>
    </row>
    <row r="43" spans="3:20">
      <c r="G43" s="1262" t="s">
        <v>130</v>
      </c>
      <c r="H43" s="1262"/>
    </row>
    <row r="44" spans="3:20">
      <c r="E44" s="44"/>
      <c r="G44" s="36" t="s">
        <v>29</v>
      </c>
      <c r="H44" s="37">
        <f>'корпоративный баланс энергии'!AN1122+'корпоративный баланс энергии'!AN1089</f>
        <v>1758.816592285156</v>
      </c>
      <c r="M44" s="160" t="s">
        <v>251</v>
      </c>
      <c r="N44" s="64"/>
      <c r="O44" s="160" t="s">
        <v>248</v>
      </c>
    </row>
    <row r="45" spans="3:20">
      <c r="E45" s="69">
        <f>-('корпоративный баланс энергии'!AO37+'корпоративный баланс энергии'!AO38+'корпоративный баланс энергии'!AO39+'корпоративный баланс энергии'!AO66+'корпоративный баланс энергии'!AO67+'корпоративный баланс энергии'!AO68)</f>
        <v>120</v>
      </c>
      <c r="G45" s="36" t="s">
        <v>107</v>
      </c>
      <c r="H45" s="37">
        <f>'корпоративный баланс энергии'!AP1122+'корпоративный баланс энергии'!AP1089</f>
        <v>1872.8196849377898</v>
      </c>
      <c r="M45" s="160" t="s">
        <v>336</v>
      </c>
      <c r="O45" s="160" t="s">
        <v>249</v>
      </c>
    </row>
    <row r="46" spans="3:20" ht="14.25">
      <c r="G46" s="36" t="s">
        <v>108</v>
      </c>
      <c r="H46" s="46">
        <f>H45-H44</f>
        <v>114.00309265263377</v>
      </c>
      <c r="J46" s="160" t="s">
        <v>131</v>
      </c>
      <c r="O46" s="160" t="s">
        <v>250</v>
      </c>
      <c r="R46" s="65" t="s">
        <v>132</v>
      </c>
      <c r="T46" s="21" t="s">
        <v>133</v>
      </c>
    </row>
    <row r="47" spans="3:20">
      <c r="F47" s="29"/>
      <c r="G47" s="41" t="s">
        <v>109</v>
      </c>
      <c r="H47" s="46">
        <f>-H46+G40+I42-J47-F48-G49</f>
        <v>-3.0926526337680116E-3</v>
      </c>
      <c r="J47" s="69">
        <f>-('корпоративный баланс энергии'!AO49+'корпоративный баланс энергии'!AO50)</f>
        <v>6</v>
      </c>
      <c r="L47" s="69">
        <f>-('корпоративный баланс энергии'!AO46+'корпоративный баланс энергии'!AO47+'корпоративный баланс энергии'!AO74)</f>
        <v>4</v>
      </c>
      <c r="M47" s="66">
        <f>-('корпоративный баланс энергии'!AO48+'корпоративный баланс энергии'!AO75)</f>
        <v>-20</v>
      </c>
      <c r="N47" s="42">
        <f>P62+P47</f>
        <v>84.997461998812014</v>
      </c>
      <c r="O47" s="1177">
        <f>-('корпоративный баланс энергии'!AO53)</f>
        <v>30</v>
      </c>
      <c r="P47" s="42">
        <f>Q36-O36-R36+R47</f>
        <v>155.99746199881201</v>
      </c>
      <c r="R47" s="27">
        <f>-('корпоративный баланс энергии'!AO27+'корпоративный баланс энергии'!AO28+'корпоративный баланс энергии'!AO60)</f>
        <v>30</v>
      </c>
      <c r="T47" s="27">
        <f>-'корпоративный баланс энергии'!AO29</f>
        <v>290</v>
      </c>
    </row>
    <row r="48" spans="3:20">
      <c r="F48" s="51">
        <f>-('корпоративный баланс энергии'!AO40)</f>
        <v>0</v>
      </c>
      <c r="N48" s="584">
        <f>-('корпоративный баланс энергии'!AO51+'корпоративный баланс энергии'!AO52+'корпоративный баланс энергии'!AO76+'корпоративный баланс энергии'!AO77)</f>
        <v>85</v>
      </c>
      <c r="P48" s="584">
        <f>'корпоративный баланс энергии'!AO53+'корпоративный баланс энергии'!AO54+'корпоративный баланс энергии'!AO55+'корпоративный баланс энергии'!AO56+'корпоративный баланс энергии'!AO78+'корпоративный баланс энергии'!AO79+'корпоративный баланс энергии'!AO80</f>
        <v>156</v>
      </c>
    </row>
    <row r="49" spans="2:19" ht="15.75">
      <c r="C49" s="22" t="s">
        <v>134</v>
      </c>
      <c r="F49" s="160" t="s">
        <v>135</v>
      </c>
      <c r="G49" s="1163">
        <v>50</v>
      </c>
      <c r="H49" s="160" t="s">
        <v>136</v>
      </c>
      <c r="P49" s="13" t="s">
        <v>90</v>
      </c>
    </row>
    <row r="50" spans="2:19">
      <c r="D50" s="68" t="s">
        <v>137</v>
      </c>
      <c r="H50" s="160" t="s">
        <v>138</v>
      </c>
    </row>
    <row r="51" spans="2:19">
      <c r="E51" s="55">
        <f>-('корпоративный баланс энергии'!AO37+'корпоративный баланс энергии'!AO38+'корпоративный баланс энергии'!AO39+'корпоративный баланс энергии'!AO40+'корпоративный баланс энергии'!AO41+'корпоративный баланс энергии'!AO66+'корпоративный баланс энергии'!AO67+'корпоративный баланс энергии'!AO68+'корпоративный баланс энергии'!AO69+'корпоративный баланс энергии'!AO70)</f>
        <v>390</v>
      </c>
      <c r="H51" s="160" t="s">
        <v>508</v>
      </c>
    </row>
    <row r="52" spans="2:19" ht="14.25">
      <c r="C52" s="599">
        <v>0</v>
      </c>
      <c r="D52" s="41" t="s">
        <v>109</v>
      </c>
      <c r="E52" s="591">
        <f>-E51+E45+F48+F54-E54-C52</f>
        <v>0</v>
      </c>
      <c r="G52" s="28"/>
      <c r="H52" s="15"/>
      <c r="O52" s="70"/>
    </row>
    <row r="53" spans="2:19" ht="15">
      <c r="B53" s="581" t="s">
        <v>513</v>
      </c>
      <c r="G53" s="28" t="s">
        <v>890</v>
      </c>
      <c r="H53" s="15"/>
    </row>
    <row r="54" spans="2:19">
      <c r="B54" s="36" t="s">
        <v>29</v>
      </c>
      <c r="C54" s="157">
        <f>'корпоративный баланс энергии'!AN1390</f>
        <v>718.04726798582999</v>
      </c>
      <c r="E54" s="51">
        <f>'корпоративный баланс энергии'!AO70</f>
        <v>0</v>
      </c>
      <c r="F54" s="602">
        <f>-('корпоративный баланс энергии'!AO41+'корпоративный баланс энергии'!AO69)</f>
        <v>270</v>
      </c>
      <c r="G54" s="1262" t="s">
        <v>889</v>
      </c>
      <c r="H54" s="1262"/>
      <c r="J54" s="86"/>
      <c r="M54" s="44"/>
    </row>
    <row r="55" spans="2:19" ht="18.75">
      <c r="B55" s="36" t="s">
        <v>107</v>
      </c>
      <c r="C55" s="157">
        <f>'корпоративный баланс энергии'!AP1390</f>
        <v>738.56536895079819</v>
      </c>
      <c r="G55" s="36" t="s">
        <v>29</v>
      </c>
      <c r="H55" s="37">
        <f>D60-C54-H44</f>
        <v>6982.9680329597604</v>
      </c>
      <c r="I55" s="89"/>
      <c r="J55" s="87"/>
      <c r="M55" s="221">
        <f>J47+L47+M47</f>
        <v>-10</v>
      </c>
    </row>
    <row r="56" spans="2:19">
      <c r="B56" s="36" t="s">
        <v>108</v>
      </c>
      <c r="C56" s="40">
        <f>C55-C54</f>
        <v>20.518100964968198</v>
      </c>
      <c r="D56" s="582" t="s">
        <v>511</v>
      </c>
      <c r="E56" s="210">
        <f>'корпоративный баланс энергии'!AO1390</f>
        <v>20.518100964968198</v>
      </c>
      <c r="G56" s="36" t="s">
        <v>107</v>
      </c>
      <c r="H56" s="37">
        <f>D61-C55-H45</f>
        <v>6729.4507976684572</v>
      </c>
      <c r="I56" s="75"/>
      <c r="L56" s="29" t="s">
        <v>139</v>
      </c>
      <c r="M56" s="51">
        <f>-('корпоративный баланс энергии'!AO46+'корпоративный баланс энергии'!AO47+'корпоративный баланс энергии'!AO48+'корпоративный баланс энергии'!AO49+'корпоративный баланс энергии'!AO50+'корпоративный баланс энергии'!AO74+'корпоративный баланс энергии'!AO75)</f>
        <v>-10</v>
      </c>
    </row>
    <row r="57" spans="2:19">
      <c r="B57" s="41" t="s">
        <v>109</v>
      </c>
      <c r="C57" s="40">
        <f>-C56+E54+E56</f>
        <v>0</v>
      </c>
      <c r="D57" s="583" t="s">
        <v>512</v>
      </c>
      <c r="G57" s="36" t="s">
        <v>108</v>
      </c>
      <c r="H57" s="46">
        <f>H56-H55</f>
        <v>-253.51723529130322</v>
      </c>
      <c r="J57" s="76"/>
      <c r="L57" s="29" t="s">
        <v>140</v>
      </c>
      <c r="P57" s="77"/>
    </row>
    <row r="58" spans="2:19" ht="20.25" customHeight="1">
      <c r="G58" s="41" t="s">
        <v>109</v>
      </c>
      <c r="H58" s="78">
        <f>-H57-F54-E56+G49-I60-F61</f>
        <v>-8.6567366497547482E-4</v>
      </c>
      <c r="I58" s="29"/>
      <c r="M58" s="79" t="s">
        <v>141</v>
      </c>
    </row>
    <row r="59" spans="2:19" ht="14.25">
      <c r="C59" s="32" t="s">
        <v>246</v>
      </c>
      <c r="D59" s="33"/>
    </row>
    <row r="60" spans="2:19">
      <c r="C60" s="36" t="s">
        <v>29</v>
      </c>
      <c r="D60" s="157">
        <f>'корпоративный баланс энергии'!AN1082</f>
        <v>9459.8318932307466</v>
      </c>
      <c r="I60" s="80">
        <f>I65</f>
        <v>-5</v>
      </c>
      <c r="L60" s="81" t="s">
        <v>337</v>
      </c>
      <c r="M60" s="81"/>
      <c r="N60" s="81"/>
      <c r="O60" s="82">
        <f>J47+L47+M47+N47-P47</f>
        <v>-81</v>
      </c>
      <c r="P60" s="69">
        <f>-('корпоративный баланс энергии'!AO46+'корпоративный баланс энергии'!AO47+'корпоративный баланс энергии'!AO48+'корпоративный баланс энергии'!AO49+'корпоративный баланс энергии'!AO50+'корпоративный баланс энергии'!AO51+'корпоративный баланс энергии'!AO52+'корпоративный баланс энергии'!AO53+'корпоративный баланс энергии'!AO54+'корпоративный баланс энергии'!AO55+'корпоративный баланс энергии'!AO56+'корпоративный баланс энергии'!AO74+'корпоративный баланс энергии'!AO75+'корпоративный баланс энергии'!AO76+'корпоративный баланс энергии'!AO77+'корпоративный баланс энергии'!AO78+'корпоративный баланс энергии'!AO79+'корпоративный баланс энергии'!AO80)</f>
        <v>-81</v>
      </c>
      <c r="S60" s="161">
        <f>M56+P62</f>
        <v>-81</v>
      </c>
    </row>
    <row r="61" spans="2:19">
      <c r="C61" s="36" t="s">
        <v>107</v>
      </c>
      <c r="D61" s="157">
        <f>'корпоративный баланс энергии'!AP1082</f>
        <v>9340.8358515570453</v>
      </c>
      <c r="F61" s="80">
        <f>F65</f>
        <v>18</v>
      </c>
      <c r="H61" s="75"/>
      <c r="N61" s="83"/>
    </row>
    <row r="62" spans="2:19" ht="14.25">
      <c r="C62" s="36" t="s">
        <v>108</v>
      </c>
      <c r="D62" s="40">
        <f>D61-D60</f>
        <v>-118.99604167370126</v>
      </c>
      <c r="E62" s="21"/>
      <c r="L62" s="209" t="s">
        <v>338</v>
      </c>
      <c r="N62" s="83"/>
      <c r="P62" s="69">
        <f>-('корпоративный баланс энергии'!AO51+'корпоративный баланс энергии'!AO52+'корпоративный баланс энергии'!AO53+'корпоративный баланс энергии'!AO54+'корпоративный баланс энергии'!AO55+'корпоративный баланс энергии'!AO56+'корпоративный баланс энергии'!AO76+'корпоративный баланс энергии'!AO77+'корпоративный баланс энергии'!AO78+'корпоративный баланс энергии'!AO79+'корпоративный баланс энергии'!AO80)</f>
        <v>-71</v>
      </c>
      <c r="S62" s="161">
        <f>-(P47-N47)</f>
        <v>-71</v>
      </c>
    </row>
    <row r="63" spans="2:19">
      <c r="C63" s="41" t="s">
        <v>109</v>
      </c>
      <c r="D63" s="40">
        <f>-D62+G40+I42-J47-I60-F61-F54-F48</f>
        <v>-3.9583262987434864E-3</v>
      </c>
      <c r="K63" s="84"/>
      <c r="N63" s="13" t="s">
        <v>75</v>
      </c>
      <c r="O63" s="83" t="s">
        <v>142</v>
      </c>
    </row>
    <row r="64" spans="2:19">
      <c r="F64" s="163" t="s">
        <v>143</v>
      </c>
      <c r="I64" s="31" t="s">
        <v>144</v>
      </c>
      <c r="N64" s="13" t="s">
        <v>145</v>
      </c>
      <c r="O64" s="83" t="s">
        <v>146</v>
      </c>
    </row>
    <row r="65" spans="6:20">
      <c r="F65" s="85">
        <f>-('корпоративный баланс энергии'!AO42+'корпоративный баланс энергии'!AO44+'корпоративный баланс энергии'!AO45+'корпоративный баланс энергии'!AO72)</f>
        <v>18</v>
      </c>
      <c r="I65" s="85">
        <f>-('корпоративный баланс энергии'!AO43+'корпоративный баланс энергии'!AO71)</f>
        <v>-5</v>
      </c>
      <c r="O65" s="83"/>
    </row>
    <row r="66" spans="6:20">
      <c r="O66" s="83"/>
    </row>
    <row r="67" spans="6:20">
      <c r="O67" s="83"/>
    </row>
    <row r="68" spans="6:20">
      <c r="O68" s="83"/>
    </row>
    <row r="69" spans="6:20">
      <c r="O69" s="83"/>
    </row>
    <row r="70" spans="6:20">
      <c r="O70" s="83"/>
    </row>
    <row r="72" spans="6:20" ht="14.25" hidden="1">
      <c r="K72" s="1260" t="s">
        <v>149</v>
      </c>
      <c r="L72" s="1261"/>
      <c r="N72" s="1260" t="s">
        <v>149</v>
      </c>
      <c r="O72" s="1261"/>
      <c r="Q72" s="1260" t="s">
        <v>149</v>
      </c>
      <c r="R72" s="1261"/>
    </row>
    <row r="73" spans="6:20" ht="14.25" hidden="1">
      <c r="K73" s="1255" t="s">
        <v>154</v>
      </c>
      <c r="L73" s="1256"/>
      <c r="N73" s="1255" t="s">
        <v>153</v>
      </c>
      <c r="O73" s="1256"/>
      <c r="Q73" s="1255" t="s">
        <v>150</v>
      </c>
      <c r="R73" s="1256"/>
    </row>
    <row r="74" spans="6:20" ht="15.75" hidden="1">
      <c r="F74" s="1263" t="s">
        <v>156</v>
      </c>
      <c r="G74" s="1263"/>
      <c r="H74" s="1263"/>
      <c r="I74" s="1263"/>
      <c r="J74" s="102">
        <f>-L79-M74</f>
        <v>-271.35551408246067</v>
      </c>
      <c r="K74" s="97" t="s">
        <v>29</v>
      </c>
      <c r="L74" s="98">
        <f>SUM(L75:L77)</f>
        <v>4655.6735619710153</v>
      </c>
      <c r="M74" s="100">
        <f>O76+P74</f>
        <v>-101.27092394652425</v>
      </c>
      <c r="N74" s="97" t="s">
        <v>29</v>
      </c>
      <c r="O74" s="98">
        <f>'корпоративный баланс энергии'!AN1490</f>
        <v>603.45532249999997</v>
      </c>
      <c r="P74" s="100">
        <f>R76-S74</f>
        <v>-24.776301676192247</v>
      </c>
      <c r="Q74" s="97" t="s">
        <v>29</v>
      </c>
      <c r="R74" s="98">
        <f>'корпоративный баланс энергии'!AN1508</f>
        <v>740.22103820508664</v>
      </c>
      <c r="S74" s="100">
        <f>R36</f>
        <v>29.439634799998657</v>
      </c>
      <c r="T74" s="9" t="s">
        <v>152</v>
      </c>
    </row>
    <row r="75" spans="6:20" hidden="1">
      <c r="J75"/>
      <c r="K75" s="97" t="s">
        <v>56</v>
      </c>
      <c r="L75" s="98">
        <f>'корпоративный баланс энергии'!AN1528</f>
        <v>1355.643</v>
      </c>
      <c r="N75" s="97" t="s">
        <v>107</v>
      </c>
      <c r="O75" s="98">
        <f>'корпоративный баланс энергии'!AP1490</f>
        <v>526.96070022966796</v>
      </c>
      <c r="Q75" s="97" t="s">
        <v>107</v>
      </c>
      <c r="R75" s="98">
        <f>'корпоративный баланс энергии'!AP1508</f>
        <v>744.88437132889305</v>
      </c>
    </row>
    <row r="76" spans="6:20" hidden="1">
      <c r="J76"/>
      <c r="K76" s="97" t="s">
        <v>55</v>
      </c>
      <c r="L76" s="98">
        <f>'корпоративный баланс энергии'!AN1529</f>
        <v>3220.7816289710154</v>
      </c>
      <c r="N76" s="97" t="s">
        <v>108</v>
      </c>
      <c r="O76" s="98">
        <f>O75-O74</f>
        <v>-76.494622270332002</v>
      </c>
      <c r="Q76" s="97" t="s">
        <v>108</v>
      </c>
      <c r="R76" s="98">
        <f>R75-R74</f>
        <v>4.6633331238064102</v>
      </c>
    </row>
    <row r="77" spans="6:20" ht="16.5" hidden="1" thickBot="1">
      <c r="I77" s="103" t="s">
        <v>157</v>
      </c>
      <c r="J77" s="102">
        <v>1224</v>
      </c>
      <c r="K77" s="97" t="s">
        <v>155</v>
      </c>
      <c r="L77" s="98">
        <f>'корпоративный баланс энергии'!AN1530</f>
        <v>79.248932999999994</v>
      </c>
      <c r="N77" s="99" t="s">
        <v>151</v>
      </c>
      <c r="O77" s="101">
        <f>-O76-P74+M74</f>
        <v>0</v>
      </c>
      <c r="Q77" s="99" t="s">
        <v>151</v>
      </c>
      <c r="R77" s="101">
        <f>-R76+S74+P74</f>
        <v>0</v>
      </c>
    </row>
    <row r="78" spans="6:20" hidden="1">
      <c r="J78"/>
      <c r="K78" s="97" t="s">
        <v>107</v>
      </c>
      <c r="L78" s="98">
        <f>'корпоративный баланс энергии'!AP1527</f>
        <v>5028.3</v>
      </c>
    </row>
    <row r="79" spans="6:20" ht="15.75" hidden="1">
      <c r="F79" s="1263" t="s">
        <v>158</v>
      </c>
      <c r="G79" s="1263"/>
      <c r="H79" s="1263"/>
      <c r="I79" s="1263"/>
      <c r="J79" s="102">
        <f>SUM(J85:J96)</f>
        <v>965.95047822774973</v>
      </c>
      <c r="K79" s="97" t="s">
        <v>108</v>
      </c>
      <c r="L79" s="98">
        <f>L78-L74</f>
        <v>372.62643802898492</v>
      </c>
    </row>
    <row r="80" spans="6:20" ht="16.5" hidden="1" thickBot="1">
      <c r="F80" s="1263" t="s">
        <v>159</v>
      </c>
      <c r="G80" s="1263"/>
      <c r="H80" s="1263"/>
      <c r="I80" s="1263"/>
      <c r="J80" s="102">
        <f>L76+(J77-J74)+(L75-J79)</f>
        <v>5105.8296648257265</v>
      </c>
      <c r="K80" s="99" t="s">
        <v>151</v>
      </c>
      <c r="L80" s="101">
        <f>-L79-M74-J74</f>
        <v>0</v>
      </c>
    </row>
    <row r="81" spans="7:11" hidden="1">
      <c r="K81"/>
    </row>
    <row r="82" spans="7:11" hidden="1"/>
    <row r="83" spans="7:11" hidden="1"/>
    <row r="84" spans="7:11" hidden="1"/>
    <row r="85" spans="7:11" hidden="1">
      <c r="G85" s="104" t="s">
        <v>160</v>
      </c>
      <c r="H85" s="24"/>
      <c r="J85" s="119">
        <v>54.352000000000004</v>
      </c>
    </row>
    <row r="86" spans="7:11" hidden="1">
      <c r="G86" s="104" t="s">
        <v>161</v>
      </c>
      <c r="H86" s="24"/>
      <c r="J86" s="119">
        <v>8.42</v>
      </c>
    </row>
    <row r="87" spans="7:11" hidden="1">
      <c r="G87" s="104" t="s">
        <v>162</v>
      </c>
      <c r="H87" s="24"/>
      <c r="J87" s="119">
        <v>117.9995</v>
      </c>
    </row>
    <row r="88" spans="7:11" hidden="1">
      <c r="G88" s="104" t="s">
        <v>163</v>
      </c>
      <c r="H88" s="24"/>
      <c r="J88" s="119">
        <v>8.64</v>
      </c>
    </row>
    <row r="89" spans="7:11" hidden="1">
      <c r="G89" s="104" t="s">
        <v>164</v>
      </c>
      <c r="H89" s="24"/>
      <c r="J89" s="119">
        <v>187.83424942774977</v>
      </c>
    </row>
    <row r="90" spans="7:11" hidden="1">
      <c r="G90" s="104" t="s">
        <v>165</v>
      </c>
      <c r="H90" s="24"/>
      <c r="J90" s="119">
        <v>30.24</v>
      </c>
    </row>
    <row r="91" spans="7:11" hidden="1">
      <c r="G91" s="104" t="s">
        <v>166</v>
      </c>
      <c r="H91" s="24"/>
      <c r="J91" s="119">
        <v>54.395147999999999</v>
      </c>
    </row>
    <row r="92" spans="7:11" hidden="1">
      <c r="G92" s="104" t="s">
        <v>167</v>
      </c>
      <c r="H92" s="24"/>
      <c r="J92" s="119">
        <v>6</v>
      </c>
    </row>
    <row r="93" spans="7:11" hidden="1">
      <c r="G93" s="104" t="s">
        <v>168</v>
      </c>
      <c r="H93" s="24"/>
      <c r="J93" s="119">
        <v>9.3000000000000007</v>
      </c>
    </row>
    <row r="94" spans="7:11" hidden="1">
      <c r="G94" s="104" t="s">
        <v>61</v>
      </c>
      <c r="H94" s="24"/>
      <c r="J94" s="119">
        <v>282.51511679999999</v>
      </c>
    </row>
    <row r="95" spans="7:11" hidden="1">
      <c r="G95" s="104" t="s">
        <v>62</v>
      </c>
      <c r="H95" s="24"/>
      <c r="J95" s="119">
        <v>121.04646399999999</v>
      </c>
    </row>
    <row r="96" spans="7:11" hidden="1">
      <c r="G96" s="104" t="s">
        <v>63</v>
      </c>
      <c r="H96" s="24"/>
      <c r="J96" s="119">
        <v>85.207999999999998</v>
      </c>
    </row>
  </sheetData>
  <mergeCells count="18">
    <mergeCell ref="F80:I80"/>
    <mergeCell ref="K72:L72"/>
    <mergeCell ref="F79:I79"/>
    <mergeCell ref="Q72:R72"/>
    <mergeCell ref="K73:L73"/>
    <mergeCell ref="N73:O73"/>
    <mergeCell ref="Q73:R73"/>
    <mergeCell ref="N72:O72"/>
    <mergeCell ref="E20:F20"/>
    <mergeCell ref="G20:H20"/>
    <mergeCell ref="G42:H42"/>
    <mergeCell ref="F74:I74"/>
    <mergeCell ref="L3:M3"/>
    <mergeCell ref="I4:N4"/>
    <mergeCell ref="D13:E13"/>
    <mergeCell ref="G19:H19"/>
    <mergeCell ref="G54:H54"/>
    <mergeCell ref="G43:H43"/>
  </mergeCells>
  <phoneticPr fontId="20" type="noConversion"/>
  <conditionalFormatting sqref="G85:G96">
    <cfRule type="cellIs" dxfId="3" priority="1" stopIfTrue="1" operator="notEqual">
      <formula>G84</formula>
    </cfRule>
  </conditionalFormatting>
  <pageMargins left="0.75" right="0.75" top="0.2" bottom="0.22" header="0.17" footer="0.17"/>
  <pageSetup paperSize="9" scale="51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8"/>
  <dimension ref="B2:U96"/>
  <sheetViews>
    <sheetView view="pageBreakPreview" topLeftCell="A7" zoomScale="75" zoomScaleNormal="75" zoomScaleSheetLayoutView="75" workbookViewId="0">
      <selection activeCell="O60" sqref="O60"/>
    </sheetView>
  </sheetViews>
  <sheetFormatPr defaultColWidth="10.6640625" defaultRowHeight="12.75"/>
  <cols>
    <col min="1" max="1" width="4.5" style="13" customWidth="1"/>
    <col min="2" max="2" width="11.83203125" style="13" customWidth="1"/>
    <col min="3" max="3" width="14.6640625" style="13" customWidth="1"/>
    <col min="4" max="4" width="12.1640625" style="13" customWidth="1"/>
    <col min="5" max="5" width="11.1640625" style="13" customWidth="1"/>
    <col min="6" max="7" width="13.33203125" style="13" bestFit="1" customWidth="1"/>
    <col min="8" max="8" width="12.5" style="13" customWidth="1"/>
    <col min="9" max="9" width="11.6640625" style="13" customWidth="1"/>
    <col min="10" max="10" width="12.33203125" style="13" customWidth="1"/>
    <col min="11" max="11" width="11.6640625" style="13" customWidth="1"/>
    <col min="12" max="12" width="13.6640625" style="13" customWidth="1"/>
    <col min="13" max="13" width="12.1640625" style="13" customWidth="1"/>
    <col min="14" max="14" width="15.1640625" style="13" customWidth="1"/>
    <col min="15" max="15" width="12.1640625" style="13" customWidth="1"/>
    <col min="16" max="16" width="14" style="13" bestFit="1" customWidth="1"/>
    <col min="17" max="17" width="12" style="13" bestFit="1" customWidth="1"/>
    <col min="18" max="18" width="13.33203125" style="13" customWidth="1"/>
    <col min="19" max="19" width="10.83203125" style="13" customWidth="1"/>
    <col min="20" max="20" width="13.33203125" style="13" bestFit="1" customWidth="1"/>
    <col min="21" max="21" width="13" style="13" bestFit="1" customWidth="1"/>
    <col min="22" max="16384" width="10.6640625" style="13"/>
  </cols>
  <sheetData>
    <row r="2" spans="3:21" ht="25.5">
      <c r="C2" s="11" t="s">
        <v>100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3:21" ht="22.5">
      <c r="C3" s="14"/>
      <c r="D3" s="15"/>
      <c r="E3" s="15"/>
      <c r="F3" s="15"/>
      <c r="G3" s="15"/>
      <c r="I3" s="16" t="s">
        <v>169</v>
      </c>
      <c r="J3" s="17"/>
      <c r="K3" s="17"/>
      <c r="L3" s="1251" t="s">
        <v>84</v>
      </c>
      <c r="M3" s="1251"/>
      <c r="N3" s="18">
        <f>Январь!N3</f>
        <v>2020</v>
      </c>
      <c r="O3" s="17"/>
      <c r="P3" s="15"/>
      <c r="Q3" s="15"/>
      <c r="R3" s="15"/>
      <c r="S3" s="15"/>
      <c r="T3" s="15"/>
    </row>
    <row r="4" spans="3:21" ht="20.25">
      <c r="C4" s="19"/>
      <c r="I4" s="1252" t="s">
        <v>147</v>
      </c>
      <c r="J4" s="1252"/>
      <c r="K4" s="1252"/>
      <c r="L4" s="1252"/>
      <c r="M4" s="1252"/>
      <c r="N4" s="1252"/>
      <c r="O4" s="20"/>
    </row>
    <row r="5" spans="3:21" ht="14.25" customHeight="1">
      <c r="C5" s="32" t="s">
        <v>104</v>
      </c>
      <c r="D5" s="33"/>
      <c r="F5" s="21"/>
      <c r="G5" s="22"/>
      <c r="I5" s="23"/>
      <c r="K5" s="24"/>
      <c r="L5" s="25"/>
      <c r="M5" s="25"/>
      <c r="N5" s="26"/>
      <c r="O5" s="20"/>
    </row>
    <row r="6" spans="3:21" ht="14.25" customHeight="1">
      <c r="C6" s="36" t="s">
        <v>29</v>
      </c>
      <c r="D6" s="37">
        <f>'корпоративный баланс энергии'!AQ849</f>
        <v>10625.370414089381</v>
      </c>
      <c r="F6" s="21"/>
      <c r="G6" s="22"/>
      <c r="I6" s="23"/>
      <c r="K6" s="24"/>
      <c r="L6" s="25"/>
      <c r="M6" s="25"/>
      <c r="N6" s="26"/>
      <c r="O6" s="20"/>
    </row>
    <row r="7" spans="3:21" ht="14.25" customHeight="1">
      <c r="C7" s="36" t="s">
        <v>107</v>
      </c>
      <c r="D7" s="37">
        <f>'корпоративный баланс энергии'!AS849</f>
        <v>9520.369082984882</v>
      </c>
      <c r="F7" s="21"/>
      <c r="G7" s="22"/>
      <c r="I7" s="23"/>
      <c r="K7" s="24"/>
      <c r="L7" s="25"/>
      <c r="M7" s="25"/>
      <c r="N7" s="26"/>
      <c r="O7" s="20"/>
    </row>
    <row r="8" spans="3:21" ht="14.25" customHeight="1">
      <c r="C8" s="36" t="s">
        <v>108</v>
      </c>
      <c r="D8" s="40">
        <f>D7-D6</f>
        <v>-1105.0013311044986</v>
      </c>
      <c r="F8" s="21"/>
      <c r="G8" s="22"/>
      <c r="I8" s="23"/>
      <c r="K8" s="24"/>
      <c r="L8" s="25"/>
      <c r="M8" s="25"/>
      <c r="N8" s="26"/>
      <c r="O8" s="20"/>
    </row>
    <row r="9" spans="3:21" ht="14.25" customHeight="1">
      <c r="C9" s="41" t="s">
        <v>109</v>
      </c>
      <c r="D9" s="40">
        <f>-D8-G11-I11-J13-J15+F16-E18-F30-G27+K20</f>
        <v>1.3311044986039633E-3</v>
      </c>
      <c r="F9" s="21"/>
      <c r="G9" s="22"/>
      <c r="I9" s="23"/>
      <c r="K9" s="24"/>
      <c r="L9" s="25"/>
      <c r="M9" s="25"/>
      <c r="N9" s="26"/>
      <c r="O9" s="20"/>
    </row>
    <row r="10" spans="3:21" ht="14.25" customHeight="1">
      <c r="C10" s="19"/>
      <c r="F10" s="21"/>
      <c r="G10" s="22" t="s">
        <v>101</v>
      </c>
      <c r="I10" s="158" t="s">
        <v>243</v>
      </c>
      <c r="K10" s="24"/>
      <c r="L10" s="25"/>
      <c r="M10" s="25"/>
      <c r="N10" s="26"/>
      <c r="O10" s="20"/>
    </row>
    <row r="11" spans="3:21" ht="15.75" customHeight="1">
      <c r="C11" s="19"/>
      <c r="F11" s="21"/>
      <c r="G11" s="69">
        <f>-('корпоративный баланс энергии'!AR23+'корпоративный баланс энергии'!AR59)</f>
        <v>730</v>
      </c>
      <c r="I11" s="27">
        <f>-'корпоративный баланс энергии'!AR24</f>
        <v>50</v>
      </c>
      <c r="K11" s="24"/>
      <c r="L11" s="25"/>
      <c r="M11" s="25"/>
      <c r="N11" s="26"/>
      <c r="O11" s="20"/>
    </row>
    <row r="12" spans="3:21" ht="15.75" customHeight="1">
      <c r="C12" s="19"/>
      <c r="F12" s="21"/>
      <c r="J12" s="158" t="s">
        <v>244</v>
      </c>
      <c r="K12" s="15"/>
      <c r="L12" s="25"/>
      <c r="M12" s="25"/>
      <c r="N12" s="26"/>
      <c r="O12" s="29" t="s">
        <v>102</v>
      </c>
      <c r="R12" s="30">
        <f>SUM(D6,H34,D60,K34,N34,Q34,T34)</f>
        <v>108070.61511203861</v>
      </c>
    </row>
    <row r="13" spans="3:21" ht="15" customHeight="1">
      <c r="C13" s="19"/>
      <c r="D13" s="1253" t="s">
        <v>103</v>
      </c>
      <c r="E13" s="1253"/>
      <c r="F13" s="21"/>
      <c r="J13" s="27">
        <f>-'корпоративный баланс энергии'!AR25</f>
        <v>55</v>
      </c>
      <c r="K13" s="15"/>
      <c r="L13" s="34"/>
      <c r="M13" s="25"/>
      <c r="N13" s="26"/>
      <c r="O13" s="29" t="s">
        <v>105</v>
      </c>
      <c r="R13" s="30">
        <f>SUM(D7,H35,D61,K35,N35,Q35,T35)</f>
        <v>106110.60894322503</v>
      </c>
    </row>
    <row r="14" spans="3:21" ht="15.75" customHeight="1">
      <c r="C14" s="19"/>
      <c r="E14" s="35">
        <f>-('корпоративный баланс энергии'!AR30+'корпоративный баланс энергии'!AR31+'корпоративный баланс энергии'!AR32+'корпоративный баланс энергии'!AR33+'корпоративный баланс энергии'!AR61+'корпоративный баланс энергии'!AR62+'корпоративный баланс энергии'!AR63)</f>
        <v>440</v>
      </c>
      <c r="F14" s="21"/>
      <c r="J14" s="158" t="s">
        <v>245</v>
      </c>
      <c r="K14" s="24"/>
      <c r="L14" s="25"/>
      <c r="M14" s="25"/>
      <c r="N14" s="26"/>
      <c r="O14" s="29" t="s">
        <v>106</v>
      </c>
      <c r="R14" s="30">
        <f>SUM(D8,H36,D62,K36,N36,Q36,T36)</f>
        <v>-1960.0061688136029</v>
      </c>
      <c r="S14" s="24"/>
      <c r="T14" s="161">
        <f>-G11-I11-J13-J15+F16-E18-F30-F36-E45-F54-F61-I60-J47-L47-M47-N47+P47-R47-T47-F48</f>
        <v>-1960</v>
      </c>
      <c r="U14" s="161">
        <f>R13-R12</f>
        <v>-1960.0061688135756</v>
      </c>
    </row>
    <row r="15" spans="3:21">
      <c r="D15" s="41" t="s">
        <v>109</v>
      </c>
      <c r="E15" s="591">
        <f>-E14+D29+E18-F16</f>
        <v>0</v>
      </c>
      <c r="J15" s="27">
        <f>-'корпоративный баланс энергии'!AR26</f>
        <v>2</v>
      </c>
      <c r="O15" s="38"/>
      <c r="P15" s="24"/>
      <c r="Q15" s="24"/>
      <c r="R15" s="38"/>
    </row>
    <row r="16" spans="3:21">
      <c r="F16" s="69">
        <f>'корпоративный баланс энергии'!AR30+'корпоративный баланс энергии'!AR31+'корпоративный баланс энергии'!AR32+'корпоративный баланс энергии'!AR62+'корпоративный баланс энергии'!AR63</f>
        <v>-190</v>
      </c>
      <c r="O16" s="38"/>
      <c r="P16" s="24"/>
      <c r="Q16" s="24"/>
      <c r="R16" s="38"/>
    </row>
    <row r="17" spans="4:21" ht="13.5" thickBot="1">
      <c r="O17" s="38"/>
      <c r="P17" s="24"/>
      <c r="Q17" s="24"/>
      <c r="R17" s="38"/>
    </row>
    <row r="18" spans="4:21" ht="15">
      <c r="E18" s="27">
        <f>-('корпоративный баланс энергии'!AR33+'корпоративный баланс энергии'!AR61)</f>
        <v>250</v>
      </c>
      <c r="P18" s="863" t="s">
        <v>113</v>
      </c>
      <c r="Q18" s="864"/>
      <c r="R18" s="864"/>
      <c r="S18" s="864"/>
      <c r="T18" s="865"/>
      <c r="U18" s="866">
        <f>-O60</f>
        <v>78</v>
      </c>
    </row>
    <row r="19" spans="4:21" ht="14.25">
      <c r="F19" s="43"/>
      <c r="G19" s="1258" t="s">
        <v>110</v>
      </c>
      <c r="H19" s="1258"/>
      <c r="P19" s="867" t="s">
        <v>1070</v>
      </c>
      <c r="Q19" s="868"/>
      <c r="R19" s="868"/>
      <c r="S19" s="868"/>
      <c r="T19" s="869"/>
      <c r="U19" s="870">
        <f>SUM(U20:U21)</f>
        <v>-145.00189557660087</v>
      </c>
    </row>
    <row r="20" spans="4:21" ht="15">
      <c r="D20" s="24"/>
      <c r="E20" s="1257" t="s">
        <v>111</v>
      </c>
      <c r="F20" s="1257"/>
      <c r="G20" s="1258" t="s">
        <v>112</v>
      </c>
      <c r="H20" s="1258"/>
      <c r="K20" s="1032">
        <v>12</v>
      </c>
      <c r="P20" s="871" t="s">
        <v>115</v>
      </c>
      <c r="Q20" s="868" t="s">
        <v>507</v>
      </c>
      <c r="R20" s="868"/>
      <c r="S20" s="868"/>
      <c r="T20" s="869"/>
      <c r="U20" s="870">
        <f>-N47</f>
        <v>-205.00189557660087</v>
      </c>
    </row>
    <row r="21" spans="4:21" ht="13.5" thickBot="1">
      <c r="F21" s="44"/>
      <c r="G21" s="36" t="s">
        <v>29</v>
      </c>
      <c r="H21" s="45">
        <f>D6-F22</f>
        <v>9916.8334140893803</v>
      </c>
      <c r="P21" s="872"/>
      <c r="Q21" s="873" t="s">
        <v>116</v>
      </c>
      <c r="R21" s="873"/>
      <c r="S21" s="873"/>
      <c r="T21" s="874"/>
      <c r="U21" s="875">
        <f>-M47</f>
        <v>60</v>
      </c>
    </row>
    <row r="22" spans="4:21" ht="15" thickBot="1">
      <c r="E22" s="36" t="s">
        <v>29</v>
      </c>
      <c r="F22" s="37">
        <f>'корпоративный баланс энергии'!AQ865</f>
        <v>708.53700000000003</v>
      </c>
      <c r="G22" s="36" t="s">
        <v>107</v>
      </c>
      <c r="H22" s="45">
        <f>D7-F23</f>
        <v>9061.8310829848815</v>
      </c>
      <c r="P22" s="860" t="s">
        <v>1068</v>
      </c>
      <c r="Q22" s="861"/>
      <c r="R22" s="861"/>
      <c r="S22" s="861"/>
      <c r="T22" s="861"/>
      <c r="U22" s="862">
        <f>'корпоративный баланс энергии'!AR74</f>
        <v>80</v>
      </c>
    </row>
    <row r="23" spans="4:21" ht="15" thickBot="1">
      <c r="E23" s="36" t="s">
        <v>107</v>
      </c>
      <c r="F23" s="37">
        <f>'корпоративный баланс энергии'!AS865</f>
        <v>458.53800000000001</v>
      </c>
      <c r="G23" s="36" t="s">
        <v>108</v>
      </c>
      <c r="H23" s="40">
        <f>H22-H21</f>
        <v>-855.00233110449881</v>
      </c>
      <c r="P23" s="858" t="s">
        <v>1071</v>
      </c>
      <c r="Q23" s="876"/>
      <c r="R23" s="876"/>
      <c r="S23" s="876"/>
      <c r="T23" s="859"/>
      <c r="U23" s="875">
        <f>MIN(ABS(N48),ABS(P48))</f>
        <v>205</v>
      </c>
    </row>
    <row r="24" spans="4:21" ht="15" thickBot="1">
      <c r="E24" s="36" t="s">
        <v>108</v>
      </c>
      <c r="F24" s="46">
        <f>F23-F22</f>
        <v>-249.99900000000002</v>
      </c>
      <c r="G24" s="41" t="s">
        <v>109</v>
      </c>
      <c r="H24" s="40">
        <f>-H23+F16+K20-G11-I11-J13-J15-G27-F30</f>
        <v>2.3311044988076901E-3</v>
      </c>
      <c r="P24" s="877" t="s">
        <v>1072</v>
      </c>
      <c r="Q24" s="873"/>
      <c r="R24" s="873"/>
      <c r="S24" s="873"/>
      <c r="T24" s="874"/>
      <c r="U24" s="875">
        <f>MIN(ABS('корпоративный баланс энергии'!AR54),ABS('корпоративный баланс энергии'!AR80))</f>
        <v>50</v>
      </c>
    </row>
    <row r="25" spans="4:21" ht="15" thickBot="1">
      <c r="E25" s="41" t="s">
        <v>109</v>
      </c>
      <c r="F25" s="46">
        <f>-F24-E18</f>
        <v>-9.9999999997635314E-4</v>
      </c>
      <c r="K25" s="1024">
        <v>50</v>
      </c>
      <c r="P25" s="878" t="s">
        <v>1073</v>
      </c>
      <c r="Q25" s="879"/>
      <c r="R25" s="879"/>
      <c r="S25" s="879"/>
      <c r="T25" s="880"/>
      <c r="U25" s="881">
        <f>ABS(U23)+ABS(U24)</f>
        <v>255</v>
      </c>
    </row>
    <row r="26" spans="4:21" ht="15" thickBot="1">
      <c r="P26" s="877" t="s">
        <v>1257</v>
      </c>
      <c r="Q26" s="873"/>
      <c r="R26" s="873"/>
      <c r="S26" s="873"/>
      <c r="T26" s="874"/>
      <c r="U26" s="875">
        <f>'корпоративный баланс энергии'!AR79</f>
        <v>30</v>
      </c>
    </row>
    <row r="27" spans="4:21" ht="15" thickBot="1">
      <c r="G27" s="1159">
        <v>-180</v>
      </c>
      <c r="P27" s="884" t="s">
        <v>1074</v>
      </c>
      <c r="Q27" s="885"/>
      <c r="R27" s="885"/>
      <c r="S27" s="885"/>
      <c r="T27" s="886"/>
      <c r="U27" s="887">
        <f>U22+U25+U26</f>
        <v>365</v>
      </c>
    </row>
    <row r="28" spans="4:21">
      <c r="S28" s="48"/>
      <c r="T28" s="48"/>
      <c r="U28" s="48"/>
    </row>
    <row r="29" spans="4:21">
      <c r="D29" s="600">
        <v>0</v>
      </c>
      <c r="R29" s="52"/>
    </row>
    <row r="30" spans="4:21">
      <c r="F30" s="69">
        <f>-('корпоративный баланс энергии'!AR34+'корпоративный баланс энергии'!AR64)</f>
        <v>20</v>
      </c>
    </row>
    <row r="31" spans="4:21" ht="15">
      <c r="G31" s="21" t="s">
        <v>117</v>
      </c>
      <c r="J31" s="28" t="s">
        <v>118</v>
      </c>
      <c r="K31" s="15"/>
      <c r="M31" s="21" t="s">
        <v>117</v>
      </c>
      <c r="P31" s="21" t="s">
        <v>117</v>
      </c>
      <c r="Q31" s="53"/>
      <c r="S31" s="21" t="s">
        <v>117</v>
      </c>
    </row>
    <row r="32" spans="4:21" ht="15">
      <c r="G32" s="28" t="s">
        <v>119</v>
      </c>
      <c r="H32" s="15"/>
      <c r="J32" s="28" t="s">
        <v>120</v>
      </c>
      <c r="K32" s="15"/>
      <c r="M32" s="28" t="s">
        <v>121</v>
      </c>
      <c r="N32" s="15"/>
      <c r="P32" s="28" t="s">
        <v>122</v>
      </c>
      <c r="Q32" s="54"/>
      <c r="S32" s="28" t="s">
        <v>123</v>
      </c>
      <c r="T32" s="15"/>
    </row>
    <row r="33" spans="3:20" ht="14.25">
      <c r="C33" s="21" t="s">
        <v>124</v>
      </c>
    </row>
    <row r="34" spans="3:20" ht="14.25">
      <c r="D34" s="21" t="s">
        <v>125</v>
      </c>
      <c r="G34" s="36" t="s">
        <v>29</v>
      </c>
      <c r="H34" s="37">
        <f>'корпоративный баланс энергии'!AQ82</f>
        <v>25023.97252432297</v>
      </c>
      <c r="J34" s="36" t="s">
        <v>29</v>
      </c>
      <c r="K34" s="37">
        <f>'корпоративный баланс энергии'!AQ370</f>
        <v>10423.228264260115</v>
      </c>
      <c r="M34" s="36" t="s">
        <v>29</v>
      </c>
      <c r="N34" s="37">
        <f>'корпоративный баланс энергии'!AQ538</f>
        <v>25762.817273151988</v>
      </c>
      <c r="P34" s="36" t="s">
        <v>29</v>
      </c>
      <c r="Q34" s="37">
        <f>'корпоративный баланс энергии'!AQ1454</f>
        <v>20765.584344221686</v>
      </c>
      <c r="S34" s="36" t="s">
        <v>29</v>
      </c>
      <c r="T34" s="37">
        <f>'корпоративный баланс энергии'!AQ1674</f>
        <v>4906.51</v>
      </c>
    </row>
    <row r="35" spans="3:20">
      <c r="E35" s="55">
        <f>-('корпоративный баланс энергии'!AR34+'корпоративный баланс энергии'!AR35+'корпоративный баланс энергии'!AR36+'корпоративный баланс энергии'!AR65)</f>
        <v>5</v>
      </c>
      <c r="G35" s="36" t="s">
        <v>107</v>
      </c>
      <c r="H35" s="37">
        <f>'корпоративный баланс энергии'!AS82</f>
        <v>24278.971913188136</v>
      </c>
      <c r="J35" s="36" t="s">
        <v>107</v>
      </c>
      <c r="K35" s="37">
        <f>'корпоративный баланс энергии'!AS370</f>
        <v>10908.229148100823</v>
      </c>
      <c r="M35" s="36" t="s">
        <v>107</v>
      </c>
      <c r="N35" s="37">
        <f>'корпоративный баланс энергии'!AS538</f>
        <v>25205.812478823191</v>
      </c>
      <c r="P35" s="36" t="s">
        <v>107</v>
      </c>
      <c r="Q35" s="37">
        <f>'корпоративный баланс энергии'!AS1454</f>
        <v>21153.546197298288</v>
      </c>
      <c r="S35" s="36" t="s">
        <v>107</v>
      </c>
      <c r="T35" s="37">
        <f>'корпоративный баланс энергии'!AS1674</f>
        <v>4573.5500424999991</v>
      </c>
    </row>
    <row r="36" spans="3:20">
      <c r="C36" s="599">
        <v>0</v>
      </c>
      <c r="D36" s="41" t="s">
        <v>109</v>
      </c>
      <c r="E36" s="591">
        <f>-E35-D29+F30+F36-C36</f>
        <v>0</v>
      </c>
      <c r="F36" s="69">
        <f>-('корпоративный баланс энергии'!AR35+'корпоративный баланс энергии'!AR36+'корпоративный баланс энергии'!AR65)</f>
        <v>-15</v>
      </c>
      <c r="G36" s="36" t="s">
        <v>108</v>
      </c>
      <c r="H36" s="46">
        <f>H35-H34</f>
        <v>-745.00061113483389</v>
      </c>
      <c r="I36" s="1160">
        <v>490</v>
      </c>
      <c r="J36" s="56" t="s">
        <v>108</v>
      </c>
      <c r="K36" s="46">
        <f>K35-K34</f>
        <v>485.00088384070841</v>
      </c>
      <c r="L36" s="1160">
        <v>-200</v>
      </c>
      <c r="M36" s="56" t="s">
        <v>108</v>
      </c>
      <c r="N36" s="57">
        <f>N35-N34</f>
        <v>-557.00479432879729</v>
      </c>
      <c r="O36" s="1162">
        <v>150</v>
      </c>
      <c r="P36" s="56" t="s">
        <v>108</v>
      </c>
      <c r="Q36" s="46">
        <f>Q35-Q34</f>
        <v>387.96185307660198</v>
      </c>
      <c r="R36" s="58">
        <f>T34-T35-T47</f>
        <v>32.95995750000111</v>
      </c>
      <c r="S36" s="56" t="s">
        <v>108</v>
      </c>
      <c r="T36" s="46">
        <f>T35-T34</f>
        <v>-332.95995750000111</v>
      </c>
    </row>
    <row r="37" spans="3:20">
      <c r="G37" s="41" t="s">
        <v>109</v>
      </c>
      <c r="H37" s="46">
        <f>-H36-F36+G27+K25-I36-E45-G40</f>
        <v>6.1113483388908207E-4</v>
      </c>
      <c r="J37" s="41" t="s">
        <v>109</v>
      </c>
      <c r="K37" s="46">
        <f>-K36+I36-L36-L47-I42</f>
        <v>-8.8384070841129869E-4</v>
      </c>
      <c r="L37" s="44"/>
      <c r="M37" s="41" t="s">
        <v>109</v>
      </c>
      <c r="N37" s="57">
        <f>-N36+L36-O36-K20-K25-M47-N47</f>
        <v>2.8987521964154439E-3</v>
      </c>
      <c r="P37" s="41" t="s">
        <v>109</v>
      </c>
      <c r="Q37" s="40">
        <f>-Q36+O36+R36-R47+P47</f>
        <v>0</v>
      </c>
      <c r="R37" s="44"/>
      <c r="S37" s="41" t="s">
        <v>109</v>
      </c>
      <c r="T37" s="40">
        <f>-T36-R36-T47</f>
        <v>0</v>
      </c>
    </row>
    <row r="39" spans="3:20">
      <c r="H39" s="160" t="s">
        <v>126</v>
      </c>
    </row>
    <row r="40" spans="3:20">
      <c r="G40" s="1161">
        <v>60</v>
      </c>
      <c r="H40" s="160" t="s">
        <v>127</v>
      </c>
    </row>
    <row r="41" spans="3:20">
      <c r="I41" s="160" t="s">
        <v>128</v>
      </c>
    </row>
    <row r="42" spans="3:20">
      <c r="G42" s="1259" t="s">
        <v>129</v>
      </c>
      <c r="H42" s="1259"/>
      <c r="I42" s="1161">
        <v>200</v>
      </c>
    </row>
    <row r="43" spans="3:20">
      <c r="G43" s="1262" t="s">
        <v>130</v>
      </c>
      <c r="H43" s="1262"/>
    </row>
    <row r="44" spans="3:20">
      <c r="E44" s="44"/>
      <c r="G44" s="36" t="s">
        <v>29</v>
      </c>
      <c r="H44" s="37">
        <f>'корпоративный баланс энергии'!AQ1122+'корпоративный баланс энергии'!AQ1089</f>
        <v>1941.2576494140624</v>
      </c>
      <c r="M44" s="160" t="s">
        <v>251</v>
      </c>
      <c r="N44" s="64"/>
      <c r="O44" s="160" t="s">
        <v>248</v>
      </c>
    </row>
    <row r="45" spans="3:20">
      <c r="E45" s="69">
        <f>-('корпоративный баланс энергии'!AR37+'корпоративный баланс энергии'!AR38+'корпоративный баланс энергии'!AR39+'корпоративный баланс энергии'!AR66+'корпоративный баланс энергии'!AR67+'корпоративный баланс энергии'!AR68)</f>
        <v>80</v>
      </c>
      <c r="G45" s="36" t="s">
        <v>107</v>
      </c>
      <c r="H45" s="37">
        <f>'корпоративный баланс энергии'!AS1122+'корпоративный баланс энергии'!AS1089</f>
        <v>2094.2527457265614</v>
      </c>
      <c r="M45" s="160" t="s">
        <v>336</v>
      </c>
      <c r="O45" s="160" t="s">
        <v>249</v>
      </c>
    </row>
    <row r="46" spans="3:20" ht="14.25">
      <c r="G46" s="36" t="s">
        <v>108</v>
      </c>
      <c r="H46" s="46">
        <f>H45-H44</f>
        <v>152.99509631249907</v>
      </c>
      <c r="J46" s="160" t="s">
        <v>131</v>
      </c>
      <c r="O46" s="160" t="s">
        <v>250</v>
      </c>
      <c r="R46" s="65" t="s">
        <v>132</v>
      </c>
      <c r="T46" s="21" t="s">
        <v>133</v>
      </c>
    </row>
    <row r="47" spans="3:20">
      <c r="F47" s="29"/>
      <c r="G47" s="41" t="s">
        <v>109</v>
      </c>
      <c r="H47" s="46">
        <f>-H46+G40+I42-J47-F48-G49</f>
        <v>4.9036875009278447E-3</v>
      </c>
      <c r="J47" s="69">
        <f>-('корпоративный баланс энергии'!AR49+'корпоративный баланс энергии'!AR50)</f>
        <v>7</v>
      </c>
      <c r="L47" s="69">
        <f>-('корпоративный баланс энергии'!AR46+'корпоративный баланс энергии'!AR47+'корпоративный баланс энергии'!AR74)</f>
        <v>5</v>
      </c>
      <c r="M47" s="66">
        <f>-('корпоративный баланс энергии'!AR48+'корпоративный баланс энергии'!AR75)</f>
        <v>-60</v>
      </c>
      <c r="N47" s="42">
        <f>P62+P47</f>
        <v>205.00189557660087</v>
      </c>
      <c r="O47" s="1177">
        <f>-'корпоративный баланс энергии'!AS53</f>
        <v>15</v>
      </c>
      <c r="P47" s="42">
        <f>Q36-O36-R36+R47</f>
        <v>235.00189557660087</v>
      </c>
      <c r="R47" s="27">
        <f>-('корпоративный баланс энергии'!AR27+'корпоративный баланс энергии'!AR28+'корпоративный баланс энергии'!AR60)</f>
        <v>30</v>
      </c>
      <c r="T47" s="27">
        <f>-'корпоративный баланс энергии'!AR29</f>
        <v>300</v>
      </c>
    </row>
    <row r="48" spans="3:20">
      <c r="F48" s="51">
        <f>-('корпоративный баланс энергии'!AR40)</f>
        <v>0</v>
      </c>
      <c r="N48" s="584">
        <f>-('корпоративный баланс энергии'!AR51+'корпоративный баланс энергии'!AR52+'корпоративный баланс энергии'!AR76+'корпоративный баланс энергии'!AR77)</f>
        <v>205</v>
      </c>
      <c r="P48" s="584">
        <f>'корпоративный баланс энергии'!AR53+'корпоративный баланс энергии'!AR54+'корпоративный баланс энергии'!AR55+'корпоративный баланс энергии'!AR56+'корпоративный баланс энергии'!AR78+'корпоративный баланс энергии'!AR79+'корпоративный баланс энергии'!AR80</f>
        <v>235</v>
      </c>
    </row>
    <row r="49" spans="2:19" ht="15.75">
      <c r="C49" s="22" t="s">
        <v>134</v>
      </c>
      <c r="F49" s="160" t="s">
        <v>135</v>
      </c>
      <c r="G49" s="1023">
        <v>100</v>
      </c>
      <c r="H49" s="160" t="s">
        <v>136</v>
      </c>
      <c r="P49" s="13" t="s">
        <v>90</v>
      </c>
    </row>
    <row r="50" spans="2:19">
      <c r="D50" s="68" t="s">
        <v>137</v>
      </c>
      <c r="H50" s="160" t="s">
        <v>138</v>
      </c>
    </row>
    <row r="51" spans="2:19">
      <c r="E51" s="55">
        <f>-('корпоративный баланс энергии'!AR37+'корпоративный баланс энергии'!AR38+'корпоративный баланс энергии'!AR39+'корпоративный баланс энергии'!AR40+'корпоративный баланс энергии'!AR41+'корпоративный баланс энергии'!AR66+'корпоративный баланс энергии'!AR67+'корпоративный баланс энергии'!AR68+'корпоративный баланс энергии'!AR69+'корпоративный баланс энергии'!AR70)</f>
        <v>410</v>
      </c>
      <c r="H51" s="160" t="s">
        <v>508</v>
      </c>
    </row>
    <row r="52" spans="2:19" ht="14.25">
      <c r="C52" s="599">
        <v>0</v>
      </c>
      <c r="D52" s="41" t="s">
        <v>109</v>
      </c>
      <c r="E52" s="591">
        <f>-E51+E45+F48+F54-E54-C52</f>
        <v>0</v>
      </c>
      <c r="G52" s="28"/>
      <c r="H52" s="15"/>
      <c r="O52" s="70"/>
    </row>
    <row r="53" spans="2:19" ht="15">
      <c r="B53" s="581" t="s">
        <v>513</v>
      </c>
      <c r="G53" s="28" t="s">
        <v>890</v>
      </c>
      <c r="H53" s="15"/>
      <c r="I53" s="59"/>
      <c r="J53" s="24"/>
    </row>
    <row r="54" spans="2:19">
      <c r="B54" s="36" t="s">
        <v>29</v>
      </c>
      <c r="C54" s="157">
        <f>'корпоративный баланс энергии'!AQ1390</f>
        <v>825.06968197599997</v>
      </c>
      <c r="E54" s="51">
        <f>'корпоративный баланс энергии'!AR70</f>
        <v>0</v>
      </c>
      <c r="F54" s="602">
        <f>-'корпоративный баланс энергии'!AR41+'корпоративный баланс энергии'!AR69</f>
        <v>330</v>
      </c>
      <c r="G54" s="1262" t="s">
        <v>889</v>
      </c>
      <c r="H54" s="1262"/>
      <c r="I54" s="60"/>
      <c r="J54" s="61"/>
      <c r="M54" s="44"/>
    </row>
    <row r="55" spans="2:19" ht="18.75">
      <c r="B55" s="36" t="s">
        <v>107</v>
      </c>
      <c r="C55" s="157">
        <f>'корпоративный баланс энергии'!AS1390</f>
        <v>860.68967437442029</v>
      </c>
      <c r="G55" s="36" t="s">
        <v>29</v>
      </c>
      <c r="H55" s="37">
        <f>D60-C54-H44</f>
        <v>7796.8049606024169</v>
      </c>
      <c r="I55" s="62"/>
      <c r="J55" s="61"/>
      <c r="M55" s="221">
        <f>J47+L47+M47</f>
        <v>-48</v>
      </c>
    </row>
    <row r="56" spans="2:19">
      <c r="B56" s="36" t="s">
        <v>108</v>
      </c>
      <c r="C56" s="40">
        <f>C55-C54</f>
        <v>35.619992398420322</v>
      </c>
      <c r="D56" s="582" t="s">
        <v>511</v>
      </c>
      <c r="E56" s="210">
        <f>'корпоративный баланс энергии'!AR1390</f>
        <v>35.619992398420322</v>
      </c>
      <c r="G56" s="36" t="s">
        <v>107</v>
      </c>
      <c r="H56" s="37">
        <f>D61-C55-H45</f>
        <v>7515.1876602287148</v>
      </c>
      <c r="I56" s="75"/>
      <c r="L56" s="29" t="s">
        <v>139</v>
      </c>
      <c r="M56" s="51">
        <f>-('корпоративный баланс энергии'!AR46+'корпоративный баланс энергии'!AR47+'корпоративный баланс энергии'!AR48+'корпоративный баланс энергии'!AR49+'корпоративный баланс энергии'!AR50+'корпоративный баланс энергии'!AR74+'корпоративный баланс энергии'!AR75)</f>
        <v>-48</v>
      </c>
    </row>
    <row r="57" spans="2:19">
      <c r="B57" s="41" t="s">
        <v>109</v>
      </c>
      <c r="C57" s="40">
        <f>-C56+E54+E56</f>
        <v>0</v>
      </c>
      <c r="D57" s="583" t="s">
        <v>512</v>
      </c>
      <c r="G57" s="36" t="s">
        <v>108</v>
      </c>
      <c r="H57" s="46">
        <f>H56-H55</f>
        <v>-281.61730037370216</v>
      </c>
      <c r="J57" s="76"/>
      <c r="L57" s="29" t="s">
        <v>140</v>
      </c>
      <c r="P57" s="77"/>
    </row>
    <row r="58" spans="2:19" ht="20.25" customHeight="1">
      <c r="G58" s="41" t="s">
        <v>109</v>
      </c>
      <c r="H58" s="78">
        <f>-H57-F54-E56+G49-I60-F61</f>
        <v>-2.6920247181578816E-3</v>
      </c>
      <c r="I58" s="29"/>
      <c r="M58" s="79" t="s">
        <v>141</v>
      </c>
    </row>
    <row r="59" spans="2:19" ht="14.25">
      <c r="C59" s="32" t="s">
        <v>246</v>
      </c>
      <c r="D59" s="33"/>
    </row>
    <row r="60" spans="2:19">
      <c r="C60" s="36" t="s">
        <v>29</v>
      </c>
      <c r="D60" s="157">
        <f>'корпоративный баланс энергии'!AQ1082</f>
        <v>10563.132291992479</v>
      </c>
      <c r="I60" s="80">
        <f>I65</f>
        <v>-5</v>
      </c>
      <c r="L60" s="81" t="s">
        <v>337</v>
      </c>
      <c r="M60" s="81"/>
      <c r="N60" s="81"/>
      <c r="O60" s="82">
        <f>J47+L47+M47+N47-P47</f>
        <v>-78</v>
      </c>
      <c r="P60" s="69">
        <f>-('корпоративный баланс энергии'!AR46+'корпоративный баланс энергии'!AR47+'корпоративный баланс энергии'!AR48+'корпоративный баланс энергии'!AR49+'корпоративный баланс энергии'!AR50+'корпоративный баланс энергии'!AR51+'корпоративный баланс энергии'!AR52+'корпоративный баланс энергии'!AR53+'корпоративный баланс энергии'!AR54+'корпоративный баланс энергии'!AR55+'корпоративный баланс энергии'!AR56+'корпоративный баланс энергии'!AR74+'корпоративный баланс энергии'!AR75+'корпоративный баланс энергии'!AR76+'корпоративный баланс энергии'!AR77+'корпоративный баланс энергии'!AR78+'корпоративный баланс энергии'!AR79+'корпоративный баланс энергии'!AR80)</f>
        <v>-78</v>
      </c>
      <c r="S60" s="161">
        <f>M56+P62</f>
        <v>-78</v>
      </c>
    </row>
    <row r="61" spans="2:19">
      <c r="C61" s="36" t="s">
        <v>107</v>
      </c>
      <c r="D61" s="157">
        <f>'корпоративный баланс энергии'!AS1082</f>
        <v>10470.130080329696</v>
      </c>
      <c r="F61" s="80">
        <f>F66</f>
        <v>21</v>
      </c>
      <c r="H61" s="75"/>
      <c r="N61" s="83"/>
    </row>
    <row r="62" spans="2:19" ht="14.25">
      <c r="C62" s="36" t="s">
        <v>108</v>
      </c>
      <c r="D62" s="40">
        <f>D61-D60</f>
        <v>-93.002211662782429</v>
      </c>
      <c r="E62" s="21"/>
      <c r="L62" s="209" t="s">
        <v>338</v>
      </c>
      <c r="N62" s="83"/>
      <c r="P62" s="69">
        <f>-('корпоративный баланс энергии'!AR51+'корпоративный баланс энергии'!AR52+'корпоративный баланс энергии'!AR53+'корпоративный баланс энергии'!AR54+'корпоративный баланс энергии'!AR55+'корпоративный баланс энергии'!AR56+'корпоративный баланс энергии'!AR76+'корпоративный баланс энергии'!AR77+'корпоративный баланс энергии'!AR78+'корпоративный баланс энергии'!AR79+'корпоративный баланс энергии'!AR80)</f>
        <v>-30</v>
      </c>
      <c r="S62" s="161">
        <f>-(P47-N47)</f>
        <v>-30</v>
      </c>
    </row>
    <row r="63" spans="2:19">
      <c r="C63" s="41" t="s">
        <v>109</v>
      </c>
      <c r="D63" s="40">
        <f>-D62+G40+I42-J47-I60-F61-F54-F48</f>
        <v>2.2116627824289026E-3</v>
      </c>
      <c r="K63" s="84"/>
      <c r="N63" s="13" t="s">
        <v>75</v>
      </c>
      <c r="O63" s="83" t="s">
        <v>142</v>
      </c>
    </row>
    <row r="64" spans="2:19">
      <c r="I64" s="31" t="s">
        <v>144</v>
      </c>
      <c r="N64" s="13" t="s">
        <v>145</v>
      </c>
      <c r="O64" s="83" t="s">
        <v>146</v>
      </c>
    </row>
    <row r="65" spans="6:20">
      <c r="F65" s="163" t="s">
        <v>143</v>
      </c>
      <c r="I65" s="85">
        <f>-('корпоративный баланс энергии'!AR43+'корпоративный баланс энергии'!AR71)</f>
        <v>-5</v>
      </c>
      <c r="O65" s="83"/>
    </row>
    <row r="66" spans="6:20">
      <c r="F66" s="85">
        <f>-('корпоративный баланс энергии'!AR42+'корпоративный баланс энергии'!AR44+'корпоративный баланс энергии'!AR45+'корпоративный баланс энергии'!AR72)</f>
        <v>21</v>
      </c>
      <c r="O66" s="83"/>
    </row>
    <row r="67" spans="6:20">
      <c r="O67" s="83"/>
    </row>
    <row r="68" spans="6:20">
      <c r="O68" s="83"/>
    </row>
    <row r="69" spans="6:20">
      <c r="O69" s="83"/>
    </row>
    <row r="70" spans="6:20">
      <c r="O70" s="83"/>
    </row>
    <row r="72" spans="6:20" ht="14.25" hidden="1">
      <c r="K72" s="1260" t="s">
        <v>149</v>
      </c>
      <c r="L72" s="1261"/>
      <c r="N72" s="1260" t="s">
        <v>149</v>
      </c>
      <c r="O72" s="1261"/>
      <c r="Q72" s="1260" t="s">
        <v>149</v>
      </c>
      <c r="R72" s="1261"/>
    </row>
    <row r="73" spans="6:20" ht="14.25" hidden="1">
      <c r="K73" s="1255" t="s">
        <v>154</v>
      </c>
      <c r="L73" s="1256"/>
      <c r="N73" s="1255" t="s">
        <v>153</v>
      </c>
      <c r="O73" s="1256"/>
      <c r="Q73" s="1255" t="s">
        <v>150</v>
      </c>
      <c r="R73" s="1256"/>
    </row>
    <row r="74" spans="6:20" ht="15.75" hidden="1">
      <c r="F74" s="1263" t="s">
        <v>156</v>
      </c>
      <c r="G74" s="1263"/>
      <c r="H74" s="1263"/>
      <c r="I74" s="1263"/>
      <c r="J74" s="102">
        <f>-L79-M74</f>
        <v>-376.63806476146385</v>
      </c>
      <c r="K74" s="97" t="s">
        <v>29</v>
      </c>
      <c r="L74" s="98">
        <f>SUM(L75:L77)</f>
        <v>5162.9427786452907</v>
      </c>
      <c r="M74" s="100">
        <f>O76+P74</f>
        <v>-150.03915659324628</v>
      </c>
      <c r="N74" s="97" t="s">
        <v>29</v>
      </c>
      <c r="O74" s="98">
        <f>'корпоративный баланс энергии'!AQ1490</f>
        <v>676.49928624999995</v>
      </c>
      <c r="P74" s="100">
        <f>R76-S74</f>
        <v>-65.665086108094329</v>
      </c>
      <c r="Q74" s="97" t="s">
        <v>29</v>
      </c>
      <c r="R74" s="98">
        <f>'корпоративный баланс энергии'!AQ1508</f>
        <v>879.12047579991531</v>
      </c>
      <c r="S74" s="100">
        <f>R36</f>
        <v>32.95995750000111</v>
      </c>
      <c r="T74" s="9" t="s">
        <v>152</v>
      </c>
    </row>
    <row r="75" spans="6:20" hidden="1">
      <c r="J75"/>
      <c r="K75" s="97" t="s">
        <v>56</v>
      </c>
      <c r="L75" s="98">
        <f>'корпоративный баланс энергии'!AQ1528</f>
        <v>1829.663</v>
      </c>
      <c r="N75" s="97" t="s">
        <v>107</v>
      </c>
      <c r="O75" s="98">
        <f>'корпоративный баланс энергии'!AS1490</f>
        <v>592.12521576484801</v>
      </c>
      <c r="Q75" s="97" t="s">
        <v>107</v>
      </c>
      <c r="R75" s="98">
        <f>'корпоративный баланс энергии'!AS1508</f>
        <v>846.41534719182209</v>
      </c>
    </row>
    <row r="76" spans="6:20" hidden="1">
      <c r="J76"/>
      <c r="K76" s="97" t="s">
        <v>55</v>
      </c>
      <c r="L76" s="98">
        <f>'корпоративный баланс энергии'!AQ1529</f>
        <v>3254.2341746452908</v>
      </c>
      <c r="N76" s="97" t="s">
        <v>108</v>
      </c>
      <c r="O76" s="98">
        <f>O75-O74</f>
        <v>-84.374070485151947</v>
      </c>
      <c r="Q76" s="97" t="s">
        <v>108</v>
      </c>
      <c r="R76" s="98">
        <f>R75-R74</f>
        <v>-32.705128608093219</v>
      </c>
    </row>
    <row r="77" spans="6:20" ht="16.5" hidden="1" thickBot="1">
      <c r="I77" s="103" t="s">
        <v>157</v>
      </c>
      <c r="J77" s="102">
        <v>1265</v>
      </c>
      <c r="K77" s="97" t="s">
        <v>155</v>
      </c>
      <c r="L77" s="98">
        <f>'корпоративный баланс энергии'!AQ1530</f>
        <v>79.045603999999997</v>
      </c>
      <c r="N77" s="99" t="s">
        <v>151</v>
      </c>
      <c r="O77" s="101">
        <f>-O76-P74+M74</f>
        <v>0</v>
      </c>
      <c r="Q77" s="99" t="s">
        <v>151</v>
      </c>
      <c r="R77" s="101">
        <f>-R76+S74+P74</f>
        <v>0</v>
      </c>
    </row>
    <row r="78" spans="6:20" hidden="1">
      <c r="J78"/>
      <c r="K78" s="97" t="s">
        <v>107</v>
      </c>
      <c r="L78" s="98">
        <f>'корпоративный баланс энергии'!AS1527</f>
        <v>5689.6200000000008</v>
      </c>
    </row>
    <row r="79" spans="6:20" ht="15.75" hidden="1">
      <c r="F79" s="1263" t="s">
        <v>158</v>
      </c>
      <c r="G79" s="1263"/>
      <c r="H79" s="1263"/>
      <c r="I79" s="1263"/>
      <c r="J79" s="102">
        <f>SUM(J85:J96)</f>
        <v>1217.5003449186443</v>
      </c>
      <c r="K79" s="97" t="s">
        <v>108</v>
      </c>
      <c r="L79" s="98">
        <f>L78-L74</f>
        <v>526.67722135471013</v>
      </c>
    </row>
    <row r="80" spans="6:20" ht="16.5" hidden="1" thickBot="1">
      <c r="F80" s="1263" t="s">
        <v>159</v>
      </c>
      <c r="G80" s="1263"/>
      <c r="H80" s="1263"/>
      <c r="I80" s="1263"/>
      <c r="J80" s="102">
        <f>L76+(J77-J74)+(L75-J79)</f>
        <v>5508.0348944881098</v>
      </c>
      <c r="K80" s="99" t="s">
        <v>151</v>
      </c>
      <c r="L80" s="101">
        <f>-L79-M74-J74</f>
        <v>0</v>
      </c>
    </row>
    <row r="81" spans="7:11" hidden="1">
      <c r="K81"/>
    </row>
    <row r="82" spans="7:11" hidden="1"/>
    <row r="83" spans="7:11" hidden="1"/>
    <row r="84" spans="7:11" hidden="1"/>
    <row r="85" spans="7:11" hidden="1">
      <c r="G85" s="104" t="s">
        <v>160</v>
      </c>
      <c r="H85" s="24"/>
      <c r="J85" s="119">
        <v>66.188999999999993</v>
      </c>
    </row>
    <row r="86" spans="7:11" hidden="1">
      <c r="G86" s="104" t="s">
        <v>161</v>
      </c>
      <c r="H86" s="24"/>
      <c r="J86" s="119">
        <v>11.9</v>
      </c>
    </row>
    <row r="87" spans="7:11" hidden="1">
      <c r="G87" s="104" t="s">
        <v>162</v>
      </c>
      <c r="H87" s="24"/>
      <c r="J87" s="119">
        <v>153.69979999999998</v>
      </c>
    </row>
    <row r="88" spans="7:11" hidden="1">
      <c r="G88" s="104" t="s">
        <v>163</v>
      </c>
      <c r="H88" s="24"/>
      <c r="J88" s="119">
        <v>8.9280000000000008</v>
      </c>
    </row>
    <row r="89" spans="7:11" hidden="1">
      <c r="G89" s="104" t="s">
        <v>164</v>
      </c>
      <c r="H89" s="24"/>
      <c r="J89" s="119">
        <v>242.8279488</v>
      </c>
    </row>
    <row r="90" spans="7:11" hidden="1">
      <c r="G90" s="104" t="s">
        <v>165</v>
      </c>
      <c r="H90" s="24"/>
      <c r="J90" s="119">
        <v>37.200000000000003</v>
      </c>
    </row>
    <row r="91" spans="7:11" hidden="1">
      <c r="G91" s="104" t="s">
        <v>166</v>
      </c>
      <c r="H91" s="24"/>
      <c r="J91" s="119">
        <v>95.633228000000003</v>
      </c>
    </row>
    <row r="92" spans="7:11" hidden="1">
      <c r="G92" s="104" t="s">
        <v>167</v>
      </c>
      <c r="H92" s="24"/>
      <c r="J92" s="119">
        <v>7.94</v>
      </c>
    </row>
    <row r="93" spans="7:11" hidden="1">
      <c r="G93" s="104" t="s">
        <v>168</v>
      </c>
      <c r="H93" s="24"/>
      <c r="J93" s="119">
        <v>12</v>
      </c>
    </row>
    <row r="94" spans="7:11" hidden="1">
      <c r="G94" s="104" t="s">
        <v>61</v>
      </c>
      <c r="H94" s="24"/>
      <c r="J94" s="119">
        <v>330.23932900000005</v>
      </c>
    </row>
    <row r="95" spans="7:11" hidden="1">
      <c r="G95" s="104" t="s">
        <v>62</v>
      </c>
      <c r="H95" s="24"/>
      <c r="J95" s="119">
        <v>142.63603911864408</v>
      </c>
    </row>
    <row r="96" spans="7:11" hidden="1">
      <c r="G96" s="104" t="s">
        <v>63</v>
      </c>
      <c r="H96" s="24"/>
      <c r="J96" s="119">
        <v>108.30699999999999</v>
      </c>
    </row>
  </sheetData>
  <mergeCells count="18">
    <mergeCell ref="F80:I80"/>
    <mergeCell ref="K72:L72"/>
    <mergeCell ref="F79:I79"/>
    <mergeCell ref="Q72:R72"/>
    <mergeCell ref="K73:L73"/>
    <mergeCell ref="N73:O73"/>
    <mergeCell ref="Q73:R73"/>
    <mergeCell ref="N72:O72"/>
    <mergeCell ref="E20:F20"/>
    <mergeCell ref="G20:H20"/>
    <mergeCell ref="G42:H42"/>
    <mergeCell ref="F74:I74"/>
    <mergeCell ref="L3:M3"/>
    <mergeCell ref="I4:N4"/>
    <mergeCell ref="D13:E13"/>
    <mergeCell ref="G19:H19"/>
    <mergeCell ref="G43:H43"/>
    <mergeCell ref="G54:H54"/>
  </mergeCells>
  <phoneticPr fontId="20" type="noConversion"/>
  <conditionalFormatting sqref="G85:G96">
    <cfRule type="cellIs" dxfId="2" priority="1" stopIfTrue="1" operator="notEqual">
      <formula>G84</formula>
    </cfRule>
  </conditionalFormatting>
  <pageMargins left="0.75" right="0.75" top="0.19" bottom="0.21" header="0.17" footer="0.17"/>
  <pageSetup paperSize="9" scale="52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9"/>
  <dimension ref="B2:V101"/>
  <sheetViews>
    <sheetView view="pageBreakPreview" topLeftCell="A7" zoomScale="75" zoomScaleNormal="75" workbookViewId="0">
      <selection activeCell="R70" sqref="R70"/>
    </sheetView>
  </sheetViews>
  <sheetFormatPr defaultColWidth="10.6640625" defaultRowHeight="12.75"/>
  <cols>
    <col min="1" max="1" width="4.5" style="13" customWidth="1"/>
    <col min="2" max="2" width="11.83203125" style="13" customWidth="1"/>
    <col min="3" max="3" width="14.6640625" style="13" customWidth="1"/>
    <col min="4" max="4" width="13.6640625" style="13" customWidth="1"/>
    <col min="5" max="5" width="11.1640625" style="13" customWidth="1"/>
    <col min="6" max="6" width="12" style="13" bestFit="1" customWidth="1"/>
    <col min="7" max="7" width="12.1640625" style="13" bestFit="1" customWidth="1"/>
    <col min="8" max="9" width="12.5" style="13" customWidth="1"/>
    <col min="10" max="10" width="12.33203125" style="13" customWidth="1"/>
    <col min="11" max="11" width="12.6640625" style="13" customWidth="1"/>
    <col min="12" max="12" width="13.6640625" style="13" customWidth="1"/>
    <col min="13" max="13" width="12.1640625" style="13" customWidth="1"/>
    <col min="14" max="14" width="15.1640625" style="13" customWidth="1"/>
    <col min="15" max="15" width="12.1640625" style="13" customWidth="1"/>
    <col min="16" max="16" width="14" style="13" bestFit="1" customWidth="1"/>
    <col min="17" max="17" width="12.6640625" style="13" customWidth="1"/>
    <col min="18" max="18" width="14" style="13" customWidth="1"/>
    <col min="19" max="19" width="10.83203125" style="13" customWidth="1"/>
    <col min="20" max="21" width="13.5" style="13" bestFit="1" customWidth="1"/>
    <col min="22" max="16384" width="10.6640625" style="13"/>
  </cols>
  <sheetData>
    <row r="2" spans="3:21" ht="25.5">
      <c r="C2" s="11" t="s">
        <v>100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3:21" ht="22.5">
      <c r="C3" s="14"/>
      <c r="D3" s="15"/>
      <c r="E3" s="15"/>
      <c r="F3" s="15"/>
      <c r="G3" s="15"/>
      <c r="I3" s="16" t="s">
        <v>169</v>
      </c>
      <c r="J3" s="17"/>
      <c r="K3" s="17"/>
      <c r="L3" s="1251" t="s">
        <v>148</v>
      </c>
      <c r="M3" s="1251"/>
      <c r="N3" s="18">
        <f>Январь!N3</f>
        <v>2020</v>
      </c>
      <c r="O3" s="17"/>
      <c r="P3" s="15"/>
      <c r="Q3" s="15"/>
      <c r="R3" s="15"/>
      <c r="S3" s="15"/>
      <c r="T3" s="15"/>
    </row>
    <row r="4" spans="3:21" ht="20.25">
      <c r="C4" s="14"/>
      <c r="D4" s="15"/>
      <c r="E4" s="15"/>
      <c r="F4" s="15"/>
      <c r="G4" s="15"/>
      <c r="I4" s="1252" t="s">
        <v>147</v>
      </c>
      <c r="J4" s="1252"/>
      <c r="K4" s="1252"/>
      <c r="L4" s="1252"/>
      <c r="M4" s="1252"/>
      <c r="N4" s="1252"/>
      <c r="O4" s="17"/>
      <c r="P4" s="15"/>
      <c r="Q4" s="15"/>
      <c r="R4" s="15"/>
      <c r="S4" s="15"/>
      <c r="T4" s="15"/>
    </row>
    <row r="5" spans="3:21" ht="20.25">
      <c r="C5" s="32" t="s">
        <v>104</v>
      </c>
      <c r="D5" s="33"/>
      <c r="E5" s="15"/>
      <c r="F5" s="15"/>
      <c r="G5" s="15"/>
      <c r="I5" s="551"/>
      <c r="J5" s="551"/>
      <c r="K5" s="551"/>
      <c r="L5" s="551"/>
      <c r="M5" s="551"/>
      <c r="N5" s="551"/>
      <c r="O5" s="17"/>
      <c r="P5" s="15"/>
      <c r="Q5" s="15"/>
      <c r="R5" s="15"/>
      <c r="S5" s="15"/>
      <c r="T5" s="15"/>
    </row>
    <row r="6" spans="3:21" ht="20.25">
      <c r="C6" s="36" t="s">
        <v>29</v>
      </c>
      <c r="D6" s="91">
        <f>'корпоративный баланс энергии'!AT849</f>
        <v>110384.0229687276</v>
      </c>
      <c r="E6" s="15"/>
      <c r="F6" s="15"/>
      <c r="G6" s="15"/>
      <c r="I6" s="551"/>
      <c r="J6" s="551"/>
      <c r="K6" s="551"/>
      <c r="L6" s="551"/>
      <c r="M6" s="551"/>
      <c r="N6" s="551"/>
      <c r="O6" s="17"/>
      <c r="P6" s="15"/>
      <c r="Q6" s="15"/>
      <c r="R6" s="15"/>
      <c r="S6" s="15"/>
      <c r="T6" s="15"/>
    </row>
    <row r="7" spans="3:21" ht="20.25">
      <c r="C7" s="36" t="s">
        <v>107</v>
      </c>
      <c r="D7" s="91">
        <f>'корпоративный баланс энергии'!AV849</f>
        <v>96608</v>
      </c>
      <c r="E7" s="15"/>
      <c r="F7" s="15"/>
      <c r="G7" s="15"/>
      <c r="I7" s="551"/>
      <c r="J7" s="551"/>
      <c r="K7" s="551"/>
      <c r="L7" s="551"/>
      <c r="M7" s="551"/>
      <c r="N7" s="551"/>
      <c r="O7" s="17"/>
      <c r="P7" s="15"/>
      <c r="Q7" s="15"/>
      <c r="R7" s="15"/>
      <c r="S7" s="15"/>
      <c r="T7" s="15"/>
    </row>
    <row r="8" spans="3:21" ht="15.75">
      <c r="C8" s="36" t="s">
        <v>108</v>
      </c>
      <c r="D8" s="40">
        <f>D7-D6</f>
        <v>-13776.022968727601</v>
      </c>
      <c r="O8" s="20"/>
    </row>
    <row r="9" spans="3:21" ht="15.75">
      <c r="C9" s="41" t="s">
        <v>109</v>
      </c>
      <c r="D9" s="40">
        <f>-D8-G11-I11-J13-J15+F16-E18-F30-G27+K20</f>
        <v>2.2968727600527927E-2</v>
      </c>
      <c r="O9" s="20"/>
    </row>
    <row r="10" spans="3:21" ht="14.25" customHeight="1">
      <c r="C10" s="19"/>
      <c r="F10" s="21"/>
      <c r="G10" s="22" t="s">
        <v>101</v>
      </c>
      <c r="I10" s="158" t="s">
        <v>243</v>
      </c>
      <c r="K10" s="24"/>
      <c r="L10" s="25"/>
      <c r="M10" s="25"/>
      <c r="N10" s="26"/>
      <c r="O10" s="20"/>
    </row>
    <row r="11" spans="3:21" ht="15.75" customHeight="1">
      <c r="C11" s="19"/>
      <c r="F11" s="21"/>
      <c r="G11" s="90">
        <f>Январь!G11+Февраль!G11+Март!G11+Апрель!G11+Май!G11+Июнь!G11+Июль!G11+Август!G11+Сентябрь!G11+Октябрь!G11+Ноябрь!G11+Декабрь!G11</f>
        <v>6905</v>
      </c>
      <c r="I11" s="90">
        <f>Январь!I11+Февраль!I11+Март!I11+Апрель!I11+Май!I11+Июнь!I11+Июль!I11+Август!I11+Сентябрь!I11+Октябрь!I11+Ноябрь!I11+Декабрь!$I$11</f>
        <v>415</v>
      </c>
      <c r="K11" s="24"/>
      <c r="L11" s="25"/>
      <c r="M11" s="25"/>
      <c r="N11" s="26"/>
      <c r="O11" s="20"/>
    </row>
    <row r="12" spans="3:21" ht="15.75" customHeight="1">
      <c r="C12" s="19"/>
      <c r="F12" s="21"/>
      <c r="J12" s="158" t="s">
        <v>244</v>
      </c>
      <c r="K12" s="15"/>
      <c r="L12" s="25"/>
      <c r="M12" s="25"/>
      <c r="N12" s="26"/>
      <c r="O12" s="29" t="s">
        <v>102</v>
      </c>
      <c r="R12" s="30">
        <f>SUM(D6,H34,D70,K34,N34,Q34,T34)</f>
        <v>1094582.2236045937</v>
      </c>
    </row>
    <row r="13" spans="3:21" ht="15" customHeight="1">
      <c r="C13" s="19"/>
      <c r="D13" s="1253" t="s">
        <v>103</v>
      </c>
      <c r="E13" s="1253"/>
      <c r="F13" s="21"/>
      <c r="J13" s="90">
        <f>Январь!J13+Февраль!J13+Март!J13+Апрель!J13+Май!J13+Июнь!J13+Июль!J13+Август!J13+Сентябрь!J13+Октябрь!J13+Ноябрь!J13+Декабрь!$J$13</f>
        <v>560</v>
      </c>
      <c r="K13" s="15"/>
      <c r="L13" s="34"/>
      <c r="M13" s="25"/>
      <c r="N13" s="26"/>
      <c r="O13" s="29" t="s">
        <v>105</v>
      </c>
      <c r="R13" s="30">
        <f>SUM(D7,H35,D71,K35,N35,Q35,T35)</f>
        <v>1083113.7760181529</v>
      </c>
    </row>
    <row r="14" spans="3:21" ht="15.75" customHeight="1">
      <c r="C14" s="19"/>
      <c r="E14" s="90">
        <f>Январь!E14+Февраль!E14+Март!E14+Апрель!E14+Май!E14+Июнь!E14+Июль!E14+Август!E14+Сентябрь!E14+Октябрь!E14+Ноябрь!E14+Декабрь!E14</f>
        <v>3960</v>
      </c>
      <c r="F14" s="21"/>
      <c r="J14" s="158" t="s">
        <v>245</v>
      </c>
      <c r="K14" s="24"/>
      <c r="L14" s="25"/>
      <c r="M14" s="25"/>
      <c r="N14" s="26"/>
      <c r="O14" s="29" t="s">
        <v>106</v>
      </c>
      <c r="R14" s="30">
        <f>SUM(D8,H36,D72,K36,N36,Q36,T36)</f>
        <v>-11468.447586440721</v>
      </c>
      <c r="S14" s="24"/>
      <c r="T14" s="161">
        <f>-G11-I11-J13-J15+F16-E18-F30-F36-E45-F54-F61-I60-J47-L47-M47-N47+P47-R47-T47-F48</f>
        <v>-16167</v>
      </c>
      <c r="U14" s="552">
        <f>R13-R12</f>
        <v>-11468.447586440714</v>
      </c>
    </row>
    <row r="15" spans="3:21">
      <c r="D15" s="41" t="s">
        <v>109</v>
      </c>
      <c r="E15" s="591">
        <f>-E14+D29+E18-F16</f>
        <v>0</v>
      </c>
      <c r="J15" s="90">
        <f>Январь!J15+Февраль!J15+Март!J15+Апрель!J15+Май!J15+Июнь!J15+Июль!J15+Август!J15+Сентябрь!J15+Октябрь!J15+Ноябрь!J15+Декабрь!$J$15</f>
        <v>20</v>
      </c>
      <c r="O15" s="38"/>
      <c r="P15" s="24"/>
      <c r="Q15" s="24"/>
      <c r="R15" s="38"/>
    </row>
    <row r="16" spans="3:21">
      <c r="F16" s="90">
        <f>Январь!F16+Февраль!F16+Март!F16+Апрель!F16+Май!F16+Июнь!F16+Июль!F16+Август!F16+Сентябрь!F16+Октябрь!F16+Ноябрь!F16+Декабрь!F16</f>
        <v>-1020</v>
      </c>
      <c r="O16" s="38"/>
      <c r="P16" s="24"/>
      <c r="Q16" s="24"/>
      <c r="R16" s="38"/>
    </row>
    <row r="17" spans="4:22" ht="13.5" thickBot="1">
      <c r="O17" s="38"/>
      <c r="P17" s="24"/>
      <c r="Q17" s="24"/>
      <c r="R17" s="38"/>
    </row>
    <row r="18" spans="4:22" ht="15">
      <c r="E18" s="90">
        <f>Январь!E18+Февраль!E18+Март!E18+Апрель!E18+Май!E18+Июнь!E18+Июль!E18+Август!E18+Сентябрь!E18+Октябрь!E18+Ноябрь!E18+Декабрь!E18</f>
        <v>2940</v>
      </c>
      <c r="P18" s="863" t="s">
        <v>113</v>
      </c>
      <c r="Q18" s="864"/>
      <c r="R18" s="864"/>
      <c r="S18" s="864"/>
      <c r="T18" s="865"/>
      <c r="U18" s="866">
        <f>-O60</f>
        <v>3026</v>
      </c>
    </row>
    <row r="19" spans="4:22" ht="14.25">
      <c r="F19" s="43"/>
      <c r="G19" s="1258" t="s">
        <v>110</v>
      </c>
      <c r="H19" s="1258"/>
      <c r="P19" s="867" t="s">
        <v>1070</v>
      </c>
      <c r="Q19" s="868"/>
      <c r="R19" s="868"/>
      <c r="S19" s="868"/>
      <c r="T19" s="869"/>
      <c r="U19" s="870">
        <f>SUM(U20:U21)</f>
        <v>-4793.5892217437104</v>
      </c>
    </row>
    <row r="20" spans="4:22" ht="15">
      <c r="D20" s="24"/>
      <c r="E20" s="1257" t="s">
        <v>111</v>
      </c>
      <c r="F20" s="1257"/>
      <c r="G20" s="1258" t="s">
        <v>112</v>
      </c>
      <c r="H20" s="1258"/>
      <c r="K20" s="90">
        <f>Январь!K20+Февраль!K20+Март!K20+Апрель!K20+Май!K20+Июнь!K20+Июль!K20+Август!K20+Сентябрь!K20+Октябрь!K20+Ноябрь!K20+Декабрь!K20</f>
        <v>74</v>
      </c>
      <c r="P20" s="871" t="s">
        <v>115</v>
      </c>
      <c r="Q20" s="868" t="s">
        <v>507</v>
      </c>
      <c r="R20" s="868"/>
      <c r="S20" s="868"/>
      <c r="T20" s="869"/>
      <c r="U20" s="870">
        <f>-N47</f>
        <v>-5413.5892217437104</v>
      </c>
    </row>
    <row r="21" spans="4:22" ht="13.5" thickBot="1">
      <c r="F21" s="44"/>
      <c r="G21" s="36" t="s">
        <v>29</v>
      </c>
      <c r="H21" s="45">
        <f>D6-F22</f>
        <v>102919.0189687276</v>
      </c>
      <c r="P21" s="872"/>
      <c r="Q21" s="873" t="s">
        <v>116</v>
      </c>
      <c r="R21" s="873"/>
      <c r="S21" s="873"/>
      <c r="T21" s="874"/>
      <c r="U21" s="875">
        <f>-M47</f>
        <v>620</v>
      </c>
    </row>
    <row r="22" spans="4:22" ht="15" thickBot="1">
      <c r="E22" s="36" t="s">
        <v>29</v>
      </c>
      <c r="F22" s="90">
        <f>'корпоративный баланс энергии'!AT865</f>
        <v>7465.003999999999</v>
      </c>
      <c r="G22" s="36" t="s">
        <v>107</v>
      </c>
      <c r="H22" s="45">
        <f>D7-F23</f>
        <v>92083</v>
      </c>
      <c r="P22" s="860" t="s">
        <v>1068</v>
      </c>
      <c r="Q22" s="861"/>
      <c r="R22" s="861"/>
      <c r="S22" s="861"/>
      <c r="T22" s="861"/>
      <c r="U22" s="862">
        <f>'корпоративный баланс энергии'!AU74</f>
        <v>910</v>
      </c>
    </row>
    <row r="23" spans="4:22" ht="15" thickBot="1">
      <c r="E23" s="36" t="s">
        <v>107</v>
      </c>
      <c r="F23" s="90">
        <f>'корпоративный баланс энергии'!AV865</f>
        <v>4525</v>
      </c>
      <c r="G23" s="36" t="s">
        <v>108</v>
      </c>
      <c r="H23" s="40">
        <f>H22-H21</f>
        <v>-10836.0189687276</v>
      </c>
      <c r="P23" s="858" t="s">
        <v>1071</v>
      </c>
      <c r="Q23" s="876"/>
      <c r="R23" s="876"/>
      <c r="S23" s="876"/>
      <c r="T23" s="859"/>
      <c r="U23" s="875">
        <f>MIN(ABS(N48),ABS(P48))</f>
        <v>715</v>
      </c>
    </row>
    <row r="24" spans="4:22" ht="15" thickBot="1">
      <c r="E24" s="36" t="s">
        <v>108</v>
      </c>
      <c r="F24" s="46">
        <f>F23-F22</f>
        <v>-2940.003999999999</v>
      </c>
      <c r="G24" s="41" t="s">
        <v>109</v>
      </c>
      <c r="H24" s="40">
        <f>-H23+F16-G11-I11-J13-J15+K20-G27-F30</f>
        <v>1.896872759971302E-2</v>
      </c>
      <c r="P24" s="877" t="s">
        <v>1072</v>
      </c>
      <c r="Q24" s="873"/>
      <c r="R24" s="873"/>
      <c r="S24" s="873"/>
      <c r="T24" s="874"/>
      <c r="U24" s="875">
        <f>MIN(ABS('корпоративный баланс энергии'!AU54),ABS('корпоративный баланс энергии'!AU80))</f>
        <v>790</v>
      </c>
      <c r="V24" s="13">
        <f>Январь!U24+Февраль!U24+Март!U24+Апрель!U24+Май!U24+Июнь!U24+Июль!U24+Август!U24+Сентябрь!U24+Октябрь!U24+Ноябрь!U24+Декабрь!U24</f>
        <v>790</v>
      </c>
    </row>
    <row r="25" spans="4:22" ht="15" thickBot="1">
      <c r="E25" s="41" t="s">
        <v>109</v>
      </c>
      <c r="F25" s="46">
        <f>-F24-E18</f>
        <v>3.9999999989959178E-3</v>
      </c>
      <c r="K25" s="90">
        <f>Январь!K25+Февраль!K25+Март!K25+Апрель!K25+Май!K25+Июнь!K25+Июль!K25+Август!K25+Сентябрь!K25+Октябрь!K25+Ноябрь!K25+Декабрь!K25</f>
        <v>630</v>
      </c>
      <c r="P25" s="878" t="s">
        <v>1073</v>
      </c>
      <c r="Q25" s="879"/>
      <c r="R25" s="879"/>
      <c r="S25" s="879"/>
      <c r="T25" s="880"/>
      <c r="U25" s="881">
        <f>ABS(U23)+ABS(U24)</f>
        <v>1505</v>
      </c>
    </row>
    <row r="26" spans="4:22" ht="15" thickBot="1">
      <c r="P26" s="877" t="s">
        <v>1257</v>
      </c>
      <c r="Q26" s="873"/>
      <c r="R26" s="873"/>
      <c r="S26" s="873"/>
      <c r="T26" s="874"/>
      <c r="U26" s="875">
        <f>-'корпоративный баланс энергии'!AU53</f>
        <v>420</v>
      </c>
    </row>
    <row r="27" spans="4:22" ht="15" thickBot="1">
      <c r="G27" s="90">
        <f>Январь!G27+Февраль!G27+Март!G27+Апрель!G27+Май!G27+Июнь!G27+Июль!G27+Август!G27+Сентябрь!G27+Октябрь!G27+Ноябрь!G27+Декабрь!G27</f>
        <v>1930</v>
      </c>
      <c r="P27" s="884" t="s">
        <v>1074</v>
      </c>
      <c r="Q27" s="885"/>
      <c r="R27" s="885"/>
      <c r="S27" s="885"/>
      <c r="T27" s="886"/>
      <c r="U27" s="887">
        <f>U22+U25+U26</f>
        <v>2835</v>
      </c>
    </row>
    <row r="28" spans="4:22">
      <c r="S28" s="48"/>
      <c r="T28" s="48"/>
      <c r="U28" s="48"/>
    </row>
    <row r="29" spans="4:22">
      <c r="D29" s="204">
        <f>Январь!D29+Февраль!D29+Март!D29+Апрель!D29+Май!D29+Июнь!D29+Июль!D29+Август!D29+Сентябрь!D29+Октябрь!D29+Ноябрь!D29+Декабрь!D29</f>
        <v>0</v>
      </c>
      <c r="R29" s="52"/>
    </row>
    <row r="30" spans="4:22">
      <c r="F30" s="91">
        <f>Январь!F30+Февраль!F30+Март!F30+Апрель!F30+Май!F30+Июнь!F30+Июль!F30+Август!F30+Сентябрь!F30+Октябрь!F30+Ноябрь!F30+Декабрь!F30</f>
        <v>60</v>
      </c>
    </row>
    <row r="31" spans="4:22" ht="15">
      <c r="G31" s="21" t="s">
        <v>117</v>
      </c>
      <c r="J31" s="28" t="s">
        <v>118</v>
      </c>
      <c r="K31" s="15"/>
      <c r="M31" s="21" t="s">
        <v>117</v>
      </c>
      <c r="P31" s="21" t="s">
        <v>117</v>
      </c>
      <c r="Q31" s="53"/>
      <c r="S31" s="21" t="s">
        <v>117</v>
      </c>
    </row>
    <row r="32" spans="4:22" ht="15">
      <c r="G32" s="28" t="s">
        <v>119</v>
      </c>
      <c r="H32" s="15"/>
      <c r="J32" s="28" t="s">
        <v>120</v>
      </c>
      <c r="K32" s="15"/>
      <c r="M32" s="28" t="s">
        <v>121</v>
      </c>
      <c r="N32" s="15"/>
      <c r="P32" s="28" t="s">
        <v>122</v>
      </c>
      <c r="Q32" s="54"/>
      <c r="S32" s="28" t="s">
        <v>123</v>
      </c>
      <c r="T32" s="15"/>
    </row>
    <row r="33" spans="3:20" ht="14.25">
      <c r="C33" s="21" t="s">
        <v>124</v>
      </c>
    </row>
    <row r="34" spans="3:20" ht="14.25">
      <c r="D34" s="21" t="s">
        <v>125</v>
      </c>
      <c r="G34" s="36" t="s">
        <v>29</v>
      </c>
      <c r="H34" s="90">
        <f>'корпоративный баланс энергии'!AT82</f>
        <v>243389.40712628156</v>
      </c>
      <c r="J34" s="36" t="s">
        <v>29</v>
      </c>
      <c r="K34" s="90">
        <f>'корпоративный баланс энергии'!AT370</f>
        <v>110048.31390987852</v>
      </c>
      <c r="M34" s="36" t="s">
        <v>29</v>
      </c>
      <c r="N34" s="90">
        <f>'корпоративный баланс энергии'!AT538</f>
        <v>270709.09391245886</v>
      </c>
      <c r="P34" s="36" t="s">
        <v>29</v>
      </c>
      <c r="Q34" s="90">
        <f>'корпоративный баланс энергии'!AT1454</f>
        <v>209983.59900351911</v>
      </c>
      <c r="S34" s="36" t="s">
        <v>29</v>
      </c>
      <c r="T34" s="90">
        <f>'корпоративный баланс энергии'!AT1674</f>
        <v>40316.71</v>
      </c>
    </row>
    <row r="35" spans="3:20">
      <c r="E35" s="90">
        <f>Январь!E35+Февраль!E35+Март!E35+Апрель!E35+Май!E35+Июнь!E35+Июль!E35+Август!E35+Сентябрь!E35+Октябрь!E35+Ноябрь!E35+Декабрь!E35</f>
        <v>680</v>
      </c>
      <c r="G35" s="36" t="s">
        <v>107</v>
      </c>
      <c r="H35" s="90">
        <f>'корпоративный баланс энергии'!AV82</f>
        <v>246124.37806327708</v>
      </c>
      <c r="J35" s="36" t="s">
        <v>107</v>
      </c>
      <c r="K35" s="90">
        <f>'корпоративный баланс энергии'!AV370</f>
        <v>111868.31026133565</v>
      </c>
      <c r="M35" s="36" t="s">
        <v>107</v>
      </c>
      <c r="N35" s="90">
        <f>'корпоративный баланс энергии'!AV538</f>
        <v>267255.08946827747</v>
      </c>
      <c r="P35" s="36" t="s">
        <v>107</v>
      </c>
      <c r="Q35" s="90">
        <f>'корпоративный баланс энергии'!AV1454</f>
        <v>214428.59787936282</v>
      </c>
      <c r="S35" s="36" t="s">
        <v>107</v>
      </c>
      <c r="T35" s="90">
        <f>'корпоративный баланс энергии'!AV1674</f>
        <v>41395.300345900003</v>
      </c>
    </row>
    <row r="36" spans="3:20">
      <c r="C36" s="603">
        <f>Январь!C36+Февраль!C36+Март!C36+Апрель!C36+Май!C36+Июнь!C36+Июль!C36+Август!C36+Сентябрь!C36+Октябрь!C36+Ноябрь!C36+Декабрь!C36</f>
        <v>0</v>
      </c>
      <c r="D36" s="41" t="s">
        <v>109</v>
      </c>
      <c r="E36" s="591">
        <f>-E35-D29+F30+F36-C36</f>
        <v>-115</v>
      </c>
      <c r="F36" s="90">
        <f>Январь!F36+Февраль!F36+Март!F36+Апрель!F36+Май!F36+Июнь!F36+Июль!F36+Август!F36+Сентябрь!F36+Октябрь!F36+Ноябрь!F36+Декабрь!F36</f>
        <v>505</v>
      </c>
      <c r="G36" s="36" t="s">
        <v>108</v>
      </c>
      <c r="H36" s="46">
        <f>H35-H34</f>
        <v>2734.9709369955235</v>
      </c>
      <c r="I36" s="90">
        <f>Январь!I36+Февраль!I36+Март!I36+Апрель!I36+Май!I36+Июнь!I36+Июль!I36+Август!I36+Сентябрь!I36+Октябрь!I36+Ноябрь!I36+Декабрь!I36</f>
        <v>2560</v>
      </c>
      <c r="J36" s="56" t="s">
        <v>108</v>
      </c>
      <c r="K36" s="46">
        <f>K35-K34</f>
        <v>1819.9963514571282</v>
      </c>
      <c r="L36" s="90">
        <f>Январь!L36+Февраль!L36+Март!L36+Апрель!L36+Май!L36+Июнь!L36+Июль!L36+Август!L36+Сентябрь!L36+Октябрь!L36+Ноябрь!L36+Декабрь!L36</f>
        <v>-1400</v>
      </c>
      <c r="M36" s="56" t="s">
        <v>108</v>
      </c>
      <c r="N36" s="57">
        <f>N35-N34</f>
        <v>-3454.0044441813952</v>
      </c>
      <c r="O36" s="91">
        <f>Январь!O36+Февраль!O36+Март!O36+Апрель!O36+Май!O36+Июнь!O36+Июль!O36+Август!O36+Сентябрь!O36+Октябрь!O36+Ноябрь!O36+Декабрь!O36</f>
        <v>1255</v>
      </c>
      <c r="P36" s="56" t="s">
        <v>108</v>
      </c>
      <c r="Q36" s="46">
        <f>Q35-Q34</f>
        <v>4444.9988758437103</v>
      </c>
      <c r="R36" s="91">
        <f>Январь!R36+Февраль!R36+Март!R36+Апрель!R36+Май!R36+Июнь!R36+Июль!R36+Август!R36+Сентябрь!R36+Октябрь!R36+Ноябрь!R36+Декабрь!R36</f>
        <v>-4378.5903459000001</v>
      </c>
      <c r="S36" s="56" t="s">
        <v>108</v>
      </c>
      <c r="T36" s="46">
        <f>T35-T34</f>
        <v>1078.5903459000037</v>
      </c>
    </row>
    <row r="37" spans="3:20">
      <c r="G37" s="41" t="s">
        <v>109</v>
      </c>
      <c r="H37" s="46">
        <f>-H36-F36+G27+K25-I36-E45-G40</f>
        <v>2.9063004476483911E-2</v>
      </c>
      <c r="J37" s="41" t="s">
        <v>109</v>
      </c>
      <c r="K37" s="46">
        <f>-K36+I36-L36-L47-I42</f>
        <v>3.6485428718151525E-3</v>
      </c>
      <c r="L37" s="44"/>
      <c r="M37" s="41" t="s">
        <v>109</v>
      </c>
      <c r="N37" s="57">
        <f>-N36+L36-K25-K20-O36-N47-M47</f>
        <v>-4698.5847775623151</v>
      </c>
      <c r="P37" s="41" t="s">
        <v>109</v>
      </c>
      <c r="Q37" s="40">
        <f>-Q36+O36+R36-R47+P47</f>
        <v>0</v>
      </c>
      <c r="R37" s="44"/>
      <c r="S37" s="41" t="s">
        <v>109</v>
      </c>
      <c r="T37" s="40">
        <f>-T36-R36-T47</f>
        <v>-3.637978807091713E-12</v>
      </c>
    </row>
    <row r="39" spans="3:20">
      <c r="H39" s="160" t="s">
        <v>126</v>
      </c>
    </row>
    <row r="40" spans="3:20">
      <c r="G40" s="90">
        <f>Январь!G40+Февраль!G40+Март!G40+Апрель!G40+Май!G40+Июнь!G40+Июль!G40+Август!G40+Сентябрь!G40+Октябрь!G40+Ноябрь!G40+Декабрь!G40</f>
        <v>-3180</v>
      </c>
      <c r="H40" s="160" t="s">
        <v>127</v>
      </c>
    </row>
    <row r="41" spans="3:20">
      <c r="I41" s="160" t="s">
        <v>128</v>
      </c>
    </row>
    <row r="42" spans="3:20">
      <c r="G42" s="1264" t="s">
        <v>129</v>
      </c>
      <c r="H42" s="1264"/>
      <c r="I42" s="90">
        <f>Январь!I42+Февраль!I42+Март!I42+Апрель!I42+Май!I42+Июнь!I42+Июль!I42+Август!I42+Сентябрь!I42+Октябрь!I42+Ноябрь!I42+Декабрь!I42</f>
        <v>2090</v>
      </c>
    </row>
    <row r="43" spans="3:20">
      <c r="G43" s="63" t="s">
        <v>130</v>
      </c>
    </row>
    <row r="44" spans="3:20">
      <c r="E44" s="44"/>
      <c r="G44" s="36" t="s">
        <v>29</v>
      </c>
      <c r="H44" s="90">
        <f>'корпоративный баланс энергии'!AT1122+'корпоративный баланс энергии'!AT1089</f>
        <v>20984.992131347659</v>
      </c>
      <c r="M44" s="160" t="s">
        <v>251</v>
      </c>
      <c r="N44" s="64"/>
      <c r="O44" s="160" t="s">
        <v>248</v>
      </c>
    </row>
    <row r="45" spans="3:20">
      <c r="E45" s="90">
        <f>Январь!E45+Февраль!E45+Март!E45+Апрель!E45+Май!E45+Июнь!E45+Июль!E45+Август!E45+Сентябрь!E45+Октябрь!E45+Ноябрь!E45+Декабрь!E45</f>
        <v>-60</v>
      </c>
      <c r="G45" s="36" t="s">
        <v>107</v>
      </c>
      <c r="H45" s="90">
        <f>'корпоративный баланс энергии'!AV1122+'корпоративный баланс энергии'!AV1089</f>
        <v>21341</v>
      </c>
      <c r="M45" s="160" t="s">
        <v>336</v>
      </c>
      <c r="O45" s="160" t="s">
        <v>249</v>
      </c>
    </row>
    <row r="46" spans="3:20" ht="14.25">
      <c r="G46" s="36" t="s">
        <v>108</v>
      </c>
      <c r="H46" s="46">
        <f>H45-H44</f>
        <v>356.00786865234113</v>
      </c>
      <c r="J46" s="160" t="s">
        <v>131</v>
      </c>
      <c r="O46" s="160" t="s">
        <v>250</v>
      </c>
      <c r="R46" s="65" t="s">
        <v>132</v>
      </c>
      <c r="T46" s="21" t="s">
        <v>133</v>
      </c>
    </row>
    <row r="47" spans="3:20">
      <c r="F47" s="29"/>
      <c r="G47" s="41" t="s">
        <v>109</v>
      </c>
      <c r="H47" s="46">
        <f>-H46+G40+I42-J47-F48-G49</f>
        <v>-7.8686523411306553E-3</v>
      </c>
      <c r="J47" s="91">
        <f>Январь!J47+Февраль!J47+Март!J47+Апрель!J47+Май!J47+Июнь!J47+Июль!J47+Август!J47+Сентябрь!J47+Октябрь!J47+Ноябрь!J47+Декабрь!J47</f>
        <v>89</v>
      </c>
      <c r="L47" s="91">
        <f>Январь!L47+Февраль!L47+Март!L47+Апрель!L47+Май!L47+Июнь!L47+Июль!L47+Август!L47+Сентябрь!L47+Октябрь!L47+Ноябрь!L47+Декабрь!L47</f>
        <v>50</v>
      </c>
      <c r="M47" s="91">
        <f>Январь!M47+Февраль!M47+Март!M47+Апрель!M47+Май!M47+Июнь!M47+Июль!M47+Август!M47+Сентябрь!M47+Октябрь!M47+Ноябрь!M47+Декабрь!M47</f>
        <v>-620</v>
      </c>
      <c r="N47" s="42">
        <f>P62+P47</f>
        <v>5413.5892217437104</v>
      </c>
      <c r="O47" s="1207">
        <f>Январь!O47+Февраль!O47+Март!O47+Апрель!O47+Май!O47+Июнь!O47+Июль!O47+Август!O47+Сентябрь!O47+Октябрь!O47+Ноябрь!O47+Декабрь!O47</f>
        <v>186</v>
      </c>
      <c r="P47" s="30">
        <f>Q36-O36-R36+R47</f>
        <v>7958.5892217437104</v>
      </c>
      <c r="R47" s="90">
        <f>-('корпоративный баланс энергии'!AU27+'корпоративный баланс энергии'!AU28+'корпоративный баланс энергии'!AU60)</f>
        <v>390</v>
      </c>
      <c r="T47" s="90">
        <f>-('корпоративный баланс энергии'!AU29)</f>
        <v>3300</v>
      </c>
    </row>
    <row r="48" spans="3:20">
      <c r="F48" s="204">
        <f>Январь!F48+Февраль!F48+Март!F48+Апрель!F48+Май!F48+Июнь!F48+Июль!F48+Август!F48+Сентябрь!F48+Октябрь!F48+Ноябрь!F48+Декабрь!F48</f>
        <v>0</v>
      </c>
      <c r="N48" s="584">
        <f>Январь!N48+Февраль!N48+Март!N48+Апрель!N48+Май!N48+Июнь!N48+Июль!N48+Август!N48+Сентябрь!N48+Октябрь!N48+Ноябрь!N48+Декабрь!N48</f>
        <v>715</v>
      </c>
      <c r="P48" s="584">
        <f>Январь!P48+Февраль!P48+Март!P48+Апрель!P48+Май!P48+Июнь!P48+Июль!P48+Август!P48+Сентябрь!P48+Октябрь!P48+Ноябрь!P48+Декабрь!P48</f>
        <v>3260</v>
      </c>
    </row>
    <row r="49" spans="2:19" ht="15.75">
      <c r="C49" s="22" t="s">
        <v>134</v>
      </c>
      <c r="F49" s="160" t="s">
        <v>135</v>
      </c>
      <c r="G49" s="90">
        <f>Январь!G49+Февраль!G49+Март!G49+Апрель!G49+Май!G49+Июнь!G49+Июль!G49+Август!G49+Сентябрь!G49+Октябрь!G49+Ноябрь!G49+Декабрь!G49</f>
        <v>-1535</v>
      </c>
      <c r="H49" s="160" t="s">
        <v>136</v>
      </c>
      <c r="P49" s="13" t="s">
        <v>90</v>
      </c>
    </row>
    <row r="50" spans="2:19">
      <c r="D50" s="68" t="s">
        <v>137</v>
      </c>
      <c r="H50" s="160" t="s">
        <v>138</v>
      </c>
    </row>
    <row r="51" spans="2:19">
      <c r="E51" s="90">
        <f>Январь!E51+Февраль!E51+Март!E51+Апрель!E51+Май!E51+Июнь!E51+Июль!E51+Август!E51+Сентябрь!E51+Октябрь!E51+Ноябрь!E51+Декабрь!E51</f>
        <v>2880</v>
      </c>
      <c r="H51" s="160" t="s">
        <v>508</v>
      </c>
    </row>
    <row r="52" spans="2:19" ht="14.25">
      <c r="C52" s="91">
        <f>Январь!C52+Февраль!C52+Март!C52+Апрель!C52+Май!C52+Июнь!C52+Июль!C52+Август!C52+Сентябрь!C52+Октябрь!C52+Ноябрь!C52+Декабрь!C52</f>
        <v>0</v>
      </c>
      <c r="D52" s="41" t="s">
        <v>109</v>
      </c>
      <c r="E52" s="591">
        <f>-E51+E45+F48+F54-E55-C52</f>
        <v>0</v>
      </c>
      <c r="G52" s="28"/>
      <c r="H52" s="15"/>
      <c r="O52" s="70"/>
    </row>
    <row r="53" spans="2:19" ht="15">
      <c r="B53" s="581" t="s">
        <v>513</v>
      </c>
      <c r="G53" s="28" t="s">
        <v>890</v>
      </c>
      <c r="H53" s="15"/>
    </row>
    <row r="54" spans="2:19">
      <c r="B54" s="36" t="s">
        <v>29</v>
      </c>
      <c r="C54" s="90">
        <f>'корпоративный баланс энергии'!AT1390</f>
        <v>6753.7439252816312</v>
      </c>
      <c r="F54" s="90">
        <f>Январь!F54+Февраль!F54+Март!F54+Апрель!F54+Май!F54+Июнь!F54+Июль!F54+Август!F54+Сентябрь!F54+Октябрь!F54+Ноябрь!F54+Декабрь!F54</f>
        <v>2940</v>
      </c>
      <c r="G54" s="1262" t="s">
        <v>889</v>
      </c>
      <c r="H54" s="1262"/>
      <c r="J54" s="86"/>
      <c r="M54" s="44"/>
    </row>
    <row r="55" spans="2:19" ht="15" customHeight="1">
      <c r="B55" s="36" t="s">
        <v>107</v>
      </c>
      <c r="C55" s="90">
        <f>'корпоративный баланс энергии'!AV1390</f>
        <v>8406</v>
      </c>
      <c r="E55" s="204">
        <f>Январь!E54+Февраль!E54+Март!E54+Апрель!E54+Май!E54+Июнь!E54+Июль!E54+Август!E54+Сентябрь!E54+Октябрь!E54+Ноябрь!E54+Декабрь!$E$54</f>
        <v>0</v>
      </c>
      <c r="G55" s="36" t="s">
        <v>29</v>
      </c>
      <c r="H55" s="90">
        <f>D70-C54-H44</f>
        <v>82012.340627098805</v>
      </c>
      <c r="I55" s="89"/>
      <c r="J55" s="87"/>
      <c r="M55" s="222">
        <f>J47+L47+M47</f>
        <v>-481</v>
      </c>
    </row>
    <row r="56" spans="2:19">
      <c r="B56" s="36" t="s">
        <v>108</v>
      </c>
      <c r="C56" s="40">
        <f>C55-C54</f>
        <v>1652.2560747183688</v>
      </c>
      <c r="G56" s="36" t="s">
        <v>107</v>
      </c>
      <c r="H56" s="90">
        <f>D71-C55-H45</f>
        <v>75687.099999999991</v>
      </c>
      <c r="I56" s="75"/>
      <c r="L56" s="29" t="s">
        <v>139</v>
      </c>
      <c r="M56" s="90">
        <f>Январь!M56+Февраль!M56+Март!M56+Апрель!M56+Май!M56+Июнь!M56+Июль!M56+Август!M56+Сентябрь!M56+Октябрь!M56+Ноябрь!M56+Декабрь!$M$56</f>
        <v>-481</v>
      </c>
    </row>
    <row r="57" spans="2:19">
      <c r="B57" s="41" t="s">
        <v>109</v>
      </c>
      <c r="C57" s="40">
        <f>-C56+E55+E57</f>
        <v>0</v>
      </c>
      <c r="D57" s="582" t="s">
        <v>511</v>
      </c>
      <c r="E57" s="604">
        <f>Январь!E56+Февраль!E56+Март!E56+Апрель!E56+Май!E56+Июнь!E56+Июль!E56+Август!E56+Сентябрь!E56+Октябрь!E56+Ноябрь!E56+Декабрь!$E$56</f>
        <v>1652.2560747183697</v>
      </c>
      <c r="G57" s="36" t="s">
        <v>108</v>
      </c>
      <c r="H57" s="46">
        <f>H56-H55</f>
        <v>-6325.240627098814</v>
      </c>
      <c r="J57" s="76"/>
      <c r="L57" s="29" t="s">
        <v>140</v>
      </c>
      <c r="P57" s="77"/>
    </row>
    <row r="58" spans="2:19" ht="20.25" customHeight="1">
      <c r="D58" s="583" t="s">
        <v>512</v>
      </c>
      <c r="G58" s="41" t="s">
        <v>109</v>
      </c>
      <c r="H58" s="78">
        <f>-H57+G49-F54-E57-F61-I60</f>
        <v>-1.5447619555743586E-2</v>
      </c>
      <c r="I58" s="29"/>
      <c r="M58" s="79" t="s">
        <v>141</v>
      </c>
    </row>
    <row r="60" spans="2:19">
      <c r="I60" s="90">
        <f>Январь!I60+Февраль!I60+Март!I60+Апрель!I60+Май!I60+Июнь!I60+Июль!I60+Август!I60+Сентябрь!I60+Октябрь!I60+Ноябрь!I60+Декабрь!I60</f>
        <v>-60</v>
      </c>
      <c r="L60" s="81" t="s">
        <v>337</v>
      </c>
      <c r="M60" s="81"/>
      <c r="N60" s="81"/>
      <c r="O60" s="82">
        <f>J47+L47+M47+N47-P47</f>
        <v>-3026</v>
      </c>
      <c r="P60" s="1208">
        <f>Январь!P60+Февраль!P60+Март!P60+Апрель!P60+Май!P60+Июнь!P60+Июль!P60+Август!P60+Сентябрь!P60+Октябрь!P60+Ноябрь!P60+Декабрь!P60</f>
        <v>-3026</v>
      </c>
      <c r="S60" s="161">
        <f>M56+P62</f>
        <v>-3026</v>
      </c>
    </row>
    <row r="61" spans="2:19">
      <c r="F61" s="90">
        <f>Январь!F61+Февраль!F61+Март!F61+Апрель!F61+Май!F61+Июнь!F61+Июль!F61+Август!F61+Сентябрь!F61+Октябрь!F61+Ноябрь!F61+Декабрь!F61</f>
        <v>258</v>
      </c>
      <c r="H61" s="75"/>
      <c r="N61" s="83"/>
    </row>
    <row r="62" spans="2:19" ht="14.25">
      <c r="E62" s="21"/>
      <c r="L62" s="209" t="s">
        <v>338</v>
      </c>
      <c r="N62" s="83"/>
      <c r="P62" s="1208">
        <f>Январь!P62+Февраль!P62+Март!P62+Апрель!P62+Май!P62+Июнь!P62+Июль!P62+Август!P62+Сентябрь!P62+Октябрь!P62+Ноябрь!P62+Декабрь!P62</f>
        <v>-2545</v>
      </c>
      <c r="S62" s="161">
        <f>N47-P47</f>
        <v>-2545</v>
      </c>
    </row>
    <row r="63" spans="2:19">
      <c r="K63" s="84"/>
      <c r="N63" s="13" t="s">
        <v>75</v>
      </c>
      <c r="O63" s="83" t="s">
        <v>142</v>
      </c>
    </row>
    <row r="64" spans="2:19">
      <c r="E64" s="65" t="s">
        <v>143</v>
      </c>
      <c r="I64" s="31" t="s">
        <v>144</v>
      </c>
      <c r="N64" s="13" t="s">
        <v>145</v>
      </c>
      <c r="O64" s="83" t="s">
        <v>146</v>
      </c>
    </row>
    <row r="65" spans="3:20">
      <c r="E65" s="90">
        <f>-('корпоративный баланс энергии'!AU42+'корпоративный баланс энергии'!AU44+'корпоративный баланс энергии'!AU45+'корпоративный баланс энергии'!AU72+'корпоративный баланс энергии'!AU73)</f>
        <v>258</v>
      </c>
      <c r="I65" s="90">
        <f>-('корпоративный баланс энергии'!AU43+'корпоративный баланс энергии'!AU71)</f>
        <v>-60</v>
      </c>
      <c r="O65" s="83"/>
    </row>
    <row r="66" spans="3:20">
      <c r="O66" s="83"/>
    </row>
    <row r="67" spans="3:20">
      <c r="O67" s="83"/>
    </row>
    <row r="68" spans="3:20">
      <c r="O68" s="83"/>
    </row>
    <row r="69" spans="3:20" ht="14.25">
      <c r="C69" s="32" t="s">
        <v>246</v>
      </c>
      <c r="O69" s="83"/>
    </row>
    <row r="70" spans="3:20">
      <c r="C70" s="36" t="s">
        <v>29</v>
      </c>
      <c r="D70" s="91">
        <f>'корпоративный баланс энергии'!AT1082</f>
        <v>109751.07668372808</v>
      </c>
      <c r="O70" s="83"/>
    </row>
    <row r="71" spans="3:20">
      <c r="C71" s="36" t="s">
        <v>107</v>
      </c>
      <c r="D71" s="91">
        <f>'корпоративный баланс энергии'!AV1082</f>
        <v>105434.09999999999</v>
      </c>
      <c r="O71" s="83"/>
    </row>
    <row r="72" spans="3:20">
      <c r="C72" s="36" t="s">
        <v>108</v>
      </c>
      <c r="D72" s="40">
        <f>D71-D70</f>
        <v>-4316.9766837280913</v>
      </c>
      <c r="O72" s="83"/>
    </row>
    <row r="73" spans="3:20">
      <c r="C73" s="41" t="s">
        <v>109</v>
      </c>
      <c r="D73" s="40">
        <f>-D72+G40+I42-J47-I60-F61-F54-F48</f>
        <v>-2.3316271908697672E-2</v>
      </c>
      <c r="O73" s="83"/>
    </row>
    <row r="74" spans="3:20">
      <c r="O74" s="83"/>
    </row>
    <row r="75" spans="3:20">
      <c r="O75" s="83"/>
    </row>
    <row r="77" spans="3:20" ht="14.25" hidden="1">
      <c r="K77" s="1260" t="s">
        <v>149</v>
      </c>
      <c r="L77" s="1261"/>
      <c r="N77" s="1260" t="s">
        <v>149</v>
      </c>
      <c r="O77" s="1261"/>
      <c r="Q77" s="1260" t="s">
        <v>149</v>
      </c>
      <c r="R77" s="1261"/>
    </row>
    <row r="78" spans="3:20" ht="14.25" hidden="1">
      <c r="K78" s="1255" t="s">
        <v>154</v>
      </c>
      <c r="L78" s="1256"/>
      <c r="N78" s="1255" t="s">
        <v>153</v>
      </c>
      <c r="O78" s="1256"/>
      <c r="Q78" s="1255" t="s">
        <v>150</v>
      </c>
      <c r="R78" s="1256"/>
    </row>
    <row r="79" spans="3:20" ht="15.75" hidden="1">
      <c r="F79" s="1263" t="s">
        <v>156</v>
      </c>
      <c r="G79" s="1263"/>
      <c r="H79" s="1263"/>
      <c r="I79" s="1263"/>
      <c r="J79" s="102">
        <f>Январь!J74+Февраль!J74+Март!J74+Апрель!J74+Май!J74+Июнь!J74+Июль!J74+Август!J74+Сентябрь!J74+Октябрь!J74+Ноябрь!J74+Декабрь!J74</f>
        <v>-5408.5273873581236</v>
      </c>
      <c r="K79" s="97" t="s">
        <v>29</v>
      </c>
      <c r="L79" s="98">
        <f>SUM(L80:L82)</f>
        <v>53784.254124673047</v>
      </c>
      <c r="M79" s="100">
        <f>Январь!M74+Февраль!M74+Март!M74+Апрель!M74+Май!M74+Июнь!M74+Июль!M74+Август!M74+Сентябрь!M74+Октябрь!M74+Ноябрь!M74+Декабрь!M74</f>
        <v>3392.461512031166</v>
      </c>
      <c r="N79" s="97" t="s">
        <v>29</v>
      </c>
      <c r="O79" s="98">
        <f>'корпоративный баланс энергии'!AT1490</f>
        <v>6537.848392500001</v>
      </c>
      <c r="P79" s="100">
        <f>Январь!P74+Февраль!P75+Март!P75+Апрель!P75+Май!P74+Июнь!P74+Июль!P74+Август!P74+Сентябрь!P74+Октябрь!P74+Ноябрь!P74+Декабрь!P74</f>
        <v>4332.3099045311656</v>
      </c>
      <c r="Q79" s="97" t="s">
        <v>29</v>
      </c>
      <c r="R79" s="98">
        <f>'корпоративный баланс энергии'!AT1508</f>
        <v>8286.2804413688336</v>
      </c>
      <c r="S79" s="100">
        <f>Январь!S74+Февраль!S75+Март!S75+Апрель!S75+Май!S74+Июнь!S74+Июль!S74+Август!S74+Сентябрь!S74+Октябрь!S74+Ноябрь!S74+Декабрь!S74</f>
        <v>-4378.5903459000001</v>
      </c>
      <c r="T79" s="9" t="s">
        <v>152</v>
      </c>
    </row>
    <row r="80" spans="3:20" hidden="1">
      <c r="J80"/>
      <c r="K80" s="97" t="s">
        <v>56</v>
      </c>
      <c r="L80" s="98">
        <f>'корпоративный баланс энергии'!AT1528</f>
        <v>11977.816999999999</v>
      </c>
      <c r="N80" s="97" t="s">
        <v>107</v>
      </c>
      <c r="O80" s="98">
        <f>'корпоративный баланс энергии'!AV1490</f>
        <v>5597.9999999999991</v>
      </c>
      <c r="Q80" s="97" t="s">
        <v>107</v>
      </c>
      <c r="R80" s="98">
        <f>'корпоративный баланс энергии'!AV1508</f>
        <v>8240</v>
      </c>
    </row>
    <row r="81" spans="6:18" hidden="1">
      <c r="J81"/>
      <c r="K81" s="97" t="s">
        <v>55</v>
      </c>
      <c r="L81" s="98">
        <f>'корпоративный баланс энергии'!AT1529</f>
        <v>40920.990455842431</v>
      </c>
      <c r="N81" s="97" t="s">
        <v>108</v>
      </c>
      <c r="O81" s="98">
        <f>O80-O79</f>
        <v>-939.84839250000186</v>
      </c>
      <c r="Q81" s="97" t="s">
        <v>108</v>
      </c>
      <c r="R81" s="98">
        <f>R80-R79</f>
        <v>-46.280441368833635</v>
      </c>
    </row>
    <row r="82" spans="6:18" ht="16.5" hidden="1" thickBot="1">
      <c r="I82" s="103" t="s">
        <v>157</v>
      </c>
      <c r="J82" s="102">
        <f>Январь!J77+Февраль!J77+Март!J77+Апрель!J77+Май!J77+Июнь!J77+Июль!J77+Август!J77+Сентябрь!J77+Октябрь!J77+Ноябрь!J77+Декабрь!J77</f>
        <v>14891</v>
      </c>
      <c r="K82" s="97" t="s">
        <v>155</v>
      </c>
      <c r="L82" s="98">
        <f>'корпоративный баланс энергии'!AT1530</f>
        <v>885.44666883062132</v>
      </c>
      <c r="N82" s="99" t="s">
        <v>151</v>
      </c>
      <c r="O82" s="101">
        <f>-O81-P79+M79</f>
        <v>0</v>
      </c>
      <c r="Q82" s="99" t="s">
        <v>151</v>
      </c>
      <c r="R82" s="101">
        <f>-R81+S79+P79</f>
        <v>0</v>
      </c>
    </row>
    <row r="83" spans="6:18" hidden="1">
      <c r="J83"/>
      <c r="K83" s="97" t="s">
        <v>107</v>
      </c>
      <c r="L83" s="98">
        <f>'корпоративный баланс энергии'!AV1527</f>
        <v>55800.32</v>
      </c>
    </row>
    <row r="84" spans="6:18" ht="15.75" hidden="1">
      <c r="F84" s="1263" t="s">
        <v>158</v>
      </c>
      <c r="G84" s="1263"/>
      <c r="H84" s="1263"/>
      <c r="I84" s="1263"/>
      <c r="J84" s="102">
        <f>SUM(J90:J101)</f>
        <v>8862.0855416041832</v>
      </c>
      <c r="K84" s="97" t="s">
        <v>108</v>
      </c>
      <c r="L84" s="98">
        <f>L83-L79</f>
        <v>2016.0658753269527</v>
      </c>
    </row>
    <row r="85" spans="6:18" ht="16.5" hidden="1" thickBot="1">
      <c r="F85" s="1263" t="s">
        <v>159</v>
      </c>
      <c r="G85" s="1263"/>
      <c r="H85" s="1263"/>
      <c r="I85" s="1263"/>
      <c r="J85" s="102">
        <f>L81+(J82-J79)+(L80-J84)</f>
        <v>64336.24930159637</v>
      </c>
      <c r="K85" s="99" t="s">
        <v>151</v>
      </c>
      <c r="L85" s="101">
        <f>-L84-M79-J79</f>
        <v>0</v>
      </c>
    </row>
    <row r="86" spans="6:18" hidden="1">
      <c r="K86"/>
    </row>
    <row r="87" spans="6:18" hidden="1"/>
    <row r="88" spans="6:18" hidden="1"/>
    <row r="89" spans="6:18" hidden="1"/>
    <row r="90" spans="6:18" hidden="1">
      <c r="G90" s="104" t="s">
        <v>160</v>
      </c>
      <c r="H90" s="24"/>
      <c r="J90" s="105">
        <f>Январь!J85+Февраль!J85+Март!J85+Апрель!J85+Май!J85+Июнь!J85+Июль!J85+Август!J85+Сентябрь!J85+Октябрь!J85+Ноябрь!J85+Декабрь!J85</f>
        <v>480.17765798451615</v>
      </c>
    </row>
    <row r="91" spans="6:18" hidden="1">
      <c r="G91" s="104" t="s">
        <v>161</v>
      </c>
      <c r="H91" s="24"/>
      <c r="J91" s="105">
        <f>Январь!J86+Февраль!J86+Март!J86+Апрель!J86+Май!J86+Июнь!J86+Июль!J86+Август!J86+Сентябрь!J86+Октябрь!J86+Ноябрь!J86+Декабрь!J86</f>
        <v>66.13</v>
      </c>
    </row>
    <row r="92" spans="6:18" hidden="1">
      <c r="G92" s="104" t="s">
        <v>162</v>
      </c>
      <c r="H92" s="24"/>
      <c r="J92" s="105">
        <f>Январь!J87+Февраль!J87+Март!J87+Апрель!J87+Май!J87+Июнь!J87+Июль!J87+Август!J87+Сентябрь!J87+Октябрь!J87+Ноябрь!J87+Декабрь!J87</f>
        <v>1229.7873999999997</v>
      </c>
    </row>
    <row r="93" spans="6:18" hidden="1">
      <c r="G93" s="104" t="s">
        <v>163</v>
      </c>
      <c r="H93" s="24"/>
      <c r="J93" s="105">
        <f>Январь!J88+Февраль!J88+Март!J88+Апрель!J88+Май!J88+Июнь!J88+Июль!J88+Август!J88+Сентябрь!J88+Октябрь!J88+Ноябрь!J88+Декабрь!J88</f>
        <v>70.057999999999993</v>
      </c>
    </row>
    <row r="94" spans="6:18" hidden="1">
      <c r="G94" s="104" t="s">
        <v>164</v>
      </c>
      <c r="H94" s="24"/>
      <c r="J94" s="105">
        <f>Январь!J89+Февраль!J89+Март!J89+Апрель!J89+Май!J89+Июнь!J89+Июль!J89+Август!J89+Сентябрь!J89+Октябрь!J89+Ноябрь!J89+Декабрь!J89</f>
        <v>1654.6549861522765</v>
      </c>
    </row>
    <row r="95" spans="6:18" hidden="1">
      <c r="G95" s="104" t="s">
        <v>165</v>
      </c>
      <c r="H95" s="24"/>
      <c r="J95" s="105">
        <f>Январь!J90+Февраль!J90+Март!J90+Апрель!J90+Май!J90+Июнь!J90+Июль!J90+Август!J90+Сентябрь!J90+Октябрь!J90+Ноябрь!J90+Декабрь!J90</f>
        <v>323.11199999999997</v>
      </c>
    </row>
    <row r="96" spans="6:18" hidden="1">
      <c r="G96" s="104" t="s">
        <v>166</v>
      </c>
      <c r="H96" s="24"/>
      <c r="J96" s="105">
        <f>Январь!J91+Февраль!J91+Март!J91+Апрель!J91+Май!J91+Июнь!J91+Июль!J91+Август!J91+Сентябрь!J91+Октябрь!J91+Ноябрь!J91+Декабрь!J91</f>
        <v>607.09014200000001</v>
      </c>
    </row>
    <row r="97" spans="7:10" hidden="1">
      <c r="G97" s="104" t="s">
        <v>167</v>
      </c>
      <c r="H97" s="24"/>
      <c r="J97" s="105">
        <f>Январь!J92+Февраль!J92+Март!J92+Апрель!J92+Май!J92+Июнь!J92+Июль!J92+Август!J92+Сентябрь!J92+Октябрь!J92+Ноябрь!J92+Декабрь!J92</f>
        <v>48.444959999999995</v>
      </c>
    </row>
    <row r="98" spans="7:10" hidden="1">
      <c r="G98" s="104" t="s">
        <v>168</v>
      </c>
      <c r="H98" s="24"/>
      <c r="J98" s="105">
        <f>Январь!J93+Февраль!J93+Март!J93+Апрель!J93+Май!J93+Июнь!J93+Июль!J93+Август!J93+Сентябрь!J93+Октябрь!J93+Ноябрь!J93+Декабрь!J93</f>
        <v>71.064000000000007</v>
      </c>
    </row>
    <row r="99" spans="7:10" hidden="1">
      <c r="G99" s="104" t="s">
        <v>61</v>
      </c>
      <c r="H99" s="24"/>
      <c r="J99" s="105">
        <f>Январь!J94+Февраль!J94+Март!J94+Апрель!J94+Май!J94+Июнь!J94+Июль!J94+Август!J94+Сентябрь!J94+Октябрь!J94+Ноябрь!J94+Декабрь!J94</f>
        <v>2411.1875773000002</v>
      </c>
    </row>
    <row r="100" spans="7:10" hidden="1">
      <c r="G100" s="104" t="s">
        <v>62</v>
      </c>
      <c r="H100" s="24"/>
      <c r="J100" s="105">
        <f>Январь!J95+Февраль!J95+Март!J95+Апрель!J95+Май!J95+Июнь!J95+Июль!J95+Август!J95+Сентябрь!J95+Октябрь!J95+Ноябрь!J95+Декабрь!J95</f>
        <v>994.20574920187414</v>
      </c>
    </row>
    <row r="101" spans="7:10" hidden="1">
      <c r="G101" s="104" t="s">
        <v>63</v>
      </c>
      <c r="H101" s="24"/>
      <c r="J101" s="105">
        <f>Январь!J96+Февраль!J96+Март!J96+Апрель!J96+Май!J96+Июнь!J96+Июль!J96+Август!J96+Сентябрь!J96+Октябрь!J96+Ноябрь!J96+Декабрь!J96</f>
        <v>906.17306896551713</v>
      </c>
    </row>
  </sheetData>
  <mergeCells count="17">
    <mergeCell ref="F85:I85"/>
    <mergeCell ref="K77:L77"/>
    <mergeCell ref="F84:I84"/>
    <mergeCell ref="Q77:R77"/>
    <mergeCell ref="K78:L78"/>
    <mergeCell ref="N78:O78"/>
    <mergeCell ref="Q78:R78"/>
    <mergeCell ref="N77:O77"/>
    <mergeCell ref="E20:F20"/>
    <mergeCell ref="G20:H20"/>
    <mergeCell ref="G42:H42"/>
    <mergeCell ref="F79:I79"/>
    <mergeCell ref="L3:M3"/>
    <mergeCell ref="I4:N4"/>
    <mergeCell ref="D13:E13"/>
    <mergeCell ref="G19:H19"/>
    <mergeCell ref="G54:H54"/>
  </mergeCells>
  <phoneticPr fontId="20" type="noConversion"/>
  <conditionalFormatting sqref="G90:G101">
    <cfRule type="cellIs" dxfId="1" priority="1" stopIfTrue="1" operator="notEqual">
      <formula>G89</formula>
    </cfRule>
  </conditionalFormatting>
  <pageMargins left="0.75" right="0.75" top="0.22" bottom="0.21" header="0.17" footer="0.17"/>
  <pageSetup paperSize="9" scale="5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0"/>
  <dimension ref="B2:U90"/>
  <sheetViews>
    <sheetView view="pageBreakPreview" topLeftCell="A4" zoomScale="75" zoomScaleNormal="75" zoomScaleSheetLayoutView="75" workbookViewId="0">
      <selection activeCell="O24" sqref="O24"/>
    </sheetView>
  </sheetViews>
  <sheetFormatPr defaultColWidth="10.6640625" defaultRowHeight="12.75"/>
  <cols>
    <col min="1" max="1" width="6.6640625" style="13" customWidth="1"/>
    <col min="2" max="2" width="12" style="13" customWidth="1"/>
    <col min="3" max="3" width="14.6640625" style="13" customWidth="1"/>
    <col min="4" max="4" width="12.1640625" style="13" customWidth="1"/>
    <col min="5" max="5" width="11.1640625" style="13" customWidth="1"/>
    <col min="6" max="6" width="11.83203125" style="13" bestFit="1" customWidth="1"/>
    <col min="7" max="7" width="12" style="13" bestFit="1" customWidth="1"/>
    <col min="8" max="8" width="12.5" style="13" customWidth="1"/>
    <col min="9" max="9" width="11.6640625" style="13" customWidth="1"/>
    <col min="10" max="10" width="12.33203125" style="13" customWidth="1"/>
    <col min="11" max="11" width="11.6640625" style="13" customWidth="1"/>
    <col min="12" max="12" width="13.6640625" style="13" customWidth="1"/>
    <col min="13" max="13" width="12.1640625" style="13" customWidth="1"/>
    <col min="14" max="14" width="15.1640625" style="13" customWidth="1"/>
    <col min="15" max="15" width="13" style="13" customWidth="1"/>
    <col min="16" max="16" width="13.83203125" style="13" bestFit="1" customWidth="1"/>
    <col min="17" max="17" width="12" style="13" customWidth="1"/>
    <col min="18" max="18" width="14.5" style="13" customWidth="1"/>
    <col min="19" max="19" width="10.83203125" style="13" customWidth="1"/>
    <col min="20" max="20" width="11.83203125" style="13" bestFit="1" customWidth="1"/>
    <col min="21" max="21" width="12.1640625" style="13" bestFit="1" customWidth="1"/>
    <col min="22" max="16384" width="10.6640625" style="13"/>
  </cols>
  <sheetData>
    <row r="2" spans="3:21" ht="25.5">
      <c r="C2" s="11" t="s">
        <v>170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3:21" ht="22.5">
      <c r="C3" s="14"/>
      <c r="D3" s="15"/>
      <c r="E3" s="15"/>
      <c r="F3" s="15"/>
      <c r="G3" s="15"/>
      <c r="I3" s="16" t="s">
        <v>169</v>
      </c>
      <c r="J3" s="17"/>
      <c r="K3" s="17"/>
      <c r="L3" s="1251" t="s">
        <v>148</v>
      </c>
      <c r="M3" s="1251"/>
      <c r="N3" s="18">
        <v>2018</v>
      </c>
      <c r="O3" s="17"/>
      <c r="P3" s="15"/>
      <c r="Q3" s="15"/>
      <c r="R3" s="15"/>
      <c r="S3" s="15"/>
      <c r="T3" s="15"/>
    </row>
    <row r="4" spans="3:21" ht="14.25" customHeight="1">
      <c r="C4" s="32" t="s">
        <v>104</v>
      </c>
      <c r="D4" s="33"/>
      <c r="F4" s="21"/>
      <c r="G4" s="22"/>
      <c r="I4" s="23"/>
      <c r="K4" s="24"/>
      <c r="L4" s="25"/>
      <c r="M4" s="25"/>
      <c r="N4" s="26"/>
      <c r="O4" s="20"/>
    </row>
    <row r="5" spans="3:21" ht="14.25" customHeight="1">
      <c r="C5" s="36" t="s">
        <v>29</v>
      </c>
      <c r="D5" s="564">
        <f>'корпоративный баланс энергии'!AY849</f>
        <v>113349.74362999998</v>
      </c>
      <c r="F5" s="21"/>
      <c r="G5" s="22"/>
      <c r="I5" s="23"/>
      <c r="K5" s="24"/>
      <c r="L5" s="25"/>
      <c r="M5" s="25"/>
      <c r="N5" s="26"/>
      <c r="O5" s="20"/>
    </row>
    <row r="6" spans="3:21" ht="14.25" customHeight="1">
      <c r="C6" s="36" t="s">
        <v>107</v>
      </c>
      <c r="D6" s="564">
        <f>'корпоративный баланс энергии'!AX849</f>
        <v>95030.062198</v>
      </c>
      <c r="F6" s="21"/>
      <c r="G6" s="22"/>
      <c r="I6" s="23"/>
      <c r="K6" s="24"/>
      <c r="L6" s="25"/>
      <c r="M6" s="25"/>
      <c r="N6" s="26"/>
      <c r="O6" s="20"/>
    </row>
    <row r="7" spans="3:21" ht="14.25" customHeight="1">
      <c r="C7" s="36" t="s">
        <v>108</v>
      </c>
      <c r="D7" s="567">
        <f>D6-D5</f>
        <v>-18319.681431999983</v>
      </c>
      <c r="F7" s="21"/>
      <c r="G7" s="22"/>
      <c r="I7" s="23"/>
      <c r="K7" s="24"/>
      <c r="L7" s="25"/>
      <c r="M7" s="25"/>
      <c r="N7" s="26"/>
      <c r="O7" s="20"/>
    </row>
    <row r="8" spans="3:21" ht="14.25" customHeight="1">
      <c r="C8" s="41" t="s">
        <v>109</v>
      </c>
      <c r="D8" s="567">
        <f>-D7-G10-I10-J12-J14+F15-E17-F29-G26+K19</f>
        <v>5889.7194599999775</v>
      </c>
      <c r="F8" s="21"/>
      <c r="G8" s="22"/>
      <c r="I8" s="23"/>
      <c r="K8" s="24"/>
      <c r="L8" s="25"/>
      <c r="M8" s="25"/>
      <c r="N8" s="26"/>
      <c r="O8" s="20"/>
    </row>
    <row r="9" spans="3:21" ht="14.25" customHeight="1">
      <c r="C9" s="19"/>
      <c r="F9" s="21"/>
      <c r="G9" s="159" t="s">
        <v>101</v>
      </c>
      <c r="I9" s="158" t="s">
        <v>243</v>
      </c>
      <c r="K9" s="24"/>
      <c r="L9" s="25"/>
      <c r="M9" s="25"/>
      <c r="N9" s="26"/>
      <c r="O9" s="20"/>
    </row>
    <row r="10" spans="3:21" ht="15.75" customHeight="1">
      <c r="C10" s="19"/>
      <c r="F10" s="21"/>
      <c r="G10" s="553">
        <f>-('корпоративный баланс энергии'!AY23+'корпоративный баланс энергии'!AY59)</f>
        <v>6903.0377230000004</v>
      </c>
      <c r="I10" s="553">
        <f>-('корпоративный баланс энергии'!AY24)</f>
        <v>414.583707</v>
      </c>
      <c r="K10" s="24"/>
      <c r="L10" s="25"/>
      <c r="M10" s="25"/>
      <c r="N10" s="26"/>
      <c r="O10" s="20"/>
    </row>
    <row r="11" spans="3:21" ht="15.75" customHeight="1">
      <c r="C11" s="19"/>
      <c r="F11" s="21"/>
      <c r="J11" s="158" t="s">
        <v>244</v>
      </c>
      <c r="K11" s="15"/>
      <c r="L11" s="25"/>
      <c r="M11" s="25"/>
      <c r="N11" s="26"/>
      <c r="O11" s="29" t="s">
        <v>102</v>
      </c>
      <c r="R11" s="30">
        <f>SUM(D5,H33,D61,K33,N33,Q33,T33)</f>
        <v>1070922.1599212</v>
      </c>
    </row>
    <row r="12" spans="3:21" ht="15" customHeight="1">
      <c r="C12" s="19"/>
      <c r="D12" s="1253" t="s">
        <v>103</v>
      </c>
      <c r="E12" s="1253"/>
      <c r="F12" s="21"/>
      <c r="J12" s="553">
        <f>-('корпоративный баланс энергии'!AY25)</f>
        <v>563.25279999999998</v>
      </c>
      <c r="K12" s="15"/>
      <c r="L12" s="34"/>
      <c r="M12" s="25"/>
      <c r="N12" s="26"/>
      <c r="O12" s="29" t="s">
        <v>105</v>
      </c>
      <c r="R12" s="30">
        <f>SUM(D6,H34,D62,K34,N34,Q34,T34)</f>
        <v>1055558.7307736999</v>
      </c>
    </row>
    <row r="13" spans="3:21" ht="15.75" customHeight="1">
      <c r="C13" s="19"/>
      <c r="E13" s="560">
        <f>-('корпоративный баланс энергии'!AY30+'корпоративный баланс энергии'!AY31+'корпоративный баланс энергии'!AY32+'корпоративный баланс энергии'!AY33+'корпоративный баланс энергии'!AY61+'корпоративный баланс энергии'!AY62+'корпоративный баланс энергии'!AY63)</f>
        <v>3966.3637050000007</v>
      </c>
      <c r="F13" s="21"/>
      <c r="J13" s="158" t="s">
        <v>245</v>
      </c>
      <c r="K13" s="24"/>
      <c r="L13" s="25"/>
      <c r="M13" s="25"/>
      <c r="N13" s="26"/>
      <c r="O13" s="29" t="s">
        <v>106</v>
      </c>
      <c r="R13" s="30">
        <f>SUM(D7,H35,D63,K35,N35,Q35,T35)</f>
        <v>-15363.42914750005</v>
      </c>
      <c r="S13" s="24"/>
      <c r="T13" s="552">
        <f>-J14-J12-I10-G10+F15+E17-F29-F35-E44-F47+F53-F60-I59-J46-L46-M46-N46+P46-R46-T46+S26-U24</f>
        <v>-15363.3754415</v>
      </c>
      <c r="U13" s="552">
        <f>R12-R11</f>
        <v>-15363.429147500079</v>
      </c>
    </row>
    <row r="14" spans="3:21">
      <c r="J14" s="553">
        <f>-('корпоративный баланс энергии'!AY26)</f>
        <v>20.138031999999999</v>
      </c>
      <c r="O14" s="38"/>
      <c r="P14" s="24"/>
      <c r="Q14" s="24"/>
      <c r="R14" s="38"/>
    </row>
    <row r="15" spans="3:21" ht="13.5" thickBot="1">
      <c r="F15" s="39">
        <f>-E13-E17+D28</f>
        <v>-1021.5039750000024</v>
      </c>
      <c r="O15" s="38"/>
      <c r="P15" s="24"/>
      <c r="Q15" s="24"/>
      <c r="R15" s="38"/>
    </row>
    <row r="16" spans="3:21" ht="15">
      <c r="O16" s="38"/>
      <c r="P16" s="217" t="s">
        <v>113</v>
      </c>
      <c r="Q16" s="218"/>
      <c r="R16" s="219"/>
      <c r="S16" s="219"/>
      <c r="T16" s="219"/>
      <c r="U16" s="573">
        <f>-J46-L46+U17+U21</f>
        <v>3537.7283009000002</v>
      </c>
    </row>
    <row r="17" spans="3:21" ht="14.25">
      <c r="E17" s="42">
        <f>F23</f>
        <v>-2944.8597299999983</v>
      </c>
      <c r="P17" s="220" t="s">
        <v>114</v>
      </c>
      <c r="Q17" s="214"/>
      <c r="R17" s="47"/>
      <c r="S17" s="47"/>
      <c r="T17" s="47"/>
      <c r="U17" s="574">
        <f>SUM(U18:U19)</f>
        <v>-91.092927899975393</v>
      </c>
    </row>
    <row r="18" spans="3:21" ht="14.25">
      <c r="F18" s="43"/>
      <c r="G18" s="1254" t="s">
        <v>110</v>
      </c>
      <c r="H18" s="1254"/>
      <c r="P18" s="213" t="s">
        <v>115</v>
      </c>
      <c r="Q18" s="214" t="s">
        <v>507</v>
      </c>
      <c r="R18" s="47"/>
      <c r="S18" s="47"/>
      <c r="T18" s="556"/>
      <c r="U18" s="574">
        <f>-N46</f>
        <v>-713.92100689997551</v>
      </c>
    </row>
    <row r="19" spans="3:21" ht="15" thickBot="1">
      <c r="D19" s="24"/>
      <c r="E19" s="1258" t="s">
        <v>111</v>
      </c>
      <c r="F19" s="1258"/>
      <c r="G19" s="1258" t="s">
        <v>112</v>
      </c>
      <c r="H19" s="1258"/>
      <c r="K19" s="1159">
        <v>67.233123000000006</v>
      </c>
      <c r="P19" s="559"/>
      <c r="Q19" s="215" t="s">
        <v>116</v>
      </c>
      <c r="R19" s="49"/>
      <c r="S19" s="49"/>
      <c r="T19" s="557"/>
      <c r="U19" s="575">
        <f>-M46</f>
        <v>622.82807900000012</v>
      </c>
    </row>
    <row r="20" spans="3:21" ht="15" thickBot="1">
      <c r="F20" s="44"/>
      <c r="G20" s="36" t="s">
        <v>29</v>
      </c>
      <c r="H20" s="568">
        <f>D5-F21</f>
        <v>105966.30380199998</v>
      </c>
      <c r="P20" s="216" t="s">
        <v>340</v>
      </c>
      <c r="Q20" s="50"/>
      <c r="R20" s="50"/>
      <c r="S20" s="50"/>
      <c r="T20" s="558"/>
      <c r="U20" s="576">
        <f>N46-P61</f>
        <v>3700.1364575999755</v>
      </c>
    </row>
    <row r="21" spans="3:21" ht="15" thickBot="1">
      <c r="E21" s="36" t="s">
        <v>29</v>
      </c>
      <c r="F21" s="564">
        <f>'корпоративный баланс энергии'!AY865</f>
        <v>7383.4398279999987</v>
      </c>
      <c r="G21" s="36" t="s">
        <v>107</v>
      </c>
      <c r="H21" s="568">
        <f>D6-F22</f>
        <v>90591.482099999994</v>
      </c>
      <c r="P21" s="216" t="s">
        <v>339</v>
      </c>
      <c r="Q21" s="50"/>
      <c r="R21" s="50"/>
      <c r="S21" s="50"/>
      <c r="T21" s="558"/>
      <c r="U21" s="576">
        <f>P46-O46</f>
        <v>3753.4964575999757</v>
      </c>
    </row>
    <row r="22" spans="3:21">
      <c r="E22" s="36" t="s">
        <v>107</v>
      </c>
      <c r="F22" s="564">
        <f>'корпоративный баланс энергии'!AX865</f>
        <v>4438.5800980000004</v>
      </c>
      <c r="G22" s="36" t="s">
        <v>108</v>
      </c>
      <c r="H22" s="567">
        <f>H21-H20</f>
        <v>-15374.821701999987</v>
      </c>
    </row>
    <row r="23" spans="3:21" ht="13.5" thickBot="1">
      <c r="E23" s="36" t="s">
        <v>108</v>
      </c>
      <c r="F23" s="565">
        <f>F22-F21</f>
        <v>-2944.8597299999983</v>
      </c>
      <c r="G23" s="41" t="s">
        <v>109</v>
      </c>
      <c r="H23" s="571">
        <f>-H22+F15+K19-G10-G26-F29-I10-J12-J14</f>
        <v>-1.6985524098345195E-11</v>
      </c>
    </row>
    <row r="24" spans="3:21" ht="13.5" thickBot="1">
      <c r="E24" s="41" t="s">
        <v>109</v>
      </c>
      <c r="F24" s="571">
        <f>-F23+E17</f>
        <v>0</v>
      </c>
      <c r="K24" s="1161">
        <v>1044.2484890000001</v>
      </c>
      <c r="O24" s="13" t="s">
        <v>1834</v>
      </c>
      <c r="S24" s="48"/>
      <c r="T24" s="48"/>
      <c r="U24" s="576">
        <v>65.018113</v>
      </c>
    </row>
    <row r="25" spans="3:21" ht="13.5" thickBot="1"/>
    <row r="26" spans="3:21" ht="13.5" thickBot="1">
      <c r="G26" s="1159">
        <v>6458.3556859999999</v>
      </c>
      <c r="N26" s="13" t="s">
        <v>1835</v>
      </c>
      <c r="S26" s="576">
        <v>227.740441</v>
      </c>
    </row>
    <row r="28" spans="3:21">
      <c r="D28" s="51">
        <v>0</v>
      </c>
      <c r="R28" s="52"/>
    </row>
    <row r="29" spans="3:21">
      <c r="F29" s="553">
        <f>-('корпоративный баланс энергии'!AY34+'корпоративный баланс энергии'!AY64)</f>
        <v>61.182902000000013</v>
      </c>
    </row>
    <row r="30" spans="3:21" ht="15">
      <c r="G30" s="21" t="s">
        <v>117</v>
      </c>
      <c r="J30" s="28" t="s">
        <v>118</v>
      </c>
      <c r="K30" s="15"/>
      <c r="M30" s="21" t="s">
        <v>117</v>
      </c>
      <c r="P30" s="21" t="s">
        <v>117</v>
      </c>
      <c r="Q30" s="53"/>
      <c r="S30" s="21" t="s">
        <v>117</v>
      </c>
    </row>
    <row r="31" spans="3:21" ht="15">
      <c r="G31" s="28" t="s">
        <v>119</v>
      </c>
      <c r="H31" s="15"/>
      <c r="J31" s="28" t="s">
        <v>120</v>
      </c>
      <c r="K31" s="15"/>
      <c r="M31" s="28" t="s">
        <v>121</v>
      </c>
      <c r="N31" s="15"/>
      <c r="P31" s="28" t="s">
        <v>122</v>
      </c>
      <c r="Q31" s="54"/>
      <c r="S31" s="28" t="s">
        <v>123</v>
      </c>
      <c r="T31" s="15"/>
    </row>
    <row r="32" spans="3:21" ht="14.25">
      <c r="C32" s="21" t="s">
        <v>124</v>
      </c>
    </row>
    <row r="33" spans="3:20" ht="14.25">
      <c r="D33" s="21" t="s">
        <v>125</v>
      </c>
      <c r="G33" s="36" t="s">
        <v>29</v>
      </c>
      <c r="H33" s="564">
        <f>'корпоративный баланс энергии'!AY82</f>
        <v>231833.67409279998</v>
      </c>
      <c r="J33" s="36" t="s">
        <v>29</v>
      </c>
      <c r="K33" s="564">
        <f>'корпоративный баланс энергии'!AY370</f>
        <v>114399.02308690001</v>
      </c>
      <c r="M33" s="36" t="s">
        <v>29</v>
      </c>
      <c r="N33" s="564">
        <f>'корпоративный баланс энергии'!AY538</f>
        <v>263682.1347086</v>
      </c>
      <c r="P33" s="36" t="s">
        <v>29</v>
      </c>
      <c r="Q33" s="564">
        <f>'корпоративный баланс энергии'!AY1454</f>
        <v>205281.70652790001</v>
      </c>
      <c r="S33" s="36" t="s">
        <v>29</v>
      </c>
      <c r="T33" s="564">
        <f>'корпоративный баланс энергии'!AY1674</f>
        <v>37644.743361999994</v>
      </c>
    </row>
    <row r="34" spans="3:20">
      <c r="E34" s="561">
        <f>-('корпоративный баланс энергии'!AY34+'корпоративный баланс энергии'!AY35+'корпоративный баланс энергии'!AY36+'корпоративный баланс энергии'!AY64+'корпоративный баланс энергии'!AY65)</f>
        <v>568.5683140000001</v>
      </c>
      <c r="G34" s="36" t="s">
        <v>107</v>
      </c>
      <c r="H34" s="564">
        <f>'корпоративный баланс энергии'!AX82</f>
        <v>242565.17139879998</v>
      </c>
      <c r="J34" s="36" t="s">
        <v>107</v>
      </c>
      <c r="K34" s="564">
        <f>'корпоративный баланс энергии'!AX370</f>
        <v>110198.29321329998</v>
      </c>
      <c r="M34" s="36" t="s">
        <v>107</v>
      </c>
      <c r="N34" s="564">
        <f>'корпоративный баланс энергии'!AX538</f>
        <v>261139.18107749999</v>
      </c>
      <c r="P34" s="36" t="s">
        <v>107</v>
      </c>
      <c r="Q34" s="564">
        <f>'корпоративный баланс энергии'!AX1454</f>
        <v>210147.58373349998</v>
      </c>
      <c r="S34" s="36" t="s">
        <v>107</v>
      </c>
      <c r="T34" s="564">
        <f>'корпоративный баланс энергии'!AX1674</f>
        <v>34197.444969999997</v>
      </c>
    </row>
    <row r="35" spans="3:20">
      <c r="C35" s="69">
        <v>0</v>
      </c>
      <c r="F35" s="39">
        <f>E34-F29+C35+D28</f>
        <v>507.38541200000009</v>
      </c>
      <c r="G35" s="36" t="s">
        <v>108</v>
      </c>
      <c r="H35" s="565">
        <f>H34-H33</f>
        <v>10731.497306000005</v>
      </c>
      <c r="I35" s="1160">
        <v>-469.186576</v>
      </c>
      <c r="J35" s="56" t="s">
        <v>108</v>
      </c>
      <c r="K35" s="565">
        <f>K34-K33</f>
        <v>-4200.729873600023</v>
      </c>
      <c r="L35" s="1160">
        <v>-287.73843419999997</v>
      </c>
      <c r="M35" s="56" t="s">
        <v>108</v>
      </c>
      <c r="N35" s="566">
        <f>N34-N33</f>
        <v>-2542.953631100012</v>
      </c>
      <c r="O35" s="1162">
        <v>1052.585425</v>
      </c>
      <c r="P35" s="56" t="s">
        <v>108</v>
      </c>
      <c r="Q35" s="565">
        <f>Q34-Q33</f>
        <v>4865.8772055999725</v>
      </c>
      <c r="R35" s="39">
        <f>T33-T34-T46-U24</f>
        <v>273.35935799999709</v>
      </c>
      <c r="S35" s="56" t="s">
        <v>108</v>
      </c>
      <c r="T35" s="565">
        <f>T34-T33</f>
        <v>-3447.298391999997</v>
      </c>
    </row>
    <row r="36" spans="3:20">
      <c r="G36" s="41" t="s">
        <v>109</v>
      </c>
      <c r="H36" s="570">
        <f>-H35-F35+G26+K24-I35-E44-G39</f>
        <v>-4.0927261579781771E-12</v>
      </c>
      <c r="J36" s="41" t="s">
        <v>109</v>
      </c>
      <c r="K36" s="570">
        <f>-K35+I35-L35-L46-I41</f>
        <v>2.2737367544323206E-11</v>
      </c>
      <c r="L36" s="44"/>
      <c r="M36" s="41" t="s">
        <v>109</v>
      </c>
      <c r="N36" s="572">
        <f>-N35+L35-O35-K19-K24-M46-N46</f>
        <v>5.523200003653983E-2</v>
      </c>
      <c r="P36" s="41" t="s">
        <v>109</v>
      </c>
      <c r="Q36" s="571">
        <f>-Q35+O35+R35-R46+P46+S26</f>
        <v>0</v>
      </c>
      <c r="R36" s="44"/>
      <c r="S36" s="41" t="s">
        <v>109</v>
      </c>
      <c r="T36" s="571">
        <f>-T35-R35-T46-U24</f>
        <v>0</v>
      </c>
    </row>
    <row r="38" spans="3:20" ht="15">
      <c r="H38" s="160" t="s">
        <v>126</v>
      </c>
      <c r="N38" s="59"/>
      <c r="O38" s="24"/>
    </row>
    <row r="39" spans="3:20">
      <c r="G39" s="1161">
        <v>-3188.842404</v>
      </c>
      <c r="H39" s="160" t="s">
        <v>127</v>
      </c>
      <c r="N39" s="60"/>
      <c r="O39" s="61"/>
    </row>
    <row r="40" spans="3:20" ht="15" customHeight="1">
      <c r="I40" s="160" t="s">
        <v>128</v>
      </c>
      <c r="N40" s="62"/>
      <c r="O40" s="61"/>
    </row>
    <row r="41" spans="3:20">
      <c r="G41" s="1259" t="s">
        <v>129</v>
      </c>
      <c r="H41" s="1259"/>
      <c r="I41" s="1161">
        <v>3984.1197280000001</v>
      </c>
    </row>
    <row r="42" spans="3:20">
      <c r="G42" s="1262" t="s">
        <v>130</v>
      </c>
      <c r="H42" s="1262"/>
    </row>
    <row r="43" spans="3:20">
      <c r="E43" s="44"/>
      <c r="G43" s="36" t="s">
        <v>29</v>
      </c>
      <c r="H43" s="564">
        <f>'корпоративный баланс энергии'!AY1089+'корпоративный баланс энергии'!AY1122</f>
        <v>21953.172963999998</v>
      </c>
      <c r="M43" s="160" t="s">
        <v>251</v>
      </c>
      <c r="N43" s="64"/>
      <c r="O43" s="160" t="s">
        <v>248</v>
      </c>
    </row>
    <row r="44" spans="3:20">
      <c r="E44" s="553">
        <f>-('корпоративный баланс энергии'!AY37+'корпоративный баланс энергии'!AY38+'корпоративный баланс энергии'!AY39+'корпоративный баланс энергии'!AY66+'корпоративный баланс энергии'!AY67+'корпоративный баланс энергии'!AY68)</f>
        <v>-78.249563000000308</v>
      </c>
      <c r="G44" s="36" t="s">
        <v>107</v>
      </c>
      <c r="H44" s="564">
        <f>'корпоративный баланс энергии'!AX1089+'корпоративный баланс энергии'!AX1122</f>
        <v>20920.595219999999</v>
      </c>
      <c r="M44" s="160" t="s">
        <v>336</v>
      </c>
      <c r="O44" s="160" t="s">
        <v>249</v>
      </c>
    </row>
    <row r="45" spans="3:20" ht="14.25">
      <c r="G45" s="36" t="s">
        <v>108</v>
      </c>
      <c r="H45" s="565">
        <f>H44-H43</f>
        <v>-1032.5777439999983</v>
      </c>
      <c r="J45" s="160" t="s">
        <v>131</v>
      </c>
      <c r="O45" s="160" t="s">
        <v>250</v>
      </c>
      <c r="R45" s="65" t="s">
        <v>132</v>
      </c>
      <c r="T45" s="21" t="s">
        <v>133</v>
      </c>
    </row>
    <row r="46" spans="3:20">
      <c r="F46" s="29"/>
      <c r="G46" s="41" t="s">
        <v>109</v>
      </c>
      <c r="H46" s="570">
        <f>-H45+G39+I41-J46-F47-G48</f>
        <v>0</v>
      </c>
      <c r="J46" s="563">
        <f>-('корпоративный баланс энергии'!AY49+'корпоративный баланс энергии'!AY50)</f>
        <v>89.513225000000006</v>
      </c>
      <c r="L46" s="553">
        <f>-('корпоративный баланс энергии'!AY46+'корпоративный баланс энергии'!AY47+'корпоративный баланс энергии'!AY74)</f>
        <v>35.162003799999979</v>
      </c>
      <c r="M46" s="562">
        <f>-('корпоративный баланс энергии'!AY48+'корпоративный баланс энергии'!AY75)</f>
        <v>-622.82807900000012</v>
      </c>
      <c r="N46" s="42">
        <f>P61+P46</f>
        <v>713.92100689997551</v>
      </c>
      <c r="O46" s="1204">
        <v>-53.36</v>
      </c>
      <c r="P46" s="42">
        <f>Q35-O35-R35+R46-S26</f>
        <v>3700.1364575999755</v>
      </c>
      <c r="R46" s="553">
        <f>-('корпоративный баланс энергии'!AY27+'корпоративный баланс энергии'!AY28+'корпоративный баланс энергии'!AY60)</f>
        <v>387.94447600000001</v>
      </c>
      <c r="T46" s="553">
        <f>-'корпоративный баланс энергии'!AY29</f>
        <v>3108.9209209999999</v>
      </c>
    </row>
    <row r="47" spans="3:20">
      <c r="F47" s="563">
        <f>-('корпоративный баланс энергии'!AY40)</f>
        <v>0</v>
      </c>
    </row>
    <row r="48" spans="3:20" ht="15.75">
      <c r="C48" s="22" t="s">
        <v>134</v>
      </c>
      <c r="F48" s="160" t="s">
        <v>135</v>
      </c>
      <c r="G48" s="1163">
        <v>1738.3418429999999</v>
      </c>
      <c r="H48" s="160" t="s">
        <v>136</v>
      </c>
      <c r="N48" s="810">
        <f>-('корпоративный баланс энергии'!AY51+'корпоративный баланс энергии'!AY52+'корпоративный баланс энергии'!AY76+'корпоративный баланс энергии'!AY77)</f>
        <v>713.9762389</v>
      </c>
      <c r="P48" s="810">
        <f>'корпоративный баланс энергии'!AY53+'корпоративный баланс энергии'!AY54+'корпоративный баланс энергии'!AY55+'корпоративный баланс энергии'!AY56+'корпоративный баланс энергии'!AY78+'корпоративный баланс энергии'!AY79+'корпоративный баланс энергии'!AY80</f>
        <v>3700.1916895999998</v>
      </c>
    </row>
    <row r="49" spans="2:19">
      <c r="D49" s="68" t="s">
        <v>137</v>
      </c>
      <c r="H49" s="160" t="s">
        <v>138</v>
      </c>
    </row>
    <row r="50" spans="2:19">
      <c r="E50" s="561">
        <f>-('корпоративный баланс энергии'!AY37+'корпоративный баланс энергии'!AY38+'корпоративный баланс энергии'!AY39+'корпоративный баланс энергии'!AY40+'корпоративный баланс энергии'!AY41+'корпоративный баланс энергии'!AY66+'корпоративный баланс энергии'!AY67+'корпоративный баланс энергии'!AY68+'корпоративный баланс энергии'!AY69)</f>
        <v>2863.8784279999991</v>
      </c>
      <c r="H50" s="160" t="s">
        <v>508</v>
      </c>
    </row>
    <row r="51" spans="2:19" ht="14.25">
      <c r="C51" s="69">
        <v>0</v>
      </c>
      <c r="G51" s="28"/>
      <c r="H51" s="15"/>
      <c r="O51" s="70"/>
    </row>
    <row r="52" spans="2:19" ht="15">
      <c r="G52" s="28" t="s">
        <v>247</v>
      </c>
      <c r="H52" s="15"/>
      <c r="I52" s="71"/>
    </row>
    <row r="53" spans="2:19">
      <c r="F53" s="72">
        <f>E44-E50-C51+F47</f>
        <v>-2942.1279909999994</v>
      </c>
      <c r="G53" s="1262" t="s">
        <v>130</v>
      </c>
      <c r="H53" s="1262"/>
      <c r="I53" s="60"/>
      <c r="J53" s="73"/>
      <c r="M53" s="44"/>
    </row>
    <row r="54" spans="2:19" ht="18.75">
      <c r="G54" s="36" t="s">
        <v>29</v>
      </c>
      <c r="H54" s="568">
        <f>D61-H43-C55</f>
        <v>79682.055819600006</v>
      </c>
      <c r="I54" s="62"/>
      <c r="J54" s="73"/>
      <c r="M54" s="74">
        <f>J46+L46+M46</f>
        <v>-498.1528502000001</v>
      </c>
    </row>
    <row r="55" spans="2:19">
      <c r="B55" s="36" t="s">
        <v>29</v>
      </c>
      <c r="C55" s="564">
        <f>'корпоративный баланс энергии'!AY1390</f>
        <v>3095.9057294000004</v>
      </c>
      <c r="D55" s="809" t="s">
        <v>511</v>
      </c>
      <c r="E55" s="1034">
        <f>'корпоративный баланс энергии'!AX1390-'корпоративный баланс энергии'!AY1390</f>
        <v>4636.2996310999997</v>
      </c>
      <c r="G55" s="36" t="s">
        <v>107</v>
      </c>
      <c r="H55" s="568">
        <f>D62-H44-C56</f>
        <v>73628.193602099986</v>
      </c>
      <c r="I55" s="75"/>
      <c r="L55" s="29" t="s">
        <v>139</v>
      </c>
      <c r="M55" s="51">
        <f>-('корпоративный баланс энергии'!AY46+'корпоративный баланс энергии'!AY47+'корпоративный баланс энергии'!AY48+'корпоративный баланс энергии'!AY49+'корпоративный баланс энергии'!AY50+'корпоративный баланс энергии'!AY74+'корпоративный баланс энергии'!AY75)</f>
        <v>-498.1528502000001</v>
      </c>
    </row>
    <row r="56" spans="2:19">
      <c r="B56" s="36" t="s">
        <v>107</v>
      </c>
      <c r="C56" s="564">
        <f>'корпоративный баланс энергии'!AX1390</f>
        <v>7732.2053605000001</v>
      </c>
      <c r="D56" s="583" t="s">
        <v>512</v>
      </c>
      <c r="G56" s="36" t="s">
        <v>108</v>
      </c>
      <c r="H56" s="565">
        <f>H55-H54</f>
        <v>-6053.8622175000201</v>
      </c>
      <c r="J56" s="76"/>
      <c r="L56" s="29" t="s">
        <v>140</v>
      </c>
      <c r="P56" s="77"/>
    </row>
    <row r="57" spans="2:19" ht="20.25" customHeight="1">
      <c r="B57" s="36" t="s">
        <v>108</v>
      </c>
      <c r="C57" s="564">
        <f>C56-C55</f>
        <v>4636.2996310999997</v>
      </c>
      <c r="G57" s="41" t="s">
        <v>109</v>
      </c>
      <c r="H57" s="569">
        <f>-H56+F53+G48-I59-F60-E55</f>
        <v>-1.5259999790941947E-3</v>
      </c>
      <c r="I57" s="29"/>
      <c r="M57" s="79" t="s">
        <v>141</v>
      </c>
    </row>
    <row r="59" spans="2:19">
      <c r="I59" s="80">
        <f>I64</f>
        <v>-45.216758999999996</v>
      </c>
      <c r="L59" s="81" t="s">
        <v>337</v>
      </c>
      <c r="M59" s="81"/>
      <c r="N59" s="81"/>
      <c r="O59" s="30">
        <f>J46+L46+M46+N46-P46</f>
        <v>-3484.3683009000001</v>
      </c>
      <c r="P59" s="69">
        <f>-('корпоративный баланс энергии'!AY46+'корпоративный баланс энергии'!AY47+'корпоративный баланс энергии'!AY48+'корпоративный баланс энергии'!AY49+'корпоративный баланс энергии'!AY50+'корпоративный баланс энергии'!AY51+'корпоративный баланс энергии'!AY52+'корпоративный баланс энергии'!AY53+'корпоративный баланс энергии'!AY54+'корпоративный баланс энергии'!AY55+'корпоративный баланс энергии'!AY56+'корпоративный баланс энергии'!AY74+'корпоративный баланс энергии'!AY75+'корпоративный баланс энергии'!AY76+'корпоративный баланс энергии'!AY77+'корпоративный баланс энергии'!AY78+'корпоративный баланс энергии'!AY79+'корпоративный баланс энергии'!AY80)</f>
        <v>-3484.3683009000001</v>
      </c>
      <c r="S59" s="161">
        <f>M55+P61</f>
        <v>-3484.3683009000001</v>
      </c>
    </row>
    <row r="60" spans="2:19" ht="14.25">
      <c r="C60" s="32" t="s">
        <v>246</v>
      </c>
      <c r="D60" s="33"/>
      <c r="F60" s="80">
        <f>F64</f>
        <v>258.99472340000005</v>
      </c>
      <c r="H60" s="75"/>
      <c r="N60" s="83"/>
    </row>
    <row r="61" spans="2:19" ht="14.25">
      <c r="C61" s="36" t="s">
        <v>29</v>
      </c>
      <c r="D61" s="564">
        <f>'корпоративный баланс энергии'!AY1082</f>
        <v>104731.134513</v>
      </c>
      <c r="E61" s="21"/>
      <c r="L61" s="209" t="s">
        <v>338</v>
      </c>
      <c r="N61" s="83"/>
      <c r="P61" s="69">
        <f>-('корпоративный баланс энергии'!AY51+'корпоративный баланс энергии'!AY52+'корпоративный баланс энергии'!AY53+'корпоративный баланс энергии'!AY54+'корпоративный баланс энергии'!AY55+'корпоративный баланс энергии'!AY56+'корпоративный баланс энергии'!AY76+'корпоративный баланс энергии'!AY77+'корпоративный баланс энергии'!AY78+'корпоративный баланс энергии'!AY79+'корпоративный баланс энергии'!AY80)</f>
        <v>-2986.2154507</v>
      </c>
      <c r="S61" s="161">
        <f>N46-P46</f>
        <v>-2986.2154507</v>
      </c>
    </row>
    <row r="62" spans="2:19">
      <c r="C62" s="36" t="s">
        <v>107</v>
      </c>
      <c r="D62" s="564">
        <f>'корпоративный баланс энергии'!AX1082</f>
        <v>102280.99418259998</v>
      </c>
      <c r="K62" s="84"/>
      <c r="N62" s="13" t="s">
        <v>75</v>
      </c>
      <c r="O62" s="83" t="s">
        <v>142</v>
      </c>
    </row>
    <row r="63" spans="2:19">
      <c r="C63" s="36" t="s">
        <v>108</v>
      </c>
      <c r="D63" s="567">
        <f>D62-D61</f>
        <v>-2450.1403304000123</v>
      </c>
      <c r="F63" s="65" t="s">
        <v>143</v>
      </c>
      <c r="I63" s="31" t="s">
        <v>144</v>
      </c>
      <c r="N63" s="13" t="s">
        <v>145</v>
      </c>
      <c r="O63" s="83" t="s">
        <v>146</v>
      </c>
    </row>
    <row r="64" spans="2:19">
      <c r="C64" s="41" t="s">
        <v>109</v>
      </c>
      <c r="D64" s="567">
        <f>-D63+G39+I41-J46-I59-F60-E55+F53-F47</f>
        <v>-4636.301157099987</v>
      </c>
      <c r="F64" s="560">
        <f>-('корпоративный баланс энергии'!AY42+'корпоративный баланс энергии'!AY44+'корпоративный баланс энергии'!AY45+'корпоративный баланс энергии'!AY72+'корпоративный баланс энергии'!AY73)</f>
        <v>258.99472340000005</v>
      </c>
      <c r="I64" s="560">
        <f>-('корпоративный баланс энергии'!AY43+'корпоративный баланс энергии'!AY71)</f>
        <v>-45.216758999999996</v>
      </c>
    </row>
    <row r="65" spans="6:20">
      <c r="K65"/>
      <c r="L65"/>
      <c r="M65"/>
      <c r="N65"/>
      <c r="O65"/>
      <c r="P65"/>
      <c r="Q65"/>
      <c r="R65"/>
      <c r="S65"/>
    </row>
    <row r="66" spans="6:20">
      <c r="K66"/>
      <c r="L66"/>
      <c r="M66"/>
      <c r="N66"/>
      <c r="O66"/>
      <c r="P66"/>
      <c r="Q66"/>
      <c r="R66"/>
      <c r="S66"/>
    </row>
    <row r="67" spans="6:20" ht="15.75">
      <c r="F67" s="1263"/>
      <c r="G67" s="1263"/>
      <c r="H67" s="1263"/>
      <c r="I67" s="1263"/>
      <c r="J67" s="102"/>
      <c r="K67"/>
      <c r="L67"/>
      <c r="M67"/>
      <c r="N67"/>
      <c r="O67"/>
      <c r="P67"/>
      <c r="Q67"/>
      <c r="R67"/>
      <c r="S67"/>
      <c r="T67" s="9"/>
    </row>
    <row r="68" spans="6:20">
      <c r="J68"/>
      <c r="K68"/>
      <c r="L68"/>
      <c r="M68"/>
      <c r="N68"/>
      <c r="O68"/>
      <c r="P68"/>
      <c r="Q68"/>
      <c r="R68"/>
      <c r="S68"/>
    </row>
    <row r="69" spans="6:20">
      <c r="J69"/>
      <c r="K69"/>
      <c r="L69"/>
      <c r="M69"/>
      <c r="N69"/>
      <c r="O69"/>
      <c r="P69"/>
      <c r="Q69"/>
      <c r="R69"/>
      <c r="S69"/>
    </row>
    <row r="70" spans="6:20" ht="15.75">
      <c r="I70" s="103"/>
      <c r="J70" s="102"/>
      <c r="K70"/>
      <c r="L70"/>
      <c r="M70"/>
      <c r="N70"/>
      <c r="O70"/>
      <c r="P70"/>
      <c r="Q70"/>
      <c r="R70"/>
      <c r="S70"/>
    </row>
    <row r="71" spans="6:20">
      <c r="J71"/>
      <c r="K71"/>
      <c r="L71"/>
      <c r="M71"/>
      <c r="N71"/>
      <c r="O71"/>
      <c r="P71"/>
      <c r="Q71"/>
      <c r="R71"/>
      <c r="S71"/>
    </row>
    <row r="72" spans="6:20" ht="15.75">
      <c r="F72" s="1263"/>
      <c r="G72" s="1263"/>
      <c r="H72" s="1263"/>
      <c r="I72" s="1263"/>
      <c r="J72" s="102"/>
      <c r="K72"/>
      <c r="L72"/>
      <c r="M72"/>
      <c r="N72"/>
      <c r="O72"/>
      <c r="P72"/>
      <c r="Q72"/>
      <c r="R72"/>
      <c r="S72"/>
    </row>
    <row r="73" spans="6:20" ht="15.75">
      <c r="F73" s="1263"/>
      <c r="G73" s="1263"/>
      <c r="H73" s="1263"/>
      <c r="I73" s="1263"/>
      <c r="J73" s="102"/>
      <c r="K73"/>
      <c r="L73"/>
      <c r="M73"/>
      <c r="N73"/>
      <c r="O73"/>
      <c r="P73"/>
      <c r="Q73"/>
      <c r="R73"/>
      <c r="S73"/>
    </row>
    <row r="74" spans="6:20">
      <c r="K74"/>
    </row>
    <row r="78" spans="6:20">
      <c r="G78" s="104"/>
      <c r="J78" s="105"/>
    </row>
    <row r="79" spans="6:20">
      <c r="G79" s="104"/>
      <c r="J79" s="105"/>
    </row>
    <row r="80" spans="6:20">
      <c r="G80" s="104"/>
      <c r="J80" s="105"/>
    </row>
    <row r="81" spans="7:10">
      <c r="G81" s="104"/>
      <c r="J81" s="105"/>
    </row>
    <row r="82" spans="7:10">
      <c r="G82" s="104"/>
      <c r="J82" s="105"/>
    </row>
    <row r="83" spans="7:10">
      <c r="G83" s="104"/>
      <c r="J83" s="105"/>
    </row>
    <row r="84" spans="7:10">
      <c r="G84" s="104"/>
      <c r="J84" s="105"/>
    </row>
    <row r="85" spans="7:10">
      <c r="G85" s="104"/>
      <c r="J85" s="105"/>
    </row>
    <row r="86" spans="7:10">
      <c r="G86" s="104"/>
      <c r="J86" s="105"/>
    </row>
    <row r="87" spans="7:10">
      <c r="G87" s="104"/>
      <c r="J87" s="105"/>
    </row>
    <row r="88" spans="7:10">
      <c r="G88" s="104"/>
      <c r="J88" s="105"/>
    </row>
    <row r="89" spans="7:10">
      <c r="G89" s="104"/>
      <c r="J89" s="105"/>
    </row>
    <row r="90" spans="7:10">
      <c r="G90" s="5"/>
    </row>
  </sheetData>
  <mergeCells count="11">
    <mergeCell ref="L3:M3"/>
    <mergeCell ref="D12:E12"/>
    <mergeCell ref="G18:H18"/>
    <mergeCell ref="F73:I73"/>
    <mergeCell ref="E19:F19"/>
    <mergeCell ref="G19:H19"/>
    <mergeCell ref="G41:H41"/>
    <mergeCell ref="F67:I67"/>
    <mergeCell ref="F72:I72"/>
    <mergeCell ref="G42:H42"/>
    <mergeCell ref="G53:H53"/>
  </mergeCells>
  <phoneticPr fontId="20" type="noConversion"/>
  <conditionalFormatting sqref="G78:G89">
    <cfRule type="cellIs" dxfId="0" priority="1" stopIfTrue="1" operator="notEqual">
      <formula>G77</formula>
    </cfRule>
  </conditionalFormatting>
  <pageMargins left="1" right="0.21" top="0.2" bottom="0.18" header="0.17" footer="0.17"/>
  <pageSetup paperSize="9" scale="5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61"/>
  <sheetViews>
    <sheetView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S29" sqref="S29"/>
    </sheetView>
  </sheetViews>
  <sheetFormatPr defaultRowHeight="12.75"/>
  <cols>
    <col min="1" max="1" width="4.1640625" customWidth="1"/>
    <col min="2" max="2" width="49.83203125" customWidth="1"/>
    <col min="3" max="15" width="12.5" customWidth="1"/>
  </cols>
  <sheetData>
    <row r="2" spans="2:15" ht="18.75">
      <c r="B2" s="1224" t="s">
        <v>757</v>
      </c>
      <c r="C2" s="1224"/>
      <c r="D2" s="1224"/>
      <c r="E2" s="1224"/>
      <c r="F2" s="1224"/>
      <c r="G2" s="1224"/>
      <c r="H2" s="1224"/>
      <c r="I2" s="1224"/>
      <c r="J2" s="1224"/>
      <c r="K2" s="1224"/>
      <c r="L2" s="1224"/>
      <c r="M2" s="1224"/>
      <c r="N2" s="1224"/>
      <c r="O2" s="1224"/>
    </row>
    <row r="3" spans="2:15" ht="15" thickBot="1">
      <c r="B3" s="606"/>
      <c r="C3" s="607"/>
      <c r="D3" s="607"/>
      <c r="E3" s="607"/>
      <c r="F3" s="607"/>
      <c r="G3" s="607"/>
      <c r="H3" s="607"/>
      <c r="I3" s="607"/>
      <c r="J3" s="607"/>
      <c r="K3" s="607"/>
      <c r="L3" s="607"/>
      <c r="M3" s="607"/>
      <c r="N3" s="607"/>
      <c r="O3" s="608"/>
    </row>
    <row r="4" spans="2:15" ht="16.5" thickBot="1">
      <c r="B4" s="1219" t="s">
        <v>735</v>
      </c>
      <c r="C4" s="1221" t="s">
        <v>736</v>
      </c>
      <c r="D4" s="1222"/>
      <c r="E4" s="1222"/>
      <c r="F4" s="1222"/>
      <c r="G4" s="1222"/>
      <c r="H4" s="1222"/>
      <c r="I4" s="1222"/>
      <c r="J4" s="1222"/>
      <c r="K4" s="1222"/>
      <c r="L4" s="1222"/>
      <c r="M4" s="1222"/>
      <c r="N4" s="1222"/>
      <c r="O4" s="1223"/>
    </row>
    <row r="5" spans="2:15" ht="16.5" thickBot="1">
      <c r="B5" s="1220"/>
      <c r="C5" s="616" t="s">
        <v>737</v>
      </c>
      <c r="D5" s="617" t="s">
        <v>738</v>
      </c>
      <c r="E5" s="618" t="s">
        <v>739</v>
      </c>
      <c r="F5" s="617" t="s">
        <v>740</v>
      </c>
      <c r="G5" s="617" t="s">
        <v>741</v>
      </c>
      <c r="H5" s="617" t="s">
        <v>742</v>
      </c>
      <c r="I5" s="617" t="s">
        <v>743</v>
      </c>
      <c r="J5" s="617" t="s">
        <v>744</v>
      </c>
      <c r="K5" s="617" t="s">
        <v>745</v>
      </c>
      <c r="L5" s="617" t="s">
        <v>746</v>
      </c>
      <c r="M5" s="617" t="s">
        <v>747</v>
      </c>
      <c r="N5" s="617" t="s">
        <v>748</v>
      </c>
      <c r="O5" s="980" t="s">
        <v>1263</v>
      </c>
    </row>
    <row r="6" spans="2:15" ht="5.25" customHeight="1" thickBot="1">
      <c r="B6" s="609"/>
      <c r="C6" s="610"/>
      <c r="D6" s="611"/>
      <c r="E6" s="611"/>
      <c r="F6" s="611"/>
      <c r="G6" s="611"/>
      <c r="H6" s="611"/>
      <c r="I6" s="611"/>
      <c r="J6" s="611"/>
      <c r="K6" s="611"/>
      <c r="L6" s="611"/>
      <c r="M6" s="611"/>
      <c r="N6" s="611"/>
      <c r="O6" s="612"/>
    </row>
    <row r="7" spans="2:15" ht="16.5" thickBot="1">
      <c r="B7" s="613" t="s">
        <v>749</v>
      </c>
      <c r="C7" s="619">
        <f>SUM(C9,C11,C13,C15,C17,C19,C21,C23,C25,C27,C29,C31,C33,C35,C37,C39,C41,C43,C45,C47)</f>
        <v>18897.349999999999</v>
      </c>
      <c r="D7" s="620">
        <f>SUM(D9,D11,D13,D15,D17,D19,D21,D23,D25,D27,D29,D31,D33,D35,D37,D39,D41,D43,D45,D47)</f>
        <v>16307.12</v>
      </c>
      <c r="E7" s="620">
        <f t="shared" ref="E7:N7" si="0">SUM(E9,E11,E13,E15,E17,E19,E21,E23,E25,E27,E29,E31,E33,E35,E37,E39,E41,E43,E45,E47)</f>
        <v>17890.46</v>
      </c>
      <c r="F7" s="620">
        <f t="shared" si="0"/>
        <v>16703.25</v>
      </c>
      <c r="G7" s="620">
        <f t="shared" si="0"/>
        <v>16031.18</v>
      </c>
      <c r="H7" s="620">
        <f t="shared" si="0"/>
        <v>16666.18</v>
      </c>
      <c r="I7" s="620">
        <f t="shared" si="0"/>
        <v>16258.569999999998</v>
      </c>
      <c r="J7" s="620">
        <f t="shared" si="0"/>
        <v>15541.599999999999</v>
      </c>
      <c r="K7" s="620">
        <f t="shared" si="0"/>
        <v>16228.989999999998</v>
      </c>
      <c r="L7" s="620">
        <f t="shared" si="0"/>
        <v>19912.750000000004</v>
      </c>
      <c r="M7" s="620">
        <f t="shared" si="0"/>
        <v>17511.91</v>
      </c>
      <c r="N7" s="620">
        <f t="shared" si="0"/>
        <v>19250.64</v>
      </c>
      <c r="O7" s="621">
        <f>SUM(C7:N7)</f>
        <v>207199.99999999994</v>
      </c>
    </row>
    <row r="8" spans="2:15" ht="5.25" customHeight="1">
      <c r="B8" s="614"/>
      <c r="C8" s="622"/>
      <c r="D8" s="623"/>
      <c r="E8" s="623"/>
      <c r="F8" s="623"/>
      <c r="G8" s="623"/>
      <c r="H8" s="623"/>
      <c r="I8" s="623"/>
      <c r="J8" s="623"/>
      <c r="K8" s="623"/>
      <c r="L8" s="623"/>
      <c r="M8" s="623"/>
      <c r="N8" s="623"/>
      <c r="O8" s="624"/>
    </row>
    <row r="9" spans="2:15" ht="14.25">
      <c r="B9" s="615" t="s">
        <v>750</v>
      </c>
      <c r="C9" s="1075">
        <v>1033</v>
      </c>
      <c r="D9" s="1075">
        <v>966</v>
      </c>
      <c r="E9" s="1075">
        <v>1033</v>
      </c>
      <c r="F9" s="1075">
        <v>1000</v>
      </c>
      <c r="G9" s="1075">
        <v>1014</v>
      </c>
      <c r="H9" s="1075">
        <v>979</v>
      </c>
      <c r="I9" s="1075">
        <v>359</v>
      </c>
      <c r="J9" s="1075">
        <v>651</v>
      </c>
      <c r="K9" s="1075">
        <v>779</v>
      </c>
      <c r="L9" s="1075">
        <v>1033</v>
      </c>
      <c r="M9" s="1075">
        <v>1000</v>
      </c>
      <c r="N9" s="1075">
        <v>1033</v>
      </c>
      <c r="O9" s="625">
        <f>SUM(C9:N9)</f>
        <v>10880</v>
      </c>
    </row>
    <row r="10" spans="2:15" ht="5.25" customHeight="1">
      <c r="B10" s="614"/>
      <c r="C10" s="626"/>
      <c r="D10" s="627"/>
      <c r="E10" s="627"/>
      <c r="F10" s="627"/>
      <c r="G10" s="627"/>
      <c r="H10" s="627"/>
      <c r="I10" s="627"/>
      <c r="J10" s="627"/>
      <c r="K10" s="627"/>
      <c r="L10" s="627"/>
      <c r="M10" s="627"/>
      <c r="N10" s="627"/>
      <c r="O10" s="628"/>
    </row>
    <row r="11" spans="2:15" ht="14.25">
      <c r="B11" s="615" t="s">
        <v>848</v>
      </c>
      <c r="C11" s="1075">
        <v>862</v>
      </c>
      <c r="D11" s="1075">
        <v>807</v>
      </c>
      <c r="E11" s="1075">
        <v>862</v>
      </c>
      <c r="F11" s="1075">
        <v>653</v>
      </c>
      <c r="G11" s="1075">
        <v>0</v>
      </c>
      <c r="H11" s="1075">
        <v>438</v>
      </c>
      <c r="I11" s="1075">
        <v>799</v>
      </c>
      <c r="J11" s="1075">
        <v>773</v>
      </c>
      <c r="K11" s="1075">
        <v>795</v>
      </c>
      <c r="L11" s="1075">
        <v>862</v>
      </c>
      <c r="M11" s="1075">
        <v>556</v>
      </c>
      <c r="N11" s="1075">
        <v>863</v>
      </c>
      <c r="O11" s="625">
        <f>SUM(C11:N11)</f>
        <v>8270</v>
      </c>
    </row>
    <row r="12" spans="2:15" ht="5.25" customHeight="1">
      <c r="B12" s="614"/>
      <c r="C12" s="627"/>
      <c r="D12" s="627"/>
      <c r="E12" s="627"/>
      <c r="F12" s="627"/>
      <c r="G12" s="627"/>
      <c r="H12" s="627"/>
      <c r="I12" s="627"/>
      <c r="J12" s="627"/>
      <c r="K12" s="627"/>
      <c r="L12" s="627"/>
      <c r="M12" s="627"/>
      <c r="N12" s="627"/>
      <c r="O12" s="628"/>
    </row>
    <row r="13" spans="2:15" ht="14.25">
      <c r="B13" s="615" t="s">
        <v>1266</v>
      </c>
      <c r="C13" s="1075">
        <v>838</v>
      </c>
      <c r="D13" s="1075">
        <v>784</v>
      </c>
      <c r="E13" s="1075">
        <v>829</v>
      </c>
      <c r="F13" s="1075">
        <v>793</v>
      </c>
      <c r="G13" s="1075">
        <v>816</v>
      </c>
      <c r="H13" s="1075">
        <v>750</v>
      </c>
      <c r="I13" s="1075">
        <v>425</v>
      </c>
      <c r="J13" s="1075">
        <v>0</v>
      </c>
      <c r="K13" s="1075">
        <v>0</v>
      </c>
      <c r="L13" s="1075">
        <v>693</v>
      </c>
      <c r="M13" s="1075">
        <v>813</v>
      </c>
      <c r="N13" s="1075">
        <v>569</v>
      </c>
      <c r="O13" s="625">
        <f>SUM(C13:N13)</f>
        <v>7310</v>
      </c>
    </row>
    <row r="14" spans="2:15" ht="5.25" customHeight="1">
      <c r="B14" s="614"/>
      <c r="C14" s="627"/>
      <c r="D14" s="627"/>
      <c r="E14" s="627"/>
      <c r="F14" s="627"/>
      <c r="G14" s="627"/>
      <c r="H14" s="627"/>
      <c r="I14" s="627"/>
      <c r="J14" s="627"/>
      <c r="K14" s="627"/>
      <c r="L14" s="627"/>
      <c r="M14" s="627"/>
      <c r="N14" s="627"/>
      <c r="O14" s="628"/>
    </row>
    <row r="15" spans="2:15" ht="14.25">
      <c r="B15" s="615" t="s">
        <v>751</v>
      </c>
      <c r="C15" s="1075">
        <v>2259</v>
      </c>
      <c r="D15" s="1075">
        <v>2091</v>
      </c>
      <c r="E15" s="1075">
        <v>2211</v>
      </c>
      <c r="F15" s="1075">
        <v>1442</v>
      </c>
      <c r="G15" s="1075">
        <v>1675</v>
      </c>
      <c r="H15" s="1075">
        <v>2048</v>
      </c>
      <c r="I15" s="1075">
        <v>1675</v>
      </c>
      <c r="J15" s="1075">
        <v>1525</v>
      </c>
      <c r="K15" s="1075">
        <v>1900</v>
      </c>
      <c r="L15" s="1075">
        <v>2980</v>
      </c>
      <c r="M15" s="1075">
        <v>2884</v>
      </c>
      <c r="N15" s="1075">
        <v>2980</v>
      </c>
      <c r="O15" s="625">
        <f>SUM(C15:N15)</f>
        <v>25670</v>
      </c>
    </row>
    <row r="16" spans="2:15" ht="5.25" customHeight="1">
      <c r="B16" s="614"/>
      <c r="C16" s="626"/>
      <c r="D16" s="627"/>
      <c r="E16" s="627"/>
      <c r="F16" s="627"/>
      <c r="G16" s="627"/>
      <c r="H16" s="627"/>
      <c r="I16" s="627"/>
      <c r="J16" s="627"/>
      <c r="K16" s="627"/>
      <c r="L16" s="627"/>
      <c r="M16" s="627"/>
      <c r="N16" s="627"/>
      <c r="O16" s="628"/>
    </row>
    <row r="17" spans="2:15" ht="14.25">
      <c r="B17" s="615" t="s">
        <v>752</v>
      </c>
      <c r="C17" s="1075">
        <v>1897</v>
      </c>
      <c r="D17" s="1075">
        <v>1394</v>
      </c>
      <c r="E17" s="1075">
        <v>1707</v>
      </c>
      <c r="F17" s="1075">
        <v>1490</v>
      </c>
      <c r="G17" s="1075">
        <v>1490</v>
      </c>
      <c r="H17" s="1075">
        <v>1405</v>
      </c>
      <c r="I17" s="1075">
        <v>1437</v>
      </c>
      <c r="J17" s="1075">
        <v>1437</v>
      </c>
      <c r="K17" s="1075">
        <v>1442</v>
      </c>
      <c r="L17" s="1075">
        <v>1490</v>
      </c>
      <c r="M17" s="1075">
        <v>1462</v>
      </c>
      <c r="N17" s="1075">
        <v>1609</v>
      </c>
      <c r="O17" s="625">
        <f>SUM(C17:N17)</f>
        <v>18260</v>
      </c>
    </row>
    <row r="18" spans="2:15" ht="5.25" customHeight="1">
      <c r="B18" s="614"/>
      <c r="C18" s="626"/>
      <c r="D18" s="627"/>
      <c r="E18" s="627"/>
      <c r="F18" s="627"/>
      <c r="G18" s="627"/>
      <c r="H18" s="627"/>
      <c r="I18" s="627"/>
      <c r="J18" s="627"/>
      <c r="K18" s="627"/>
      <c r="L18" s="627"/>
      <c r="M18" s="627"/>
      <c r="N18" s="627"/>
      <c r="O18" s="628"/>
    </row>
    <row r="19" spans="2:15" ht="14.25">
      <c r="B19" s="615" t="s">
        <v>758</v>
      </c>
      <c r="C19" s="1075">
        <v>1514</v>
      </c>
      <c r="D19" s="1075">
        <v>1418</v>
      </c>
      <c r="E19" s="1075">
        <v>1516</v>
      </c>
      <c r="F19" s="1075">
        <v>1468</v>
      </c>
      <c r="G19" s="1075">
        <v>1516</v>
      </c>
      <c r="H19" s="1075">
        <v>1440</v>
      </c>
      <c r="I19" s="1075">
        <v>1728</v>
      </c>
      <c r="J19" s="1075">
        <v>2151</v>
      </c>
      <c r="K19" s="1075">
        <v>1492</v>
      </c>
      <c r="L19" s="1075">
        <v>2274</v>
      </c>
      <c r="M19" s="1075">
        <v>2202</v>
      </c>
      <c r="N19" s="1075">
        <v>2271</v>
      </c>
      <c r="O19" s="625">
        <f>SUM(C19:N19)</f>
        <v>20990</v>
      </c>
    </row>
    <row r="20" spans="2:15" ht="5.25" customHeight="1">
      <c r="B20" s="614"/>
      <c r="C20" s="627"/>
      <c r="D20" s="627"/>
      <c r="E20" s="627"/>
      <c r="F20" s="627"/>
      <c r="G20" s="627"/>
      <c r="H20" s="627"/>
      <c r="I20" s="627"/>
      <c r="J20" s="627"/>
      <c r="K20" s="627"/>
      <c r="L20" s="627"/>
      <c r="M20" s="627"/>
      <c r="N20" s="627"/>
      <c r="O20" s="628"/>
    </row>
    <row r="21" spans="2:15" ht="14.25">
      <c r="B21" s="615" t="s">
        <v>759</v>
      </c>
      <c r="C21" s="1075">
        <v>758</v>
      </c>
      <c r="D21" s="1075">
        <v>710</v>
      </c>
      <c r="E21" s="1075">
        <v>759</v>
      </c>
      <c r="F21" s="1075">
        <v>490</v>
      </c>
      <c r="G21" s="1075">
        <v>759</v>
      </c>
      <c r="H21" s="1075">
        <v>720</v>
      </c>
      <c r="I21" s="1075">
        <v>230</v>
      </c>
      <c r="J21" s="1075">
        <v>168</v>
      </c>
      <c r="K21" s="1075">
        <v>734</v>
      </c>
      <c r="L21" s="1075">
        <v>759</v>
      </c>
      <c r="M21" s="1075">
        <v>734</v>
      </c>
      <c r="N21" s="1075">
        <v>759</v>
      </c>
      <c r="O21" s="625">
        <f>SUM(C21:N21)</f>
        <v>7580</v>
      </c>
    </row>
    <row r="22" spans="2:15" ht="5.25" customHeight="1">
      <c r="B22" s="614"/>
      <c r="C22" s="627"/>
      <c r="D22" s="627"/>
      <c r="E22" s="627"/>
      <c r="F22" s="627"/>
      <c r="G22" s="627"/>
      <c r="H22" s="627"/>
      <c r="I22" s="627"/>
      <c r="J22" s="627"/>
      <c r="K22" s="627"/>
      <c r="L22" s="627"/>
      <c r="M22" s="627"/>
      <c r="N22" s="627"/>
      <c r="O22" s="628"/>
    </row>
    <row r="23" spans="2:15" ht="14.25">
      <c r="B23" s="615" t="s">
        <v>755</v>
      </c>
      <c r="C23" s="1075">
        <v>2421</v>
      </c>
      <c r="D23" s="1075">
        <v>2128</v>
      </c>
      <c r="E23" s="1075">
        <v>2471</v>
      </c>
      <c r="F23" s="1075">
        <v>2928</v>
      </c>
      <c r="G23" s="1075">
        <v>2514</v>
      </c>
      <c r="H23" s="1075">
        <v>2319</v>
      </c>
      <c r="I23" s="1075">
        <v>2975</v>
      </c>
      <c r="J23" s="1075">
        <v>3004</v>
      </c>
      <c r="K23" s="1075">
        <v>2768</v>
      </c>
      <c r="L23" s="1075">
        <v>2275</v>
      </c>
      <c r="M23" s="1075">
        <v>2201</v>
      </c>
      <c r="N23" s="1075">
        <v>2446</v>
      </c>
      <c r="O23" s="625">
        <f>SUM(C23:N23)</f>
        <v>30450</v>
      </c>
    </row>
    <row r="24" spans="2:15" ht="5.25" customHeight="1">
      <c r="B24" s="614"/>
      <c r="C24" s="626"/>
      <c r="D24" s="627"/>
      <c r="E24" s="627"/>
      <c r="F24" s="627"/>
      <c r="G24" s="627"/>
      <c r="H24" s="627"/>
      <c r="I24" s="627"/>
      <c r="J24" s="627"/>
      <c r="K24" s="627"/>
      <c r="L24" s="627"/>
      <c r="M24" s="627"/>
      <c r="N24" s="627"/>
      <c r="O24" s="628"/>
    </row>
    <row r="25" spans="2:15" ht="14.25">
      <c r="B25" s="615" t="s">
        <v>760</v>
      </c>
      <c r="C25" s="1075">
        <v>433</v>
      </c>
      <c r="D25" s="1075">
        <v>345</v>
      </c>
      <c r="E25" s="1075">
        <v>260</v>
      </c>
      <c r="F25" s="1075">
        <v>420</v>
      </c>
      <c r="G25" s="1075">
        <v>433</v>
      </c>
      <c r="H25" s="1075">
        <v>420</v>
      </c>
      <c r="I25" s="1075">
        <v>360</v>
      </c>
      <c r="J25" s="1075">
        <v>0</v>
      </c>
      <c r="K25" s="1075">
        <v>290</v>
      </c>
      <c r="L25" s="1075">
        <v>433</v>
      </c>
      <c r="M25" s="1075">
        <v>420</v>
      </c>
      <c r="N25" s="1075">
        <v>433</v>
      </c>
      <c r="O25" s="625">
        <f>SUM(C25:N25)</f>
        <v>4247</v>
      </c>
    </row>
    <row r="26" spans="2:15" ht="5.25" customHeight="1">
      <c r="B26" s="614"/>
      <c r="C26" s="626"/>
      <c r="D26" s="627"/>
      <c r="E26" s="627"/>
      <c r="F26" s="627"/>
      <c r="G26" s="627"/>
      <c r="H26" s="627"/>
      <c r="I26" s="627"/>
      <c r="J26" s="627"/>
      <c r="K26" s="627"/>
      <c r="L26" s="627"/>
      <c r="M26" s="627"/>
      <c r="N26" s="627"/>
      <c r="O26" s="628"/>
    </row>
    <row r="27" spans="2:15" ht="14.25">
      <c r="B27" s="615" t="s">
        <v>761</v>
      </c>
      <c r="C27" s="1075">
        <v>628</v>
      </c>
      <c r="D27" s="1075">
        <v>587</v>
      </c>
      <c r="E27" s="1075">
        <v>628</v>
      </c>
      <c r="F27" s="1075">
        <v>609</v>
      </c>
      <c r="G27" s="1075">
        <v>122</v>
      </c>
      <c r="H27" s="1075">
        <v>609</v>
      </c>
      <c r="I27" s="1075">
        <v>628</v>
      </c>
      <c r="J27" s="1075">
        <v>628</v>
      </c>
      <c r="K27" s="1075">
        <v>609</v>
      </c>
      <c r="L27" s="1075">
        <v>628</v>
      </c>
      <c r="M27" s="1075">
        <v>40</v>
      </c>
      <c r="N27" s="1075">
        <v>284</v>
      </c>
      <c r="O27" s="625">
        <f>SUM(C27:N27)</f>
        <v>6000</v>
      </c>
    </row>
    <row r="28" spans="2:15" ht="5.25" customHeight="1">
      <c r="B28" s="614"/>
      <c r="C28" s="627"/>
      <c r="D28" s="627"/>
      <c r="E28" s="627"/>
      <c r="F28" s="627"/>
      <c r="G28" s="627"/>
      <c r="H28" s="627"/>
      <c r="I28" s="627"/>
      <c r="J28" s="627"/>
      <c r="K28" s="627"/>
      <c r="L28" s="627"/>
      <c r="M28" s="627"/>
      <c r="N28" s="627"/>
      <c r="O28" s="628"/>
    </row>
    <row r="29" spans="2:15" ht="14.25">
      <c r="B29" s="615" t="s">
        <v>753</v>
      </c>
      <c r="C29" s="1075">
        <v>1071</v>
      </c>
      <c r="D29" s="1075">
        <v>1016</v>
      </c>
      <c r="E29" s="1075">
        <v>982</v>
      </c>
      <c r="F29" s="1075">
        <v>792</v>
      </c>
      <c r="G29" s="1075">
        <v>755</v>
      </c>
      <c r="H29" s="1075">
        <v>634</v>
      </c>
      <c r="I29" s="1075">
        <v>640</v>
      </c>
      <c r="J29" s="1075">
        <v>655</v>
      </c>
      <c r="K29" s="1075">
        <v>766</v>
      </c>
      <c r="L29" s="1075">
        <v>818</v>
      </c>
      <c r="M29" s="1075">
        <v>987</v>
      </c>
      <c r="N29" s="1075">
        <v>1086</v>
      </c>
      <c r="O29" s="625">
        <f>SUM(C29:N29)</f>
        <v>10202</v>
      </c>
    </row>
    <row r="30" spans="2:15" ht="5.25" customHeight="1">
      <c r="B30" s="614"/>
      <c r="C30" s="626"/>
      <c r="D30" s="627"/>
      <c r="E30" s="627"/>
      <c r="F30" s="627"/>
      <c r="G30" s="627"/>
      <c r="H30" s="627"/>
      <c r="I30" s="627"/>
      <c r="J30" s="627"/>
      <c r="K30" s="627"/>
      <c r="L30" s="627"/>
      <c r="M30" s="627"/>
      <c r="N30" s="627"/>
      <c r="O30" s="628"/>
    </row>
    <row r="31" spans="2:15" ht="14.25">
      <c r="B31" s="615" t="s">
        <v>754</v>
      </c>
      <c r="C31" s="1075">
        <v>2229.7600000000002</v>
      </c>
      <c r="D31" s="1075">
        <v>1393.4</v>
      </c>
      <c r="E31" s="1075">
        <v>1489.48</v>
      </c>
      <c r="F31" s="1075">
        <v>1441.44</v>
      </c>
      <c r="G31" s="1075">
        <v>1204.53</v>
      </c>
      <c r="H31" s="1075">
        <v>1396.8</v>
      </c>
      <c r="I31" s="1075">
        <v>1429.97</v>
      </c>
      <c r="J31" s="1075">
        <v>970.18</v>
      </c>
      <c r="K31" s="1075">
        <v>1036.8</v>
      </c>
      <c r="L31" s="1075">
        <v>1971.44</v>
      </c>
      <c r="M31" s="1075">
        <v>1656.72</v>
      </c>
      <c r="N31" s="1075">
        <v>1489.48</v>
      </c>
      <c r="O31" s="625">
        <f>SUM(C31:N31)</f>
        <v>17710</v>
      </c>
    </row>
    <row r="32" spans="2:15" ht="5.25" customHeight="1">
      <c r="B32" s="614"/>
      <c r="C32" s="626"/>
      <c r="D32" s="627"/>
      <c r="E32" s="627"/>
      <c r="F32" s="627"/>
      <c r="G32" s="627"/>
      <c r="H32" s="627"/>
      <c r="I32" s="627"/>
      <c r="J32" s="627"/>
      <c r="K32" s="627"/>
      <c r="L32" s="627"/>
      <c r="M32" s="627"/>
      <c r="N32" s="627"/>
      <c r="O32" s="628"/>
    </row>
    <row r="33" spans="2:15" ht="14.25">
      <c r="B33" s="615" t="s">
        <v>1085</v>
      </c>
      <c r="C33" s="1075">
        <v>852.67</v>
      </c>
      <c r="D33" s="1075">
        <v>797.66</v>
      </c>
      <c r="E33" s="1075">
        <v>847.96</v>
      </c>
      <c r="F33" s="1075">
        <v>547.26</v>
      </c>
      <c r="G33" s="1075">
        <v>803.04</v>
      </c>
      <c r="H33" s="1075">
        <v>771.57</v>
      </c>
      <c r="I33" s="1075">
        <v>797.29</v>
      </c>
      <c r="J33" s="1075">
        <v>798.74</v>
      </c>
      <c r="K33" s="1075">
        <v>808.19</v>
      </c>
      <c r="L33" s="1075">
        <v>601.99</v>
      </c>
      <c r="M33" s="1075">
        <v>0</v>
      </c>
      <c r="N33" s="1075">
        <v>273.63</v>
      </c>
      <c r="O33" s="625">
        <f>SUM(C33:N33)</f>
        <v>7899.9999999999991</v>
      </c>
    </row>
    <row r="34" spans="2:15" ht="5.25" customHeight="1">
      <c r="B34" s="614"/>
      <c r="C34" s="627"/>
      <c r="D34" s="627"/>
      <c r="E34" s="627"/>
      <c r="F34" s="627"/>
      <c r="G34" s="627"/>
      <c r="H34" s="627"/>
      <c r="I34" s="627"/>
      <c r="J34" s="627"/>
      <c r="K34" s="627"/>
      <c r="L34" s="627"/>
      <c r="M34" s="627"/>
      <c r="N34" s="627"/>
      <c r="O34" s="628"/>
    </row>
    <row r="35" spans="2:15" ht="14.25">
      <c r="B35" s="615" t="s">
        <v>1655</v>
      </c>
      <c r="C35" s="1075">
        <v>0</v>
      </c>
      <c r="D35" s="1075">
        <v>0</v>
      </c>
      <c r="E35" s="1075">
        <v>0</v>
      </c>
      <c r="F35" s="1075">
        <v>0</v>
      </c>
      <c r="G35" s="1075">
        <v>0</v>
      </c>
      <c r="H35" s="1075">
        <v>7.2</v>
      </c>
      <c r="I35" s="1075">
        <v>8.93</v>
      </c>
      <c r="J35" s="1075">
        <v>11.9</v>
      </c>
      <c r="K35" s="1075">
        <v>32.4</v>
      </c>
      <c r="L35" s="1075">
        <v>34.22</v>
      </c>
      <c r="M35" s="1075">
        <v>72</v>
      </c>
      <c r="N35" s="1075">
        <v>333.35</v>
      </c>
      <c r="O35" s="625">
        <f>SUM(C35:N35)</f>
        <v>500</v>
      </c>
    </row>
    <row r="36" spans="2:15" ht="5.25" customHeight="1">
      <c r="B36" s="614"/>
      <c r="C36" s="627"/>
      <c r="D36" s="627"/>
      <c r="E36" s="627"/>
      <c r="F36" s="627"/>
      <c r="G36" s="627"/>
      <c r="H36" s="627"/>
      <c r="I36" s="627"/>
      <c r="J36" s="627"/>
      <c r="K36" s="627"/>
      <c r="L36" s="627"/>
      <c r="M36" s="627"/>
      <c r="N36" s="627"/>
      <c r="O36" s="628"/>
    </row>
    <row r="37" spans="2:15" ht="14.25">
      <c r="B37" s="615" t="s">
        <v>762</v>
      </c>
      <c r="C37" s="1075">
        <v>774</v>
      </c>
      <c r="D37" s="1075">
        <v>620</v>
      </c>
      <c r="E37" s="1075">
        <v>0</v>
      </c>
      <c r="F37" s="1075">
        <v>449</v>
      </c>
      <c r="G37" s="1075">
        <v>762</v>
      </c>
      <c r="H37" s="1075">
        <v>729</v>
      </c>
      <c r="I37" s="1075">
        <v>733</v>
      </c>
      <c r="J37" s="1075">
        <v>733</v>
      </c>
      <c r="K37" s="1075">
        <v>713</v>
      </c>
      <c r="L37" s="1075">
        <v>774</v>
      </c>
      <c r="M37" s="1075">
        <v>749</v>
      </c>
      <c r="N37" s="1075">
        <v>774</v>
      </c>
      <c r="O37" s="625">
        <f>SUM(C37:N37)</f>
        <v>7810</v>
      </c>
    </row>
    <row r="38" spans="2:15" ht="5.25" customHeight="1">
      <c r="B38" s="614"/>
      <c r="C38" s="626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8"/>
    </row>
    <row r="39" spans="2:15" ht="14.25">
      <c r="B39" s="615" t="s">
        <v>763</v>
      </c>
      <c r="C39" s="1075">
        <v>530</v>
      </c>
      <c r="D39" s="1075">
        <v>148</v>
      </c>
      <c r="E39" s="1075">
        <v>762</v>
      </c>
      <c r="F39" s="1075">
        <v>738</v>
      </c>
      <c r="G39" s="1075">
        <v>751</v>
      </c>
      <c r="H39" s="1075">
        <v>710</v>
      </c>
      <c r="I39" s="1075">
        <v>717</v>
      </c>
      <c r="J39" s="1075">
        <v>717</v>
      </c>
      <c r="K39" s="1075">
        <v>695</v>
      </c>
      <c r="L39" s="1075">
        <v>758</v>
      </c>
      <c r="M39" s="1075">
        <v>738</v>
      </c>
      <c r="N39" s="1075">
        <v>516</v>
      </c>
      <c r="O39" s="625">
        <f>SUM(C39:N39)</f>
        <v>7780</v>
      </c>
    </row>
    <row r="40" spans="2:15" ht="5.25" customHeight="1">
      <c r="B40" s="614"/>
      <c r="C40" s="626"/>
      <c r="D40" s="627"/>
      <c r="E40" s="627"/>
      <c r="F40" s="627"/>
      <c r="G40" s="627"/>
      <c r="H40" s="627"/>
      <c r="I40" s="627"/>
      <c r="J40" s="627"/>
      <c r="K40" s="627"/>
      <c r="L40" s="627"/>
      <c r="M40" s="627"/>
      <c r="N40" s="627"/>
      <c r="O40" s="628"/>
    </row>
    <row r="41" spans="2:15" ht="14.25">
      <c r="B41" s="615" t="s">
        <v>764</v>
      </c>
      <c r="C41" s="1075">
        <v>0</v>
      </c>
      <c r="D41" s="1075">
        <v>355</v>
      </c>
      <c r="E41" s="1075">
        <v>733</v>
      </c>
      <c r="F41" s="1075">
        <v>709</v>
      </c>
      <c r="G41" s="1075">
        <v>696</v>
      </c>
      <c r="H41" s="1075">
        <v>634</v>
      </c>
      <c r="I41" s="1075">
        <v>645</v>
      </c>
      <c r="J41" s="1075">
        <v>646</v>
      </c>
      <c r="K41" s="1075">
        <v>673</v>
      </c>
      <c r="L41" s="1075">
        <v>733</v>
      </c>
      <c r="M41" s="1075">
        <v>473</v>
      </c>
      <c r="N41" s="1075">
        <v>733</v>
      </c>
      <c r="O41" s="625">
        <f>SUM(C41:N41)</f>
        <v>7030</v>
      </c>
    </row>
    <row r="42" spans="2:15" ht="5.25" customHeight="1">
      <c r="B42" s="614"/>
      <c r="C42" s="626"/>
      <c r="D42" s="627"/>
      <c r="E42" s="627"/>
      <c r="F42" s="627"/>
      <c r="G42" s="627"/>
      <c r="H42" s="627"/>
      <c r="I42" s="627"/>
      <c r="J42" s="627"/>
      <c r="K42" s="627"/>
      <c r="L42" s="627"/>
      <c r="M42" s="627"/>
      <c r="N42" s="627"/>
      <c r="O42" s="628"/>
    </row>
    <row r="43" spans="2:15" ht="15" thickBot="1">
      <c r="B43" s="1079" t="s">
        <v>1084</v>
      </c>
      <c r="C43" s="1080">
        <v>763</v>
      </c>
      <c r="D43" s="1080">
        <v>713</v>
      </c>
      <c r="E43" s="1080">
        <v>763</v>
      </c>
      <c r="F43" s="1080">
        <v>702</v>
      </c>
      <c r="G43" s="1080">
        <v>691</v>
      </c>
      <c r="H43" s="1080">
        <v>629</v>
      </c>
      <c r="I43" s="1080">
        <v>643</v>
      </c>
      <c r="J43" s="1080">
        <v>643</v>
      </c>
      <c r="K43" s="1080">
        <v>665</v>
      </c>
      <c r="L43" s="1080">
        <v>763</v>
      </c>
      <c r="M43" s="1080">
        <v>492</v>
      </c>
      <c r="N43" s="1080">
        <v>763</v>
      </c>
      <c r="O43" s="1081">
        <f>SUM(C43:N43)</f>
        <v>8230</v>
      </c>
    </row>
    <row r="44" spans="2:15" ht="5.25" customHeight="1" thickBot="1">
      <c r="B44" s="614"/>
      <c r="C44" s="626"/>
      <c r="D44" s="627"/>
      <c r="E44" s="627"/>
      <c r="F44" s="627"/>
      <c r="G44" s="627"/>
      <c r="H44" s="627"/>
      <c r="I44" s="627"/>
      <c r="J44" s="627"/>
      <c r="K44" s="627"/>
      <c r="L44" s="627"/>
      <c r="M44" s="627"/>
      <c r="N44" s="627"/>
      <c r="O44" s="628"/>
    </row>
    <row r="45" spans="2:15" ht="14.25">
      <c r="B45" s="1076" t="s">
        <v>756</v>
      </c>
      <c r="C45" s="1077">
        <v>17.260000000000002</v>
      </c>
      <c r="D45" s="1077">
        <v>14.29</v>
      </c>
      <c r="E45" s="1077">
        <v>16.61</v>
      </c>
      <c r="F45" s="1077">
        <v>12.76</v>
      </c>
      <c r="G45" s="1077">
        <v>11.19</v>
      </c>
      <c r="H45" s="1077">
        <v>9.86</v>
      </c>
      <c r="I45" s="1077">
        <v>9.8000000000000007</v>
      </c>
      <c r="J45" s="1077">
        <v>9.81</v>
      </c>
      <c r="K45" s="1077">
        <v>11.97</v>
      </c>
      <c r="L45" s="1077">
        <v>13.61</v>
      </c>
      <c r="M45" s="1077">
        <v>15.98</v>
      </c>
      <c r="N45" s="1077">
        <v>17.86</v>
      </c>
      <c r="O45" s="1078">
        <f>SUM(C45:N45)</f>
        <v>161</v>
      </c>
    </row>
    <row r="46" spans="2:15" ht="5.25" customHeight="1">
      <c r="B46" s="614"/>
      <c r="C46" s="626"/>
      <c r="D46" s="627"/>
      <c r="E46" s="627"/>
      <c r="F46" s="627"/>
      <c r="G46" s="627"/>
      <c r="H46" s="627"/>
      <c r="I46" s="627"/>
      <c r="J46" s="627"/>
      <c r="K46" s="627"/>
      <c r="L46" s="627"/>
      <c r="M46" s="627"/>
      <c r="N46" s="627"/>
      <c r="O46" s="628"/>
    </row>
    <row r="47" spans="2:15" ht="15" thickBot="1">
      <c r="B47" s="1079" t="s">
        <v>1657</v>
      </c>
      <c r="C47" s="1080">
        <v>16.66</v>
      </c>
      <c r="D47" s="1080">
        <v>19.77</v>
      </c>
      <c r="E47" s="1080">
        <v>20.41</v>
      </c>
      <c r="F47" s="1080">
        <v>18.79</v>
      </c>
      <c r="G47" s="1080">
        <v>18.420000000000002</v>
      </c>
      <c r="H47" s="1080">
        <v>16.75</v>
      </c>
      <c r="I47" s="1080">
        <v>18.579999999999998</v>
      </c>
      <c r="J47" s="1080">
        <v>19.97</v>
      </c>
      <c r="K47" s="1080">
        <v>18.63</v>
      </c>
      <c r="L47" s="1080">
        <v>18.489999999999998</v>
      </c>
      <c r="M47" s="1080">
        <v>16.21</v>
      </c>
      <c r="N47" s="1080">
        <v>17.32</v>
      </c>
      <c r="O47" s="1081">
        <f>SUM(C47:N47)</f>
        <v>220</v>
      </c>
    </row>
    <row r="49" spans="2:15">
      <c r="B49" s="893" t="s">
        <v>1088</v>
      </c>
    </row>
    <row r="50" spans="2:15" ht="13.5" thickBot="1">
      <c r="B50" s="630" t="s">
        <v>1086</v>
      </c>
      <c r="C50" s="630">
        <v>31</v>
      </c>
      <c r="D50" s="894">
        <v>28</v>
      </c>
      <c r="E50" s="630">
        <v>31</v>
      </c>
      <c r="F50" s="630">
        <v>30</v>
      </c>
      <c r="G50" s="630">
        <v>31</v>
      </c>
      <c r="H50" s="630">
        <v>30</v>
      </c>
      <c r="I50" s="630">
        <v>31</v>
      </c>
      <c r="J50" s="630">
        <v>31</v>
      </c>
      <c r="K50" s="630">
        <v>30</v>
      </c>
      <c r="L50" s="630">
        <v>31</v>
      </c>
      <c r="M50" s="630">
        <v>30</v>
      </c>
      <c r="N50" s="630">
        <v>31</v>
      </c>
      <c r="O50" s="630"/>
    </row>
    <row r="51" spans="2:15">
      <c r="B51" s="892"/>
      <c r="C51" s="912" t="s">
        <v>1087</v>
      </c>
      <c r="D51" s="912" t="s">
        <v>20</v>
      </c>
      <c r="E51" s="912" t="s">
        <v>0</v>
      </c>
      <c r="F51" s="912" t="s">
        <v>21</v>
      </c>
      <c r="G51" s="912" t="s">
        <v>1</v>
      </c>
      <c r="H51" s="912" t="s">
        <v>2</v>
      </c>
      <c r="I51" s="912" t="s">
        <v>3</v>
      </c>
      <c r="J51" s="912" t="s">
        <v>22</v>
      </c>
      <c r="K51" s="912" t="s">
        <v>23</v>
      </c>
      <c r="L51" s="912" t="s">
        <v>24</v>
      </c>
      <c r="M51" s="912" t="s">
        <v>25</v>
      </c>
      <c r="N51" s="912" t="s">
        <v>26</v>
      </c>
      <c r="O51" s="913" t="s">
        <v>253</v>
      </c>
    </row>
    <row r="52" spans="2:15">
      <c r="B52" s="904" t="s">
        <v>1090</v>
      </c>
      <c r="C52" s="896">
        <f>Потребление!D57</f>
        <v>1276.385</v>
      </c>
      <c r="D52" s="896">
        <f>Потребление!E57</f>
        <v>1172.5219999999999</v>
      </c>
      <c r="E52" s="896">
        <f>Потребление!F57</f>
        <v>1184.193</v>
      </c>
      <c r="F52" s="896">
        <f>Потребление!G57</f>
        <v>1073.4090000000001</v>
      </c>
      <c r="G52" s="896">
        <f>Потребление!H57</f>
        <v>1006.587</v>
      </c>
      <c r="H52" s="896">
        <f>Потребление!I57</f>
        <v>918.19500000000005</v>
      </c>
      <c r="I52" s="896">
        <f>Потребление!J57</f>
        <v>893.14400000000001</v>
      </c>
      <c r="J52" s="896">
        <f>Потребление!K57</f>
        <v>927.66599999999994</v>
      </c>
      <c r="K52" s="896">
        <f>Потребление!L57</f>
        <v>983.45100000000014</v>
      </c>
      <c r="L52" s="896">
        <f>Потребление!M57</f>
        <v>1102.7339999999999</v>
      </c>
      <c r="M52" s="896">
        <f>Потребление!N57</f>
        <v>1161.7049999999999</v>
      </c>
      <c r="N52" s="896">
        <f>Потребление!O57</f>
        <v>1263.009</v>
      </c>
      <c r="O52" s="897">
        <f>SUM(C52:N52)</f>
        <v>12963</v>
      </c>
    </row>
    <row r="53" spans="2:15">
      <c r="B53" s="904" t="s">
        <v>1092</v>
      </c>
      <c r="C53" s="896">
        <f>-('корпоративный баланс энергии'!K25+'корпоративный баланс энергии'!K26)</f>
        <v>57</v>
      </c>
      <c r="D53" s="896">
        <f>-('корпоративный баланс энергии'!N25+'корпоративный баланс энергии'!N26)</f>
        <v>52</v>
      </c>
      <c r="E53" s="896">
        <f>-('корпоративный баланс энергии'!Q25+'корпоративный баланс энергии'!Q26)</f>
        <v>56.5</v>
      </c>
      <c r="F53" s="896">
        <f>-('корпоративный баланс энергии'!T25+'корпоративный баланс энергии'!T26)</f>
        <v>46.5</v>
      </c>
      <c r="G53" s="896">
        <f>-('корпоративный баланс энергии'!W25+'корпоративный баланс энергии'!W26)</f>
        <v>41.5</v>
      </c>
      <c r="H53" s="896">
        <f>-('корпоративный баланс энергии'!Z25+'корпоративный баланс энергии'!Z26)</f>
        <v>36.5</v>
      </c>
      <c r="I53" s="896">
        <f>-('корпоративный баланс энергии'!AC25+'корпоративный баланс энергии'!AC26)</f>
        <v>46.5</v>
      </c>
      <c r="J53" s="896">
        <f>-('корпоративный баланс энергии'!AF25+'корпоративный баланс энергии'!AF26)</f>
        <v>46.5</v>
      </c>
      <c r="K53" s="896">
        <f>-('корпоративный баланс энергии'!AI25+'корпоративный баланс энергии'!AI26)</f>
        <v>46.5</v>
      </c>
      <c r="L53" s="896">
        <f>-('корпоративный баланс энергии'!AL25+'корпоративный баланс энергии'!AL26)</f>
        <v>46.5</v>
      </c>
      <c r="M53" s="896">
        <f>-('корпоративный баланс энергии'!AO25+'корпоративный баланс энергии'!AO26)</f>
        <v>47</v>
      </c>
      <c r="N53" s="896">
        <f>-('корпоративный баланс энергии'!AR25+'корпоративный баланс энергии'!AR26)</f>
        <v>57</v>
      </c>
      <c r="O53" s="897">
        <f>SUM(C53:N53)</f>
        <v>580</v>
      </c>
    </row>
    <row r="54" spans="2:15">
      <c r="B54" s="904" t="s">
        <v>1091</v>
      </c>
      <c r="C54" s="896">
        <f>'корпоративный баланс энергии'!J946</f>
        <v>530</v>
      </c>
      <c r="D54" s="896">
        <f>'корпоративный баланс энергии'!M946</f>
        <v>490</v>
      </c>
      <c r="E54" s="896">
        <f>'корпоративный баланс энергии'!P946</f>
        <v>560</v>
      </c>
      <c r="F54" s="896">
        <f>'корпоративный баланс энергии'!S946</f>
        <v>560</v>
      </c>
      <c r="G54" s="896">
        <f>'корпоративный баланс энергии'!V946</f>
        <v>550</v>
      </c>
      <c r="H54" s="896">
        <f>'корпоративный баланс энергии'!Y946</f>
        <v>630</v>
      </c>
      <c r="I54" s="896">
        <f>'корпоративный баланс энергии'!AB946</f>
        <v>600</v>
      </c>
      <c r="J54" s="896">
        <f>'корпоративный баланс энергии'!AE946</f>
        <v>560</v>
      </c>
      <c r="K54" s="896">
        <f>'корпоративный баланс энергии'!AH946</f>
        <v>520</v>
      </c>
      <c r="L54" s="896">
        <f>'корпоративный баланс энергии'!AK946</f>
        <v>530</v>
      </c>
      <c r="M54" s="896">
        <f>'корпоративный баланс энергии'!AN946</f>
        <v>540</v>
      </c>
      <c r="N54" s="896">
        <f>'корпоративный баланс энергии'!AQ946</f>
        <v>530</v>
      </c>
      <c r="O54" s="897">
        <f t="shared" ref="O54:O60" si="1">SUM(C54:N54)</f>
        <v>6600</v>
      </c>
    </row>
    <row r="55" spans="2:15">
      <c r="B55" s="904" t="s">
        <v>1093</v>
      </c>
      <c r="C55" s="896">
        <f>'корпоративный баланс энергии'!J945</f>
        <v>59.97</v>
      </c>
      <c r="D55" s="896">
        <f>'корпоративный баланс энергии'!M945</f>
        <v>56.37</v>
      </c>
      <c r="E55" s="896">
        <f>'корпоративный баланс энергии'!P945</f>
        <v>65.78</v>
      </c>
      <c r="F55" s="896">
        <f>'корпоративный баланс энергии'!S945</f>
        <v>45.64</v>
      </c>
      <c r="G55" s="896">
        <f>'корпоративный баланс энергии'!V945</f>
        <v>28.28</v>
      </c>
      <c r="H55" s="896">
        <f>'корпоративный баланс энергии'!Y945</f>
        <v>12.24</v>
      </c>
      <c r="I55" s="896">
        <f>'корпоративный баланс энергии'!AB945</f>
        <v>11.9</v>
      </c>
      <c r="J55" s="896">
        <f>'корпоративный баланс энергии'!AE945</f>
        <v>12.65</v>
      </c>
      <c r="K55" s="896">
        <f>'корпоративный баланс энергии'!AH945</f>
        <v>19.8</v>
      </c>
      <c r="L55" s="896">
        <f>'корпоративный баланс энергии'!AK945</f>
        <v>39.710000000000008</v>
      </c>
      <c r="M55" s="896">
        <f>'корпоративный баланс энергии'!AN945</f>
        <v>58.24</v>
      </c>
      <c r="N55" s="896">
        <f>'корпоративный баланс энергии'!AQ945</f>
        <v>58.48</v>
      </c>
      <c r="O55" s="897">
        <f t="shared" si="1"/>
        <v>469.05999999999995</v>
      </c>
    </row>
    <row r="56" spans="2:15">
      <c r="B56" s="895"/>
      <c r="C56" s="898"/>
      <c r="D56" s="898"/>
      <c r="E56" s="898"/>
      <c r="F56" s="898"/>
      <c r="G56" s="898"/>
      <c r="H56" s="898"/>
      <c r="I56" s="898"/>
      <c r="J56" s="898"/>
      <c r="K56" s="898"/>
      <c r="L56" s="898"/>
      <c r="M56" s="898"/>
      <c r="N56" s="898"/>
      <c r="O56" s="899"/>
    </row>
    <row r="57" spans="2:15">
      <c r="B57" s="905" t="s">
        <v>1094</v>
      </c>
      <c r="C57" s="900">
        <v>600</v>
      </c>
      <c r="D57" s="900">
        <v>600</v>
      </c>
      <c r="E57" s="900">
        <v>600</v>
      </c>
      <c r="F57" s="900">
        <v>600</v>
      </c>
      <c r="G57" s="900">
        <v>600</v>
      </c>
      <c r="H57" s="900">
        <v>600</v>
      </c>
      <c r="I57" s="900">
        <v>600</v>
      </c>
      <c r="J57" s="900">
        <v>600</v>
      </c>
      <c r="K57" s="900">
        <v>600</v>
      </c>
      <c r="L57" s="900">
        <v>600</v>
      </c>
      <c r="M57" s="900">
        <v>600</v>
      </c>
      <c r="N57" s="900">
        <v>600</v>
      </c>
      <c r="O57" s="899"/>
    </row>
    <row r="58" spans="2:15">
      <c r="B58" s="905" t="s">
        <v>1095</v>
      </c>
      <c r="C58" s="901">
        <f t="shared" ref="C58:N58" si="2">(C57*24*C50)/1000</f>
        <v>446.4</v>
      </c>
      <c r="D58" s="901">
        <f t="shared" si="2"/>
        <v>403.2</v>
      </c>
      <c r="E58" s="901">
        <f t="shared" si="2"/>
        <v>446.4</v>
      </c>
      <c r="F58" s="901">
        <f t="shared" si="2"/>
        <v>432</v>
      </c>
      <c r="G58" s="901">
        <f t="shared" si="2"/>
        <v>446.4</v>
      </c>
      <c r="H58" s="901">
        <f t="shared" si="2"/>
        <v>432</v>
      </c>
      <c r="I58" s="901">
        <f t="shared" si="2"/>
        <v>446.4</v>
      </c>
      <c r="J58" s="901">
        <f t="shared" si="2"/>
        <v>446.4</v>
      </c>
      <c r="K58" s="901">
        <f t="shared" si="2"/>
        <v>432</v>
      </c>
      <c r="L58" s="901">
        <f t="shared" si="2"/>
        <v>446.4</v>
      </c>
      <c r="M58" s="901">
        <f t="shared" si="2"/>
        <v>432</v>
      </c>
      <c r="N58" s="901">
        <f t="shared" si="2"/>
        <v>446.4</v>
      </c>
      <c r="O58" s="897">
        <f t="shared" si="1"/>
        <v>5256</v>
      </c>
    </row>
    <row r="59" spans="2:15" ht="25.5">
      <c r="B59" s="906" t="s">
        <v>1096</v>
      </c>
      <c r="C59" s="896">
        <f t="shared" ref="C59:N59" si="3">C58+C53</f>
        <v>503.4</v>
      </c>
      <c r="D59" s="896">
        <f t="shared" si="3"/>
        <v>455.2</v>
      </c>
      <c r="E59" s="896">
        <f t="shared" si="3"/>
        <v>502.9</v>
      </c>
      <c r="F59" s="896">
        <f t="shared" si="3"/>
        <v>478.5</v>
      </c>
      <c r="G59" s="896">
        <f t="shared" si="3"/>
        <v>487.9</v>
      </c>
      <c r="H59" s="896">
        <f t="shared" si="3"/>
        <v>468.5</v>
      </c>
      <c r="I59" s="896">
        <f t="shared" si="3"/>
        <v>492.9</v>
      </c>
      <c r="J59" s="896">
        <f t="shared" si="3"/>
        <v>492.9</v>
      </c>
      <c r="K59" s="896">
        <f t="shared" si="3"/>
        <v>478.5</v>
      </c>
      <c r="L59" s="896">
        <f t="shared" si="3"/>
        <v>492.9</v>
      </c>
      <c r="M59" s="896">
        <f t="shared" si="3"/>
        <v>479</v>
      </c>
      <c r="N59" s="896">
        <f t="shared" si="3"/>
        <v>503.4</v>
      </c>
      <c r="O59" s="897">
        <f t="shared" si="1"/>
        <v>5836</v>
      </c>
    </row>
    <row r="60" spans="2:15" ht="13.5" thickBot="1">
      <c r="B60" s="907" t="s">
        <v>1097</v>
      </c>
      <c r="C60" s="902">
        <f t="shared" ref="C60:N60" si="4">(C52+C59)-C54-C55</f>
        <v>1189.8149999999998</v>
      </c>
      <c r="D60" s="902">
        <f t="shared" si="4"/>
        <v>1081.3520000000001</v>
      </c>
      <c r="E60" s="902">
        <f t="shared" si="4"/>
        <v>1061.3129999999999</v>
      </c>
      <c r="F60" s="902">
        <f t="shared" si="4"/>
        <v>946.26900000000012</v>
      </c>
      <c r="G60" s="902">
        <f t="shared" si="4"/>
        <v>916.20700000000011</v>
      </c>
      <c r="H60" s="902">
        <f t="shared" si="4"/>
        <v>744.45500000000015</v>
      </c>
      <c r="I60" s="902">
        <f t="shared" si="4"/>
        <v>774.14399999999989</v>
      </c>
      <c r="J60" s="902">
        <f t="shared" si="4"/>
        <v>847.91599999999983</v>
      </c>
      <c r="K60" s="902">
        <f t="shared" si="4"/>
        <v>922.15100000000007</v>
      </c>
      <c r="L60" s="902">
        <f t="shared" si="4"/>
        <v>1025.924</v>
      </c>
      <c r="M60" s="902">
        <f t="shared" si="4"/>
        <v>1042.4649999999999</v>
      </c>
      <c r="N60" s="902">
        <f t="shared" si="4"/>
        <v>1177.9290000000001</v>
      </c>
      <c r="O60" s="903">
        <f t="shared" si="1"/>
        <v>11729.940000000002</v>
      </c>
    </row>
    <row r="61" spans="2:15" ht="13.5" thickBot="1">
      <c r="B61" s="908" t="s">
        <v>1089</v>
      </c>
      <c r="C61" s="953">
        <f t="shared" ref="C61:N61" si="5">C29-C60</f>
        <v>-118.81499999999983</v>
      </c>
      <c r="D61" s="953">
        <f t="shared" si="5"/>
        <v>-65.352000000000089</v>
      </c>
      <c r="E61" s="953">
        <f t="shared" si="5"/>
        <v>-79.312999999999874</v>
      </c>
      <c r="F61" s="953">
        <f t="shared" si="5"/>
        <v>-154.26900000000012</v>
      </c>
      <c r="G61" s="953">
        <f t="shared" si="5"/>
        <v>-161.20700000000011</v>
      </c>
      <c r="H61" s="953">
        <f t="shared" si="5"/>
        <v>-110.45500000000015</v>
      </c>
      <c r="I61" s="953">
        <f t="shared" si="5"/>
        <v>-134.14399999999989</v>
      </c>
      <c r="J61" s="953">
        <f t="shared" si="5"/>
        <v>-192.91599999999983</v>
      </c>
      <c r="K61" s="953">
        <f t="shared" si="5"/>
        <v>-156.15100000000007</v>
      </c>
      <c r="L61" s="953">
        <f t="shared" si="5"/>
        <v>-207.92399999999998</v>
      </c>
      <c r="M61" s="911">
        <f t="shared" si="5"/>
        <v>-55.464999999999918</v>
      </c>
      <c r="N61" s="910">
        <f t="shared" si="5"/>
        <v>-91.929000000000087</v>
      </c>
      <c r="O61" s="909"/>
    </row>
  </sheetData>
  <mergeCells count="3">
    <mergeCell ref="B4:B5"/>
    <mergeCell ref="C4:O4"/>
    <mergeCell ref="B2:O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201"/>
  <sheetViews>
    <sheetView zoomScale="90" zoomScaleNormal="90" workbookViewId="0">
      <pane xSplit="2" ySplit="5" topLeftCell="C57" activePane="bottomRight" state="frozen"/>
      <selection pane="topRight" activeCell="C1" sqref="C1"/>
      <selection pane="bottomLeft" activeCell="A6" sqref="A6"/>
      <selection pane="bottomRight" activeCell="C74" sqref="C74"/>
    </sheetView>
  </sheetViews>
  <sheetFormatPr defaultRowHeight="12.75"/>
  <cols>
    <col min="1" max="1" width="4.1640625" style="179" customWidth="1"/>
    <col min="2" max="2" width="99.83203125" style="631" customWidth="1"/>
    <col min="3" max="5" width="10.83203125" style="632" customWidth="1"/>
    <col min="6" max="6" width="10.83203125" style="633" customWidth="1"/>
    <col min="7" max="10" width="10.83203125" style="634" customWidth="1"/>
    <col min="11" max="18" width="10.83203125" style="630" customWidth="1"/>
    <col min="19" max="23" width="11.83203125" style="630" customWidth="1"/>
    <col min="24" max="16384" width="9.33203125" style="630"/>
  </cols>
  <sheetData>
    <row r="2" spans="2:23" ht="18.75">
      <c r="B2" s="1235" t="s">
        <v>1521</v>
      </c>
      <c r="C2" s="1235"/>
      <c r="D2" s="1235"/>
      <c r="E2" s="1235"/>
      <c r="F2" s="1235"/>
      <c r="G2" s="1235"/>
      <c r="H2" s="1235"/>
      <c r="I2" s="1235"/>
      <c r="J2" s="1235"/>
      <c r="K2" s="1235"/>
      <c r="L2" s="1235"/>
      <c r="M2" s="1235"/>
      <c r="N2" s="1235"/>
      <c r="O2" s="1235"/>
      <c r="P2" s="1235"/>
      <c r="Q2" s="1235"/>
      <c r="R2" s="1235"/>
      <c r="S2" s="1235"/>
      <c r="T2" s="1235"/>
      <c r="U2" s="1235"/>
      <c r="V2" s="1235"/>
      <c r="W2" s="1235"/>
    </row>
    <row r="3" spans="2:23" ht="13.5" thickBot="1"/>
    <row r="4" spans="2:23" ht="13.5" customHeight="1">
      <c r="B4" s="1227" t="s">
        <v>766</v>
      </c>
      <c r="C4" s="1229" t="s">
        <v>72</v>
      </c>
      <c r="D4" s="1229" t="s">
        <v>73</v>
      </c>
      <c r="E4" s="1231" t="s">
        <v>74</v>
      </c>
      <c r="F4" s="1233" t="s">
        <v>767</v>
      </c>
      <c r="G4" s="1229" t="s">
        <v>76</v>
      </c>
      <c r="H4" s="1231" t="s">
        <v>77</v>
      </c>
      <c r="I4" s="1231" t="s">
        <v>78</v>
      </c>
      <c r="J4" s="1225" t="s">
        <v>833</v>
      </c>
      <c r="K4" s="1229" t="s">
        <v>79</v>
      </c>
      <c r="L4" s="1231" t="s">
        <v>80</v>
      </c>
      <c r="M4" s="1231" t="s">
        <v>81</v>
      </c>
      <c r="N4" s="1225" t="s">
        <v>834</v>
      </c>
      <c r="O4" s="1229" t="s">
        <v>835</v>
      </c>
      <c r="P4" s="1231" t="s">
        <v>83</v>
      </c>
      <c r="Q4" s="1231" t="s">
        <v>84</v>
      </c>
      <c r="R4" s="1225" t="s">
        <v>836</v>
      </c>
      <c r="S4" s="1236" t="s">
        <v>837</v>
      </c>
      <c r="T4" s="1237"/>
      <c r="U4" s="1237"/>
      <c r="V4" s="1237"/>
      <c r="W4" s="1238"/>
    </row>
    <row r="5" spans="2:23" ht="13.5" thickBot="1">
      <c r="B5" s="1228"/>
      <c r="C5" s="1230"/>
      <c r="D5" s="1230"/>
      <c r="E5" s="1232"/>
      <c r="F5" s="1234"/>
      <c r="G5" s="1230"/>
      <c r="H5" s="1232"/>
      <c r="I5" s="1232"/>
      <c r="J5" s="1226"/>
      <c r="K5" s="1230"/>
      <c r="L5" s="1232"/>
      <c r="M5" s="1232"/>
      <c r="N5" s="1226"/>
      <c r="O5" s="1230"/>
      <c r="P5" s="1232"/>
      <c r="Q5" s="1232"/>
      <c r="R5" s="1226"/>
      <c r="S5" s="760" t="s">
        <v>767</v>
      </c>
      <c r="T5" s="761" t="s">
        <v>833</v>
      </c>
      <c r="U5" s="761" t="s">
        <v>834</v>
      </c>
      <c r="V5" s="761" t="s">
        <v>836</v>
      </c>
      <c r="W5" s="762" t="s">
        <v>253</v>
      </c>
    </row>
    <row r="6" spans="2:23" ht="15" thickBot="1">
      <c r="B6" s="768" t="s">
        <v>32</v>
      </c>
      <c r="C6" s="769">
        <f>SUM(C8,C24,C36,C51,C111,C176,C194)</f>
        <v>13708.011905876312</v>
      </c>
      <c r="D6" s="770">
        <f>SUM(D8,D24,D36,D51,D111,D176,D194)</f>
        <v>12414.793117391879</v>
      </c>
      <c r="E6" s="770">
        <f>SUM(E8,E24,E36,E51,E111,E176,E194)</f>
        <v>13493.694258826672</v>
      </c>
      <c r="F6" s="771">
        <f>SUM(C6:E6)</f>
        <v>39616.499282094868</v>
      </c>
      <c r="G6" s="769">
        <f>SUM(G8,G24,G36,G51,G111,G176,G194)</f>
        <v>14145.796550826832</v>
      </c>
      <c r="H6" s="770">
        <f>SUM(H8,H24,H36,H51,H111,H176,H194)</f>
        <v>17654.615811186373</v>
      </c>
      <c r="I6" s="770">
        <f>SUM(I8,I24,I36,I51,I111,I176,I194)</f>
        <v>17195.829635109538</v>
      </c>
      <c r="J6" s="771">
        <f>SUM(G6:I6)</f>
        <v>48996.241997122743</v>
      </c>
      <c r="K6" s="769">
        <f>SUM(K8,K24,K36,K51,K111,K176,K194)</f>
        <v>16729.048267056365</v>
      </c>
      <c r="L6" s="770">
        <f>SUM(L8,L24,L36,L51,L111,L176,L194)</f>
        <v>16418.868572600481</v>
      </c>
      <c r="M6" s="770">
        <f>SUM(M8,M24,M36,M51,M111,M176,M194)</f>
        <v>15813.421840641795</v>
      </c>
      <c r="N6" s="771">
        <f>SUM(K6:M6)</f>
        <v>48961.338680298635</v>
      </c>
      <c r="O6" s="769">
        <f>SUM(O8,O24,O36,O51,O111,O176,O194)</f>
        <v>15714.94619497619</v>
      </c>
      <c r="P6" s="770">
        <f>SUM(P8,P24,P36,P51,P111,P176,P194)</f>
        <v>13833.316616601</v>
      </c>
      <c r="Q6" s="770">
        <f>SUM(Q8,Q24,Q36,Q51,Q111,Q176,Q194)</f>
        <v>14025.926960770015</v>
      </c>
      <c r="R6" s="771">
        <f>SUM(O6:Q6)</f>
        <v>43574.189772347207</v>
      </c>
      <c r="S6" s="772">
        <f>SUM(S8,S24,S36,S51,S111,S176,S194)</f>
        <v>39616.499282094868</v>
      </c>
      <c r="T6" s="770">
        <f>SUM(T8,T24,T36,T51,T111,T176,T194)</f>
        <v>48996.24199712275</v>
      </c>
      <c r="U6" s="770">
        <f>SUM(U8,U24,U36,U51,U111,U176,U194)</f>
        <v>48961.338680298642</v>
      </c>
      <c r="V6" s="770">
        <f>SUM(V8,V24,V36,V51,V111,V176,V194)</f>
        <v>43574.189772347207</v>
      </c>
      <c r="W6" s="773">
        <f>SUM(S6:V6)</f>
        <v>181148.26973186346</v>
      </c>
    </row>
    <row r="7" spans="2:23" ht="4.5" customHeight="1" thickBot="1">
      <c r="B7" s="635"/>
      <c r="C7" s="640"/>
      <c r="D7" s="640"/>
      <c r="E7" s="641"/>
      <c r="F7" s="642"/>
      <c r="G7" s="640"/>
      <c r="H7" s="640"/>
      <c r="I7" s="640"/>
      <c r="J7" s="642"/>
      <c r="K7" s="640"/>
      <c r="L7" s="640"/>
      <c r="M7" s="641"/>
      <c r="N7" s="642"/>
      <c r="O7" s="640"/>
      <c r="P7" s="640"/>
      <c r="Q7" s="641"/>
      <c r="R7" s="642"/>
      <c r="S7" s="643"/>
      <c r="T7" s="641"/>
      <c r="U7" s="641"/>
      <c r="V7" s="644"/>
      <c r="W7" s="645"/>
    </row>
    <row r="8" spans="2:23" ht="15" thickBot="1">
      <c r="B8" s="768" t="s">
        <v>768</v>
      </c>
      <c r="C8" s="769">
        <f>SUM(C9,C12,C16,C18,C21)</f>
        <v>290.51875487988281</v>
      </c>
      <c r="D8" s="769">
        <f t="shared" ref="D8:E8" si="0">SUM(D9,D12,D16,D18,D21)</f>
        <v>271.8334577241211</v>
      </c>
      <c r="E8" s="769">
        <f t="shared" si="0"/>
        <v>290.50785154736332</v>
      </c>
      <c r="F8" s="771">
        <f t="shared" ref="F8:F20" si="1">SUM(C8:E8)</f>
        <v>852.86006415136717</v>
      </c>
      <c r="G8" s="769">
        <f>SUM(G9,G12,G16,G18,G21)</f>
        <v>295.57849900634767</v>
      </c>
      <c r="H8" s="769">
        <f t="shared" ref="H8" si="2">SUM(H9,H12,H16,H18,H21)</f>
        <v>292.6691987441406</v>
      </c>
      <c r="I8" s="769">
        <f t="shared" ref="I8" si="3">SUM(I9,I12,I16,I18,I21)</f>
        <v>262.11118886474605</v>
      </c>
      <c r="J8" s="771">
        <f t="shared" ref="J8:J20" si="4">SUM(G8:I8)</f>
        <v>850.35888661523427</v>
      </c>
      <c r="K8" s="769">
        <f>SUM(K9,K12,K16,K18,K21)</f>
        <v>284.55508676464842</v>
      </c>
      <c r="L8" s="769">
        <f t="shared" ref="L8" si="5">SUM(L9,L12,L16,L18,L21)</f>
        <v>243.82203917480467</v>
      </c>
      <c r="M8" s="769">
        <f t="shared" ref="M8" si="6">SUM(M9,M12,M16,M18,M21)</f>
        <v>266.8971159301758</v>
      </c>
      <c r="N8" s="771">
        <f t="shared" ref="N8:N20" si="7">SUM(K8:M8)</f>
        <v>795.2742418696289</v>
      </c>
      <c r="O8" s="769">
        <f>SUM(O9,O12,O16,O18,O21)</f>
        <v>281.15246371826174</v>
      </c>
      <c r="P8" s="769">
        <f t="shared" ref="P8" si="8">SUM(P9,P12,P16,P18,P21)</f>
        <v>277.05992846679686</v>
      </c>
      <c r="Q8" s="769">
        <f t="shared" ref="Q8" si="9">SUM(Q9,Q12,Q16,Q18,Q21)</f>
        <v>294.59873977246093</v>
      </c>
      <c r="R8" s="771">
        <f t="shared" ref="R8:R20" si="10">SUM(O8:Q8)</f>
        <v>852.81113195751959</v>
      </c>
      <c r="S8" s="769">
        <f t="shared" ref="S8:V8" si="11">SUM(S9,S12,S16,S18,S21)</f>
        <v>852.86006415136717</v>
      </c>
      <c r="T8" s="769">
        <f t="shared" si="11"/>
        <v>850.35888661523438</v>
      </c>
      <c r="U8" s="769">
        <f t="shared" si="11"/>
        <v>795.2742418696289</v>
      </c>
      <c r="V8" s="769">
        <f t="shared" si="11"/>
        <v>852.81113195751959</v>
      </c>
      <c r="W8" s="773">
        <f>SUM(S8:V8)</f>
        <v>3351.3043245937502</v>
      </c>
    </row>
    <row r="9" spans="2:23">
      <c r="B9" s="782" t="s">
        <v>7</v>
      </c>
      <c r="C9" s="983">
        <f>SUM(C10:C11)</f>
        <v>8.9</v>
      </c>
      <c r="D9" s="984">
        <f>SUM(D10:D11)</f>
        <v>8.8000000000000007</v>
      </c>
      <c r="E9" s="985">
        <f>SUM(E10:E11)</f>
        <v>8.8000000000000007</v>
      </c>
      <c r="F9" s="750">
        <f t="shared" si="1"/>
        <v>26.500000000000004</v>
      </c>
      <c r="G9" s="983">
        <f>SUM(G10:G11)</f>
        <v>10.9</v>
      </c>
      <c r="H9" s="984">
        <f>SUM(H10:H11)</f>
        <v>18.2</v>
      </c>
      <c r="I9" s="984">
        <f>SUM(I10:I11)</f>
        <v>7.9</v>
      </c>
      <c r="J9" s="750">
        <f t="shared" si="4"/>
        <v>37</v>
      </c>
      <c r="K9" s="983">
        <f>SUM(K10:K11)</f>
        <v>1.8</v>
      </c>
      <c r="L9" s="984">
        <f>SUM(L10:L11)</f>
        <v>1.8</v>
      </c>
      <c r="M9" s="985">
        <f>SUM(M10:M11)</f>
        <v>3.8</v>
      </c>
      <c r="N9" s="750">
        <f t="shared" si="7"/>
        <v>7.4</v>
      </c>
      <c r="O9" s="983">
        <f>SUM(O10:O11)</f>
        <v>9</v>
      </c>
      <c r="P9" s="984">
        <f>SUM(P10:P11)</f>
        <v>7</v>
      </c>
      <c r="Q9" s="985">
        <f>SUM(Q10:Q11)</f>
        <v>11.1</v>
      </c>
      <c r="R9" s="750">
        <f t="shared" si="10"/>
        <v>27.1</v>
      </c>
      <c r="S9" s="751">
        <f>SUM(S10:S11)</f>
        <v>26.5</v>
      </c>
      <c r="T9" s="749">
        <f>SUM(T10:T11)</f>
        <v>37</v>
      </c>
      <c r="U9" s="749">
        <f>SUM(U10:U11)</f>
        <v>7.4</v>
      </c>
      <c r="V9" s="749">
        <f>SUM(V10:V11)</f>
        <v>27.1</v>
      </c>
      <c r="W9" s="752">
        <f>SUM(S9:V9)</f>
        <v>98</v>
      </c>
    </row>
    <row r="10" spans="2:23">
      <c r="B10" s="914" t="s">
        <v>769</v>
      </c>
      <c r="C10" s="648">
        <f>'корпоративный баланс энергии'!J125</f>
        <v>0.9</v>
      </c>
      <c r="D10" s="648">
        <f>'корпоративный баланс энергии'!M125</f>
        <v>0.8</v>
      </c>
      <c r="E10" s="649">
        <f>'корпоративный баланс энергии'!P125</f>
        <v>0.8</v>
      </c>
      <c r="F10" s="646">
        <f t="shared" si="1"/>
        <v>2.5</v>
      </c>
      <c r="G10" s="648">
        <f>'корпоративный баланс энергии'!S125</f>
        <v>0.9</v>
      </c>
      <c r="H10" s="648">
        <f>'корпоративный баланс энергии'!V125</f>
        <v>1.2</v>
      </c>
      <c r="I10" s="648">
        <f>'корпоративный баланс энергии'!Y125</f>
        <v>0.9</v>
      </c>
      <c r="J10" s="646">
        <f t="shared" si="4"/>
        <v>3</v>
      </c>
      <c r="K10" s="648">
        <f>'корпоративный баланс энергии'!AB125</f>
        <v>0.8</v>
      </c>
      <c r="L10" s="648">
        <f>'корпоративный баланс энергии'!AE125</f>
        <v>0.8</v>
      </c>
      <c r="M10" s="649">
        <f>'корпоративный баланс энергии'!AH125</f>
        <v>0.8</v>
      </c>
      <c r="N10" s="646">
        <f t="shared" si="7"/>
        <v>2.4000000000000004</v>
      </c>
      <c r="O10" s="648">
        <f>'корпоративный баланс энергии'!AK125</f>
        <v>1</v>
      </c>
      <c r="P10" s="648">
        <f>'корпоративный баланс энергии'!AN125</f>
        <v>1</v>
      </c>
      <c r="Q10" s="649">
        <f>'корпоративный баланс энергии'!AQ125</f>
        <v>1.1000000000000001</v>
      </c>
      <c r="R10" s="646">
        <f t="shared" si="10"/>
        <v>3.1</v>
      </c>
      <c r="S10" s="650">
        <f>F10</f>
        <v>2.5</v>
      </c>
      <c r="T10" s="651">
        <f>J10</f>
        <v>3</v>
      </c>
      <c r="U10" s="651">
        <f>N10</f>
        <v>2.4000000000000004</v>
      </c>
      <c r="V10" s="651">
        <f>R10</f>
        <v>3.1</v>
      </c>
      <c r="W10" s="647">
        <f t="shared" ref="W10:W22" si="12">SUM(S10:V10)</f>
        <v>11</v>
      </c>
    </row>
    <row r="11" spans="2:23">
      <c r="B11" s="914" t="s">
        <v>770</v>
      </c>
      <c r="C11" s="667">
        <f>'корпоративный баланс энергии'!J126</f>
        <v>8</v>
      </c>
      <c r="D11" s="667">
        <f>'корпоративный баланс энергии'!M126</f>
        <v>8</v>
      </c>
      <c r="E11" s="668">
        <f>'корпоративный баланс энергии'!P126</f>
        <v>8</v>
      </c>
      <c r="F11" s="663">
        <f t="shared" si="1"/>
        <v>24</v>
      </c>
      <c r="G11" s="667">
        <f>'корпоративный баланс энергии'!S126</f>
        <v>10</v>
      </c>
      <c r="H11" s="667">
        <f>'корпоративный баланс энергии'!V126</f>
        <v>17</v>
      </c>
      <c r="I11" s="667">
        <f>'корпоративный баланс энергии'!Y126</f>
        <v>7</v>
      </c>
      <c r="J11" s="663">
        <f t="shared" si="4"/>
        <v>34</v>
      </c>
      <c r="K11" s="667">
        <f>'корпоративный баланс энергии'!AB126</f>
        <v>1</v>
      </c>
      <c r="L11" s="667">
        <f>'корпоративный баланс энергии'!AE126</f>
        <v>1</v>
      </c>
      <c r="M11" s="668">
        <f>'корпоративный баланс энергии'!AH126</f>
        <v>3</v>
      </c>
      <c r="N11" s="663">
        <f t="shared" si="7"/>
        <v>5</v>
      </c>
      <c r="O11" s="667">
        <f>'корпоративный баланс энергии'!AK126</f>
        <v>8</v>
      </c>
      <c r="P11" s="667">
        <f>'корпоративный баланс энергии'!AN126</f>
        <v>6</v>
      </c>
      <c r="Q11" s="668">
        <f>'корпоративный баланс энергии'!AQ126</f>
        <v>10</v>
      </c>
      <c r="R11" s="663">
        <f t="shared" si="10"/>
        <v>24</v>
      </c>
      <c r="S11" s="664">
        <f>F11</f>
        <v>24</v>
      </c>
      <c r="T11" s="665">
        <f>J11</f>
        <v>34</v>
      </c>
      <c r="U11" s="665">
        <f>N11</f>
        <v>5</v>
      </c>
      <c r="V11" s="665">
        <f>R11</f>
        <v>24</v>
      </c>
      <c r="W11" s="666">
        <f t="shared" si="12"/>
        <v>87</v>
      </c>
    </row>
    <row r="12" spans="2:23">
      <c r="B12" s="783" t="s">
        <v>771</v>
      </c>
      <c r="C12" s="743">
        <f>SUM(C13:C15)</f>
        <v>178.82982799999999</v>
      </c>
      <c r="D12" s="743">
        <f>SUM(D13:D15)</f>
        <v>164.091003</v>
      </c>
      <c r="E12" s="744">
        <f>SUM(E13:E15)</f>
        <v>174.26915299999999</v>
      </c>
      <c r="F12" s="745">
        <f t="shared" si="1"/>
        <v>517.18998399999998</v>
      </c>
      <c r="G12" s="743">
        <f>SUM(G13:G15)</f>
        <v>169.13423</v>
      </c>
      <c r="H12" s="743">
        <f>SUM(H13:H15)</f>
        <v>158.73238599999999</v>
      </c>
      <c r="I12" s="743">
        <f>SUM(I13:I15)</f>
        <v>147.48983999999999</v>
      </c>
      <c r="J12" s="745">
        <f t="shared" si="4"/>
        <v>475.35645599999998</v>
      </c>
      <c r="K12" s="743">
        <f>SUM(K13:K15)</f>
        <v>177.230728</v>
      </c>
      <c r="L12" s="743">
        <f>SUM(L13:L15)</f>
        <v>139.07386</v>
      </c>
      <c r="M12" s="744">
        <f>SUM(M13:M15)</f>
        <v>167.87289999999999</v>
      </c>
      <c r="N12" s="745">
        <f t="shared" si="7"/>
        <v>484.17748799999993</v>
      </c>
      <c r="O12" s="743">
        <f>SUM(O13:O15)</f>
        <v>179.45299</v>
      </c>
      <c r="P12" s="743">
        <f>SUM(P13:P15)</f>
        <v>176.58179999999999</v>
      </c>
      <c r="Q12" s="744">
        <f>SUM(Q13:Q15)</f>
        <v>182.50074799999999</v>
      </c>
      <c r="R12" s="745">
        <f t="shared" si="10"/>
        <v>538.53553799999997</v>
      </c>
      <c r="S12" s="757">
        <f>SUM(S13:S15)</f>
        <v>517.18998399999998</v>
      </c>
      <c r="T12" s="758">
        <f>SUM(T13:T15)</f>
        <v>475.35645599999998</v>
      </c>
      <c r="U12" s="758">
        <f>SUM(U13:U15)</f>
        <v>484.17748799999998</v>
      </c>
      <c r="V12" s="758">
        <f>SUM(V13:V15)</f>
        <v>538.53553800000009</v>
      </c>
      <c r="W12" s="747">
        <f t="shared" si="12"/>
        <v>2015.259466</v>
      </c>
    </row>
    <row r="13" spans="2:23">
      <c r="B13" s="636" t="s">
        <v>578</v>
      </c>
      <c r="C13" s="1082">
        <v>160</v>
      </c>
      <c r="D13" s="1083">
        <v>147</v>
      </c>
      <c r="E13" s="1084">
        <v>158</v>
      </c>
      <c r="F13" s="777">
        <f t="shared" si="1"/>
        <v>465</v>
      </c>
      <c r="G13" s="1082">
        <v>154</v>
      </c>
      <c r="H13" s="1083">
        <v>144</v>
      </c>
      <c r="I13" s="1083">
        <v>134</v>
      </c>
      <c r="J13" s="777">
        <f t="shared" si="4"/>
        <v>432</v>
      </c>
      <c r="K13" s="1082">
        <v>164</v>
      </c>
      <c r="L13" s="1083">
        <v>126</v>
      </c>
      <c r="M13" s="1084">
        <v>154</v>
      </c>
      <c r="N13" s="777">
        <f t="shared" si="7"/>
        <v>444</v>
      </c>
      <c r="O13" s="1082">
        <v>164</v>
      </c>
      <c r="P13" s="1083">
        <v>159</v>
      </c>
      <c r="Q13" s="1084">
        <v>163</v>
      </c>
      <c r="R13" s="654">
        <f t="shared" si="10"/>
        <v>486</v>
      </c>
      <c r="S13" s="658">
        <f>F13</f>
        <v>465</v>
      </c>
      <c r="T13" s="659">
        <f>J13</f>
        <v>432</v>
      </c>
      <c r="U13" s="659">
        <f>N13</f>
        <v>444</v>
      </c>
      <c r="V13" s="659">
        <f>R13</f>
        <v>486</v>
      </c>
      <c r="W13" s="657">
        <f t="shared" si="12"/>
        <v>1827</v>
      </c>
    </row>
    <row r="14" spans="2:23">
      <c r="B14" s="914" t="s">
        <v>772</v>
      </c>
      <c r="C14" s="648">
        <f>'корпоративный баланс энергии'!J279</f>
        <v>16.5</v>
      </c>
      <c r="D14" s="648">
        <f>'корпоративный баланс энергии'!M279</f>
        <v>15.069900000000001</v>
      </c>
      <c r="E14" s="649">
        <f>'корпоративный баланс энергии'!P279</f>
        <v>14.355</v>
      </c>
      <c r="F14" s="646">
        <f t="shared" si="1"/>
        <v>45.924900000000001</v>
      </c>
      <c r="G14" s="648">
        <f>'корпоративный баланс энергии'!S279</f>
        <v>13.213699999999999</v>
      </c>
      <c r="H14" s="648">
        <f>'корпоративный баланс энергии'!V279</f>
        <v>12.512600000000001</v>
      </c>
      <c r="I14" s="648">
        <f>'корпоративный баланс энергии'!Y279</f>
        <v>11.151199999999999</v>
      </c>
      <c r="J14" s="646">
        <f t="shared" si="4"/>
        <v>36.877499999999998</v>
      </c>
      <c r="K14" s="648">
        <f>'корпоративный баланс энергии'!AB279</f>
        <v>11.385</v>
      </c>
      <c r="L14" s="648">
        <f>'корпоративный баланс энергии'!AE279</f>
        <v>11.6051</v>
      </c>
      <c r="M14" s="649">
        <f>'корпоративный баланс энергии'!AH279</f>
        <v>12.512600000000001</v>
      </c>
      <c r="N14" s="646">
        <f t="shared" si="7"/>
        <v>35.502699999999997</v>
      </c>
      <c r="O14" s="648">
        <f>'корпоративный баланс энергии'!AK279</f>
        <v>14.1075</v>
      </c>
      <c r="P14" s="648">
        <f>'корпоративный баланс энергии'!AN279</f>
        <v>15.5649</v>
      </c>
      <c r="Q14" s="649">
        <f>'корпоративный баланс энергии'!AQ279</f>
        <v>17.022200000000002</v>
      </c>
      <c r="R14" s="646">
        <f t="shared" si="10"/>
        <v>46.694600000000001</v>
      </c>
      <c r="S14" s="650">
        <f>F14</f>
        <v>45.924900000000001</v>
      </c>
      <c r="T14" s="651">
        <f>J14</f>
        <v>36.877499999999998</v>
      </c>
      <c r="U14" s="651">
        <f>N14</f>
        <v>35.502699999999997</v>
      </c>
      <c r="V14" s="651">
        <f>R14</f>
        <v>46.694600000000001</v>
      </c>
      <c r="W14" s="647">
        <f t="shared" si="12"/>
        <v>164.99970000000002</v>
      </c>
    </row>
    <row r="15" spans="2:23">
      <c r="B15" s="915" t="s">
        <v>773</v>
      </c>
      <c r="C15" s="667">
        <f>'корпоративный баланс энергии'!J280</f>
        <v>2.329828</v>
      </c>
      <c r="D15" s="667">
        <f>'корпоративный баланс энергии'!M280</f>
        <v>2.0211030000000001</v>
      </c>
      <c r="E15" s="668">
        <f>'корпоративный баланс энергии'!P280</f>
        <v>1.914153</v>
      </c>
      <c r="F15" s="663">
        <f t="shared" si="1"/>
        <v>6.2650839999999999</v>
      </c>
      <c r="G15" s="667">
        <f>'корпоративный баланс энергии'!S280</f>
        <v>1.9205300000000001</v>
      </c>
      <c r="H15" s="667">
        <f>'корпоративный баланс энергии'!V280</f>
        <v>2.219786</v>
      </c>
      <c r="I15" s="667">
        <f>'корпоративный баланс энергии'!Y280</f>
        <v>2.3386399999999998</v>
      </c>
      <c r="J15" s="663">
        <f t="shared" si="4"/>
        <v>6.4789560000000002</v>
      </c>
      <c r="K15" s="667">
        <f>'корпоративный баланс энергии'!AB280</f>
        <v>1.845728</v>
      </c>
      <c r="L15" s="667">
        <f>'корпоративный баланс энергии'!AE280</f>
        <v>1.4687600000000001</v>
      </c>
      <c r="M15" s="668">
        <f>'корпоративный баланс энергии'!AH280</f>
        <v>1.3603000000000001</v>
      </c>
      <c r="N15" s="663">
        <f t="shared" si="7"/>
        <v>4.6747879999999995</v>
      </c>
      <c r="O15" s="667">
        <f>'корпоративный баланс энергии'!AK280</f>
        <v>1.3454900000000001</v>
      </c>
      <c r="P15" s="667">
        <f>'корпоративный баланс энергии'!AN280</f>
        <v>2.0169000000000001</v>
      </c>
      <c r="Q15" s="668">
        <f>'корпоративный баланс энергии'!AQ280</f>
        <v>2.478548</v>
      </c>
      <c r="R15" s="663">
        <f t="shared" si="10"/>
        <v>5.8409380000000004</v>
      </c>
      <c r="S15" s="664">
        <f>F15</f>
        <v>6.2650839999999999</v>
      </c>
      <c r="T15" s="665">
        <f>J15</f>
        <v>6.4789560000000002</v>
      </c>
      <c r="U15" s="665">
        <f>N15</f>
        <v>4.6747879999999995</v>
      </c>
      <c r="V15" s="665">
        <f>R15</f>
        <v>5.8409380000000004</v>
      </c>
      <c r="W15" s="666">
        <f t="shared" si="12"/>
        <v>23.259765999999999</v>
      </c>
    </row>
    <row r="16" spans="2:23">
      <c r="B16" s="783" t="s">
        <v>12</v>
      </c>
      <c r="C16" s="986">
        <f>C17</f>
        <v>0.62949999999999995</v>
      </c>
      <c r="D16" s="987">
        <f>D17</f>
        <v>0.55730000000000002</v>
      </c>
      <c r="E16" s="988">
        <f>E17</f>
        <v>0.60799999999999998</v>
      </c>
      <c r="F16" s="745">
        <f t="shared" si="1"/>
        <v>1.7948</v>
      </c>
      <c r="G16" s="986">
        <f>G17</f>
        <v>0.71509999999999996</v>
      </c>
      <c r="H16" s="987">
        <f>H17</f>
        <v>0.77500000000000002</v>
      </c>
      <c r="I16" s="988">
        <f>I17</f>
        <v>0.61219999999999997</v>
      </c>
      <c r="J16" s="745">
        <f t="shared" si="4"/>
        <v>2.1023000000000001</v>
      </c>
      <c r="K16" s="986">
        <f>K17</f>
        <v>0.57850000000000001</v>
      </c>
      <c r="L16" s="987">
        <f>L17</f>
        <v>0.56640000000000001</v>
      </c>
      <c r="M16" s="988">
        <f>M17</f>
        <v>0.5232</v>
      </c>
      <c r="N16" s="745">
        <f t="shared" si="7"/>
        <v>1.6680999999999999</v>
      </c>
      <c r="O16" s="986">
        <f>O17</f>
        <v>0.55110000000000003</v>
      </c>
      <c r="P16" s="987">
        <f>P17</f>
        <v>0.50270000000000004</v>
      </c>
      <c r="Q16" s="988">
        <f>Q17</f>
        <v>0.5333</v>
      </c>
      <c r="R16" s="745">
        <f t="shared" si="10"/>
        <v>1.5871</v>
      </c>
      <c r="S16" s="757">
        <f>S17</f>
        <v>1.7948</v>
      </c>
      <c r="T16" s="758">
        <f>T17</f>
        <v>2.1023000000000001</v>
      </c>
      <c r="U16" s="758">
        <f>U17</f>
        <v>1.6680999999999999</v>
      </c>
      <c r="V16" s="758">
        <f>V17</f>
        <v>1.5871</v>
      </c>
      <c r="W16" s="747">
        <f t="shared" ref="W16:W17" si="13">SUM(S16:V16)</f>
        <v>7.1523000000000003</v>
      </c>
    </row>
    <row r="17" spans="2:23">
      <c r="B17" s="915" t="s">
        <v>1103</v>
      </c>
      <c r="C17" s="667">
        <f>'корпоративный баланс энергии'!J293</f>
        <v>0.62949999999999995</v>
      </c>
      <c r="D17" s="667">
        <f>'корпоративный баланс энергии'!M293</f>
        <v>0.55730000000000002</v>
      </c>
      <c r="E17" s="667">
        <f>'корпоративный баланс энергии'!P293</f>
        <v>0.60799999999999998</v>
      </c>
      <c r="F17" s="982">
        <f t="shared" si="1"/>
        <v>1.7948</v>
      </c>
      <c r="G17" s="667">
        <f>'корпоративный баланс энергии'!S293</f>
        <v>0.71509999999999996</v>
      </c>
      <c r="H17" s="667">
        <f>'корпоративный баланс энергии'!V293</f>
        <v>0.77500000000000002</v>
      </c>
      <c r="I17" s="667">
        <f>'корпоративный баланс энергии'!Y293</f>
        <v>0.61219999999999997</v>
      </c>
      <c r="J17" s="982">
        <f t="shared" si="4"/>
        <v>2.1023000000000001</v>
      </c>
      <c r="K17" s="667">
        <f>'корпоративный баланс энергии'!AB293</f>
        <v>0.57850000000000001</v>
      </c>
      <c r="L17" s="667">
        <f>'корпоративный баланс энергии'!AE293</f>
        <v>0.56640000000000001</v>
      </c>
      <c r="M17" s="667">
        <f>'корпоративный баланс энергии'!AH293</f>
        <v>0.5232</v>
      </c>
      <c r="N17" s="982">
        <f t="shared" si="7"/>
        <v>1.6680999999999999</v>
      </c>
      <c r="O17" s="667">
        <f>'корпоративный баланс энергии'!AK293</f>
        <v>0.55110000000000003</v>
      </c>
      <c r="P17" s="667">
        <f>'корпоративный баланс энергии'!AN293</f>
        <v>0.50270000000000004</v>
      </c>
      <c r="Q17" s="667">
        <f>'корпоративный баланс энергии'!AQ293</f>
        <v>0.5333</v>
      </c>
      <c r="R17" s="982">
        <f t="shared" si="10"/>
        <v>1.5871</v>
      </c>
      <c r="S17" s="664">
        <f>F17</f>
        <v>1.7948</v>
      </c>
      <c r="T17" s="665">
        <f>J17</f>
        <v>2.1023000000000001</v>
      </c>
      <c r="U17" s="665">
        <f>N17</f>
        <v>1.6680999999999999</v>
      </c>
      <c r="V17" s="665">
        <f>R17</f>
        <v>1.5871</v>
      </c>
      <c r="W17" s="666">
        <f t="shared" si="13"/>
        <v>7.1523000000000003</v>
      </c>
    </row>
    <row r="18" spans="2:23">
      <c r="B18" s="786" t="s">
        <v>255</v>
      </c>
      <c r="C18" s="743">
        <f>C19+C20</f>
        <v>0.7</v>
      </c>
      <c r="D18" s="743">
        <f>D19+D20</f>
        <v>0.5</v>
      </c>
      <c r="E18" s="743">
        <f>E19+E20</f>
        <v>0.435</v>
      </c>
      <c r="F18" s="745">
        <f t="shared" si="1"/>
        <v>1.635</v>
      </c>
      <c r="G18" s="743">
        <f>G19+G20</f>
        <v>0.72</v>
      </c>
      <c r="H18" s="743">
        <f>H19+H20</f>
        <v>1.01</v>
      </c>
      <c r="I18" s="743">
        <f>I19+I20</f>
        <v>0.88</v>
      </c>
      <c r="J18" s="745">
        <f t="shared" si="4"/>
        <v>2.61</v>
      </c>
      <c r="K18" s="743">
        <f>K19+K20</f>
        <v>0.79999999999999993</v>
      </c>
      <c r="L18" s="743">
        <f>L19+L20</f>
        <v>0.98</v>
      </c>
      <c r="M18" s="743">
        <f>M19+M20</f>
        <v>0.73</v>
      </c>
      <c r="N18" s="745">
        <f t="shared" si="7"/>
        <v>2.5099999999999998</v>
      </c>
      <c r="O18" s="743">
        <f>O19+O20</f>
        <v>0.87</v>
      </c>
      <c r="P18" s="743">
        <f>P19+P20</f>
        <v>0.88</v>
      </c>
      <c r="Q18" s="743">
        <f>Q19+Q20</f>
        <v>0.64</v>
      </c>
      <c r="R18" s="745">
        <f t="shared" si="10"/>
        <v>2.39</v>
      </c>
      <c r="S18" s="757">
        <f>S19+S20</f>
        <v>1.6350000000000002</v>
      </c>
      <c r="T18" s="758">
        <f>T19+T20</f>
        <v>2.6100000000000003</v>
      </c>
      <c r="U18" s="758">
        <f t="shared" ref="U18:V18" si="14">U19+U20</f>
        <v>2.5099999999999998</v>
      </c>
      <c r="V18" s="758">
        <f t="shared" si="14"/>
        <v>2.39</v>
      </c>
      <c r="W18" s="747">
        <f t="shared" si="12"/>
        <v>9.1450000000000014</v>
      </c>
    </row>
    <row r="19" spans="2:23">
      <c r="B19" s="914" t="s">
        <v>375</v>
      </c>
      <c r="C19" s="648">
        <f>'корпоративный баланс энергии'!J333</f>
        <v>0.59</v>
      </c>
      <c r="D19" s="648">
        <f>'корпоративный баланс энергии'!M333</f>
        <v>0.42</v>
      </c>
      <c r="E19" s="649">
        <f>'корпоративный баланс энергии'!P333</f>
        <v>0.38</v>
      </c>
      <c r="F19" s="646">
        <f t="shared" si="1"/>
        <v>1.3900000000000001</v>
      </c>
      <c r="G19" s="648">
        <f>'корпоративный баланс энергии'!S333</f>
        <v>0.64</v>
      </c>
      <c r="H19" s="648">
        <f>'корпоративный баланс энергии'!V333</f>
        <v>0.9</v>
      </c>
      <c r="I19" s="648">
        <f>'корпоративный баланс энергии'!Y333</f>
        <v>0.78</v>
      </c>
      <c r="J19" s="646">
        <f t="shared" si="4"/>
        <v>2.3200000000000003</v>
      </c>
      <c r="K19" s="648">
        <f>'корпоративный баланс энергии'!AB333</f>
        <v>0.69</v>
      </c>
      <c r="L19" s="648">
        <f>'корпоративный баланс энергии'!AE333</f>
        <v>0.86</v>
      </c>
      <c r="M19" s="649">
        <f>'корпоративный баланс энергии'!AH333</f>
        <v>0.63</v>
      </c>
      <c r="N19" s="646">
        <f t="shared" si="7"/>
        <v>2.1799999999999997</v>
      </c>
      <c r="O19" s="648">
        <f>'корпоративный баланс энергии'!AK333</f>
        <v>0.76</v>
      </c>
      <c r="P19" s="648">
        <f>'корпоративный баланс энергии'!AN333</f>
        <v>0.78</v>
      </c>
      <c r="Q19" s="649">
        <f>'корпоративный баланс энергии'!AQ333</f>
        <v>0.54</v>
      </c>
      <c r="R19" s="646">
        <f t="shared" si="10"/>
        <v>2.08</v>
      </c>
      <c r="S19" s="650">
        <f>F19</f>
        <v>1.3900000000000001</v>
      </c>
      <c r="T19" s="651">
        <f>J19</f>
        <v>2.3200000000000003</v>
      </c>
      <c r="U19" s="651">
        <f>N19</f>
        <v>2.1799999999999997</v>
      </c>
      <c r="V19" s="651">
        <f>R19</f>
        <v>2.08</v>
      </c>
      <c r="W19" s="647">
        <f t="shared" si="12"/>
        <v>7.9700000000000006</v>
      </c>
    </row>
    <row r="20" spans="2:23">
      <c r="B20" s="915" t="s">
        <v>1267</v>
      </c>
      <c r="C20" s="667">
        <f>'корпоративный баланс энергии'!J334</f>
        <v>0.11</v>
      </c>
      <c r="D20" s="667">
        <f>'корпоративный баланс энергии'!M334</f>
        <v>0.08</v>
      </c>
      <c r="E20" s="668">
        <f>'корпоративный баланс энергии'!P334</f>
        <v>5.5E-2</v>
      </c>
      <c r="F20" s="982">
        <f t="shared" si="1"/>
        <v>0.245</v>
      </c>
      <c r="G20" s="667">
        <f>'корпоративный баланс энергии'!S334</f>
        <v>0.08</v>
      </c>
      <c r="H20" s="667">
        <f>'корпоративный баланс энергии'!V334</f>
        <v>0.11</v>
      </c>
      <c r="I20" s="667">
        <f>'корпоративный баланс энергии'!Y334</f>
        <v>0.1</v>
      </c>
      <c r="J20" s="982">
        <f t="shared" si="4"/>
        <v>0.29000000000000004</v>
      </c>
      <c r="K20" s="667">
        <f>'корпоративный баланс энергии'!AB334</f>
        <v>0.11</v>
      </c>
      <c r="L20" s="667">
        <f>'корпоративный баланс энергии'!AE334</f>
        <v>0.12</v>
      </c>
      <c r="M20" s="668">
        <f>'корпоративный баланс энергии'!AH334</f>
        <v>0.1</v>
      </c>
      <c r="N20" s="982">
        <f t="shared" si="7"/>
        <v>0.32999999999999996</v>
      </c>
      <c r="O20" s="667">
        <f>'корпоративный баланс энергии'!AK334</f>
        <v>0.11</v>
      </c>
      <c r="P20" s="667">
        <f>'корпоративный баланс энергии'!AN334</f>
        <v>0.1</v>
      </c>
      <c r="Q20" s="668">
        <f>'корпоративный баланс энергии'!AQ334</f>
        <v>0.1</v>
      </c>
      <c r="R20" s="982">
        <f t="shared" si="10"/>
        <v>0.31000000000000005</v>
      </c>
      <c r="S20" s="664">
        <f>F20</f>
        <v>0.245</v>
      </c>
      <c r="T20" s="665">
        <f>J20</f>
        <v>0.29000000000000004</v>
      </c>
      <c r="U20" s="665">
        <f>N20</f>
        <v>0.32999999999999996</v>
      </c>
      <c r="V20" s="665">
        <f>R20</f>
        <v>0.31000000000000005</v>
      </c>
      <c r="W20" s="666">
        <f t="shared" ref="W20" si="15">SUM(S20:V20)</f>
        <v>1.175</v>
      </c>
    </row>
    <row r="21" spans="2:23">
      <c r="B21" s="786" t="s">
        <v>774</v>
      </c>
      <c r="C21" s="743">
        <f>C22</f>
        <v>101.45942687988281</v>
      </c>
      <c r="D21" s="743">
        <f>D22</f>
        <v>97.885154724121094</v>
      </c>
      <c r="E21" s="744">
        <f>E22</f>
        <v>106.39569854736328</v>
      </c>
      <c r="F21" s="745">
        <f>SUM(C21:E21)</f>
        <v>305.74028015136719</v>
      </c>
      <c r="G21" s="743">
        <f>G22</f>
        <v>114.10916900634766</v>
      </c>
      <c r="H21" s="743">
        <f>H22</f>
        <v>113.95181274414063</v>
      </c>
      <c r="I21" s="743">
        <f>I22</f>
        <v>105.22914886474609</v>
      </c>
      <c r="J21" s="745">
        <f>SUM(G21:I21)</f>
        <v>333.29013061523438</v>
      </c>
      <c r="K21" s="743">
        <f>K22</f>
        <v>104.14585876464844</v>
      </c>
      <c r="L21" s="743">
        <f>L22</f>
        <v>101.40177917480469</v>
      </c>
      <c r="M21" s="744">
        <f>M22</f>
        <v>93.971015930175781</v>
      </c>
      <c r="N21" s="745">
        <f>SUM(K21:M21)</f>
        <v>299.51865386962891</v>
      </c>
      <c r="O21" s="743">
        <f>O22</f>
        <v>91.278373718261719</v>
      </c>
      <c r="P21" s="743">
        <f>P22</f>
        <v>92.095428466796875</v>
      </c>
      <c r="Q21" s="744">
        <f>Q22</f>
        <v>99.824691772460938</v>
      </c>
      <c r="R21" s="745">
        <f>SUM(O21:Q21)</f>
        <v>283.19849395751953</v>
      </c>
      <c r="S21" s="757">
        <f>S22</f>
        <v>305.74028015136719</v>
      </c>
      <c r="T21" s="758">
        <f>T22</f>
        <v>333.29013061523438</v>
      </c>
      <c r="U21" s="758">
        <f>U22</f>
        <v>299.51865386962891</v>
      </c>
      <c r="V21" s="758">
        <f>V22</f>
        <v>283.19849395751953</v>
      </c>
      <c r="W21" s="747">
        <f t="shared" si="12"/>
        <v>1221.74755859375</v>
      </c>
    </row>
    <row r="22" spans="2:23" ht="13.5" thickBot="1">
      <c r="B22" s="759" t="s">
        <v>775</v>
      </c>
      <c r="C22" s="1085">
        <v>101.45942687988281</v>
      </c>
      <c r="D22" s="1086">
        <v>97.885154724121094</v>
      </c>
      <c r="E22" s="1087">
        <v>106.39569854736328</v>
      </c>
      <c r="F22" s="675">
        <f>SUM(C22:E22)</f>
        <v>305.74028015136719</v>
      </c>
      <c r="G22" s="1085">
        <v>114.10916900634766</v>
      </c>
      <c r="H22" s="1086">
        <v>113.95181274414063</v>
      </c>
      <c r="I22" s="1086">
        <v>105.22914886474609</v>
      </c>
      <c r="J22" s="675">
        <f>SUM(G22:I22)</f>
        <v>333.29013061523438</v>
      </c>
      <c r="K22" s="1085">
        <v>104.14585876464844</v>
      </c>
      <c r="L22" s="1086">
        <v>101.40177917480469</v>
      </c>
      <c r="M22" s="1087">
        <v>93.971015930175781</v>
      </c>
      <c r="N22" s="675">
        <f>SUM(K22:M22)</f>
        <v>299.51865386962891</v>
      </c>
      <c r="O22" s="1085">
        <v>91.278373718261719</v>
      </c>
      <c r="P22" s="1086">
        <v>92.095428466796875</v>
      </c>
      <c r="Q22" s="1087">
        <v>99.824691772460938</v>
      </c>
      <c r="R22" s="675">
        <f>SUM(O22:Q22)</f>
        <v>283.19849395751953</v>
      </c>
      <c r="S22" s="676">
        <f>F22</f>
        <v>305.74028015136719</v>
      </c>
      <c r="T22" s="677">
        <f>J22</f>
        <v>333.29013061523438</v>
      </c>
      <c r="U22" s="677">
        <f>N22</f>
        <v>299.51865386962891</v>
      </c>
      <c r="V22" s="677">
        <f>R22</f>
        <v>283.19849395751953</v>
      </c>
      <c r="W22" s="678">
        <f t="shared" si="12"/>
        <v>1221.74755859375</v>
      </c>
    </row>
    <row r="23" spans="2:23" ht="4.5" customHeight="1" thickBot="1">
      <c r="B23" s="635"/>
      <c r="C23" s="640"/>
      <c r="D23" s="640"/>
      <c r="E23" s="641"/>
      <c r="F23" s="642"/>
      <c r="G23" s="640"/>
      <c r="H23" s="640"/>
      <c r="I23" s="640"/>
      <c r="J23" s="642"/>
      <c r="K23" s="640"/>
      <c r="L23" s="640"/>
      <c r="M23" s="641"/>
      <c r="N23" s="642"/>
      <c r="O23" s="640"/>
      <c r="P23" s="640"/>
      <c r="Q23" s="641"/>
      <c r="R23" s="642"/>
      <c r="S23" s="643"/>
      <c r="T23" s="641"/>
      <c r="U23" s="641"/>
      <c r="V23" s="644"/>
      <c r="W23" s="645"/>
    </row>
    <row r="24" spans="2:23" ht="15" thickBot="1">
      <c r="B24" s="768" t="s">
        <v>776</v>
      </c>
      <c r="C24" s="769">
        <f>SUM(C25,C27,C29,C31,C33)</f>
        <v>1541.6859512329102</v>
      </c>
      <c r="D24" s="769">
        <f>SUM(D25,D27,D29,D31,D33)</f>
        <v>1434.3648834228516</v>
      </c>
      <c r="E24" s="770">
        <f>SUM(E25,E27,E29,E31,E33)</f>
        <v>1555.8773880004883</v>
      </c>
      <c r="F24" s="771">
        <f>SUM(C24:E24)</f>
        <v>4531.92822265625</v>
      </c>
      <c r="G24" s="769">
        <f>SUM(G25,G27,G29,G31,G33)</f>
        <v>2096.4459686279297</v>
      </c>
      <c r="H24" s="769">
        <f>SUM(H25,H27,H29,H31,H33)</f>
        <v>2717.1613922119141</v>
      </c>
      <c r="I24" s="769">
        <f>SUM(I25,I27,I29,I31,I33)</f>
        <v>2222.0460510253906</v>
      </c>
      <c r="J24" s="771">
        <f>SUM(G24:I24)</f>
        <v>7035.6534118652344</v>
      </c>
      <c r="K24" s="769">
        <f>SUM(K25,K27,K29,K31,K33)</f>
        <v>1895.9627532958984</v>
      </c>
      <c r="L24" s="769">
        <f>SUM(L25,L27,L29,L31,L33)</f>
        <v>1744.3549346923828</v>
      </c>
      <c r="M24" s="770">
        <f>SUM(M25,M27,M29,M31,M33)</f>
        <v>1630.6428527832031</v>
      </c>
      <c r="N24" s="771">
        <f>SUM(K24:M24)</f>
        <v>5270.9605407714844</v>
      </c>
      <c r="O24" s="769">
        <f>SUM(O25,O27,O29,O31,O33)</f>
        <v>1639.9033889770508</v>
      </c>
      <c r="P24" s="769">
        <f>SUM(P25,P27,P29,P31,P33)</f>
        <v>1657.5245361328125</v>
      </c>
      <c r="Q24" s="770">
        <f>SUM(Q25,Q27,Q29,Q31,Q33)</f>
        <v>1675.3695907592773</v>
      </c>
      <c r="R24" s="771">
        <f>SUM(O24:Q24)</f>
        <v>4972.7975158691406</v>
      </c>
      <c r="S24" s="774">
        <f>SUM(S25,S27,S29,S31,S33)</f>
        <v>4531.92822265625</v>
      </c>
      <c r="T24" s="775">
        <f>SUM(T25,T27,T29,T31,T33)</f>
        <v>7035.6534118652344</v>
      </c>
      <c r="U24" s="775">
        <f>SUM(U25,U27,U29,U31,U33)</f>
        <v>5270.9605407714844</v>
      </c>
      <c r="V24" s="775">
        <f>SUM(V25,V27,V29,V31,V33)</f>
        <v>4972.7975158691406</v>
      </c>
      <c r="W24" s="773">
        <f t="shared" ref="W24:W49" si="16">SUM(S24:V24)</f>
        <v>21811.339691162109</v>
      </c>
    </row>
    <row r="25" spans="2:23">
      <c r="B25" s="782" t="s">
        <v>777</v>
      </c>
      <c r="C25" s="743">
        <f>C26</f>
        <v>117.46486663818359</v>
      </c>
      <c r="D25" s="743">
        <f>D26</f>
        <v>115.05522918701172</v>
      </c>
      <c r="E25" s="744">
        <f>E26</f>
        <v>122.92182159423828</v>
      </c>
      <c r="F25" s="745">
        <f>SUM(C25:E25)</f>
        <v>355.44191741943359</v>
      </c>
      <c r="G25" s="743">
        <f>G26</f>
        <v>165.53410339355469</v>
      </c>
      <c r="H25" s="743">
        <f>H26</f>
        <v>182.89610290527344</v>
      </c>
      <c r="I25" s="743">
        <f>I26</f>
        <v>136.2850341796875</v>
      </c>
      <c r="J25" s="745">
        <f>SUM(G25:I25)</f>
        <v>484.71524047851563</v>
      </c>
      <c r="K25" s="743">
        <f>K26</f>
        <v>131.32806396484375</v>
      </c>
      <c r="L25" s="743">
        <f>L26</f>
        <v>122.83294677734375</v>
      </c>
      <c r="M25" s="744">
        <f>M26</f>
        <v>120.66789245605469</v>
      </c>
      <c r="N25" s="745">
        <f>SUM(K25:M25)</f>
        <v>374.82890319824219</v>
      </c>
      <c r="O25" s="743">
        <f>O26</f>
        <v>123.91919708251953</v>
      </c>
      <c r="P25" s="743">
        <f>P26</f>
        <v>124.16523742675781</v>
      </c>
      <c r="Q25" s="744">
        <f>Q26</f>
        <v>124.63749694824219</v>
      </c>
      <c r="R25" s="745">
        <f>SUM(O25:Q25)</f>
        <v>372.72193145751953</v>
      </c>
      <c r="S25" s="757">
        <f>S26</f>
        <v>355.44191741943359</v>
      </c>
      <c r="T25" s="758">
        <f>T26</f>
        <v>484.71524047851563</v>
      </c>
      <c r="U25" s="758">
        <f>U26</f>
        <v>374.82890319824219</v>
      </c>
      <c r="V25" s="758">
        <f>V26</f>
        <v>372.72193145751953</v>
      </c>
      <c r="W25" s="747">
        <f t="shared" si="16"/>
        <v>1587.7079925537109</v>
      </c>
    </row>
    <row r="26" spans="2:23">
      <c r="B26" s="776" t="s">
        <v>579</v>
      </c>
      <c r="C26" s="1082">
        <v>117.46486663818359</v>
      </c>
      <c r="D26" s="1083">
        <v>115.05522918701172</v>
      </c>
      <c r="E26" s="1084">
        <v>122.92182159423828</v>
      </c>
      <c r="F26" s="661">
        <f>SUM(C26:E26)</f>
        <v>355.44191741943359</v>
      </c>
      <c r="G26" s="1082">
        <v>165.53410339355469</v>
      </c>
      <c r="H26" s="1083">
        <v>182.89610290527344</v>
      </c>
      <c r="I26" s="1084">
        <v>136.2850341796875</v>
      </c>
      <c r="J26" s="661">
        <f>SUM(G26:I26)</f>
        <v>484.71524047851563</v>
      </c>
      <c r="K26" s="1082">
        <v>131.32806396484375</v>
      </c>
      <c r="L26" s="1083">
        <v>122.83294677734375</v>
      </c>
      <c r="M26" s="1084">
        <v>120.66789245605469</v>
      </c>
      <c r="N26" s="661">
        <f>SUM(K26:M26)</f>
        <v>374.82890319824219</v>
      </c>
      <c r="O26" s="1082">
        <v>123.91919708251953</v>
      </c>
      <c r="P26" s="1083">
        <v>124.16523742675781</v>
      </c>
      <c r="Q26" s="1084">
        <v>124.63749694824219</v>
      </c>
      <c r="R26" s="661">
        <f>SUM(O26:Q26)</f>
        <v>372.72193145751953</v>
      </c>
      <c r="S26" s="673">
        <f>F26</f>
        <v>355.44191741943359</v>
      </c>
      <c r="T26" s="674">
        <f>J26</f>
        <v>484.71524047851563</v>
      </c>
      <c r="U26" s="674">
        <f>N26</f>
        <v>374.82890319824219</v>
      </c>
      <c r="V26" s="674">
        <f>R26</f>
        <v>372.72193145751953</v>
      </c>
      <c r="W26" s="662">
        <f t="shared" si="16"/>
        <v>1587.7079925537109</v>
      </c>
    </row>
    <row r="27" spans="2:23">
      <c r="B27" s="783" t="s">
        <v>778</v>
      </c>
      <c r="C27" s="743">
        <f>C28</f>
        <v>760.508544921875</v>
      </c>
      <c r="D27" s="743">
        <f>D28</f>
        <v>677.8177490234375</v>
      </c>
      <c r="E27" s="744">
        <f>E28</f>
        <v>697.5361328125</v>
      </c>
      <c r="F27" s="745">
        <f>SUM(C27:E27)</f>
        <v>2135.8624267578125</v>
      </c>
      <c r="G27" s="743">
        <f>G28</f>
        <v>902.23419189453125</v>
      </c>
      <c r="H27" s="743">
        <f>H28</f>
        <v>1308.4990234375</v>
      </c>
      <c r="I27" s="743">
        <f>I28</f>
        <v>1090.3076171875</v>
      </c>
      <c r="J27" s="745">
        <f>SUM(G27:I27)</f>
        <v>3301.0408325195313</v>
      </c>
      <c r="K27" s="743">
        <f>K28</f>
        <v>961.5396728515625</v>
      </c>
      <c r="L27" s="743">
        <f>L28</f>
        <v>885.36566162109375</v>
      </c>
      <c r="M27" s="744">
        <f>M28</f>
        <v>808.664306640625</v>
      </c>
      <c r="N27" s="745">
        <f>SUM(K27:M27)</f>
        <v>2655.5696411132813</v>
      </c>
      <c r="O27" s="743">
        <f>O28</f>
        <v>789.2867431640625</v>
      </c>
      <c r="P27" s="743">
        <f>P28</f>
        <v>808.96990966796875</v>
      </c>
      <c r="Q27" s="744">
        <f>Q28</f>
        <v>837.11151123046875</v>
      </c>
      <c r="R27" s="745">
        <f>SUM(O27:Q27)</f>
        <v>2435.3681640625</v>
      </c>
      <c r="S27" s="757">
        <f>S28</f>
        <v>2135.8624267578125</v>
      </c>
      <c r="T27" s="758">
        <f>T28</f>
        <v>3301.0408325195313</v>
      </c>
      <c r="U27" s="758">
        <f>U28</f>
        <v>2655.5696411132813</v>
      </c>
      <c r="V27" s="758">
        <f>V28</f>
        <v>2435.3681640625</v>
      </c>
      <c r="W27" s="747">
        <f t="shared" si="16"/>
        <v>10527.841064453125</v>
      </c>
    </row>
    <row r="28" spans="2:23">
      <c r="B28" s="776" t="s">
        <v>779</v>
      </c>
      <c r="C28" s="1082">
        <v>760.508544921875</v>
      </c>
      <c r="D28" s="1083">
        <v>677.8177490234375</v>
      </c>
      <c r="E28" s="1083">
        <v>697.5361328125</v>
      </c>
      <c r="F28" s="661">
        <f>SUM(C28:E28)</f>
        <v>2135.8624267578125</v>
      </c>
      <c r="G28" s="1082">
        <v>902.23419189453125</v>
      </c>
      <c r="H28" s="1083">
        <v>1308.4990234375</v>
      </c>
      <c r="I28" s="1083">
        <v>1090.3076171875</v>
      </c>
      <c r="J28" s="661">
        <f>SUM(G28:I28)</f>
        <v>3301.0408325195313</v>
      </c>
      <c r="K28" s="1082">
        <v>961.5396728515625</v>
      </c>
      <c r="L28" s="1083">
        <v>885.36566162109375</v>
      </c>
      <c r="M28" s="1083">
        <v>808.664306640625</v>
      </c>
      <c r="N28" s="661">
        <f>SUM(K28:M28)</f>
        <v>2655.5696411132813</v>
      </c>
      <c r="O28" s="1082">
        <v>789.2867431640625</v>
      </c>
      <c r="P28" s="1083">
        <v>808.96990966796875</v>
      </c>
      <c r="Q28" s="1083">
        <v>837.11151123046875</v>
      </c>
      <c r="R28" s="661">
        <f>SUM(O28:Q28)</f>
        <v>2435.3681640625</v>
      </c>
      <c r="S28" s="673">
        <f>F28</f>
        <v>2135.8624267578125</v>
      </c>
      <c r="T28" s="674">
        <f>J28</f>
        <v>3301.0408325195313</v>
      </c>
      <c r="U28" s="674">
        <f>N28</f>
        <v>2655.5696411132813</v>
      </c>
      <c r="V28" s="674">
        <f>R28</f>
        <v>2435.3681640625</v>
      </c>
      <c r="W28" s="662">
        <f t="shared" si="16"/>
        <v>10527.841064453125</v>
      </c>
    </row>
    <row r="29" spans="2:23">
      <c r="B29" s="783" t="s">
        <v>780</v>
      </c>
      <c r="C29" s="743">
        <f>C30</f>
        <v>400.53805541992188</v>
      </c>
      <c r="D29" s="743">
        <f>D30</f>
        <v>373.7708740234375</v>
      </c>
      <c r="E29" s="744">
        <f>E30</f>
        <v>408.12628173828125</v>
      </c>
      <c r="F29" s="745">
        <f t="shared" ref="F29:F49" si="17">SUM(C29:E29)</f>
        <v>1182.4352111816406</v>
      </c>
      <c r="G29" s="743">
        <f>G30</f>
        <v>543.2957763671875</v>
      </c>
      <c r="H29" s="743">
        <f>H30</f>
        <v>708.99969482421875</v>
      </c>
      <c r="I29" s="743">
        <f>I30</f>
        <v>596.1258544921875</v>
      </c>
      <c r="J29" s="745">
        <f t="shared" ref="J29:J49" si="18">SUM(G29:I29)</f>
        <v>1848.4213256835938</v>
      </c>
      <c r="K29" s="743">
        <f>K30</f>
        <v>493.70303344726563</v>
      </c>
      <c r="L29" s="743">
        <f>L30</f>
        <v>459.234375</v>
      </c>
      <c r="M29" s="744">
        <f>M30</f>
        <v>428.2342529296875</v>
      </c>
      <c r="N29" s="745">
        <f t="shared" ref="N29:N49" si="19">SUM(K29:M29)</f>
        <v>1381.1716613769531</v>
      </c>
      <c r="O29" s="743">
        <f>O30</f>
        <v>425.421630859375</v>
      </c>
      <c r="P29" s="743">
        <f>P30</f>
        <v>430.12811279296875</v>
      </c>
      <c r="Q29" s="744">
        <f>Q30</f>
        <v>438.05975341796875</v>
      </c>
      <c r="R29" s="745">
        <f t="shared" ref="R29:R49" si="20">SUM(O29:Q29)</f>
        <v>1293.6094970703125</v>
      </c>
      <c r="S29" s="757">
        <f>S30</f>
        <v>1182.4352111816406</v>
      </c>
      <c r="T29" s="758">
        <f>T30</f>
        <v>1848.4213256835938</v>
      </c>
      <c r="U29" s="758">
        <f>U30</f>
        <v>1381.1716613769531</v>
      </c>
      <c r="V29" s="758">
        <f>V30</f>
        <v>1293.6094970703125</v>
      </c>
      <c r="W29" s="747">
        <f t="shared" si="16"/>
        <v>5705.6376953125</v>
      </c>
    </row>
    <row r="30" spans="2:23">
      <c r="B30" s="776" t="s">
        <v>580</v>
      </c>
      <c r="C30" s="1082">
        <v>400.53805541992188</v>
      </c>
      <c r="D30" s="1083">
        <v>373.7708740234375</v>
      </c>
      <c r="E30" s="1083">
        <v>408.12628173828125</v>
      </c>
      <c r="F30" s="661">
        <f t="shared" si="17"/>
        <v>1182.4352111816406</v>
      </c>
      <c r="G30" s="1082">
        <v>543.2957763671875</v>
      </c>
      <c r="H30" s="1083">
        <v>708.99969482421875</v>
      </c>
      <c r="I30" s="1083">
        <v>596.1258544921875</v>
      </c>
      <c r="J30" s="661">
        <f t="shared" si="18"/>
        <v>1848.4213256835938</v>
      </c>
      <c r="K30" s="1082">
        <v>493.70303344726563</v>
      </c>
      <c r="L30" s="1083">
        <v>459.234375</v>
      </c>
      <c r="M30" s="1083">
        <v>428.2342529296875</v>
      </c>
      <c r="N30" s="661">
        <f t="shared" si="19"/>
        <v>1381.1716613769531</v>
      </c>
      <c r="O30" s="1082">
        <v>425.421630859375</v>
      </c>
      <c r="P30" s="1083">
        <v>430.12811279296875</v>
      </c>
      <c r="Q30" s="1083">
        <v>438.05975341796875</v>
      </c>
      <c r="R30" s="661">
        <f t="shared" si="20"/>
        <v>1293.6094970703125</v>
      </c>
      <c r="S30" s="673">
        <f>F30</f>
        <v>1182.4352111816406</v>
      </c>
      <c r="T30" s="674">
        <f>J30</f>
        <v>1848.4213256835938</v>
      </c>
      <c r="U30" s="674">
        <f>N30</f>
        <v>1381.1716613769531</v>
      </c>
      <c r="V30" s="674">
        <f>R30</f>
        <v>1293.6094970703125</v>
      </c>
      <c r="W30" s="662">
        <f t="shared" si="16"/>
        <v>5705.6376953125</v>
      </c>
    </row>
    <row r="31" spans="2:23">
      <c r="B31" s="783" t="s">
        <v>781</v>
      </c>
      <c r="C31" s="743">
        <f>C32</f>
        <v>151.08515930175781</v>
      </c>
      <c r="D31" s="743">
        <f>D32</f>
        <v>155.08547973632813</v>
      </c>
      <c r="E31" s="744">
        <f>E32</f>
        <v>196.99446105957031</v>
      </c>
      <c r="F31" s="745">
        <f t="shared" si="17"/>
        <v>503.16510009765625</v>
      </c>
      <c r="G31" s="743">
        <f>G32</f>
        <v>284.9764404296875</v>
      </c>
      <c r="H31" s="743">
        <f>H32</f>
        <v>303.0091552734375</v>
      </c>
      <c r="I31" s="743">
        <f>I32</f>
        <v>194.60820007324219</v>
      </c>
      <c r="J31" s="745">
        <f t="shared" si="18"/>
        <v>782.59379577636719</v>
      </c>
      <c r="K31" s="743">
        <f>K32</f>
        <v>162.44859313964844</v>
      </c>
      <c r="L31" s="743">
        <f>L32</f>
        <v>145.3138427734375</v>
      </c>
      <c r="M31" s="744">
        <f>M32</f>
        <v>146.54237365722656</v>
      </c>
      <c r="N31" s="745">
        <f t="shared" si="19"/>
        <v>454.3048095703125</v>
      </c>
      <c r="O31" s="743">
        <f>O32</f>
        <v>164.78767395019531</v>
      </c>
      <c r="P31" s="743">
        <f>P32</f>
        <v>166.04322814941406</v>
      </c>
      <c r="Q31" s="744">
        <f>Q32</f>
        <v>158.19627380371094</v>
      </c>
      <c r="R31" s="745">
        <f t="shared" si="20"/>
        <v>489.02717590332031</v>
      </c>
      <c r="S31" s="757">
        <f>S32</f>
        <v>503.16510009765625</v>
      </c>
      <c r="T31" s="758">
        <f>T32</f>
        <v>782.59379577636719</v>
      </c>
      <c r="U31" s="758">
        <f>U32</f>
        <v>454.3048095703125</v>
      </c>
      <c r="V31" s="758">
        <f>V32</f>
        <v>489.02717590332031</v>
      </c>
      <c r="W31" s="747">
        <f t="shared" si="16"/>
        <v>2229.0908813476563</v>
      </c>
    </row>
    <row r="32" spans="2:23">
      <c r="B32" s="776" t="s">
        <v>782</v>
      </c>
      <c r="C32" s="1082">
        <v>151.08515930175781</v>
      </c>
      <c r="D32" s="1083">
        <v>155.08547973632813</v>
      </c>
      <c r="E32" s="1083">
        <v>196.99446105957031</v>
      </c>
      <c r="F32" s="661">
        <f t="shared" si="17"/>
        <v>503.16510009765625</v>
      </c>
      <c r="G32" s="1082">
        <v>284.9764404296875</v>
      </c>
      <c r="H32" s="1083">
        <v>303.0091552734375</v>
      </c>
      <c r="I32" s="1083">
        <v>194.60820007324219</v>
      </c>
      <c r="J32" s="661">
        <f t="shared" si="18"/>
        <v>782.59379577636719</v>
      </c>
      <c r="K32" s="1082">
        <v>162.44859313964844</v>
      </c>
      <c r="L32" s="1083">
        <v>145.3138427734375</v>
      </c>
      <c r="M32" s="1083">
        <v>146.54237365722656</v>
      </c>
      <c r="N32" s="661">
        <f t="shared" si="19"/>
        <v>454.3048095703125</v>
      </c>
      <c r="O32" s="1082">
        <v>164.78767395019531</v>
      </c>
      <c r="P32" s="1083">
        <v>166.04322814941406</v>
      </c>
      <c r="Q32" s="1083">
        <v>158.19627380371094</v>
      </c>
      <c r="R32" s="661">
        <f t="shared" si="20"/>
        <v>489.02717590332031</v>
      </c>
      <c r="S32" s="673">
        <f>F32</f>
        <v>503.16510009765625</v>
      </c>
      <c r="T32" s="674">
        <f>J32</f>
        <v>782.59379577636719</v>
      </c>
      <c r="U32" s="674">
        <f>N32</f>
        <v>454.3048095703125</v>
      </c>
      <c r="V32" s="674">
        <f>R32</f>
        <v>489.02717590332031</v>
      </c>
      <c r="W32" s="662">
        <f t="shared" si="16"/>
        <v>2229.0908813476563</v>
      </c>
    </row>
    <row r="33" spans="2:23">
      <c r="B33" s="783" t="s">
        <v>783</v>
      </c>
      <c r="C33" s="743">
        <f>C34</f>
        <v>112.08932495117188</v>
      </c>
      <c r="D33" s="743">
        <f>D34</f>
        <v>112.63555145263672</v>
      </c>
      <c r="E33" s="744">
        <f>E34</f>
        <v>130.29869079589844</v>
      </c>
      <c r="F33" s="745">
        <f t="shared" si="17"/>
        <v>355.02356719970703</v>
      </c>
      <c r="G33" s="743">
        <f>G34</f>
        <v>200.40545654296875</v>
      </c>
      <c r="H33" s="743">
        <f>H34</f>
        <v>213.75741577148438</v>
      </c>
      <c r="I33" s="743">
        <f>I34</f>
        <v>204.71934509277344</v>
      </c>
      <c r="J33" s="745">
        <f t="shared" si="18"/>
        <v>618.88221740722656</v>
      </c>
      <c r="K33" s="743">
        <f>K34</f>
        <v>146.94338989257813</v>
      </c>
      <c r="L33" s="743">
        <f>L34</f>
        <v>131.60810852050781</v>
      </c>
      <c r="M33" s="744">
        <f>M34</f>
        <v>126.53402709960938</v>
      </c>
      <c r="N33" s="745">
        <f t="shared" si="19"/>
        <v>405.08552551269531</v>
      </c>
      <c r="O33" s="743">
        <f>O34</f>
        <v>136.48814392089844</v>
      </c>
      <c r="P33" s="743">
        <f>P34</f>
        <v>128.21804809570313</v>
      </c>
      <c r="Q33" s="744">
        <f>Q34</f>
        <v>117.36455535888672</v>
      </c>
      <c r="R33" s="745">
        <f t="shared" si="20"/>
        <v>382.07074737548828</v>
      </c>
      <c r="S33" s="757">
        <f>S34</f>
        <v>355.02356719970703</v>
      </c>
      <c r="T33" s="758">
        <f>T34</f>
        <v>618.88221740722656</v>
      </c>
      <c r="U33" s="758">
        <f>U34</f>
        <v>405.08552551269531</v>
      </c>
      <c r="V33" s="758">
        <f>V34</f>
        <v>382.07074737548828</v>
      </c>
      <c r="W33" s="747">
        <f t="shared" si="16"/>
        <v>1761.0620574951172</v>
      </c>
    </row>
    <row r="34" spans="2:23" ht="13.5" thickBot="1">
      <c r="B34" s="637" t="s">
        <v>192</v>
      </c>
      <c r="C34" s="1085">
        <v>112.08932495117188</v>
      </c>
      <c r="D34" s="1086">
        <v>112.63555145263672</v>
      </c>
      <c r="E34" s="1087">
        <v>130.29869079589844</v>
      </c>
      <c r="F34" s="675">
        <f t="shared" si="17"/>
        <v>355.02356719970703</v>
      </c>
      <c r="G34" s="1085">
        <v>200.40545654296875</v>
      </c>
      <c r="H34" s="1086">
        <v>213.75741577148438</v>
      </c>
      <c r="I34" s="1086">
        <v>204.71934509277344</v>
      </c>
      <c r="J34" s="675">
        <f t="shared" si="18"/>
        <v>618.88221740722656</v>
      </c>
      <c r="K34" s="1085">
        <v>146.94338989257813</v>
      </c>
      <c r="L34" s="1086">
        <v>131.60810852050781</v>
      </c>
      <c r="M34" s="1087">
        <v>126.53402709960938</v>
      </c>
      <c r="N34" s="675">
        <f t="shared" si="19"/>
        <v>405.08552551269531</v>
      </c>
      <c r="O34" s="1085">
        <v>136.48814392089844</v>
      </c>
      <c r="P34" s="1086">
        <v>128.21804809570313</v>
      </c>
      <c r="Q34" s="1087">
        <v>117.36455535888672</v>
      </c>
      <c r="R34" s="675">
        <f t="shared" si="20"/>
        <v>382.07074737548828</v>
      </c>
      <c r="S34" s="676">
        <f>F34</f>
        <v>355.02356719970703</v>
      </c>
      <c r="T34" s="677">
        <f>J34</f>
        <v>618.88221740722656</v>
      </c>
      <c r="U34" s="677">
        <f>N34</f>
        <v>405.08552551269531</v>
      </c>
      <c r="V34" s="677">
        <f>R34</f>
        <v>382.07074737548828</v>
      </c>
      <c r="W34" s="678">
        <f t="shared" si="16"/>
        <v>1761.0620574951172</v>
      </c>
    </row>
    <row r="35" spans="2:23" ht="4.5" customHeight="1" thickBot="1">
      <c r="B35" s="635"/>
      <c r="C35" s="640"/>
      <c r="D35" s="640"/>
      <c r="E35" s="641"/>
      <c r="F35" s="642"/>
      <c r="G35" s="640"/>
      <c r="H35" s="640"/>
      <c r="I35" s="640"/>
      <c r="J35" s="642"/>
      <c r="K35" s="640"/>
      <c r="L35" s="640"/>
      <c r="M35" s="641"/>
      <c r="N35" s="642"/>
      <c r="O35" s="640"/>
      <c r="P35" s="640"/>
      <c r="Q35" s="641"/>
      <c r="R35" s="642"/>
      <c r="S35" s="643"/>
      <c r="T35" s="641"/>
      <c r="U35" s="641"/>
      <c r="V35" s="644"/>
      <c r="W35" s="645"/>
    </row>
    <row r="36" spans="2:23" ht="15" thickBot="1">
      <c r="B36" s="768" t="s">
        <v>784</v>
      </c>
      <c r="C36" s="769">
        <f>SUM(C37,C42,C44,C48)</f>
        <v>324.80059660226107</v>
      </c>
      <c r="D36" s="769">
        <f>SUM(D37,D42,D44,D48)</f>
        <v>295.2575733885169</v>
      </c>
      <c r="E36" s="770">
        <f>SUM(E37,E42,E44,E48)</f>
        <v>298.19995807111263</v>
      </c>
      <c r="F36" s="771">
        <f>SUM(C36:E36)</f>
        <v>918.2581280618906</v>
      </c>
      <c r="G36" s="769">
        <f>SUM(G37,G42,G44,G48)</f>
        <v>418.96486329287291</v>
      </c>
      <c r="H36" s="769">
        <f>SUM(H37,H42,H44,H48)</f>
        <v>942.86962160468102</v>
      </c>
      <c r="I36" s="769">
        <f>SUM(I37,I42,I44,I48)</f>
        <v>730.40932482481003</v>
      </c>
      <c r="J36" s="771">
        <f>SUM(G36:I36)</f>
        <v>2092.2438097223639</v>
      </c>
      <c r="K36" s="769">
        <f>SUM(K37,K42,K44,K48)</f>
        <v>494.71951404213905</v>
      </c>
      <c r="L36" s="769">
        <f>SUM(L37,L42,L44,L48)</f>
        <v>417.35209991037846</v>
      </c>
      <c r="M36" s="770">
        <f>SUM(M37,M42,M44,M48)</f>
        <v>385.37567883729935</v>
      </c>
      <c r="N36" s="771">
        <f>SUM(K36:M36)</f>
        <v>1297.4472927898169</v>
      </c>
      <c r="O36" s="769">
        <f>SUM(O37,O42,O44,O48)</f>
        <v>437.96234405040741</v>
      </c>
      <c r="P36" s="769">
        <f>SUM(P37,P42,P44,P48)</f>
        <v>394.10865573585033</v>
      </c>
      <c r="Q36" s="770">
        <f>SUM(Q37,Q42,Q44,Q48)</f>
        <v>356.37406688928604</v>
      </c>
      <c r="R36" s="771">
        <f>SUM(O36:Q36)</f>
        <v>1188.4450666755438</v>
      </c>
      <c r="S36" s="774">
        <f>SUM(S37,S42,S44,S48)</f>
        <v>918.2581280618906</v>
      </c>
      <c r="T36" s="775">
        <f>SUM(T37,T42,T44,T48)</f>
        <v>2092.2438097223639</v>
      </c>
      <c r="U36" s="775">
        <f>SUM(U37,U42,U44,U48)</f>
        <v>1297.4472927898169</v>
      </c>
      <c r="V36" s="775">
        <f>SUM(V37,V42,V44,V48)</f>
        <v>1188.4450666755438</v>
      </c>
      <c r="W36" s="773">
        <f t="shared" si="16"/>
        <v>5496.3942972496152</v>
      </c>
    </row>
    <row r="37" spans="2:23">
      <c r="B37" s="782" t="s">
        <v>785</v>
      </c>
      <c r="C37" s="743">
        <f>SUM(C38,C39,C40,C41)</f>
        <v>46.698446281254292</v>
      </c>
      <c r="D37" s="743">
        <f>SUM(D38,D39,D40,D41)</f>
        <v>42.49219074100256</v>
      </c>
      <c r="E37" s="744">
        <f>SUM(E38,E39,E40,E41)</f>
        <v>45.816134974360466</v>
      </c>
      <c r="F37" s="745">
        <f t="shared" si="17"/>
        <v>135.00677199661732</v>
      </c>
      <c r="G37" s="743">
        <f>SUM(G38,G39,G40,G41)</f>
        <v>91.137624971568584</v>
      </c>
      <c r="H37" s="743">
        <f>SUM(H38,H39,H40,H41)</f>
        <v>145.92662271857262</v>
      </c>
      <c r="I37" s="743">
        <f>SUM(I38,I39,I40,I41)</f>
        <v>83.615086257457733</v>
      </c>
      <c r="J37" s="745">
        <f t="shared" si="18"/>
        <v>320.67933394759893</v>
      </c>
      <c r="K37" s="743">
        <f>SUM(K38,K39,K40,K41)</f>
        <v>67.97156634926796</v>
      </c>
      <c r="L37" s="743">
        <f>SUM(L38,L39,L40,L41)</f>
        <v>58.666860476136208</v>
      </c>
      <c r="M37" s="744">
        <f>SUM(M38,M39,M40,M41)</f>
        <v>51.768450677394867</v>
      </c>
      <c r="N37" s="745">
        <f t="shared" si="19"/>
        <v>178.40687750279903</v>
      </c>
      <c r="O37" s="743">
        <f>SUM(O38,O39,O40,O41)</f>
        <v>63.311177015304565</v>
      </c>
      <c r="P37" s="743">
        <f>SUM(P38,P39,P40,P41)</f>
        <v>56.455446407198906</v>
      </c>
      <c r="Q37" s="744">
        <f>SUM(Q38,Q39,Q40,Q41)</f>
        <v>49.687327265739441</v>
      </c>
      <c r="R37" s="745">
        <f t="shared" si="20"/>
        <v>169.45395068824291</v>
      </c>
      <c r="S37" s="757">
        <f>SUM(S38:S41)</f>
        <v>135.00677199661732</v>
      </c>
      <c r="T37" s="758">
        <f>SUM(T38:T41)</f>
        <v>320.67933394759893</v>
      </c>
      <c r="U37" s="758">
        <f>SUM(U38:U41)</f>
        <v>178.40687750279903</v>
      </c>
      <c r="V37" s="758">
        <f>SUM(V38:V41)</f>
        <v>169.45395068824291</v>
      </c>
      <c r="W37" s="747">
        <f t="shared" si="16"/>
        <v>803.5469341352582</v>
      </c>
    </row>
    <row r="38" spans="2:23">
      <c r="B38" s="636" t="s">
        <v>324</v>
      </c>
      <c r="C38" s="1088">
        <v>36.168060302734375</v>
      </c>
      <c r="D38" s="1089">
        <v>34.419864654541016</v>
      </c>
      <c r="E38" s="1089">
        <v>38.383331298828125</v>
      </c>
      <c r="F38" s="654">
        <f t="shared" si="17"/>
        <v>108.97125625610352</v>
      </c>
      <c r="G38" s="1088">
        <v>76.950592041015625</v>
      </c>
      <c r="H38" s="1089">
        <v>113.67478179931641</v>
      </c>
      <c r="I38" s="1089">
        <v>66.322952270507813</v>
      </c>
      <c r="J38" s="654">
        <f t="shared" si="18"/>
        <v>256.94832611083984</v>
      </c>
      <c r="K38" s="1088">
        <v>55.361072540283203</v>
      </c>
      <c r="L38" s="1089">
        <v>45.624019622802734</v>
      </c>
      <c r="M38" s="1089">
        <v>41.749855041503906</v>
      </c>
      <c r="N38" s="654">
        <f t="shared" si="19"/>
        <v>142.73494720458984</v>
      </c>
      <c r="O38" s="1088">
        <v>50.188194274902344</v>
      </c>
      <c r="P38" s="1089">
        <v>43.595924377441406</v>
      </c>
      <c r="Q38" s="1089">
        <v>38.135204315185547</v>
      </c>
      <c r="R38" s="654">
        <f t="shared" si="20"/>
        <v>131.9193229675293</v>
      </c>
      <c r="S38" s="658">
        <f>F38</f>
        <v>108.97125625610352</v>
      </c>
      <c r="T38" s="659">
        <f>J38</f>
        <v>256.94832611083984</v>
      </c>
      <c r="U38" s="659">
        <f>N38</f>
        <v>142.73494720458984</v>
      </c>
      <c r="V38" s="659">
        <f>R38</f>
        <v>131.9193229675293</v>
      </c>
      <c r="W38" s="657">
        <f t="shared" si="16"/>
        <v>640.5738525390625</v>
      </c>
    </row>
    <row r="39" spans="2:23">
      <c r="B39" s="636" t="s">
        <v>325</v>
      </c>
      <c r="C39" s="1090">
        <v>7.2184829711914063</v>
      </c>
      <c r="D39" s="1091">
        <v>5.7559781074523926</v>
      </c>
      <c r="E39" s="1091">
        <v>5.6617650985717773</v>
      </c>
      <c r="F39" s="654">
        <f t="shared" si="17"/>
        <v>18.636226177215576</v>
      </c>
      <c r="G39" s="1092">
        <v>11.585275650024414</v>
      </c>
      <c r="H39" s="1093">
        <v>26.808759689331055</v>
      </c>
      <c r="I39" s="1093">
        <v>14.945294380187988</v>
      </c>
      <c r="J39" s="654">
        <f t="shared" si="18"/>
        <v>53.339329719543457</v>
      </c>
      <c r="K39" s="1092">
        <v>10.982243537902832</v>
      </c>
      <c r="L39" s="1093">
        <v>11.58788013458252</v>
      </c>
      <c r="M39" s="1093">
        <v>8.2259950637817383</v>
      </c>
      <c r="N39" s="654">
        <f t="shared" si="19"/>
        <v>30.79611873626709</v>
      </c>
      <c r="O39" s="1092">
        <v>9.9982538223266602</v>
      </c>
      <c r="P39" s="1093">
        <v>8.8797397613525391</v>
      </c>
      <c r="Q39" s="1093">
        <v>7.7084803581237793</v>
      </c>
      <c r="R39" s="654">
        <f t="shared" si="20"/>
        <v>26.586473941802979</v>
      </c>
      <c r="S39" s="658">
        <f>F39</f>
        <v>18.636226177215576</v>
      </c>
      <c r="T39" s="659">
        <f>J39</f>
        <v>53.339329719543457</v>
      </c>
      <c r="U39" s="659">
        <f>N39</f>
        <v>30.79611873626709</v>
      </c>
      <c r="V39" s="659">
        <f>R39</f>
        <v>26.586473941802979</v>
      </c>
      <c r="W39" s="657">
        <f t="shared" si="16"/>
        <v>129.3581485748291</v>
      </c>
    </row>
    <row r="40" spans="2:23">
      <c r="B40" s="914" t="s">
        <v>786</v>
      </c>
      <c r="C40" s="778">
        <f>'корпоративный баланс энергии'!J572</f>
        <v>9.9856860935688019E-2</v>
      </c>
      <c r="D40" s="779">
        <f>'корпоративный баланс энергии'!M572</f>
        <v>7.1591995656490326E-2</v>
      </c>
      <c r="E40" s="780">
        <f>'корпоративный баланс энергии'!P572</f>
        <v>7.579474151134491E-2</v>
      </c>
      <c r="F40" s="646">
        <f t="shared" si="17"/>
        <v>0.24724359810352325</v>
      </c>
      <c r="G40" s="660">
        <f>'корпоративный баланс энергии'!S572</f>
        <v>8.0468647181987762E-2</v>
      </c>
      <c r="H40" s="648">
        <f>'корпоративный баланс энергии'!V572</f>
        <v>0.1929076611995697</v>
      </c>
      <c r="I40" s="648">
        <f>'корпоративный баланс энергии'!Y572</f>
        <v>0.19052904844284058</v>
      </c>
      <c r="J40" s="646">
        <f t="shared" si="18"/>
        <v>0.46390535682439804</v>
      </c>
      <c r="K40" s="660">
        <f>'корпоративный баланс энергии'!AB572</f>
        <v>0.14948645234107971</v>
      </c>
      <c r="L40" s="648">
        <f>'корпоративный баланс энергии'!AE572</f>
        <v>0.1482788473367691</v>
      </c>
      <c r="M40" s="649">
        <f>'корпоративный баланс энергии'!AH572</f>
        <v>0.12428492307662964</v>
      </c>
      <c r="N40" s="646">
        <f t="shared" si="19"/>
        <v>0.42205022275447845</v>
      </c>
      <c r="O40" s="660">
        <f>'корпоративный баланс энергии'!AK572</f>
        <v>0.1553950309753418</v>
      </c>
      <c r="P40" s="648">
        <f>'корпоративный баланс энергии'!AN572</f>
        <v>0.16089718043804169</v>
      </c>
      <c r="Q40" s="649">
        <f>'корпоративный баланс энергии'!AQ572</f>
        <v>0.14539134502410889</v>
      </c>
      <c r="R40" s="646">
        <f t="shared" si="20"/>
        <v>0.46168355643749237</v>
      </c>
      <c r="S40" s="650">
        <f>F40</f>
        <v>0.24724359810352325</v>
      </c>
      <c r="T40" s="651">
        <f>J40</f>
        <v>0.46390535682439804</v>
      </c>
      <c r="U40" s="651">
        <f>N40</f>
        <v>0.42205022275447845</v>
      </c>
      <c r="V40" s="651">
        <f>R40</f>
        <v>0.46168355643749237</v>
      </c>
      <c r="W40" s="647">
        <f t="shared" si="16"/>
        <v>1.5948827341198921</v>
      </c>
    </row>
    <row r="41" spans="2:23">
      <c r="B41" s="915" t="s">
        <v>787</v>
      </c>
      <c r="C41" s="679">
        <f>'корпоративный баланс энергии'!J573</f>
        <v>3.2120461463928223</v>
      </c>
      <c r="D41" s="667">
        <f>'корпоративный баланс энергии'!M573</f>
        <v>2.2447559833526611</v>
      </c>
      <c r="E41" s="668">
        <f>'корпоративный баланс энергии'!P573</f>
        <v>1.6952438354492188</v>
      </c>
      <c r="F41" s="663">
        <f t="shared" si="17"/>
        <v>7.1520459651947021</v>
      </c>
      <c r="G41" s="679">
        <f>'корпоративный баланс энергии'!S573</f>
        <v>2.5212886333465576</v>
      </c>
      <c r="H41" s="667">
        <f>'корпоративный баланс энергии'!V573</f>
        <v>5.2501735687255859</v>
      </c>
      <c r="I41" s="667">
        <f>'корпоративный баланс энергии'!Y573</f>
        <v>2.1563105583190918</v>
      </c>
      <c r="J41" s="663">
        <f t="shared" si="18"/>
        <v>9.9277727603912354</v>
      </c>
      <c r="K41" s="679">
        <f>'корпоративный баланс энергии'!AB573</f>
        <v>1.4787638187408447</v>
      </c>
      <c r="L41" s="667">
        <f>'корпоративный баланс энергии'!AE573</f>
        <v>1.3066818714141846</v>
      </c>
      <c r="M41" s="668">
        <f>'корпоративный баланс энергии'!AH573</f>
        <v>1.6683156490325928</v>
      </c>
      <c r="N41" s="663">
        <f t="shared" si="19"/>
        <v>4.4537613391876221</v>
      </c>
      <c r="O41" s="679">
        <f>'корпоративный баланс энергии'!AK573</f>
        <v>2.9693338871002197</v>
      </c>
      <c r="P41" s="667">
        <f>'корпоративный баланс энергии'!AN573</f>
        <v>3.8188850879669189</v>
      </c>
      <c r="Q41" s="668">
        <f>'корпоративный баланс энергии'!AQ573</f>
        <v>3.6982512474060059</v>
      </c>
      <c r="R41" s="663">
        <f t="shared" si="20"/>
        <v>10.486470222473145</v>
      </c>
      <c r="S41" s="664">
        <f>F41</f>
        <v>7.1520459651947021</v>
      </c>
      <c r="T41" s="665">
        <f>J41</f>
        <v>9.9277727603912354</v>
      </c>
      <c r="U41" s="665">
        <f>N41</f>
        <v>4.4537613391876221</v>
      </c>
      <c r="V41" s="665">
        <f>R41</f>
        <v>10.486470222473145</v>
      </c>
      <c r="W41" s="666">
        <f t="shared" si="16"/>
        <v>32.020050287246704</v>
      </c>
    </row>
    <row r="42" spans="2:23">
      <c r="B42" s="783" t="s">
        <v>788</v>
      </c>
      <c r="C42" s="743">
        <f>C43</f>
        <v>6.39324951171875</v>
      </c>
      <c r="D42" s="743">
        <f>D43</f>
        <v>7.5819425582885742</v>
      </c>
      <c r="E42" s="744">
        <f>E43</f>
        <v>10.489291191101074</v>
      </c>
      <c r="F42" s="745">
        <f t="shared" si="17"/>
        <v>24.464483261108398</v>
      </c>
      <c r="G42" s="743">
        <f>G43</f>
        <v>7.1218571662902832</v>
      </c>
      <c r="H42" s="743">
        <f>H43</f>
        <v>7.7685117721557617</v>
      </c>
      <c r="I42" s="743">
        <f>I43</f>
        <v>5.3296594619750977</v>
      </c>
      <c r="J42" s="745">
        <f t="shared" si="18"/>
        <v>20.220028400421143</v>
      </c>
      <c r="K42" s="743">
        <f>K43</f>
        <v>5.3314013481140137</v>
      </c>
      <c r="L42" s="743">
        <f>L43</f>
        <v>5.1044940948486328</v>
      </c>
      <c r="M42" s="744">
        <f>M43</f>
        <v>4.549189567565918</v>
      </c>
      <c r="N42" s="745">
        <f t="shared" si="19"/>
        <v>14.985085010528564</v>
      </c>
      <c r="O42" s="743">
        <f>O43</f>
        <v>4.509589672088623</v>
      </c>
      <c r="P42" s="743">
        <f>P43</f>
        <v>4.5099091529846191</v>
      </c>
      <c r="Q42" s="744">
        <f>Q43</f>
        <v>5.3154277801513672</v>
      </c>
      <c r="R42" s="745">
        <f t="shared" si="20"/>
        <v>14.334926605224609</v>
      </c>
      <c r="S42" s="757">
        <f>S43</f>
        <v>24.464483261108398</v>
      </c>
      <c r="T42" s="758">
        <f>T43</f>
        <v>20.220028400421143</v>
      </c>
      <c r="U42" s="758">
        <f>U43</f>
        <v>14.985085010528564</v>
      </c>
      <c r="V42" s="758">
        <f>V43</f>
        <v>14.334926605224609</v>
      </c>
      <c r="W42" s="747">
        <f t="shared" si="16"/>
        <v>74.004523277282715</v>
      </c>
    </row>
    <row r="43" spans="2:23">
      <c r="B43" s="776" t="s">
        <v>789</v>
      </c>
      <c r="C43" s="1082">
        <v>6.39324951171875</v>
      </c>
      <c r="D43" s="1083">
        <v>7.5819425582885742</v>
      </c>
      <c r="E43" s="1083">
        <v>10.489291191101074</v>
      </c>
      <c r="F43" s="661">
        <f t="shared" si="17"/>
        <v>24.464483261108398</v>
      </c>
      <c r="G43" s="1082">
        <v>7.1218571662902832</v>
      </c>
      <c r="H43" s="1083">
        <v>7.7685117721557617</v>
      </c>
      <c r="I43" s="1083">
        <v>5.3296594619750977</v>
      </c>
      <c r="J43" s="661">
        <f t="shared" si="18"/>
        <v>20.220028400421143</v>
      </c>
      <c r="K43" s="1082">
        <v>5.3314013481140137</v>
      </c>
      <c r="L43" s="1083">
        <v>5.1044940948486328</v>
      </c>
      <c r="M43" s="1083">
        <v>4.549189567565918</v>
      </c>
      <c r="N43" s="661">
        <f t="shared" si="19"/>
        <v>14.985085010528564</v>
      </c>
      <c r="O43" s="1082">
        <v>4.509589672088623</v>
      </c>
      <c r="P43" s="1083">
        <v>4.5099091529846191</v>
      </c>
      <c r="Q43" s="1083">
        <v>5.3154277801513672</v>
      </c>
      <c r="R43" s="661">
        <f t="shared" si="20"/>
        <v>14.334926605224609</v>
      </c>
      <c r="S43" s="673">
        <f>F43</f>
        <v>24.464483261108398</v>
      </c>
      <c r="T43" s="674">
        <f>J43</f>
        <v>20.220028400421143</v>
      </c>
      <c r="U43" s="674">
        <f>N43</f>
        <v>14.985085010528564</v>
      </c>
      <c r="V43" s="674">
        <f>R43</f>
        <v>14.334926605224609</v>
      </c>
      <c r="W43" s="662">
        <f t="shared" si="16"/>
        <v>74.004523277282715</v>
      </c>
    </row>
    <row r="44" spans="2:23">
      <c r="B44" s="783" t="s">
        <v>790</v>
      </c>
      <c r="C44" s="743">
        <f>SUM(C45,C46,C47)</f>
        <v>271.05309677124023</v>
      </c>
      <c r="D44" s="743">
        <f>SUM(D45,D46,D47)</f>
        <v>244.63651847839355</v>
      </c>
      <c r="E44" s="744">
        <f>SUM(E45,E46,E47)</f>
        <v>241.2093358039856</v>
      </c>
      <c r="F44" s="745">
        <f t="shared" si="17"/>
        <v>756.89895105361938</v>
      </c>
      <c r="G44" s="743">
        <f>SUM(G45,G46,G47)</f>
        <v>317.92116594314575</v>
      </c>
      <c r="H44" s="743">
        <f>SUM(H45,H46,H47)</f>
        <v>785.05987930297852</v>
      </c>
      <c r="I44" s="743">
        <f>SUM(I45,I46,I47)</f>
        <v>638.44665718078613</v>
      </c>
      <c r="J44" s="745">
        <f t="shared" si="18"/>
        <v>1741.4277024269104</v>
      </c>
      <c r="K44" s="743">
        <f>SUM(K45,K46,K47)</f>
        <v>419.28554630279541</v>
      </c>
      <c r="L44" s="743">
        <f>SUM(L45,L46,L47)</f>
        <v>351.85113763809204</v>
      </c>
      <c r="M44" s="744">
        <f>SUM(M45,M46,M47)</f>
        <v>327.45494079589844</v>
      </c>
      <c r="N44" s="745">
        <f t="shared" si="19"/>
        <v>1098.5916247367859</v>
      </c>
      <c r="O44" s="743">
        <f>SUM(O45,O46,O47)</f>
        <v>368.35579299926758</v>
      </c>
      <c r="P44" s="743">
        <f>SUM(P45,P46,P47)</f>
        <v>331.85649633407593</v>
      </c>
      <c r="Q44" s="744">
        <f>SUM(Q45,Q46,Q47)</f>
        <v>300.54631185531616</v>
      </c>
      <c r="R44" s="745">
        <f t="shared" si="20"/>
        <v>1000.7586011886597</v>
      </c>
      <c r="S44" s="757">
        <f>SUM(S45:S47)</f>
        <v>756.89895105361938</v>
      </c>
      <c r="T44" s="758">
        <f>SUM(T45:T47)</f>
        <v>1741.4277024269104</v>
      </c>
      <c r="U44" s="758">
        <f>SUM(U45:U47)</f>
        <v>1098.5916247367859</v>
      </c>
      <c r="V44" s="758">
        <f>SUM(V45:V47)</f>
        <v>1000.7586011886597</v>
      </c>
      <c r="W44" s="747">
        <f t="shared" si="16"/>
        <v>4597.6768794059753</v>
      </c>
    </row>
    <row r="45" spans="2:23">
      <c r="B45" s="636" t="s">
        <v>791</v>
      </c>
      <c r="C45" s="1088">
        <v>151.12416076660156</v>
      </c>
      <c r="D45" s="1089">
        <v>144.15643310546875</v>
      </c>
      <c r="E45" s="1089">
        <v>147.85726928710938</v>
      </c>
      <c r="F45" s="654">
        <f t="shared" si="17"/>
        <v>443.13786315917969</v>
      </c>
      <c r="G45" s="1088">
        <v>184.85714721679688</v>
      </c>
      <c r="H45" s="1089">
        <v>445.5980224609375</v>
      </c>
      <c r="I45" s="1089">
        <v>355.66738891601563</v>
      </c>
      <c r="J45" s="654">
        <f t="shared" si="18"/>
        <v>986.12255859375</v>
      </c>
      <c r="K45" s="1088">
        <v>228.29270935058594</v>
      </c>
      <c r="L45" s="1089">
        <v>194.76370239257813</v>
      </c>
      <c r="M45" s="1089">
        <v>179.32139587402344</v>
      </c>
      <c r="N45" s="654">
        <f t="shared" si="19"/>
        <v>602.3778076171875</v>
      </c>
      <c r="O45" s="1088">
        <v>194.58810424804688</v>
      </c>
      <c r="P45" s="1089">
        <v>180.67471313476563</v>
      </c>
      <c r="Q45" s="1089">
        <v>161.4849853515625</v>
      </c>
      <c r="R45" s="654">
        <f t="shared" si="20"/>
        <v>536.747802734375</v>
      </c>
      <c r="S45" s="658">
        <f>F45</f>
        <v>443.13786315917969</v>
      </c>
      <c r="T45" s="659">
        <f>J45</f>
        <v>986.12255859375</v>
      </c>
      <c r="U45" s="659">
        <f>N45</f>
        <v>602.3778076171875</v>
      </c>
      <c r="V45" s="659">
        <f>R45</f>
        <v>536.747802734375</v>
      </c>
      <c r="W45" s="657">
        <f t="shared" si="16"/>
        <v>2568.3860321044922</v>
      </c>
    </row>
    <row r="46" spans="2:23">
      <c r="B46" s="636" t="s">
        <v>621</v>
      </c>
      <c r="C46" s="1090">
        <v>115.03717041015625</v>
      </c>
      <c r="D46" s="1091">
        <v>96.45416259765625</v>
      </c>
      <c r="E46" s="1091">
        <v>89.281784057617188</v>
      </c>
      <c r="F46" s="654">
        <f t="shared" si="17"/>
        <v>300.77311706542969</v>
      </c>
      <c r="G46" s="1090">
        <v>125.78110504150391</v>
      </c>
      <c r="H46" s="1091">
        <v>321.31332397460938</v>
      </c>
      <c r="I46" s="1091">
        <v>267.74282836914063</v>
      </c>
      <c r="J46" s="654">
        <f t="shared" si="18"/>
        <v>714.83725738525391</v>
      </c>
      <c r="K46" s="1090">
        <v>182.14987182617188</v>
      </c>
      <c r="L46" s="1091">
        <v>150.02278137207031</v>
      </c>
      <c r="M46" s="1091">
        <v>140.08460998535156</v>
      </c>
      <c r="N46" s="654">
        <f t="shared" si="19"/>
        <v>472.25726318359375</v>
      </c>
      <c r="O46" s="1090">
        <v>164.07655334472656</v>
      </c>
      <c r="P46" s="1091">
        <v>144.84901428222656</v>
      </c>
      <c r="Q46" s="1091">
        <v>133.81950378417969</v>
      </c>
      <c r="R46" s="654">
        <f t="shared" si="20"/>
        <v>442.74507141113281</v>
      </c>
      <c r="S46" s="658">
        <f>F46</f>
        <v>300.77311706542969</v>
      </c>
      <c r="T46" s="659">
        <f>J46</f>
        <v>714.83725738525391</v>
      </c>
      <c r="U46" s="659">
        <f>N46</f>
        <v>472.25726318359375</v>
      </c>
      <c r="V46" s="659">
        <f>R46</f>
        <v>442.74507141113281</v>
      </c>
      <c r="W46" s="657">
        <f t="shared" si="16"/>
        <v>1930.6127090454102</v>
      </c>
    </row>
    <row r="47" spans="2:23">
      <c r="B47" s="776" t="s">
        <v>397</v>
      </c>
      <c r="C47" s="1092">
        <v>4.8917655944824219</v>
      </c>
      <c r="D47" s="1093">
        <v>4.0259227752685547</v>
      </c>
      <c r="E47" s="1093">
        <v>4.0702824592590332</v>
      </c>
      <c r="F47" s="661">
        <f t="shared" si="17"/>
        <v>12.98797082901001</v>
      </c>
      <c r="G47" s="1092">
        <v>7.2829136848449707</v>
      </c>
      <c r="H47" s="1093">
        <v>18.148532867431641</v>
      </c>
      <c r="I47" s="1093">
        <v>15.036439895629883</v>
      </c>
      <c r="J47" s="661">
        <f t="shared" si="18"/>
        <v>40.467886447906494</v>
      </c>
      <c r="K47" s="1092">
        <v>8.8429651260375977</v>
      </c>
      <c r="L47" s="1093">
        <v>7.0646538734436035</v>
      </c>
      <c r="M47" s="1093">
        <v>8.0489349365234375</v>
      </c>
      <c r="N47" s="661">
        <f t="shared" si="19"/>
        <v>23.956553936004639</v>
      </c>
      <c r="O47" s="1092">
        <v>9.6911354064941406</v>
      </c>
      <c r="P47" s="1093">
        <v>6.3327689170837402</v>
      </c>
      <c r="Q47" s="1093">
        <v>5.2418227195739746</v>
      </c>
      <c r="R47" s="661">
        <f t="shared" si="20"/>
        <v>21.265727043151855</v>
      </c>
      <c r="S47" s="673">
        <f>F47</f>
        <v>12.98797082901001</v>
      </c>
      <c r="T47" s="674">
        <f>J47</f>
        <v>40.467886447906494</v>
      </c>
      <c r="U47" s="674">
        <f>N47</f>
        <v>23.956553936004639</v>
      </c>
      <c r="V47" s="674">
        <f>R47</f>
        <v>21.265727043151855</v>
      </c>
      <c r="W47" s="662">
        <f t="shared" si="16"/>
        <v>98.678138256072998</v>
      </c>
    </row>
    <row r="48" spans="2:23">
      <c r="B48" s="783" t="s">
        <v>792</v>
      </c>
      <c r="C48" s="743">
        <f>C49</f>
        <v>0.65580403804779053</v>
      </c>
      <c r="D48" s="743">
        <f>D49</f>
        <v>0.54692161083221436</v>
      </c>
      <c r="E48" s="744">
        <f>E49</f>
        <v>0.68519610166549683</v>
      </c>
      <c r="F48" s="745">
        <f t="shared" si="17"/>
        <v>1.8879217505455017</v>
      </c>
      <c r="G48" s="743">
        <f>G49</f>
        <v>2.7842152118682861</v>
      </c>
      <c r="H48" s="743">
        <f>H49</f>
        <v>4.1146078109741211</v>
      </c>
      <c r="I48" s="743">
        <f>I49</f>
        <v>3.0179219245910645</v>
      </c>
      <c r="J48" s="745">
        <f t="shared" si="18"/>
        <v>9.9167449474334717</v>
      </c>
      <c r="K48" s="743">
        <f>K49</f>
        <v>2.1310000419616699</v>
      </c>
      <c r="L48" s="743">
        <f>L49</f>
        <v>1.7296077013015747</v>
      </c>
      <c r="M48" s="744">
        <f>M49</f>
        <v>1.6030977964401245</v>
      </c>
      <c r="N48" s="745">
        <f t="shared" si="19"/>
        <v>5.4637055397033691</v>
      </c>
      <c r="O48" s="743">
        <f>O49</f>
        <v>1.7857843637466431</v>
      </c>
      <c r="P48" s="743">
        <f>P49</f>
        <v>1.2868038415908813</v>
      </c>
      <c r="Q48" s="744">
        <f>Q49</f>
        <v>0.82499998807907104</v>
      </c>
      <c r="R48" s="745">
        <f t="shared" si="20"/>
        <v>3.8975881934165955</v>
      </c>
      <c r="S48" s="757">
        <f>S49</f>
        <v>1.8879217505455017</v>
      </c>
      <c r="T48" s="758">
        <f>T49</f>
        <v>9.9167449474334717</v>
      </c>
      <c r="U48" s="758">
        <f>U49</f>
        <v>5.4637055397033691</v>
      </c>
      <c r="V48" s="758">
        <f>V49</f>
        <v>3.8975881934165955</v>
      </c>
      <c r="W48" s="747">
        <f t="shared" si="16"/>
        <v>21.165960431098938</v>
      </c>
    </row>
    <row r="49" spans="2:23" ht="13.5" thickBot="1">
      <c r="B49" s="637" t="s">
        <v>637</v>
      </c>
      <c r="C49" s="1085">
        <v>0.65580403804779053</v>
      </c>
      <c r="D49" s="1086">
        <v>0.54692161083221436</v>
      </c>
      <c r="E49" s="1086">
        <v>0.68519610166549683</v>
      </c>
      <c r="F49" s="675">
        <f t="shared" si="17"/>
        <v>1.8879217505455017</v>
      </c>
      <c r="G49" s="1085">
        <v>2.7842152118682861</v>
      </c>
      <c r="H49" s="1086">
        <v>4.1146078109741211</v>
      </c>
      <c r="I49" s="1086">
        <v>3.0179219245910645</v>
      </c>
      <c r="J49" s="675">
        <f t="shared" si="18"/>
        <v>9.9167449474334717</v>
      </c>
      <c r="K49" s="1085">
        <v>2.1310000419616699</v>
      </c>
      <c r="L49" s="1086">
        <v>1.7296077013015747</v>
      </c>
      <c r="M49" s="1086">
        <v>1.6030977964401245</v>
      </c>
      <c r="N49" s="675">
        <f t="shared" si="19"/>
        <v>5.4637055397033691</v>
      </c>
      <c r="O49" s="1085">
        <v>1.7857843637466431</v>
      </c>
      <c r="P49" s="1086">
        <v>1.2868038415908813</v>
      </c>
      <c r="Q49" s="1086">
        <v>0.82499998807907104</v>
      </c>
      <c r="R49" s="675">
        <f t="shared" si="20"/>
        <v>3.8975881934165955</v>
      </c>
      <c r="S49" s="676">
        <f>F49</f>
        <v>1.8879217505455017</v>
      </c>
      <c r="T49" s="677">
        <f>J49</f>
        <v>9.9167449474334717</v>
      </c>
      <c r="U49" s="677">
        <f>N49</f>
        <v>5.4637055397033691</v>
      </c>
      <c r="V49" s="677">
        <f>R49</f>
        <v>3.8975881934165955</v>
      </c>
      <c r="W49" s="678">
        <f t="shared" si="16"/>
        <v>21.165960431098938</v>
      </c>
    </row>
    <row r="50" spans="2:23" ht="4.5" customHeight="1" thickBot="1">
      <c r="B50" s="635"/>
      <c r="C50" s="640"/>
      <c r="D50" s="640"/>
      <c r="E50" s="641"/>
      <c r="F50" s="642"/>
      <c r="G50" s="640"/>
      <c r="H50" s="640"/>
      <c r="I50" s="640"/>
      <c r="J50" s="642"/>
      <c r="K50" s="640"/>
      <c r="L50" s="640"/>
      <c r="M50" s="641"/>
      <c r="N50" s="642"/>
      <c r="O50" s="640"/>
      <c r="P50" s="640"/>
      <c r="Q50" s="641"/>
      <c r="R50" s="642"/>
      <c r="S50" s="643"/>
      <c r="T50" s="641"/>
      <c r="U50" s="641"/>
      <c r="V50" s="644"/>
      <c r="W50" s="645"/>
    </row>
    <row r="51" spans="2:23" ht="15" thickBot="1">
      <c r="B51" s="768" t="s">
        <v>793</v>
      </c>
      <c r="C51" s="769">
        <f>SUM(C52,C54,C76,C98,C101)</f>
        <v>1023.5308489422607</v>
      </c>
      <c r="D51" s="769">
        <f>SUM(D52,D54,D76,D98,D101)</f>
        <v>931.57946148071278</v>
      </c>
      <c r="E51" s="770">
        <f>SUM(E52,E54,E76,E98,E101)</f>
        <v>1040.3436108032229</v>
      </c>
      <c r="F51" s="771">
        <f>SUM(C51:E51)</f>
        <v>2995.4539212261961</v>
      </c>
      <c r="G51" s="769">
        <f>SUM(G52,G54,G76,G98,G101)</f>
        <v>1115.3578582275391</v>
      </c>
      <c r="H51" s="769">
        <f>SUM(H52,H54,H76,H98,H101)</f>
        <v>1233.7244277416992</v>
      </c>
      <c r="I51" s="769">
        <f>SUM(I52,I54,I76,I98,I101)</f>
        <v>1239.8007130432129</v>
      </c>
      <c r="J51" s="771">
        <f>SUM(G51:I51)</f>
        <v>3588.8829990124509</v>
      </c>
      <c r="K51" s="769">
        <f>SUM(K52,K54,K76,K98,K101)</f>
        <v>1143.8267613781741</v>
      </c>
      <c r="L51" s="769">
        <f>SUM(L52,L54,L76,L98,L101)</f>
        <v>1062.7924829644776</v>
      </c>
      <c r="M51" s="770">
        <f>SUM(M52,M54,M76,M98,M101)</f>
        <v>1004.832837008667</v>
      </c>
      <c r="N51" s="771">
        <f>SUM(K51:M51)</f>
        <v>3211.4520813513186</v>
      </c>
      <c r="O51" s="769">
        <f>SUM(O52,O54,O76,O98,O101)</f>
        <v>1045.112197546875</v>
      </c>
      <c r="P51" s="769">
        <f>SUM(P52,P54,P76,P98,P101)</f>
        <v>1066.1336944213867</v>
      </c>
      <c r="Q51" s="770">
        <f>SUM(Q52,Q54,Q76,Q98,Q101)</f>
        <v>1045.0819854893798</v>
      </c>
      <c r="R51" s="771">
        <f>SUM(O51:Q51)</f>
        <v>3156.3278774576415</v>
      </c>
      <c r="S51" s="772">
        <f>SUM(S52,S54,S76,S98,S101)</f>
        <v>2995.4539212261961</v>
      </c>
      <c r="T51" s="770">
        <f>SUM(T52,T54,T76,T98,T101)</f>
        <v>3588.8829990124514</v>
      </c>
      <c r="U51" s="770">
        <f>SUM(U52,U54,U76,U98,U101)</f>
        <v>3211.4520813513182</v>
      </c>
      <c r="V51" s="770">
        <f>SUM(V52,V54,V76,V98,V101)</f>
        <v>3156.327877457642</v>
      </c>
      <c r="W51" s="773">
        <f t="shared" ref="W51:W117" si="21">SUM(S51:V51)</f>
        <v>12952.116879047608</v>
      </c>
    </row>
    <row r="52" spans="2:23">
      <c r="B52" s="782" t="s">
        <v>44</v>
      </c>
      <c r="C52" s="743">
        <f>C53</f>
        <v>0.89200000000000002</v>
      </c>
      <c r="D52" s="743">
        <f>D53</f>
        <v>0.82599999999999996</v>
      </c>
      <c r="E52" s="744">
        <f>E53</f>
        <v>0.88400000000000001</v>
      </c>
      <c r="F52" s="745">
        <f t="shared" ref="F52:F109" si="22">SUM(C52:E52)</f>
        <v>2.6019999999999999</v>
      </c>
      <c r="G52" s="743">
        <f>G53</f>
        <v>0.87</v>
      </c>
      <c r="H52" s="743">
        <f>H53</f>
        <v>0.88400000000000001</v>
      </c>
      <c r="I52" s="743">
        <f>I53</f>
        <v>0.84199999999999997</v>
      </c>
      <c r="J52" s="745">
        <f t="shared" ref="J52:J109" si="23">SUM(G52:I52)</f>
        <v>2.5960000000000001</v>
      </c>
      <c r="K52" s="743">
        <f>K53</f>
        <v>0.84699999999999998</v>
      </c>
      <c r="L52" s="743">
        <f>L53</f>
        <v>0.66199999999999992</v>
      </c>
      <c r="M52" s="744">
        <f>M53</f>
        <v>0.40700000000000003</v>
      </c>
      <c r="N52" s="745">
        <f t="shared" ref="N52:N109" si="24">SUM(K52:M52)</f>
        <v>1.9159999999999999</v>
      </c>
      <c r="O52" s="743">
        <f>O53</f>
        <v>0.84099999999999997</v>
      </c>
      <c r="P52" s="743">
        <f>P53</f>
        <v>0.83699999999999997</v>
      </c>
      <c r="Q52" s="744">
        <f>Q53</f>
        <v>0.88500000000000001</v>
      </c>
      <c r="R52" s="745">
        <f t="shared" ref="R52:R109" si="25">SUM(O52:Q52)</f>
        <v>2.5629999999999997</v>
      </c>
      <c r="S52" s="757">
        <f>S53</f>
        <v>2.6019999999999999</v>
      </c>
      <c r="T52" s="758">
        <f>T53</f>
        <v>2.5960000000000001</v>
      </c>
      <c r="U52" s="758">
        <f>U53</f>
        <v>1.9159999999999999</v>
      </c>
      <c r="V52" s="758">
        <f>V53</f>
        <v>2.5629999999999997</v>
      </c>
      <c r="W52" s="747">
        <f t="shared" si="21"/>
        <v>9.6769999999999996</v>
      </c>
    </row>
    <row r="53" spans="2:23" ht="13.5" thickBot="1">
      <c r="B53" s="636" t="s">
        <v>794</v>
      </c>
      <c r="C53" s="1088">
        <v>0.89200000000000002</v>
      </c>
      <c r="D53" s="1089">
        <v>0.82599999999999996</v>
      </c>
      <c r="E53" s="1089">
        <v>0.88400000000000001</v>
      </c>
      <c r="F53" s="654">
        <f t="shared" si="22"/>
        <v>2.6019999999999999</v>
      </c>
      <c r="G53" s="1088">
        <v>0.87</v>
      </c>
      <c r="H53" s="1089">
        <v>0.88400000000000001</v>
      </c>
      <c r="I53" s="1089">
        <v>0.84199999999999997</v>
      </c>
      <c r="J53" s="654">
        <f t="shared" si="23"/>
        <v>2.5960000000000001</v>
      </c>
      <c r="K53" s="1088">
        <v>0.84699999999999998</v>
      </c>
      <c r="L53" s="1089">
        <v>0.66199999999999992</v>
      </c>
      <c r="M53" s="1089">
        <v>0.40700000000000003</v>
      </c>
      <c r="N53" s="654">
        <f t="shared" si="24"/>
        <v>1.9159999999999999</v>
      </c>
      <c r="O53" s="1088">
        <v>0.84099999999999997</v>
      </c>
      <c r="P53" s="1089">
        <v>0.83699999999999997</v>
      </c>
      <c r="Q53" s="1089">
        <v>0.88500000000000001</v>
      </c>
      <c r="R53" s="654">
        <f t="shared" si="25"/>
        <v>2.5629999999999997</v>
      </c>
      <c r="S53" s="658">
        <f>F53</f>
        <v>2.6019999999999999</v>
      </c>
      <c r="T53" s="659">
        <f>J53</f>
        <v>2.5960000000000001</v>
      </c>
      <c r="U53" s="659">
        <f>N53</f>
        <v>1.9159999999999999</v>
      </c>
      <c r="V53" s="659">
        <f>R53</f>
        <v>2.5629999999999997</v>
      </c>
      <c r="W53" s="657">
        <f t="shared" si="21"/>
        <v>9.6769999999999996</v>
      </c>
    </row>
    <row r="54" spans="2:23">
      <c r="B54" s="782" t="s">
        <v>46</v>
      </c>
      <c r="C54" s="748">
        <f>SUM(C55,C61,C66,C70,C71,C72,C73)</f>
        <v>232.52100000000002</v>
      </c>
      <c r="D54" s="748">
        <f t="shared" ref="D54:E54" si="26">SUM(D55,D61,D66,D70,D71,D72,D73)</f>
        <v>201.46499999999995</v>
      </c>
      <c r="E54" s="748">
        <f t="shared" si="26"/>
        <v>209.21000000000004</v>
      </c>
      <c r="F54" s="750">
        <f t="shared" si="22"/>
        <v>643.19600000000003</v>
      </c>
      <c r="G54" s="748">
        <f>SUM(G55,G61,G66,G70,G71,G72,G73)</f>
        <v>251.74600000000001</v>
      </c>
      <c r="H54" s="748">
        <f t="shared" ref="H54" si="27">SUM(H55,H61,H66,H70,H71,H72,H73)</f>
        <v>355.45499999999998</v>
      </c>
      <c r="I54" s="748">
        <f t="shared" ref="I54" si="28">SUM(I55,I61,I66,I70,I71,I72,I73)</f>
        <v>305.30799999999999</v>
      </c>
      <c r="J54" s="750">
        <f t="shared" si="23"/>
        <v>912.50900000000001</v>
      </c>
      <c r="K54" s="748">
        <f>SUM(K55,K61,K66,K70,K71,K72,K73)</f>
        <v>251.57300000000001</v>
      </c>
      <c r="L54" s="748">
        <f t="shared" ref="L54" si="29">SUM(L55,L61,L66,L70,L71,L72,L73)</f>
        <v>224.45899999999997</v>
      </c>
      <c r="M54" s="748">
        <f t="shared" ref="M54" si="30">SUM(M55,M61,M66,M70,M71,M72,M73)</f>
        <v>221.91299999999995</v>
      </c>
      <c r="N54" s="750">
        <f t="shared" si="24"/>
        <v>697.94499999999994</v>
      </c>
      <c r="O54" s="748">
        <f>SUM(O55,O61,O66,O70,O71,O72,O73)</f>
        <v>243.33700000000002</v>
      </c>
      <c r="P54" s="748">
        <f t="shared" ref="P54" si="31">SUM(P55,P61,P66,P70,P71,P72,P73)</f>
        <v>253.80200000000005</v>
      </c>
      <c r="Q54" s="748">
        <f t="shared" ref="Q54" si="32">SUM(Q55,Q61,Q66,Q70,Q71,Q72,Q73)</f>
        <v>249.20100000000002</v>
      </c>
      <c r="R54" s="750">
        <f t="shared" si="25"/>
        <v>746.34000000000015</v>
      </c>
      <c r="S54" s="751">
        <f>SUM(S55,S61,S66,S70,S71,S72,S73)</f>
        <v>643.19599999999991</v>
      </c>
      <c r="T54" s="749">
        <f>SUM(T55,T61,T66,T70,T71,T72,T73)</f>
        <v>912.50900000000001</v>
      </c>
      <c r="U54" s="749">
        <f t="shared" ref="U54:V54" si="33">SUM(U55,U61,U66,U70,U71,U72,U73)</f>
        <v>697.94500000000005</v>
      </c>
      <c r="V54" s="749">
        <f t="shared" si="33"/>
        <v>746.34</v>
      </c>
      <c r="W54" s="752">
        <f t="shared" si="21"/>
        <v>2999.9900000000002</v>
      </c>
    </row>
    <row r="55" spans="2:23">
      <c r="B55" s="916" t="s">
        <v>221</v>
      </c>
      <c r="C55" s="652">
        <f>SUM(C56,C57,C58,C59,C60)</f>
        <v>102.459</v>
      </c>
      <c r="D55" s="652">
        <f>SUM(D56,D57,D58,D59,D60)</f>
        <v>89.084000000000003</v>
      </c>
      <c r="E55" s="653">
        <f>SUM(E56,E57,E58,E59,E60)</f>
        <v>97.598000000000013</v>
      </c>
      <c r="F55" s="654">
        <f t="shared" si="22"/>
        <v>289.14100000000002</v>
      </c>
      <c r="G55" s="652">
        <f>SUM(G56,G57,G58,G59,G60)</f>
        <v>104.38799999999999</v>
      </c>
      <c r="H55" s="652">
        <f>SUM(H56,H57,H58,H59,H60)</f>
        <v>120.462</v>
      </c>
      <c r="I55" s="652">
        <f>SUM(I56,I57,I58,I59,I60)</f>
        <v>107.91900000000001</v>
      </c>
      <c r="J55" s="654">
        <f t="shared" si="23"/>
        <v>332.76900000000001</v>
      </c>
      <c r="K55" s="652">
        <f>SUM(K56,K57,K58,K59,K60)</f>
        <v>95.86699999999999</v>
      </c>
      <c r="L55" s="652">
        <f>SUM(L56,L57,L58,L59,L60)</f>
        <v>86.435999999999993</v>
      </c>
      <c r="M55" s="653">
        <f>SUM(M56,M57,M58,M59,M60)</f>
        <v>84.733000000000004</v>
      </c>
      <c r="N55" s="654">
        <f t="shared" si="24"/>
        <v>267.036</v>
      </c>
      <c r="O55" s="652">
        <f>SUM(O56,O57,O58,O59,O60)</f>
        <v>99.812000000000012</v>
      </c>
      <c r="P55" s="652">
        <f>SUM(P56,P57,P58,P59,P60)</f>
        <v>104.43700000000001</v>
      </c>
      <c r="Q55" s="653">
        <f>SUM(Q56,Q57,Q58,Q59,Q60)</f>
        <v>106.545</v>
      </c>
      <c r="R55" s="654">
        <f t="shared" si="25"/>
        <v>310.79400000000004</v>
      </c>
      <c r="S55" s="655">
        <f>SUM(S56:S60)</f>
        <v>289.14099999999996</v>
      </c>
      <c r="T55" s="656">
        <f>SUM(T56:T60)</f>
        <v>332.76900000000001</v>
      </c>
      <c r="U55" s="656">
        <f>SUM(U56:U60)</f>
        <v>267.036</v>
      </c>
      <c r="V55" s="656">
        <f>SUM(V56:V60)</f>
        <v>310.79399999999998</v>
      </c>
      <c r="W55" s="657">
        <f t="shared" si="21"/>
        <v>1199.7399999999998</v>
      </c>
    </row>
    <row r="56" spans="2:23">
      <c r="B56" s="914" t="s">
        <v>415</v>
      </c>
      <c r="C56" s="648">
        <f>'корпоративный баланс энергии'!J900</f>
        <v>31.2</v>
      </c>
      <c r="D56" s="648">
        <f>'корпоративный баланс энергии'!M900</f>
        <v>27.8</v>
      </c>
      <c r="E56" s="649">
        <f>'корпоративный баланс энергии'!P900</f>
        <v>29.7</v>
      </c>
      <c r="F56" s="646">
        <f t="shared" si="22"/>
        <v>88.7</v>
      </c>
      <c r="G56" s="648">
        <f>'корпоративный баланс энергии'!S900</f>
        <v>25.2</v>
      </c>
      <c r="H56" s="648">
        <f>'корпоративный баланс энергии'!V900</f>
        <v>28.2</v>
      </c>
      <c r="I56" s="648">
        <f>'корпоративный баланс энергии'!Y900</f>
        <v>28.8</v>
      </c>
      <c r="J56" s="646">
        <f t="shared" si="23"/>
        <v>82.2</v>
      </c>
      <c r="K56" s="648">
        <f>'корпоративный баланс энергии'!AB900</f>
        <v>26.7</v>
      </c>
      <c r="L56" s="648">
        <f>'корпоративный баланс энергии'!AE900</f>
        <v>26</v>
      </c>
      <c r="M56" s="649">
        <f>'корпоративный баланс энергии'!AH900</f>
        <v>23.7</v>
      </c>
      <c r="N56" s="646">
        <f t="shared" si="24"/>
        <v>76.400000000000006</v>
      </c>
      <c r="O56" s="648">
        <f>'корпоративный баланс энергии'!AK900</f>
        <v>26.7</v>
      </c>
      <c r="P56" s="648">
        <f>'корпоративный баланс энергии'!AN900</f>
        <v>30.2</v>
      </c>
      <c r="Q56" s="649">
        <f>'корпоративный баланс энергии'!AQ900</f>
        <v>31.9</v>
      </c>
      <c r="R56" s="646">
        <f t="shared" si="25"/>
        <v>88.8</v>
      </c>
      <c r="S56" s="650">
        <f>F56</f>
        <v>88.7</v>
      </c>
      <c r="T56" s="651">
        <f>J56</f>
        <v>82.2</v>
      </c>
      <c r="U56" s="651">
        <f>N56</f>
        <v>76.400000000000006</v>
      </c>
      <c r="V56" s="651">
        <f>R56</f>
        <v>88.8</v>
      </c>
      <c r="W56" s="647">
        <f t="shared" si="21"/>
        <v>336.1</v>
      </c>
    </row>
    <row r="57" spans="2:23">
      <c r="B57" s="914" t="s">
        <v>414</v>
      </c>
      <c r="C57" s="648">
        <f>'корпоративный баланс энергии'!J901</f>
        <v>18.544</v>
      </c>
      <c r="D57" s="648">
        <f>'корпоративный баланс энергии'!M901</f>
        <v>15.526</v>
      </c>
      <c r="E57" s="649">
        <f>'корпоративный баланс энергии'!P901</f>
        <v>18.027000000000001</v>
      </c>
      <c r="F57" s="646">
        <f t="shared" si="22"/>
        <v>52.097000000000001</v>
      </c>
      <c r="G57" s="648">
        <f>'корпоративный баланс энергии'!S901</f>
        <v>20.864999999999998</v>
      </c>
      <c r="H57" s="648">
        <f>'корпоративный баланс энергии'!V901</f>
        <v>23.222000000000001</v>
      </c>
      <c r="I57" s="648">
        <f>'корпоративный баланс энергии'!Y901</f>
        <v>20.291</v>
      </c>
      <c r="J57" s="646">
        <f t="shared" si="23"/>
        <v>64.378</v>
      </c>
      <c r="K57" s="648">
        <f>'корпоративный баланс энергии'!AB901</f>
        <v>17.02</v>
      </c>
      <c r="L57" s="648">
        <f>'корпоративный баланс энергии'!AE901</f>
        <v>13.297000000000001</v>
      </c>
      <c r="M57" s="649">
        <f>'корпоративный баланс энергии'!AH901</f>
        <v>15.319000000000001</v>
      </c>
      <c r="N57" s="646">
        <f t="shared" si="24"/>
        <v>45.636000000000003</v>
      </c>
      <c r="O57" s="648">
        <f>'корпоративный баланс энергии'!AK901</f>
        <v>17.187999999999999</v>
      </c>
      <c r="P57" s="648">
        <f>'корпоративный баланс энергии'!AN901</f>
        <v>17.803999999999998</v>
      </c>
      <c r="Q57" s="649">
        <f>'корпоративный баланс энергии'!AQ901</f>
        <v>18.640999999999998</v>
      </c>
      <c r="R57" s="646">
        <f t="shared" si="25"/>
        <v>53.632999999999996</v>
      </c>
      <c r="S57" s="650">
        <f>F57</f>
        <v>52.097000000000001</v>
      </c>
      <c r="T57" s="651">
        <f>J57</f>
        <v>64.378</v>
      </c>
      <c r="U57" s="651">
        <f>N57</f>
        <v>45.636000000000003</v>
      </c>
      <c r="V57" s="651">
        <f>R57</f>
        <v>53.632999999999996</v>
      </c>
      <c r="W57" s="647">
        <f t="shared" si="21"/>
        <v>215.74399999999997</v>
      </c>
    </row>
    <row r="58" spans="2:23">
      <c r="B58" s="914" t="s">
        <v>416</v>
      </c>
      <c r="C58" s="648">
        <f>'корпоративный баланс энергии'!J902</f>
        <v>10.205</v>
      </c>
      <c r="D58" s="648">
        <f>'корпоративный баланс энергии'!M902</f>
        <v>8.9329999999999998</v>
      </c>
      <c r="E58" s="649">
        <f>'корпоративный баланс энергии'!P902</f>
        <v>9.1440000000000001</v>
      </c>
      <c r="F58" s="646">
        <f t="shared" si="22"/>
        <v>28.281999999999996</v>
      </c>
      <c r="G58" s="648">
        <f>'корпоративный баланс энергии'!S902</f>
        <v>12.346</v>
      </c>
      <c r="H58" s="648">
        <f>'корпоративный баланс энергии'!V902</f>
        <v>14.156000000000001</v>
      </c>
      <c r="I58" s="648">
        <f>'корпоративный баланс энергии'!Y902</f>
        <v>10.608000000000001</v>
      </c>
      <c r="J58" s="646">
        <f t="shared" si="23"/>
        <v>37.11</v>
      </c>
      <c r="K58" s="648">
        <f>'корпоративный баланс энергии'!AB902</f>
        <v>10.632999999999999</v>
      </c>
      <c r="L58" s="648">
        <f>'корпоративный баланс энергии'!AE902</f>
        <v>10.355</v>
      </c>
      <c r="M58" s="649">
        <f>'корпоративный баланс энергии'!AH902</f>
        <v>6.48</v>
      </c>
      <c r="N58" s="646">
        <f t="shared" si="24"/>
        <v>27.468</v>
      </c>
      <c r="O58" s="648">
        <f>'корпоративный баланс энергии'!AK902</f>
        <v>11.61</v>
      </c>
      <c r="P58" s="648">
        <f>'корпоративный баланс энергии'!AN902</f>
        <v>11.769</v>
      </c>
      <c r="Q58" s="649">
        <f>'корпоративный баланс энергии'!AQ902</f>
        <v>10.750999999999999</v>
      </c>
      <c r="R58" s="646">
        <f t="shared" si="25"/>
        <v>34.129999999999995</v>
      </c>
      <c r="S58" s="650">
        <f>F58</f>
        <v>28.281999999999996</v>
      </c>
      <c r="T58" s="651">
        <f>J58</f>
        <v>37.11</v>
      </c>
      <c r="U58" s="651">
        <f>N58</f>
        <v>27.468</v>
      </c>
      <c r="V58" s="651">
        <f>R58</f>
        <v>34.129999999999995</v>
      </c>
      <c r="W58" s="647">
        <f t="shared" si="21"/>
        <v>126.99</v>
      </c>
    </row>
    <row r="59" spans="2:23">
      <c r="B59" s="914" t="s">
        <v>417</v>
      </c>
      <c r="C59" s="648">
        <f>'корпоративный баланс энергии'!J903</f>
        <v>13.769</v>
      </c>
      <c r="D59" s="648">
        <f>'корпоративный баланс энергии'!M903</f>
        <v>12.15</v>
      </c>
      <c r="E59" s="649">
        <f>'корпоративный баланс энергии'!P903</f>
        <v>13.305999999999999</v>
      </c>
      <c r="F59" s="646">
        <f t="shared" si="22"/>
        <v>39.225000000000001</v>
      </c>
      <c r="G59" s="648">
        <f>'корпоративный баланс энергии'!S903</f>
        <v>14.177</v>
      </c>
      <c r="H59" s="648">
        <f>'корпоративный баланс энергии'!V903</f>
        <v>16.579999999999998</v>
      </c>
      <c r="I59" s="648">
        <f>'корпоративный баланс энергии'!Y903</f>
        <v>14.4</v>
      </c>
      <c r="J59" s="646">
        <f t="shared" si="23"/>
        <v>45.156999999999996</v>
      </c>
      <c r="K59" s="648">
        <f>'корпоративный баланс энергии'!AB903</f>
        <v>13.477</v>
      </c>
      <c r="L59" s="648">
        <f>'корпоративный баланс энергии'!AE903</f>
        <v>12.544</v>
      </c>
      <c r="M59" s="649">
        <f>'корпоративный баланс энергии'!AH903</f>
        <v>12.929</v>
      </c>
      <c r="N59" s="646">
        <f t="shared" si="24"/>
        <v>38.950000000000003</v>
      </c>
      <c r="O59" s="648">
        <f>'корпоративный баланс энергии'!AK903</f>
        <v>14.458</v>
      </c>
      <c r="P59" s="648">
        <f>'корпоративный баланс энергии'!AN903</f>
        <v>14.698</v>
      </c>
      <c r="Q59" s="649">
        <f>'корпоративный баланс энергии'!AQ903</f>
        <v>14.413</v>
      </c>
      <c r="R59" s="646">
        <f t="shared" si="25"/>
        <v>43.569000000000003</v>
      </c>
      <c r="S59" s="650">
        <f>F59</f>
        <v>39.225000000000001</v>
      </c>
      <c r="T59" s="651">
        <f>J59</f>
        <v>45.156999999999996</v>
      </c>
      <c r="U59" s="651">
        <f>N59</f>
        <v>38.950000000000003</v>
      </c>
      <c r="V59" s="651">
        <f>R59</f>
        <v>43.569000000000003</v>
      </c>
      <c r="W59" s="647">
        <f t="shared" si="21"/>
        <v>166.90100000000001</v>
      </c>
    </row>
    <row r="60" spans="2:23">
      <c r="B60" s="914" t="s">
        <v>418</v>
      </c>
      <c r="C60" s="648">
        <f>'корпоративный баланс энергии'!J904</f>
        <v>28.741</v>
      </c>
      <c r="D60" s="648">
        <f>'корпоративный баланс энергии'!M904</f>
        <v>24.675000000000001</v>
      </c>
      <c r="E60" s="649">
        <f>'корпоративный баланс энергии'!P904</f>
        <v>27.420999999999999</v>
      </c>
      <c r="F60" s="663">
        <f t="shared" si="22"/>
        <v>80.836999999999989</v>
      </c>
      <c r="G60" s="648">
        <f>'корпоративный баланс энергии'!S904</f>
        <v>31.8</v>
      </c>
      <c r="H60" s="648">
        <f>'корпоративный баланс энергии'!V904</f>
        <v>38.304000000000002</v>
      </c>
      <c r="I60" s="648">
        <f>'корпоративный баланс энергии'!Y904</f>
        <v>33.82</v>
      </c>
      <c r="J60" s="663">
        <f t="shared" si="23"/>
        <v>103.92400000000001</v>
      </c>
      <c r="K60" s="648">
        <f>'корпоративный баланс энергии'!AB904</f>
        <v>28.036999999999999</v>
      </c>
      <c r="L60" s="648">
        <f>'корпоративный баланс энергии'!AE904</f>
        <v>24.24</v>
      </c>
      <c r="M60" s="649">
        <f>'корпоративный баланс энергии'!AH904</f>
        <v>26.305</v>
      </c>
      <c r="N60" s="663">
        <f t="shared" si="24"/>
        <v>78.581999999999994</v>
      </c>
      <c r="O60" s="648">
        <f>'корпоративный баланс энергии'!AK904</f>
        <v>29.856000000000002</v>
      </c>
      <c r="P60" s="648">
        <f>'корпоративный баланс энергии'!AN904</f>
        <v>29.966000000000001</v>
      </c>
      <c r="Q60" s="649">
        <f>'корпоративный баланс энергии'!AQ904</f>
        <v>30.84</v>
      </c>
      <c r="R60" s="663">
        <f t="shared" si="25"/>
        <v>90.662000000000006</v>
      </c>
      <c r="S60" s="664">
        <f>F60</f>
        <v>80.836999999999989</v>
      </c>
      <c r="T60" s="665">
        <f>J60</f>
        <v>103.92400000000001</v>
      </c>
      <c r="U60" s="665">
        <f>N60</f>
        <v>78.581999999999994</v>
      </c>
      <c r="V60" s="665">
        <f>R60</f>
        <v>90.662000000000006</v>
      </c>
      <c r="W60" s="666">
        <f t="shared" si="21"/>
        <v>354.005</v>
      </c>
    </row>
    <row r="61" spans="2:23">
      <c r="B61" s="917" t="s">
        <v>222</v>
      </c>
      <c r="C61" s="669">
        <f>SUM(C62:C65)</f>
        <v>88.756</v>
      </c>
      <c r="D61" s="669">
        <f>SUM(D62:D65)</f>
        <v>78.103999999999999</v>
      </c>
      <c r="E61" s="670">
        <f>SUM(E62:E65)</f>
        <v>77.62</v>
      </c>
      <c r="F61" s="654">
        <f t="shared" si="22"/>
        <v>244.48000000000002</v>
      </c>
      <c r="G61" s="669">
        <f>SUM(G62:G65)</f>
        <v>89.025000000000006</v>
      </c>
      <c r="H61" s="669">
        <f>SUM(H62:H65)</f>
        <v>163.04399999999998</v>
      </c>
      <c r="I61" s="669">
        <f>SUM(I62:I65)</f>
        <v>135.18799999999999</v>
      </c>
      <c r="J61" s="654">
        <f t="shared" si="23"/>
        <v>387.25699999999995</v>
      </c>
      <c r="K61" s="669">
        <f>SUM(K62:K65)</f>
        <v>110.38000000000001</v>
      </c>
      <c r="L61" s="669">
        <f>SUM(L62:L65)</f>
        <v>105.84699999999999</v>
      </c>
      <c r="M61" s="670">
        <f>SUM(M62:M65)</f>
        <v>100.133</v>
      </c>
      <c r="N61" s="654">
        <f t="shared" si="24"/>
        <v>316.36</v>
      </c>
      <c r="O61" s="669">
        <f>SUM(O62:O65)</f>
        <v>102.08</v>
      </c>
      <c r="P61" s="669">
        <f>SUM(P62:P65)</f>
        <v>98.295000000000002</v>
      </c>
      <c r="Q61" s="670">
        <f>SUM(Q62:Q65)</f>
        <v>96.862000000000009</v>
      </c>
      <c r="R61" s="654">
        <f t="shared" si="25"/>
        <v>297.23700000000002</v>
      </c>
      <c r="S61" s="683">
        <f>SUM(S62:S65)</f>
        <v>244.48</v>
      </c>
      <c r="T61" s="656">
        <f>SUM(T62:T65)</f>
        <v>387.25700000000001</v>
      </c>
      <c r="U61" s="684">
        <f>SUM(U62:U65)</f>
        <v>316.36</v>
      </c>
      <c r="V61" s="684">
        <f>SUM(V62:V65)</f>
        <v>297.23700000000002</v>
      </c>
      <c r="W61" s="657">
        <f t="shared" si="21"/>
        <v>1245.3340000000001</v>
      </c>
    </row>
    <row r="62" spans="2:23">
      <c r="B62" s="914" t="s">
        <v>419</v>
      </c>
      <c r="C62" s="648">
        <f>'корпоративный баланс энергии'!J906</f>
        <v>29.295999999999999</v>
      </c>
      <c r="D62" s="648">
        <f>'корпоративный баланс энергии'!M906</f>
        <v>25.175000000000001</v>
      </c>
      <c r="E62" s="649">
        <f>'корпоративный баланс энергии'!P906</f>
        <v>26.05</v>
      </c>
      <c r="F62" s="646">
        <f t="shared" si="22"/>
        <v>80.521000000000001</v>
      </c>
      <c r="G62" s="648">
        <f>'корпоративный баланс энергии'!S906</f>
        <v>30.535</v>
      </c>
      <c r="H62" s="648">
        <f>'корпоративный баланс энергии'!V906</f>
        <v>56.215000000000003</v>
      </c>
      <c r="I62" s="648">
        <f>'корпоративный баланс энергии'!Y906</f>
        <v>46.76</v>
      </c>
      <c r="J62" s="646">
        <f t="shared" si="23"/>
        <v>133.51</v>
      </c>
      <c r="K62" s="648">
        <f>'корпоративный баланс энергии'!AB906</f>
        <v>31.751999999999999</v>
      </c>
      <c r="L62" s="648">
        <f>'корпоративный баланс энергии'!AE906</f>
        <v>34.505000000000003</v>
      </c>
      <c r="M62" s="649">
        <f>'корпоративный баланс энергии'!AH906</f>
        <v>32.289000000000001</v>
      </c>
      <c r="N62" s="646">
        <f t="shared" si="24"/>
        <v>98.546000000000006</v>
      </c>
      <c r="O62" s="648">
        <f>'корпоративный баланс энергии'!AK906</f>
        <v>34.130000000000003</v>
      </c>
      <c r="P62" s="648">
        <f>'корпоративный баланс энергии'!AN906</f>
        <v>33.429000000000002</v>
      </c>
      <c r="Q62" s="649">
        <f>'корпоративный баланс энергии'!AQ906</f>
        <v>32.075000000000003</v>
      </c>
      <c r="R62" s="646">
        <f t="shared" si="25"/>
        <v>99.634</v>
      </c>
      <c r="S62" s="650">
        <f>F62</f>
        <v>80.521000000000001</v>
      </c>
      <c r="T62" s="651">
        <f>J62</f>
        <v>133.51</v>
      </c>
      <c r="U62" s="651">
        <f>N62</f>
        <v>98.546000000000006</v>
      </c>
      <c r="V62" s="651">
        <f>R62</f>
        <v>99.634</v>
      </c>
      <c r="W62" s="647">
        <f t="shared" si="21"/>
        <v>412.21100000000001</v>
      </c>
    </row>
    <row r="63" spans="2:23">
      <c r="B63" s="914" t="s">
        <v>420</v>
      </c>
      <c r="C63" s="648">
        <f>'корпоративный баланс энергии'!J907</f>
        <v>15.48</v>
      </c>
      <c r="D63" s="648">
        <f>'корпоративный баланс энергии'!M907</f>
        <v>13.303000000000001</v>
      </c>
      <c r="E63" s="649">
        <f>'корпоративный баланс энергии'!P907</f>
        <v>13.317</v>
      </c>
      <c r="F63" s="646">
        <f t="shared" si="22"/>
        <v>42.1</v>
      </c>
      <c r="G63" s="648">
        <f>'корпоративный баланс энергии'!S907</f>
        <v>16.495000000000001</v>
      </c>
      <c r="H63" s="648">
        <f>'корпоративный баланс энергии'!V907</f>
        <v>31.893000000000001</v>
      </c>
      <c r="I63" s="648">
        <f>'корпоративный баланс энергии'!Y907</f>
        <v>26.306999999999999</v>
      </c>
      <c r="J63" s="646">
        <f t="shared" si="23"/>
        <v>74.695000000000007</v>
      </c>
      <c r="K63" s="648">
        <f>'корпоративный баланс энергии'!AB907</f>
        <v>22.082000000000001</v>
      </c>
      <c r="L63" s="648">
        <f>'корпоративный баланс энергии'!AE907</f>
        <v>18.454999999999998</v>
      </c>
      <c r="M63" s="649">
        <f>'корпоративный баланс энергии'!AH907</f>
        <v>17.995000000000001</v>
      </c>
      <c r="N63" s="646">
        <f t="shared" si="24"/>
        <v>58.531999999999996</v>
      </c>
      <c r="O63" s="648">
        <f>'корпоративный баланс энергии'!AK907</f>
        <v>19.178999999999998</v>
      </c>
      <c r="P63" s="648">
        <f>'корпоративный баланс энергии'!AN907</f>
        <v>18.141999999999999</v>
      </c>
      <c r="Q63" s="649">
        <f>'корпоративный баланс энергии'!AQ907</f>
        <v>17.224</v>
      </c>
      <c r="R63" s="646">
        <f t="shared" si="25"/>
        <v>54.545000000000002</v>
      </c>
      <c r="S63" s="650">
        <f>F63</f>
        <v>42.1</v>
      </c>
      <c r="T63" s="651">
        <f>J63</f>
        <v>74.695000000000007</v>
      </c>
      <c r="U63" s="651">
        <f>N63</f>
        <v>58.531999999999996</v>
      </c>
      <c r="V63" s="651">
        <f>R63</f>
        <v>54.545000000000002</v>
      </c>
      <c r="W63" s="647">
        <f t="shared" si="21"/>
        <v>229.87200000000001</v>
      </c>
    </row>
    <row r="64" spans="2:23">
      <c r="B64" s="914" t="s">
        <v>421</v>
      </c>
      <c r="C64" s="648">
        <f>'корпоративный баланс энергии'!J908</f>
        <v>36.54</v>
      </c>
      <c r="D64" s="648">
        <f>'корпоративный баланс энергии'!M908</f>
        <v>32.936</v>
      </c>
      <c r="E64" s="649">
        <f>'корпоративный баланс энергии'!P908</f>
        <v>31.556999999999999</v>
      </c>
      <c r="F64" s="646">
        <f t="shared" si="22"/>
        <v>101.033</v>
      </c>
      <c r="G64" s="648">
        <f>'корпоративный баланс энергии'!S908</f>
        <v>37.71</v>
      </c>
      <c r="H64" s="648">
        <f>'корпоративный баланс энергии'!V908</f>
        <v>73.433000000000007</v>
      </c>
      <c r="I64" s="648">
        <f>'корпоративный баланс энергии'!Y908</f>
        <v>57.801000000000002</v>
      </c>
      <c r="J64" s="646">
        <f t="shared" si="23"/>
        <v>168.94400000000002</v>
      </c>
      <c r="K64" s="648">
        <f>'корпоративный баланс энергии'!AB908</f>
        <v>49.875999999999998</v>
      </c>
      <c r="L64" s="648">
        <f>'корпоративный баланс энергии'!AE908</f>
        <v>44.218000000000004</v>
      </c>
      <c r="M64" s="649">
        <f>'корпоративный баланс энергии'!AH908</f>
        <v>42.768999999999998</v>
      </c>
      <c r="N64" s="646">
        <f t="shared" si="24"/>
        <v>136.863</v>
      </c>
      <c r="O64" s="648">
        <f>'корпоративный баланс энергии'!AK908</f>
        <v>44.307000000000002</v>
      </c>
      <c r="P64" s="648">
        <f>'корпоративный баланс энергии'!AN908</f>
        <v>41.683999999999997</v>
      </c>
      <c r="Q64" s="649">
        <f>'корпоративный баланс энергии'!AQ908</f>
        <v>40.197000000000003</v>
      </c>
      <c r="R64" s="646">
        <f t="shared" si="25"/>
        <v>126.188</v>
      </c>
      <c r="S64" s="650">
        <f>F64</f>
        <v>101.033</v>
      </c>
      <c r="T64" s="651">
        <f>J64</f>
        <v>168.94400000000002</v>
      </c>
      <c r="U64" s="651">
        <f>N64</f>
        <v>136.863</v>
      </c>
      <c r="V64" s="651">
        <f>R64</f>
        <v>126.188</v>
      </c>
      <c r="W64" s="647">
        <f t="shared" si="21"/>
        <v>533.02800000000002</v>
      </c>
    </row>
    <row r="65" spans="2:23">
      <c r="B65" s="914" t="s">
        <v>422</v>
      </c>
      <c r="C65" s="648">
        <f>'корпоративный баланс энергии'!J909</f>
        <v>7.44</v>
      </c>
      <c r="D65" s="648">
        <f>'корпоративный баланс энергии'!M909</f>
        <v>6.69</v>
      </c>
      <c r="E65" s="649">
        <f>'корпоративный баланс энергии'!P909</f>
        <v>6.6959999999999997</v>
      </c>
      <c r="F65" s="663">
        <f t="shared" si="22"/>
        <v>20.826000000000001</v>
      </c>
      <c r="G65" s="648">
        <f>'корпоративный баланс энергии'!S909</f>
        <v>4.2850000000000001</v>
      </c>
      <c r="H65" s="648">
        <f>'корпоративный баланс энергии'!V909</f>
        <v>1.5029999999999999</v>
      </c>
      <c r="I65" s="648">
        <f>'корпоративный баланс энергии'!Y909</f>
        <v>4.32</v>
      </c>
      <c r="J65" s="663">
        <f t="shared" si="23"/>
        <v>10.108000000000001</v>
      </c>
      <c r="K65" s="648">
        <f>'корпоративный баланс энергии'!AB909</f>
        <v>6.67</v>
      </c>
      <c r="L65" s="648">
        <f>'корпоративный баланс энергии'!AE909</f>
        <v>8.6690000000000005</v>
      </c>
      <c r="M65" s="649">
        <f>'корпоративный баланс энергии'!AH909</f>
        <v>7.08</v>
      </c>
      <c r="N65" s="663">
        <f t="shared" si="24"/>
        <v>22.419</v>
      </c>
      <c r="O65" s="648">
        <f>'корпоративный баланс энергии'!AK909</f>
        <v>4.4640000000000004</v>
      </c>
      <c r="P65" s="648">
        <f>'корпоративный баланс энергии'!AN909</f>
        <v>5.04</v>
      </c>
      <c r="Q65" s="649">
        <f>'корпоративный баланс энергии'!AQ909</f>
        <v>7.3659999999999997</v>
      </c>
      <c r="R65" s="663">
        <f t="shared" si="25"/>
        <v>16.87</v>
      </c>
      <c r="S65" s="664">
        <f>F65</f>
        <v>20.826000000000001</v>
      </c>
      <c r="T65" s="665">
        <f>J65</f>
        <v>10.108000000000001</v>
      </c>
      <c r="U65" s="665">
        <f>N65</f>
        <v>22.419</v>
      </c>
      <c r="V65" s="665">
        <f>R65</f>
        <v>16.87</v>
      </c>
      <c r="W65" s="666">
        <f t="shared" si="21"/>
        <v>70.222999999999999</v>
      </c>
    </row>
    <row r="66" spans="2:23">
      <c r="B66" s="917" t="s">
        <v>223</v>
      </c>
      <c r="C66" s="669">
        <f>SUM(C67:C69)</f>
        <v>23.346</v>
      </c>
      <c r="D66" s="669">
        <f>SUM(D67:D69)</f>
        <v>21.016999999999999</v>
      </c>
      <c r="E66" s="670">
        <f>SUM(E67:E69)</f>
        <v>20.612000000000002</v>
      </c>
      <c r="F66" s="654">
        <f t="shared" si="22"/>
        <v>64.974999999999994</v>
      </c>
      <c r="G66" s="669">
        <f>SUM(G67:G69)</f>
        <v>26.243000000000002</v>
      </c>
      <c r="H66" s="669">
        <f>SUM(H67:H69)</f>
        <v>37.719000000000001</v>
      </c>
      <c r="I66" s="669">
        <f>SUM(I67:I69)</f>
        <v>36.611000000000004</v>
      </c>
      <c r="J66" s="654">
        <f t="shared" si="23"/>
        <v>100.57300000000001</v>
      </c>
      <c r="K66" s="669">
        <f>SUM(K67:K69)</f>
        <v>29.426000000000002</v>
      </c>
      <c r="L66" s="669">
        <f>SUM(L67:L69)</f>
        <v>22.015999999999998</v>
      </c>
      <c r="M66" s="670">
        <f>SUM(M67:M69)</f>
        <v>23.806999999999999</v>
      </c>
      <c r="N66" s="654">
        <f t="shared" si="24"/>
        <v>75.248999999999995</v>
      </c>
      <c r="O66" s="669">
        <f>SUM(O67:O69)</f>
        <v>23.585000000000001</v>
      </c>
      <c r="P66" s="669">
        <f>SUM(P67:P69)</f>
        <v>24.93</v>
      </c>
      <c r="Q66" s="670">
        <f>SUM(Q67:Q69)</f>
        <v>25.964000000000002</v>
      </c>
      <c r="R66" s="654">
        <f t="shared" si="25"/>
        <v>74.478999999999999</v>
      </c>
      <c r="S66" s="655">
        <f>SUM(S67:S69)</f>
        <v>64.974999999999994</v>
      </c>
      <c r="T66" s="656">
        <f>SUM(T67:T69)</f>
        <v>100.57299999999999</v>
      </c>
      <c r="U66" s="656">
        <f>SUM(U67:U69)</f>
        <v>75.248999999999995</v>
      </c>
      <c r="V66" s="656">
        <f>SUM(V67:V69)</f>
        <v>74.478999999999999</v>
      </c>
      <c r="W66" s="657">
        <f t="shared" si="21"/>
        <v>315.27600000000001</v>
      </c>
    </row>
    <row r="67" spans="2:23">
      <c r="B67" s="914" t="s">
        <v>423</v>
      </c>
      <c r="C67" s="648">
        <f>'корпоративный баланс энергии'!J911</f>
        <v>7.298</v>
      </c>
      <c r="D67" s="648">
        <f>'корпоративный баланс энергии'!M911</f>
        <v>6.6989999999999998</v>
      </c>
      <c r="E67" s="649">
        <f>'корпоративный баланс энергии'!P911</f>
        <v>6.0309999999999997</v>
      </c>
      <c r="F67" s="646">
        <f t="shared" si="22"/>
        <v>20.027999999999999</v>
      </c>
      <c r="G67" s="648">
        <f>'корпоративный баланс энергии'!S911</f>
        <v>9.9550000000000001</v>
      </c>
      <c r="H67" s="648">
        <f>'корпоративный баланс энергии'!V911</f>
        <v>16.945</v>
      </c>
      <c r="I67" s="648">
        <f>'корпоративный баланс энергии'!Y911</f>
        <v>14.513</v>
      </c>
      <c r="J67" s="646">
        <f t="shared" si="23"/>
        <v>41.412999999999997</v>
      </c>
      <c r="K67" s="648">
        <f>'корпоративный баланс энергии'!AB911</f>
        <v>10.308999999999999</v>
      </c>
      <c r="L67" s="648">
        <f>'корпоративный баланс энергии'!AE911</f>
        <v>7.6559999999999997</v>
      </c>
      <c r="M67" s="649">
        <f>'корпоративный баланс энергии'!AH911</f>
        <v>9.4979999999999993</v>
      </c>
      <c r="N67" s="646">
        <f t="shared" si="24"/>
        <v>27.463000000000001</v>
      </c>
      <c r="O67" s="648">
        <f>'корпоративный баланс энергии'!AK911</f>
        <v>9.2070000000000007</v>
      </c>
      <c r="P67" s="648">
        <f>'корпоративный баланс энергии'!AN911</f>
        <v>10.045999999999999</v>
      </c>
      <c r="Q67" s="649">
        <f>'корпоративный баланс энергии'!AQ911</f>
        <v>9.6679999999999993</v>
      </c>
      <c r="R67" s="646">
        <f t="shared" si="25"/>
        <v>28.920999999999999</v>
      </c>
      <c r="S67" s="650">
        <f t="shared" ref="S67:S72" si="34">F67</f>
        <v>20.027999999999999</v>
      </c>
      <c r="T67" s="651">
        <f t="shared" ref="T67:T72" si="35">J67</f>
        <v>41.412999999999997</v>
      </c>
      <c r="U67" s="651">
        <f t="shared" ref="U67:U72" si="36">N67</f>
        <v>27.463000000000001</v>
      </c>
      <c r="V67" s="651">
        <f t="shared" ref="V67:V72" si="37">R67</f>
        <v>28.920999999999999</v>
      </c>
      <c r="W67" s="647">
        <f t="shared" si="21"/>
        <v>117.82499999999999</v>
      </c>
    </row>
    <row r="68" spans="2:23">
      <c r="B68" s="914" t="s">
        <v>424</v>
      </c>
      <c r="C68" s="648">
        <f>'корпоративный баланс энергии'!J912</f>
        <v>9.6910000000000007</v>
      </c>
      <c r="D68" s="648">
        <f>'корпоративный баланс энергии'!M912</f>
        <v>9.2050000000000001</v>
      </c>
      <c r="E68" s="649">
        <f>'корпоративный баланс энергии'!P912</f>
        <v>9.3510000000000009</v>
      </c>
      <c r="F68" s="646">
        <f t="shared" si="22"/>
        <v>28.247</v>
      </c>
      <c r="G68" s="648">
        <f>'корпоративный баланс энергии'!S912</f>
        <v>10.246</v>
      </c>
      <c r="H68" s="648">
        <f>'корпоративный баланс энергии'!V912</f>
        <v>13.143000000000001</v>
      </c>
      <c r="I68" s="648">
        <f>'корпоративный баланс энергии'!Y912</f>
        <v>15.114000000000001</v>
      </c>
      <c r="J68" s="646">
        <f t="shared" si="23"/>
        <v>38.503</v>
      </c>
      <c r="K68" s="648">
        <f>'корпоративный баланс энергии'!AB912</f>
        <v>13.523</v>
      </c>
      <c r="L68" s="648">
        <f>'корпоративный баланс энергии'!AE912</f>
        <v>9.8819999999999997</v>
      </c>
      <c r="M68" s="649">
        <f>'корпоративный баланс энергии'!AH912</f>
        <v>10.259</v>
      </c>
      <c r="N68" s="646">
        <f t="shared" si="24"/>
        <v>33.664000000000001</v>
      </c>
      <c r="O68" s="648">
        <f>'корпоративный баланс энергии'!AK912</f>
        <v>9.5079999999999991</v>
      </c>
      <c r="P68" s="648">
        <f>'корпоративный баланс энергии'!AN912</f>
        <v>9.0809999999999995</v>
      </c>
      <c r="Q68" s="649">
        <f>'корпоративный баланс энергии'!AQ912</f>
        <v>9.7949999999999999</v>
      </c>
      <c r="R68" s="646">
        <f t="shared" si="25"/>
        <v>28.384</v>
      </c>
      <c r="S68" s="650">
        <f t="shared" si="34"/>
        <v>28.247</v>
      </c>
      <c r="T68" s="651">
        <f t="shared" si="35"/>
        <v>38.503</v>
      </c>
      <c r="U68" s="651">
        <f t="shared" si="36"/>
        <v>33.664000000000001</v>
      </c>
      <c r="V68" s="651">
        <f t="shared" si="37"/>
        <v>28.384</v>
      </c>
      <c r="W68" s="647">
        <f t="shared" si="21"/>
        <v>128.798</v>
      </c>
    </row>
    <row r="69" spans="2:23">
      <c r="B69" s="915" t="s">
        <v>425</v>
      </c>
      <c r="C69" s="679">
        <f>'корпоративный баланс энергии'!J913</f>
        <v>6.3570000000000002</v>
      </c>
      <c r="D69" s="667">
        <f>'корпоративный баланс энергии'!M913</f>
        <v>5.1130000000000004</v>
      </c>
      <c r="E69" s="668">
        <f>'корпоративный баланс энергии'!P913</f>
        <v>5.23</v>
      </c>
      <c r="F69" s="663">
        <f t="shared" si="22"/>
        <v>16.700000000000003</v>
      </c>
      <c r="G69" s="679">
        <f>'корпоративный баланс энергии'!S913</f>
        <v>6.0419999999999998</v>
      </c>
      <c r="H69" s="667">
        <f>'корпоративный баланс энергии'!V913</f>
        <v>7.6310000000000002</v>
      </c>
      <c r="I69" s="667">
        <f>'корпоративный баланс энергии'!Y913</f>
        <v>6.984</v>
      </c>
      <c r="J69" s="663">
        <f t="shared" si="23"/>
        <v>20.657</v>
      </c>
      <c r="K69" s="679">
        <f>'корпоративный баланс энергии'!AB913</f>
        <v>5.5940000000000003</v>
      </c>
      <c r="L69" s="667">
        <f>'корпоративный баланс энергии'!AE913</f>
        <v>4.4779999999999998</v>
      </c>
      <c r="M69" s="668">
        <f>'корпоративный баланс энергии'!AH913</f>
        <v>4.05</v>
      </c>
      <c r="N69" s="663">
        <f t="shared" si="24"/>
        <v>14.122</v>
      </c>
      <c r="O69" s="679">
        <f>'корпоративный баланс энергии'!AK913</f>
        <v>4.87</v>
      </c>
      <c r="P69" s="667">
        <f>'корпоративный баланс энергии'!AN913</f>
        <v>5.8029999999999999</v>
      </c>
      <c r="Q69" s="668">
        <f>'корпоративный баланс энергии'!AQ913</f>
        <v>6.5010000000000003</v>
      </c>
      <c r="R69" s="663">
        <f t="shared" si="25"/>
        <v>17.173999999999999</v>
      </c>
      <c r="S69" s="664">
        <f t="shared" si="34"/>
        <v>16.700000000000003</v>
      </c>
      <c r="T69" s="665">
        <f t="shared" si="35"/>
        <v>20.657</v>
      </c>
      <c r="U69" s="665">
        <f t="shared" si="36"/>
        <v>14.122</v>
      </c>
      <c r="V69" s="665">
        <f t="shared" si="37"/>
        <v>17.173999999999999</v>
      </c>
      <c r="W69" s="666">
        <f t="shared" si="21"/>
        <v>68.652999999999992</v>
      </c>
    </row>
    <row r="70" spans="2:23">
      <c r="B70" s="914" t="s">
        <v>426</v>
      </c>
      <c r="C70" s="648">
        <f>'корпоративный баланс энергии'!J914</f>
        <v>2</v>
      </c>
      <c r="D70" s="648">
        <f>'корпоративный баланс энергии'!M914</f>
        <v>1.7</v>
      </c>
      <c r="E70" s="649">
        <f>'корпоративный баланс энергии'!P914</f>
        <v>2.11</v>
      </c>
      <c r="F70" s="646">
        <f t="shared" si="22"/>
        <v>5.8100000000000005</v>
      </c>
      <c r="G70" s="648">
        <f>'корпоративный баланс энергии'!S914</f>
        <v>2.19</v>
      </c>
      <c r="H70" s="648">
        <f>'корпоративный баланс энергии'!V914</f>
        <v>2.4700000000000002</v>
      </c>
      <c r="I70" s="648">
        <f>'корпоративный баланс энергии'!Y914</f>
        <v>2.33</v>
      </c>
      <c r="J70" s="646">
        <f t="shared" si="23"/>
        <v>6.99</v>
      </c>
      <c r="K70" s="648">
        <f>'корпоративный баланс энергии'!AB914</f>
        <v>2.0499999999999998</v>
      </c>
      <c r="L70" s="648">
        <f>'корпоративный баланс энергии'!AE914</f>
        <v>1.72</v>
      </c>
      <c r="M70" s="649">
        <f>'корпоративный баланс энергии'!AH914</f>
        <v>1.56</v>
      </c>
      <c r="N70" s="646">
        <f t="shared" si="24"/>
        <v>5.33</v>
      </c>
      <c r="O70" s="648">
        <f>'корпоративный баланс энергии'!AK914</f>
        <v>1.55</v>
      </c>
      <c r="P70" s="648">
        <f>'корпоративный баланс энергии'!AN914</f>
        <v>1.75</v>
      </c>
      <c r="Q70" s="649">
        <f>'корпоративный баланс энергии'!AQ914</f>
        <v>2.0099999999999998</v>
      </c>
      <c r="R70" s="646">
        <f t="shared" si="25"/>
        <v>5.31</v>
      </c>
      <c r="S70" s="650">
        <f t="shared" si="34"/>
        <v>5.8100000000000005</v>
      </c>
      <c r="T70" s="651">
        <f t="shared" si="35"/>
        <v>6.99</v>
      </c>
      <c r="U70" s="651">
        <f t="shared" si="36"/>
        <v>5.33</v>
      </c>
      <c r="V70" s="651">
        <f t="shared" si="37"/>
        <v>5.31</v>
      </c>
      <c r="W70" s="647">
        <f t="shared" si="21"/>
        <v>23.44</v>
      </c>
    </row>
    <row r="71" spans="2:23">
      <c r="B71" s="914" t="s">
        <v>427</v>
      </c>
      <c r="C71" s="648">
        <f>'корпоративный баланс энергии'!J915</f>
        <v>0.22</v>
      </c>
      <c r="D71" s="648">
        <f>'корпоративный баланс энергии'!M915</f>
        <v>0.16</v>
      </c>
      <c r="E71" s="649">
        <f>'корпоративный баланс энергии'!P915</f>
        <v>0.2</v>
      </c>
      <c r="F71" s="646">
        <f t="shared" si="22"/>
        <v>0.58000000000000007</v>
      </c>
      <c r="G71" s="648">
        <f>'корпоративный баланс энергии'!S915</f>
        <v>0.32</v>
      </c>
      <c r="H71" s="648">
        <f>'корпоративный баланс энергии'!V915</f>
        <v>0.38</v>
      </c>
      <c r="I71" s="648">
        <f>'корпоративный баланс энергии'!Y915</f>
        <v>0.21</v>
      </c>
      <c r="J71" s="646">
        <f t="shared" si="23"/>
        <v>0.90999999999999992</v>
      </c>
      <c r="K71" s="648">
        <f>'корпоративный баланс энергии'!AB915</f>
        <v>0.2</v>
      </c>
      <c r="L71" s="648">
        <f>'корпоративный баланс энергии'!AE915</f>
        <v>0.16</v>
      </c>
      <c r="M71" s="649">
        <f>'корпоративный баланс энергии'!AH915</f>
        <v>0.19</v>
      </c>
      <c r="N71" s="646">
        <f t="shared" si="24"/>
        <v>0.55000000000000004</v>
      </c>
      <c r="O71" s="648">
        <f>'корпоративный баланс энергии'!AK915</f>
        <v>0.28000000000000003</v>
      </c>
      <c r="P71" s="648">
        <f>'корпоративный баланс энергии'!AN915</f>
        <v>0.3</v>
      </c>
      <c r="Q71" s="649">
        <f>'корпоративный баланс энергии'!AQ915</f>
        <v>0.3</v>
      </c>
      <c r="R71" s="646">
        <f t="shared" si="25"/>
        <v>0.88000000000000012</v>
      </c>
      <c r="S71" s="650">
        <f t="shared" si="34"/>
        <v>0.58000000000000007</v>
      </c>
      <c r="T71" s="651">
        <f t="shared" si="35"/>
        <v>0.90999999999999992</v>
      </c>
      <c r="U71" s="651">
        <f t="shared" si="36"/>
        <v>0.55000000000000004</v>
      </c>
      <c r="V71" s="651">
        <f t="shared" si="37"/>
        <v>0.88000000000000012</v>
      </c>
      <c r="W71" s="647">
        <f t="shared" si="21"/>
        <v>2.92</v>
      </c>
    </row>
    <row r="72" spans="2:23">
      <c r="B72" s="915" t="s">
        <v>428</v>
      </c>
      <c r="C72" s="667">
        <f>'корпоративный баланс энергии'!J916</f>
        <v>0.34</v>
      </c>
      <c r="D72" s="667">
        <f>'корпоративный баланс энергии'!M916</f>
        <v>0.2</v>
      </c>
      <c r="E72" s="668">
        <f>'корпоративный баланс энергии'!P916</f>
        <v>0.27</v>
      </c>
      <c r="F72" s="663">
        <f t="shared" si="22"/>
        <v>0.81</v>
      </c>
      <c r="G72" s="667">
        <f>'корпоративный баланс энергии'!S916</f>
        <v>0.57999999999999996</v>
      </c>
      <c r="H72" s="667">
        <f>'корпоративный баланс энергии'!V916</f>
        <v>0.57999999999999996</v>
      </c>
      <c r="I72" s="667">
        <f>'корпоративный баланс энергии'!Y916</f>
        <v>0.25</v>
      </c>
      <c r="J72" s="663">
        <f t="shared" si="23"/>
        <v>1.41</v>
      </c>
      <c r="K72" s="667">
        <f>'корпоративный баланс энергии'!AB916</f>
        <v>0.25</v>
      </c>
      <c r="L72" s="667">
        <f>'корпоративный баланс энергии'!AE916</f>
        <v>0.28000000000000003</v>
      </c>
      <c r="M72" s="668">
        <f>'корпоративный баланс энергии'!AH916</f>
        <v>0.28999999999999998</v>
      </c>
      <c r="N72" s="663">
        <f t="shared" si="24"/>
        <v>0.82000000000000006</v>
      </c>
      <c r="O72" s="667">
        <f>'корпоративный баланс энергии'!AK916</f>
        <v>0.43</v>
      </c>
      <c r="P72" s="667">
        <f>'корпоративный баланс энергии'!AN916</f>
        <v>0.49</v>
      </c>
      <c r="Q72" s="668">
        <f>'корпоративный баланс энергии'!AQ916</f>
        <v>0.52</v>
      </c>
      <c r="R72" s="663">
        <f t="shared" si="25"/>
        <v>1.44</v>
      </c>
      <c r="S72" s="664">
        <f t="shared" si="34"/>
        <v>0.81</v>
      </c>
      <c r="T72" s="665">
        <f t="shared" si="35"/>
        <v>1.41</v>
      </c>
      <c r="U72" s="665">
        <f t="shared" si="36"/>
        <v>0.82000000000000006</v>
      </c>
      <c r="V72" s="665">
        <f t="shared" si="37"/>
        <v>1.44</v>
      </c>
      <c r="W72" s="666">
        <f t="shared" si="21"/>
        <v>4.4800000000000004</v>
      </c>
    </row>
    <row r="73" spans="2:23">
      <c r="B73" s="917" t="s">
        <v>1502</v>
      </c>
      <c r="C73" s="669">
        <f>SUM(C74:C75)</f>
        <v>15.4</v>
      </c>
      <c r="D73" s="669">
        <f t="shared" ref="D73:E73" si="38">SUM(D74:D75)</f>
        <v>11.2</v>
      </c>
      <c r="E73" s="669">
        <f t="shared" si="38"/>
        <v>10.8</v>
      </c>
      <c r="F73" s="654">
        <f t="shared" si="22"/>
        <v>37.400000000000006</v>
      </c>
      <c r="G73" s="669">
        <f>SUM(G74:G75)</f>
        <v>29</v>
      </c>
      <c r="H73" s="669">
        <f t="shared" ref="H73" si="39">SUM(H74:H75)</f>
        <v>30.8</v>
      </c>
      <c r="I73" s="669">
        <f t="shared" ref="I73" si="40">SUM(I74:I75)</f>
        <v>22.8</v>
      </c>
      <c r="J73" s="654">
        <f t="shared" si="23"/>
        <v>82.6</v>
      </c>
      <c r="K73" s="669">
        <f>SUM(K74:K75)</f>
        <v>13.4</v>
      </c>
      <c r="L73" s="669">
        <f t="shared" ref="L73" si="41">SUM(L74:L75)</f>
        <v>8</v>
      </c>
      <c r="M73" s="669">
        <f t="shared" ref="M73" si="42">SUM(M74:M75)</f>
        <v>11.2</v>
      </c>
      <c r="N73" s="654">
        <f t="shared" si="24"/>
        <v>32.599999999999994</v>
      </c>
      <c r="O73" s="669">
        <f>SUM(O74:O75)</f>
        <v>15.6</v>
      </c>
      <c r="P73" s="669">
        <f t="shared" ref="P73" si="43">SUM(P74:P75)</f>
        <v>23.6</v>
      </c>
      <c r="Q73" s="669">
        <f t="shared" ref="Q73" si="44">SUM(Q74:Q75)</f>
        <v>17</v>
      </c>
      <c r="R73" s="654">
        <f t="shared" si="25"/>
        <v>56.2</v>
      </c>
      <c r="S73" s="655">
        <f>SUM(S74:S75)</f>
        <v>37.400000000000006</v>
      </c>
      <c r="T73" s="656">
        <f>SUM(T74:T75)</f>
        <v>82.6</v>
      </c>
      <c r="U73" s="656">
        <f t="shared" ref="U73:V73" si="45">SUM(U74:U75)</f>
        <v>32.599999999999994</v>
      </c>
      <c r="V73" s="656">
        <f t="shared" si="45"/>
        <v>56.2</v>
      </c>
      <c r="W73" s="657">
        <f t="shared" ref="W73:W75" si="46">SUM(S73:V73)</f>
        <v>208.8</v>
      </c>
    </row>
    <row r="74" spans="2:23">
      <c r="B74" s="914" t="s">
        <v>1503</v>
      </c>
      <c r="C74" s="648">
        <f>'корпоративный баланс энергии'!J918</f>
        <v>7.7</v>
      </c>
      <c r="D74" s="648">
        <f>'корпоративный баланс энергии'!M918</f>
        <v>5.6</v>
      </c>
      <c r="E74" s="649">
        <f>'корпоративный баланс энергии'!P918</f>
        <v>5.4</v>
      </c>
      <c r="F74" s="1046">
        <f t="shared" si="22"/>
        <v>18.700000000000003</v>
      </c>
      <c r="G74" s="648">
        <f>'корпоративный баланс энергии'!S918</f>
        <v>14.5</v>
      </c>
      <c r="H74" s="648">
        <f>'корпоративный баланс энергии'!V918</f>
        <v>15.4</v>
      </c>
      <c r="I74" s="648">
        <f>'корпоративный баланс энергии'!Y918</f>
        <v>11.4</v>
      </c>
      <c r="J74" s="646">
        <f t="shared" si="23"/>
        <v>41.3</v>
      </c>
      <c r="K74" s="648">
        <f>'корпоративный баланс энергии'!AB918</f>
        <v>6.7</v>
      </c>
      <c r="L74" s="648">
        <f>'корпоративный баланс энергии'!AE918</f>
        <v>4</v>
      </c>
      <c r="M74" s="649">
        <f>'корпоративный баланс энергии'!AH918</f>
        <v>5.6</v>
      </c>
      <c r="N74" s="646">
        <f t="shared" si="24"/>
        <v>16.299999999999997</v>
      </c>
      <c r="O74" s="648">
        <f>'корпоративный баланс энергии'!AK918</f>
        <v>7.8</v>
      </c>
      <c r="P74" s="648">
        <f>'корпоративный баланс энергии'!AN918</f>
        <v>11.8</v>
      </c>
      <c r="Q74" s="649">
        <f>'корпоративный баланс энергии'!AQ918</f>
        <v>8.5</v>
      </c>
      <c r="R74" s="646">
        <f t="shared" si="25"/>
        <v>28.1</v>
      </c>
      <c r="S74" s="650">
        <f>F74</f>
        <v>18.700000000000003</v>
      </c>
      <c r="T74" s="651">
        <f>J74</f>
        <v>41.3</v>
      </c>
      <c r="U74" s="651">
        <f>N74</f>
        <v>16.299999999999997</v>
      </c>
      <c r="V74" s="651">
        <f>R74</f>
        <v>28.1</v>
      </c>
      <c r="W74" s="647">
        <f t="shared" si="46"/>
        <v>104.4</v>
      </c>
    </row>
    <row r="75" spans="2:23" ht="13.5" thickBot="1">
      <c r="B75" s="918" t="s">
        <v>1504</v>
      </c>
      <c r="C75" s="680">
        <f>'корпоративный баланс энергии'!J919</f>
        <v>7.7</v>
      </c>
      <c r="D75" s="681">
        <f>'корпоративный баланс энергии'!M919</f>
        <v>5.6</v>
      </c>
      <c r="E75" s="682">
        <f>'корпоративный баланс энергии'!P919</f>
        <v>5.4</v>
      </c>
      <c r="F75" s="1047">
        <f t="shared" si="22"/>
        <v>18.700000000000003</v>
      </c>
      <c r="G75" s="681">
        <f>'корпоративный баланс энергии'!S919</f>
        <v>14.5</v>
      </c>
      <c r="H75" s="681">
        <f>'корпоративный баланс энергии'!V919</f>
        <v>15.4</v>
      </c>
      <c r="I75" s="681">
        <f>'корпоративный баланс энергии'!Y919</f>
        <v>11.4</v>
      </c>
      <c r="J75" s="753">
        <f t="shared" si="23"/>
        <v>41.3</v>
      </c>
      <c r="K75" s="681">
        <f>'корпоративный баланс энергии'!AB919</f>
        <v>6.7</v>
      </c>
      <c r="L75" s="681">
        <f>'корпоративный баланс энергии'!AE919</f>
        <v>4</v>
      </c>
      <c r="M75" s="682">
        <f>'корпоративный баланс энергии'!AH919</f>
        <v>5.6</v>
      </c>
      <c r="N75" s="753">
        <f t="shared" si="24"/>
        <v>16.299999999999997</v>
      </c>
      <c r="O75" s="681">
        <f>'корпоративный баланс энергии'!AK919</f>
        <v>7.8</v>
      </c>
      <c r="P75" s="681">
        <f>'корпоративный баланс энергии'!AN919</f>
        <v>11.8</v>
      </c>
      <c r="Q75" s="682">
        <f>'корпоративный баланс энергии'!AQ919</f>
        <v>8.5</v>
      </c>
      <c r="R75" s="753">
        <f t="shared" si="25"/>
        <v>28.1</v>
      </c>
      <c r="S75" s="754">
        <f>F75</f>
        <v>18.700000000000003</v>
      </c>
      <c r="T75" s="755">
        <f>J75</f>
        <v>41.3</v>
      </c>
      <c r="U75" s="755">
        <f>N75</f>
        <v>16.299999999999997</v>
      </c>
      <c r="V75" s="755">
        <f>R75</f>
        <v>28.1</v>
      </c>
      <c r="W75" s="756">
        <f t="shared" si="46"/>
        <v>104.4</v>
      </c>
    </row>
    <row r="76" spans="2:23">
      <c r="B76" s="786" t="s">
        <v>47</v>
      </c>
      <c r="C76" s="743">
        <f>SUM(C77,C84,C90,C93)</f>
        <v>530</v>
      </c>
      <c r="D76" s="743">
        <f>SUM(D77,D84,D90,D93)</f>
        <v>490</v>
      </c>
      <c r="E76" s="744">
        <f>SUM(E77,E84,E90,E93)</f>
        <v>560</v>
      </c>
      <c r="F76" s="745">
        <f t="shared" si="22"/>
        <v>1580</v>
      </c>
      <c r="G76" s="743">
        <f>SUM(G77,G84,G90,G93)</f>
        <v>560</v>
      </c>
      <c r="H76" s="743">
        <f>SUM(H77,H84,H90,H93)</f>
        <v>550</v>
      </c>
      <c r="I76" s="743">
        <f>SUM(I77,I84,I90,I93)</f>
        <v>630</v>
      </c>
      <c r="J76" s="745">
        <f t="shared" si="23"/>
        <v>1740</v>
      </c>
      <c r="K76" s="743">
        <f>SUM(K77,K84,K90,K93)</f>
        <v>600</v>
      </c>
      <c r="L76" s="743">
        <f>SUM(L77,L84,L90,L93)</f>
        <v>560</v>
      </c>
      <c r="M76" s="744">
        <f>SUM(M77,M84,M90,M93)</f>
        <v>520</v>
      </c>
      <c r="N76" s="745">
        <f t="shared" si="24"/>
        <v>1680</v>
      </c>
      <c r="O76" s="743">
        <f>SUM(O77,O84,O90,O93)</f>
        <v>530</v>
      </c>
      <c r="P76" s="743">
        <f>SUM(P77,P84,P90,P93)</f>
        <v>540</v>
      </c>
      <c r="Q76" s="744">
        <f>SUM(Q77,Q84,Q90,Q93)</f>
        <v>530</v>
      </c>
      <c r="R76" s="745">
        <f t="shared" si="25"/>
        <v>1600</v>
      </c>
      <c r="S76" s="746">
        <f>SUM(S77,S84,S90,S93)</f>
        <v>1579.9999999999998</v>
      </c>
      <c r="T76" s="744">
        <f>SUM(T77,T84,T90,T93)</f>
        <v>1740</v>
      </c>
      <c r="U76" s="744">
        <f>SUM(U77,U84,U90,U93)</f>
        <v>1680</v>
      </c>
      <c r="V76" s="744">
        <f>SUM(V77,V84,V90,V93)</f>
        <v>1600.0000000000002</v>
      </c>
      <c r="W76" s="747">
        <f t="shared" si="21"/>
        <v>6600</v>
      </c>
    </row>
    <row r="77" spans="2:23">
      <c r="B77" s="916" t="s">
        <v>795</v>
      </c>
      <c r="C77" s="652">
        <f>SUM(C78:C83)</f>
        <v>238.62</v>
      </c>
      <c r="D77" s="652">
        <f>SUM(D78:D83)</f>
        <v>225.05</v>
      </c>
      <c r="E77" s="653">
        <f>SUM(E78:E83)</f>
        <v>252.46</v>
      </c>
      <c r="F77" s="654">
        <f t="shared" si="22"/>
        <v>716.13</v>
      </c>
      <c r="G77" s="652">
        <f>SUM(G78:G83)</f>
        <v>234.17999999999998</v>
      </c>
      <c r="H77" s="652">
        <f>SUM(H78:H83)</f>
        <v>277.3</v>
      </c>
      <c r="I77" s="652">
        <f>SUM(I78:I83)</f>
        <v>278.01</v>
      </c>
      <c r="J77" s="654">
        <f t="shared" si="23"/>
        <v>789.49</v>
      </c>
      <c r="K77" s="652">
        <f>SUM(K78:K83)</f>
        <v>242.07999999999998</v>
      </c>
      <c r="L77" s="652">
        <f>SUM(L78:L83)</f>
        <v>238.64</v>
      </c>
      <c r="M77" s="653">
        <f>SUM(M78:M83)</f>
        <v>144.64000000000001</v>
      </c>
      <c r="N77" s="654">
        <f t="shared" si="24"/>
        <v>625.36</v>
      </c>
      <c r="O77" s="652">
        <f>SUM(O78:O83)</f>
        <v>259.88000000000005</v>
      </c>
      <c r="P77" s="652">
        <f>SUM(P78:P83)</f>
        <v>283.3</v>
      </c>
      <c r="Q77" s="653">
        <f>SUM(Q78:Q83)</f>
        <v>275.14999999999998</v>
      </c>
      <c r="R77" s="654">
        <f t="shared" si="25"/>
        <v>818.33</v>
      </c>
      <c r="S77" s="672">
        <f>SUM(S78:S83)</f>
        <v>716.12999999999988</v>
      </c>
      <c r="T77" s="653">
        <f>SUM(T78:T83)</f>
        <v>789.49</v>
      </c>
      <c r="U77" s="653">
        <f>SUM(U78:U83)</f>
        <v>625.3599999999999</v>
      </c>
      <c r="V77" s="653">
        <f>SUM(V78:V83)</f>
        <v>818.33000000000015</v>
      </c>
      <c r="W77" s="657">
        <f t="shared" si="21"/>
        <v>2949.3099999999995</v>
      </c>
    </row>
    <row r="78" spans="2:23">
      <c r="B78" s="914" t="s">
        <v>429</v>
      </c>
      <c r="C78" s="648">
        <f>'корпоративный баланс энергии'!J954</f>
        <v>12.68</v>
      </c>
      <c r="D78" s="648">
        <f>'корпоративный баланс энергии'!M954</f>
        <v>11.52</v>
      </c>
      <c r="E78" s="649">
        <f>'корпоративный баланс энергии'!P954</f>
        <v>11.58</v>
      </c>
      <c r="F78" s="646">
        <f t="shared" si="22"/>
        <v>35.78</v>
      </c>
      <c r="G78" s="648">
        <f>'корпоративный баланс энергии'!S954</f>
        <v>11.41</v>
      </c>
      <c r="H78" s="648">
        <f>'корпоративный баланс энергии'!V954</f>
        <v>12.73</v>
      </c>
      <c r="I78" s="648">
        <f>'корпоративный баланс энергии'!Y954</f>
        <v>12.76</v>
      </c>
      <c r="J78" s="646">
        <f t="shared" si="23"/>
        <v>36.9</v>
      </c>
      <c r="K78" s="648">
        <f>'корпоративный баланс энергии'!AB954</f>
        <v>11.32</v>
      </c>
      <c r="L78" s="648">
        <f>'корпоративный баланс энергии'!AE954</f>
        <v>7.35</v>
      </c>
      <c r="M78" s="649">
        <f>'корпоративный баланс энергии'!AH954</f>
        <v>7.62</v>
      </c>
      <c r="N78" s="646">
        <f t="shared" si="24"/>
        <v>26.290000000000003</v>
      </c>
      <c r="O78" s="648">
        <f>'корпоративный баланс энергии'!AK954</f>
        <v>9.6300000000000008</v>
      </c>
      <c r="P78" s="648">
        <f>'корпоративный баланс энергии'!AN954</f>
        <v>12.05</v>
      </c>
      <c r="Q78" s="649">
        <f>'корпоративный баланс энергии'!AQ954</f>
        <v>12.38</v>
      </c>
      <c r="R78" s="646">
        <f t="shared" si="25"/>
        <v>34.06</v>
      </c>
      <c r="S78" s="650">
        <f t="shared" ref="S78:S83" si="47">F78</f>
        <v>35.78</v>
      </c>
      <c r="T78" s="651">
        <f t="shared" ref="T78:T83" si="48">J78</f>
        <v>36.9</v>
      </c>
      <c r="U78" s="651">
        <f t="shared" ref="U78:U83" si="49">N78</f>
        <v>26.290000000000003</v>
      </c>
      <c r="V78" s="651">
        <f t="shared" ref="V78:V83" si="50">R78</f>
        <v>34.06</v>
      </c>
      <c r="W78" s="647">
        <f t="shared" si="21"/>
        <v>133.03000000000003</v>
      </c>
    </row>
    <row r="79" spans="2:23">
      <c r="B79" s="914" t="s">
        <v>430</v>
      </c>
      <c r="C79" s="648">
        <f>'корпоративный баланс энергии'!J955</f>
        <v>37.69</v>
      </c>
      <c r="D79" s="648">
        <f>'корпоративный баланс энергии'!M955</f>
        <v>34.549999999999997</v>
      </c>
      <c r="E79" s="649">
        <f>'корпоративный баланс энергии'!P955</f>
        <v>35.700000000000003</v>
      </c>
      <c r="F79" s="646">
        <f t="shared" si="22"/>
        <v>107.94</v>
      </c>
      <c r="G79" s="648">
        <f>'корпоративный баланс энергии'!S955</f>
        <v>35.93</v>
      </c>
      <c r="H79" s="648">
        <f>'корпоративный баланс энергии'!V955</f>
        <v>39.81</v>
      </c>
      <c r="I79" s="648">
        <f>'корпоративный баланс энергии'!Y955</f>
        <v>38.39</v>
      </c>
      <c r="J79" s="646">
        <f t="shared" si="23"/>
        <v>114.13000000000001</v>
      </c>
      <c r="K79" s="648">
        <f>'корпоративный баланс энергии'!AB955</f>
        <v>33.19</v>
      </c>
      <c r="L79" s="648">
        <f>'корпоративный баланс энергии'!AE955</f>
        <v>24.87</v>
      </c>
      <c r="M79" s="649">
        <f>'корпоративный баланс энергии'!AH955</f>
        <v>22.22</v>
      </c>
      <c r="N79" s="646">
        <f t="shared" si="24"/>
        <v>80.28</v>
      </c>
      <c r="O79" s="648">
        <f>'корпоративный баланс энергии'!AK955</f>
        <v>37.99</v>
      </c>
      <c r="P79" s="648">
        <f>'корпоративный баланс энергии'!AN955</f>
        <v>35.270000000000003</v>
      </c>
      <c r="Q79" s="649">
        <f>'корпоративный баланс энергии'!AQ955</f>
        <v>36.39</v>
      </c>
      <c r="R79" s="646">
        <f t="shared" si="25"/>
        <v>109.65</v>
      </c>
      <c r="S79" s="650">
        <f t="shared" si="47"/>
        <v>107.94</v>
      </c>
      <c r="T79" s="651">
        <f t="shared" si="48"/>
        <v>114.13000000000001</v>
      </c>
      <c r="U79" s="651">
        <f t="shared" si="49"/>
        <v>80.28</v>
      </c>
      <c r="V79" s="651">
        <f t="shared" si="50"/>
        <v>109.65</v>
      </c>
      <c r="W79" s="647">
        <f t="shared" si="21"/>
        <v>412</v>
      </c>
    </row>
    <row r="80" spans="2:23">
      <c r="B80" s="914" t="s">
        <v>431</v>
      </c>
      <c r="C80" s="648">
        <f>'корпоративный баланс энергии'!J956</f>
        <v>77.62</v>
      </c>
      <c r="D80" s="648">
        <f>'корпоративный баланс энергии'!M956</f>
        <v>71.97</v>
      </c>
      <c r="E80" s="649">
        <f>'корпоративный баланс энергии'!P956</f>
        <v>73.680000000000007</v>
      </c>
      <c r="F80" s="646">
        <f t="shared" si="22"/>
        <v>223.27</v>
      </c>
      <c r="G80" s="648">
        <f>'корпоративный баланс энергии'!S956</f>
        <v>74.36</v>
      </c>
      <c r="H80" s="648">
        <f>'корпоративный баланс энергии'!V956</f>
        <v>83</v>
      </c>
      <c r="I80" s="648">
        <f>'корпоративный баланс энергии'!Y956</f>
        <v>79.97</v>
      </c>
      <c r="J80" s="646">
        <f t="shared" si="23"/>
        <v>237.33</v>
      </c>
      <c r="K80" s="648">
        <f>'корпоративный баланс энергии'!AB956</f>
        <v>69.44</v>
      </c>
      <c r="L80" s="648">
        <f>'корпоративный баланс энергии'!AE956</f>
        <v>50.82</v>
      </c>
      <c r="M80" s="649">
        <f>'корпоративный баланс энергии'!AH956</f>
        <v>45.36</v>
      </c>
      <c r="N80" s="646">
        <f t="shared" si="24"/>
        <v>165.62</v>
      </c>
      <c r="O80" s="648">
        <f>'корпоративный баланс энергии'!AK956</f>
        <v>78.48</v>
      </c>
      <c r="P80" s="648">
        <f>'корпоративный баланс энергии'!AN956</f>
        <v>72.73</v>
      </c>
      <c r="Q80" s="649">
        <f>'корпоративный баланс энергии'!AQ956</f>
        <v>75.02</v>
      </c>
      <c r="R80" s="646">
        <f t="shared" si="25"/>
        <v>226.23000000000002</v>
      </c>
      <c r="S80" s="650">
        <f t="shared" si="47"/>
        <v>223.27</v>
      </c>
      <c r="T80" s="651">
        <f t="shared" si="48"/>
        <v>237.33</v>
      </c>
      <c r="U80" s="651">
        <f t="shared" si="49"/>
        <v>165.62</v>
      </c>
      <c r="V80" s="651">
        <f t="shared" si="50"/>
        <v>226.23000000000002</v>
      </c>
      <c r="W80" s="647">
        <f t="shared" si="21"/>
        <v>852.45</v>
      </c>
    </row>
    <row r="81" spans="2:23">
      <c r="B81" s="914" t="s">
        <v>432</v>
      </c>
      <c r="C81" s="648">
        <f>'корпоративный баланс энергии'!J957</f>
        <v>49.03</v>
      </c>
      <c r="D81" s="648">
        <f>'корпоративный баланс энергии'!M957</f>
        <v>48.38</v>
      </c>
      <c r="E81" s="649">
        <f>'корпоративный баланс энергии'!P957</f>
        <v>64.17</v>
      </c>
      <c r="F81" s="646">
        <f t="shared" si="22"/>
        <v>161.57999999999998</v>
      </c>
      <c r="G81" s="648">
        <f>'корпоративный баланс энергии'!S957</f>
        <v>62.87</v>
      </c>
      <c r="H81" s="648">
        <f>'корпоративный баланс энергии'!V957</f>
        <v>62.75</v>
      </c>
      <c r="I81" s="648">
        <f>'корпоративный баланс энергии'!Y957</f>
        <v>71.760000000000005</v>
      </c>
      <c r="J81" s="646">
        <f t="shared" si="23"/>
        <v>197.38</v>
      </c>
      <c r="K81" s="648">
        <f>'корпоративный баланс энергии'!AB957</f>
        <v>61.39</v>
      </c>
      <c r="L81" s="648">
        <f>'корпоративный баланс энергии'!AE957</f>
        <v>89.25</v>
      </c>
      <c r="M81" s="649">
        <f>'корпоративный баланс энергии'!AH957</f>
        <v>10.72</v>
      </c>
      <c r="N81" s="646">
        <f t="shared" si="24"/>
        <v>161.35999999999999</v>
      </c>
      <c r="O81" s="648">
        <f>'корпоративный баланс энергии'!AK957</f>
        <v>62.75</v>
      </c>
      <c r="P81" s="648">
        <f>'корпоративный баланс энергии'!AN957</f>
        <v>68.19</v>
      </c>
      <c r="Q81" s="649">
        <f>'корпоративный баланс энергии'!AQ957</f>
        <v>62.91</v>
      </c>
      <c r="R81" s="646">
        <f t="shared" si="25"/>
        <v>193.85</v>
      </c>
      <c r="S81" s="650">
        <f t="shared" si="47"/>
        <v>161.57999999999998</v>
      </c>
      <c r="T81" s="651">
        <f t="shared" si="48"/>
        <v>197.38</v>
      </c>
      <c r="U81" s="651">
        <f t="shared" si="49"/>
        <v>161.35999999999999</v>
      </c>
      <c r="V81" s="651">
        <f t="shared" si="50"/>
        <v>193.85</v>
      </c>
      <c r="W81" s="647">
        <f t="shared" si="21"/>
        <v>714.17</v>
      </c>
    </row>
    <row r="82" spans="2:23">
      <c r="B82" s="914" t="s">
        <v>433</v>
      </c>
      <c r="C82" s="648">
        <f>'корпоративный баланс энергии'!J958</f>
        <v>25.86</v>
      </c>
      <c r="D82" s="648">
        <f>'корпоративный баланс энергии'!M958</f>
        <v>22.55</v>
      </c>
      <c r="E82" s="649">
        <f>'корпоративный баланс энергии'!P958</f>
        <v>24.84</v>
      </c>
      <c r="F82" s="646">
        <f t="shared" si="22"/>
        <v>73.25</v>
      </c>
      <c r="G82" s="648">
        <f>'корпоративный баланс энергии'!S958</f>
        <v>19.23</v>
      </c>
      <c r="H82" s="648">
        <f>'корпоративный баланс энергии'!V958</f>
        <v>29.14</v>
      </c>
      <c r="I82" s="648">
        <f>'корпоративный баланс энергии'!Y958</f>
        <v>16.98</v>
      </c>
      <c r="J82" s="646">
        <f t="shared" si="23"/>
        <v>65.350000000000009</v>
      </c>
      <c r="K82" s="648">
        <f>'корпоративный баланс энергии'!AB958</f>
        <v>21.59</v>
      </c>
      <c r="L82" s="648">
        <f>'корпоративный баланс энергии'!AE958</f>
        <v>27.98</v>
      </c>
      <c r="M82" s="649">
        <f>'корпоративный баланс энергии'!AH958</f>
        <v>22.26</v>
      </c>
      <c r="N82" s="646">
        <f t="shared" si="24"/>
        <v>71.83</v>
      </c>
      <c r="O82" s="648">
        <f>'корпоративный баланс энергии'!AK958</f>
        <v>27.11</v>
      </c>
      <c r="P82" s="648">
        <f>'корпоративный баланс энергии'!AN958</f>
        <v>41.03</v>
      </c>
      <c r="Q82" s="649">
        <f>'корпоративный баланс энергии'!AQ958</f>
        <v>38.6</v>
      </c>
      <c r="R82" s="646">
        <f t="shared" si="25"/>
        <v>106.74000000000001</v>
      </c>
      <c r="S82" s="650">
        <f t="shared" si="47"/>
        <v>73.25</v>
      </c>
      <c r="T82" s="651">
        <f t="shared" si="48"/>
        <v>65.350000000000009</v>
      </c>
      <c r="U82" s="651">
        <f t="shared" si="49"/>
        <v>71.83</v>
      </c>
      <c r="V82" s="651">
        <f t="shared" si="50"/>
        <v>106.74000000000001</v>
      </c>
      <c r="W82" s="647">
        <f t="shared" si="21"/>
        <v>317.17</v>
      </c>
    </row>
    <row r="83" spans="2:23">
      <c r="B83" s="914" t="s">
        <v>434</v>
      </c>
      <c r="C83" s="648">
        <f>'корпоративный баланс энергии'!J959</f>
        <v>35.74</v>
      </c>
      <c r="D83" s="648">
        <f>'корпоративный баланс энергии'!M959</f>
        <v>36.08</v>
      </c>
      <c r="E83" s="649">
        <f>'корпоративный баланс энергии'!P959</f>
        <v>42.49</v>
      </c>
      <c r="F83" s="663">
        <f t="shared" si="22"/>
        <v>114.31</v>
      </c>
      <c r="G83" s="648">
        <f>'корпоративный баланс энергии'!S959</f>
        <v>30.38</v>
      </c>
      <c r="H83" s="648">
        <f>'корпоративный баланс энергии'!V959</f>
        <v>49.87</v>
      </c>
      <c r="I83" s="648">
        <f>'корпоративный баланс энергии'!Y959</f>
        <v>58.15</v>
      </c>
      <c r="J83" s="663">
        <f t="shared" si="23"/>
        <v>138.4</v>
      </c>
      <c r="K83" s="648">
        <f>'корпоративный баланс энергии'!AB959</f>
        <v>45.15</v>
      </c>
      <c r="L83" s="648">
        <f>'корпоративный баланс энергии'!AE959</f>
        <v>38.369999999999997</v>
      </c>
      <c r="M83" s="649">
        <f>'корпоративный баланс энергии'!AH959</f>
        <v>36.46</v>
      </c>
      <c r="N83" s="663">
        <f t="shared" si="24"/>
        <v>119.97999999999999</v>
      </c>
      <c r="O83" s="648">
        <f>'корпоративный баланс энергии'!AK959</f>
        <v>43.92</v>
      </c>
      <c r="P83" s="648">
        <f>'корпоративный баланс энергии'!AN959</f>
        <v>54.03</v>
      </c>
      <c r="Q83" s="649">
        <f>'корпоративный баланс энергии'!AQ959</f>
        <v>49.85</v>
      </c>
      <c r="R83" s="663">
        <f t="shared" si="25"/>
        <v>147.80000000000001</v>
      </c>
      <c r="S83" s="664">
        <f t="shared" si="47"/>
        <v>114.31</v>
      </c>
      <c r="T83" s="665">
        <f t="shared" si="48"/>
        <v>138.4</v>
      </c>
      <c r="U83" s="665">
        <f t="shared" si="49"/>
        <v>119.97999999999999</v>
      </c>
      <c r="V83" s="665">
        <f t="shared" si="50"/>
        <v>147.80000000000001</v>
      </c>
      <c r="W83" s="666">
        <f t="shared" si="21"/>
        <v>520.49</v>
      </c>
    </row>
    <row r="84" spans="2:23">
      <c r="B84" s="917" t="s">
        <v>796</v>
      </c>
      <c r="C84" s="669">
        <f>SUM(C85:C89)</f>
        <v>95.57</v>
      </c>
      <c r="D84" s="669">
        <f>SUM(D85:D89)</f>
        <v>83.710000000000008</v>
      </c>
      <c r="E84" s="670">
        <f>SUM(E85:E89)</f>
        <v>80.61</v>
      </c>
      <c r="F84" s="654">
        <f t="shared" si="22"/>
        <v>259.89</v>
      </c>
      <c r="G84" s="669">
        <f>SUM(G85:G89)</f>
        <v>62.79</v>
      </c>
      <c r="H84" s="669">
        <f>SUM(H85:H89)</f>
        <v>88.85</v>
      </c>
      <c r="I84" s="669">
        <f>SUM(I85:I89)</f>
        <v>58.849999999999994</v>
      </c>
      <c r="J84" s="654">
        <f t="shared" si="23"/>
        <v>210.48999999999998</v>
      </c>
      <c r="K84" s="669">
        <f>SUM(K85:K89)</f>
        <v>52.4</v>
      </c>
      <c r="L84" s="669">
        <f>SUM(L85:L89)</f>
        <v>85.35</v>
      </c>
      <c r="M84" s="670">
        <f>SUM(M85:M89)</f>
        <v>64.62</v>
      </c>
      <c r="N84" s="654">
        <f t="shared" si="24"/>
        <v>202.37</v>
      </c>
      <c r="O84" s="669">
        <f>SUM(O85:O89)</f>
        <v>80.009999999999991</v>
      </c>
      <c r="P84" s="669">
        <f>SUM(P85:P89)</f>
        <v>66.75</v>
      </c>
      <c r="Q84" s="670">
        <f>SUM(Q85:Q89)</f>
        <v>93.41</v>
      </c>
      <c r="R84" s="654">
        <f t="shared" si="25"/>
        <v>240.17</v>
      </c>
      <c r="S84" s="672">
        <f>SUM(S85:S89)</f>
        <v>259.89</v>
      </c>
      <c r="T84" s="653">
        <f>SUM(T85:T89)</f>
        <v>210.49</v>
      </c>
      <c r="U84" s="653">
        <f>SUM(U85:U89)</f>
        <v>202.37</v>
      </c>
      <c r="V84" s="653">
        <f>SUM(V85:V89)</f>
        <v>240.17000000000002</v>
      </c>
      <c r="W84" s="657">
        <f t="shared" si="21"/>
        <v>912.92000000000007</v>
      </c>
    </row>
    <row r="85" spans="2:23">
      <c r="B85" s="914" t="s">
        <v>435</v>
      </c>
      <c r="C85" s="648">
        <f>'корпоративный баланс энергии'!J961</f>
        <v>7.24</v>
      </c>
      <c r="D85" s="648">
        <f>'корпоративный баланс энергии'!M961</f>
        <v>6.02</v>
      </c>
      <c r="E85" s="649">
        <f>'корпоративный баланс энергии'!P961</f>
        <v>5.51</v>
      </c>
      <c r="F85" s="646">
        <f t="shared" si="22"/>
        <v>18.77</v>
      </c>
      <c r="G85" s="648">
        <f>'корпоративный баланс энергии'!S961</f>
        <v>4.04</v>
      </c>
      <c r="H85" s="648">
        <f>'корпоративный баланс энергии'!V961</f>
        <v>5.5</v>
      </c>
      <c r="I85" s="648">
        <f>'корпоративный баланс энергии'!Y961</f>
        <v>3.75</v>
      </c>
      <c r="J85" s="646">
        <f t="shared" si="23"/>
        <v>13.29</v>
      </c>
      <c r="K85" s="648">
        <f>'корпоративный баланс энергии'!AB961</f>
        <v>3.91</v>
      </c>
      <c r="L85" s="648">
        <f>'корпоративный баланс энергии'!AE961</f>
        <v>7.54</v>
      </c>
      <c r="M85" s="649">
        <f>'корпоративный баланс энергии'!AH961</f>
        <v>5.58</v>
      </c>
      <c r="N85" s="646">
        <f t="shared" si="24"/>
        <v>17.03</v>
      </c>
      <c r="O85" s="648">
        <f>'корпоративный баланс энергии'!AK961</f>
        <v>7.04</v>
      </c>
      <c r="P85" s="648">
        <f>'корпоративный баланс энергии'!AN961</f>
        <v>5.69</v>
      </c>
      <c r="Q85" s="649">
        <f>'корпоративный баланс энергии'!AQ961</f>
        <v>7.36</v>
      </c>
      <c r="R85" s="646">
        <f t="shared" si="25"/>
        <v>20.09</v>
      </c>
      <c r="S85" s="650">
        <f>F85</f>
        <v>18.77</v>
      </c>
      <c r="T85" s="651">
        <f>J85</f>
        <v>13.29</v>
      </c>
      <c r="U85" s="651">
        <f>N85</f>
        <v>17.03</v>
      </c>
      <c r="V85" s="651">
        <f>R85</f>
        <v>20.09</v>
      </c>
      <c r="W85" s="647">
        <f t="shared" si="21"/>
        <v>69.180000000000007</v>
      </c>
    </row>
    <row r="86" spans="2:23">
      <c r="B86" s="914" t="s">
        <v>436</v>
      </c>
      <c r="C86" s="648">
        <f>'корпоративный баланс энергии'!J962</f>
        <v>21.19</v>
      </c>
      <c r="D86" s="648">
        <f>'корпоративный баланс энергии'!M962</f>
        <v>18.7</v>
      </c>
      <c r="E86" s="649">
        <f>'корпоративный баланс энергии'!P962</f>
        <v>18.48</v>
      </c>
      <c r="F86" s="646">
        <f t="shared" si="22"/>
        <v>58.370000000000005</v>
      </c>
      <c r="G86" s="648">
        <f>'корпоративный баланс энергии'!S962</f>
        <v>14.12</v>
      </c>
      <c r="H86" s="648">
        <f>'корпоративный баланс энергии'!V962</f>
        <v>18.27</v>
      </c>
      <c r="I86" s="648">
        <f>'корпоративный баланс энергии'!Y962</f>
        <v>10.5</v>
      </c>
      <c r="J86" s="646">
        <f t="shared" si="23"/>
        <v>42.89</v>
      </c>
      <c r="K86" s="648">
        <f>'корпоративный баланс энергии'!AB962</f>
        <v>10.39</v>
      </c>
      <c r="L86" s="648">
        <f>'корпоративный баланс энергии'!AE962</f>
        <v>10.87</v>
      </c>
      <c r="M86" s="649">
        <f>'корпоративный баланс энергии'!AH962</f>
        <v>9.25</v>
      </c>
      <c r="N86" s="646">
        <f t="shared" si="24"/>
        <v>30.509999999999998</v>
      </c>
      <c r="O86" s="648">
        <f>'корпоративный баланс энергии'!AK962</f>
        <v>11.23</v>
      </c>
      <c r="P86" s="648">
        <f>'корпоративный баланс энергии'!AN962</f>
        <v>10.87</v>
      </c>
      <c r="Q86" s="649">
        <f>'корпоративный баланс энергии'!AQ962</f>
        <v>20.29</v>
      </c>
      <c r="R86" s="646">
        <f t="shared" si="25"/>
        <v>42.39</v>
      </c>
      <c r="S86" s="650">
        <f>F86</f>
        <v>58.370000000000005</v>
      </c>
      <c r="T86" s="651">
        <f>J86</f>
        <v>42.89</v>
      </c>
      <c r="U86" s="651">
        <f>N86</f>
        <v>30.509999999999998</v>
      </c>
      <c r="V86" s="651">
        <f>R86</f>
        <v>42.39</v>
      </c>
      <c r="W86" s="647">
        <f t="shared" si="21"/>
        <v>174.16000000000003</v>
      </c>
    </row>
    <row r="87" spans="2:23">
      <c r="B87" s="914" t="s">
        <v>437</v>
      </c>
      <c r="C87" s="648">
        <f>'корпоративный баланс энергии'!J963</f>
        <v>22.57</v>
      </c>
      <c r="D87" s="648">
        <f>'корпоративный баланс энергии'!M963</f>
        <v>19.809999999999999</v>
      </c>
      <c r="E87" s="649">
        <f>'корпоративный баланс энергии'!P963</f>
        <v>19.09</v>
      </c>
      <c r="F87" s="646">
        <f t="shared" si="22"/>
        <v>61.47</v>
      </c>
      <c r="G87" s="648">
        <f>'корпоративный баланс энергии'!S963</f>
        <v>14.51</v>
      </c>
      <c r="H87" s="648">
        <f>'корпоративный баланс энергии'!V963</f>
        <v>19.09</v>
      </c>
      <c r="I87" s="648">
        <f>'корпоративный баланс энергии'!Y963</f>
        <v>11.51</v>
      </c>
      <c r="J87" s="646">
        <f t="shared" si="23"/>
        <v>45.11</v>
      </c>
      <c r="K87" s="648">
        <f>'корпоративный баланс энергии'!AB963</f>
        <v>11.18</v>
      </c>
      <c r="L87" s="648">
        <f>'корпоративный баланс энергии'!AE963</f>
        <v>21.56</v>
      </c>
      <c r="M87" s="649">
        <f>'корпоративный баланс энергии'!AH963</f>
        <v>15.59</v>
      </c>
      <c r="N87" s="646">
        <f t="shared" si="24"/>
        <v>48.33</v>
      </c>
      <c r="O87" s="648">
        <f>'корпоративный баланс энергии'!AK963</f>
        <v>20</v>
      </c>
      <c r="P87" s="648">
        <f>'корпоративный баланс энергии'!AN963</f>
        <v>16.25</v>
      </c>
      <c r="Q87" s="649">
        <f>'корпоративный баланс энергии'!AQ963</f>
        <v>21.92</v>
      </c>
      <c r="R87" s="646">
        <f t="shared" si="25"/>
        <v>58.17</v>
      </c>
      <c r="S87" s="650">
        <f>F87</f>
        <v>61.47</v>
      </c>
      <c r="T87" s="651">
        <f>J87</f>
        <v>45.11</v>
      </c>
      <c r="U87" s="651">
        <f>N87</f>
        <v>48.33</v>
      </c>
      <c r="V87" s="651">
        <f>R87</f>
        <v>58.17</v>
      </c>
      <c r="W87" s="647">
        <f t="shared" si="21"/>
        <v>213.07999999999998</v>
      </c>
    </row>
    <row r="88" spans="2:23">
      <c r="B88" s="914" t="s">
        <v>438</v>
      </c>
      <c r="C88" s="648">
        <f>'корпоративный баланс энергии'!J964</f>
        <v>20.58</v>
      </c>
      <c r="D88" s="648">
        <f>'корпоративный баланс энергии'!M964</f>
        <v>18.04</v>
      </c>
      <c r="E88" s="649">
        <f>'корпоративный баланс энергии'!P964</f>
        <v>17.260000000000002</v>
      </c>
      <c r="F88" s="646">
        <f t="shared" si="22"/>
        <v>55.879999999999995</v>
      </c>
      <c r="G88" s="648">
        <f>'корпоративный баланс энергии'!S964</f>
        <v>13.19</v>
      </c>
      <c r="H88" s="648">
        <f>'корпоративный баланс энергии'!V964</f>
        <v>19.41</v>
      </c>
      <c r="I88" s="648">
        <f>'корпоративный баланс энергии'!Y964</f>
        <v>12.46</v>
      </c>
      <c r="J88" s="646">
        <f t="shared" si="23"/>
        <v>45.06</v>
      </c>
      <c r="K88" s="648">
        <f>'корпоративный баланс энергии'!AB964</f>
        <v>11.05</v>
      </c>
      <c r="L88" s="648">
        <f>'корпоративный баланс энергии'!AE964</f>
        <v>20.32</v>
      </c>
      <c r="M88" s="649">
        <f>'корпоративный баланс энергии'!AH964</f>
        <v>14.94</v>
      </c>
      <c r="N88" s="646">
        <f t="shared" si="24"/>
        <v>46.31</v>
      </c>
      <c r="O88" s="648">
        <f>'корпоративный баланс энергии'!AK964</f>
        <v>18.690000000000001</v>
      </c>
      <c r="P88" s="648">
        <f>'корпоративный баланс энергии'!AN964</f>
        <v>15.11</v>
      </c>
      <c r="Q88" s="649">
        <f>'корпоративный баланс энергии'!AQ964</f>
        <v>20.100000000000001</v>
      </c>
      <c r="R88" s="646">
        <f t="shared" si="25"/>
        <v>53.9</v>
      </c>
      <c r="S88" s="650">
        <f>F88</f>
        <v>55.879999999999995</v>
      </c>
      <c r="T88" s="651">
        <f>J88</f>
        <v>45.06</v>
      </c>
      <c r="U88" s="651">
        <f>N88</f>
        <v>46.31</v>
      </c>
      <c r="V88" s="651">
        <f>R88</f>
        <v>53.9</v>
      </c>
      <c r="W88" s="647">
        <f t="shared" si="21"/>
        <v>201.15</v>
      </c>
    </row>
    <row r="89" spans="2:23">
      <c r="B89" s="914" t="s">
        <v>439</v>
      </c>
      <c r="C89" s="648">
        <f>'корпоративный баланс энергии'!J965</f>
        <v>23.99</v>
      </c>
      <c r="D89" s="648">
        <f>'корпоративный баланс энергии'!M965</f>
        <v>21.14</v>
      </c>
      <c r="E89" s="649">
        <f>'корпоративный баланс энергии'!P965</f>
        <v>20.27</v>
      </c>
      <c r="F89" s="663">
        <f t="shared" si="22"/>
        <v>65.399999999999991</v>
      </c>
      <c r="G89" s="648">
        <f>'корпоративный баланс энергии'!S965</f>
        <v>16.93</v>
      </c>
      <c r="H89" s="648">
        <f>'корпоративный баланс энергии'!V965</f>
        <v>26.58</v>
      </c>
      <c r="I89" s="648">
        <f>'корпоративный баланс энергии'!Y965</f>
        <v>20.63</v>
      </c>
      <c r="J89" s="663">
        <f t="shared" si="23"/>
        <v>64.14</v>
      </c>
      <c r="K89" s="648">
        <f>'корпоративный баланс энергии'!AB965</f>
        <v>15.87</v>
      </c>
      <c r="L89" s="648">
        <f>'корпоративный баланс энергии'!AE965</f>
        <v>25.06</v>
      </c>
      <c r="M89" s="649">
        <f>'корпоративный баланс энергии'!AH965</f>
        <v>19.260000000000002</v>
      </c>
      <c r="N89" s="663">
        <f t="shared" si="24"/>
        <v>60.19</v>
      </c>
      <c r="O89" s="648">
        <f>'корпоративный баланс энергии'!AK965</f>
        <v>23.05</v>
      </c>
      <c r="P89" s="648">
        <f>'корпоративный баланс энергии'!AN965</f>
        <v>18.829999999999998</v>
      </c>
      <c r="Q89" s="649">
        <f>'корпоративный баланс энергии'!AQ965</f>
        <v>23.74</v>
      </c>
      <c r="R89" s="663">
        <f t="shared" si="25"/>
        <v>65.61999999999999</v>
      </c>
      <c r="S89" s="664">
        <f>F89</f>
        <v>65.399999999999991</v>
      </c>
      <c r="T89" s="665">
        <f>J89</f>
        <v>64.14</v>
      </c>
      <c r="U89" s="665">
        <f>N89</f>
        <v>60.19</v>
      </c>
      <c r="V89" s="665">
        <f>R89</f>
        <v>65.61999999999999</v>
      </c>
      <c r="W89" s="666">
        <f t="shared" si="21"/>
        <v>255.34999999999997</v>
      </c>
    </row>
    <row r="90" spans="2:23">
      <c r="B90" s="917" t="s">
        <v>797</v>
      </c>
      <c r="C90" s="669">
        <f>SUM(C91:C92)</f>
        <v>88.16</v>
      </c>
      <c r="D90" s="669">
        <f>SUM(D91:D92)</f>
        <v>77.47999999999999</v>
      </c>
      <c r="E90" s="670">
        <f>SUM(E91:E92)</f>
        <v>112.64</v>
      </c>
      <c r="F90" s="654">
        <f t="shared" si="22"/>
        <v>278.27999999999997</v>
      </c>
      <c r="G90" s="669">
        <f>SUM(G91:G92)</f>
        <v>111.49</v>
      </c>
      <c r="H90" s="669">
        <f>SUM(H91:H92)</f>
        <v>109.84</v>
      </c>
      <c r="I90" s="669">
        <f>SUM(I91:I92)</f>
        <v>96.34</v>
      </c>
      <c r="J90" s="654">
        <f t="shared" si="23"/>
        <v>317.66999999999996</v>
      </c>
      <c r="K90" s="669">
        <f>SUM(K91:K92)</f>
        <v>86.289999999999992</v>
      </c>
      <c r="L90" s="669">
        <f>SUM(L91:L92)</f>
        <v>109.36</v>
      </c>
      <c r="M90" s="670">
        <f>SUM(M91:M92)</f>
        <v>144.98000000000002</v>
      </c>
      <c r="N90" s="654">
        <f t="shared" si="24"/>
        <v>340.63</v>
      </c>
      <c r="O90" s="669">
        <f>SUM(O91:O92)</f>
        <v>94.79</v>
      </c>
      <c r="P90" s="669">
        <f>SUM(P91:P92)</f>
        <v>97.57</v>
      </c>
      <c r="Q90" s="670">
        <f>SUM(Q91:Q92)</f>
        <v>84.210000000000008</v>
      </c>
      <c r="R90" s="654">
        <f t="shared" si="25"/>
        <v>276.57000000000005</v>
      </c>
      <c r="S90" s="672">
        <f>SUM(S91:S92)</f>
        <v>278.27999999999997</v>
      </c>
      <c r="T90" s="653">
        <f>SUM(T91:T92)</f>
        <v>317.67</v>
      </c>
      <c r="U90" s="653">
        <f>SUM(U91:U92)</f>
        <v>340.63</v>
      </c>
      <c r="V90" s="653">
        <f>SUM(V91:V92)</f>
        <v>276.57</v>
      </c>
      <c r="W90" s="657">
        <f t="shared" si="21"/>
        <v>1213.1500000000001</v>
      </c>
    </row>
    <row r="91" spans="2:23">
      <c r="B91" s="914" t="s">
        <v>440</v>
      </c>
      <c r="C91" s="648">
        <f>'корпоративный баланс энергии'!J967</f>
        <v>67.260000000000005</v>
      </c>
      <c r="D91" s="648">
        <f>'корпоративный баланс энергии'!M967</f>
        <v>59.12</v>
      </c>
      <c r="E91" s="649">
        <f>'корпоративный баланс энергии'!P967</f>
        <v>86.14</v>
      </c>
      <c r="F91" s="646">
        <f t="shared" si="22"/>
        <v>212.51999999999998</v>
      </c>
      <c r="G91" s="648">
        <f>'корпоративный баланс энергии'!S967</f>
        <v>83.96</v>
      </c>
      <c r="H91" s="648">
        <f>'корпоративный баланс энергии'!V967</f>
        <v>75.22</v>
      </c>
      <c r="I91" s="648">
        <f>'корпоративный баланс энергии'!Y967</f>
        <v>63.96</v>
      </c>
      <c r="J91" s="646">
        <f t="shared" si="23"/>
        <v>223.14000000000001</v>
      </c>
      <c r="K91" s="648">
        <f>'корпоративный баланс энергии'!AB967</f>
        <v>62.19</v>
      </c>
      <c r="L91" s="648">
        <f>'корпоративный баланс энергии'!AE967</f>
        <v>81.739999999999995</v>
      </c>
      <c r="M91" s="649">
        <f>'корпоративный баланс энергии'!AH967</f>
        <v>108.48</v>
      </c>
      <c r="N91" s="646">
        <f t="shared" si="24"/>
        <v>252.41000000000003</v>
      </c>
      <c r="O91" s="648">
        <f>'корпоративный баланс энергии'!AK967</f>
        <v>69.430000000000007</v>
      </c>
      <c r="P91" s="648">
        <f>'корпоративный баланс энергии'!AN967</f>
        <v>73.33</v>
      </c>
      <c r="Q91" s="649">
        <f>'корпоративный баланс энергии'!AQ967</f>
        <v>63.53</v>
      </c>
      <c r="R91" s="646">
        <f t="shared" si="25"/>
        <v>206.29</v>
      </c>
      <c r="S91" s="650">
        <f>F91</f>
        <v>212.51999999999998</v>
      </c>
      <c r="T91" s="651">
        <f>J91</f>
        <v>223.14000000000001</v>
      </c>
      <c r="U91" s="651">
        <f>N91</f>
        <v>252.41000000000003</v>
      </c>
      <c r="V91" s="651">
        <f>R91</f>
        <v>206.29</v>
      </c>
      <c r="W91" s="647">
        <f t="shared" si="21"/>
        <v>894.3599999999999</v>
      </c>
    </row>
    <row r="92" spans="2:23">
      <c r="B92" s="914" t="s">
        <v>441</v>
      </c>
      <c r="C92" s="648">
        <f>'корпоративный баланс энергии'!J968</f>
        <v>20.9</v>
      </c>
      <c r="D92" s="648">
        <f>'корпоративный баланс энергии'!M968</f>
        <v>18.36</v>
      </c>
      <c r="E92" s="649">
        <f>'корпоративный баланс энергии'!P968</f>
        <v>26.5</v>
      </c>
      <c r="F92" s="663">
        <f t="shared" si="22"/>
        <v>65.759999999999991</v>
      </c>
      <c r="G92" s="648">
        <f>'корпоративный баланс энергии'!S968</f>
        <v>27.53</v>
      </c>
      <c r="H92" s="648">
        <f>'корпоративный баланс энергии'!V968</f>
        <v>34.619999999999997</v>
      </c>
      <c r="I92" s="648">
        <f>'корпоративный баланс энергии'!Y968</f>
        <v>32.380000000000003</v>
      </c>
      <c r="J92" s="663">
        <f t="shared" si="23"/>
        <v>94.53</v>
      </c>
      <c r="K92" s="648">
        <f>'корпоративный баланс энергии'!AB968</f>
        <v>24.1</v>
      </c>
      <c r="L92" s="648">
        <f>'корпоративный баланс энергии'!AE968</f>
        <v>27.62</v>
      </c>
      <c r="M92" s="649">
        <f>'корпоративный баланс энергии'!AH968</f>
        <v>36.5</v>
      </c>
      <c r="N92" s="663">
        <f t="shared" si="24"/>
        <v>88.22</v>
      </c>
      <c r="O92" s="648">
        <f>'корпоративный баланс энергии'!AK968</f>
        <v>25.36</v>
      </c>
      <c r="P92" s="648">
        <f>'корпоративный баланс энергии'!AN968</f>
        <v>24.24</v>
      </c>
      <c r="Q92" s="649">
        <f>'корпоративный баланс энергии'!AQ968</f>
        <v>20.68</v>
      </c>
      <c r="R92" s="663">
        <f t="shared" si="25"/>
        <v>70.28</v>
      </c>
      <c r="S92" s="664">
        <f>F92</f>
        <v>65.759999999999991</v>
      </c>
      <c r="T92" s="665">
        <f>J92</f>
        <v>94.53</v>
      </c>
      <c r="U92" s="665">
        <f>N92</f>
        <v>88.22</v>
      </c>
      <c r="V92" s="665">
        <f>R92</f>
        <v>70.28</v>
      </c>
      <c r="W92" s="666">
        <f t="shared" si="21"/>
        <v>318.78999999999996</v>
      </c>
    </row>
    <row r="93" spans="2:23">
      <c r="B93" s="917" t="s">
        <v>798</v>
      </c>
      <c r="C93" s="669">
        <f>SUM(C94:C97)</f>
        <v>107.65</v>
      </c>
      <c r="D93" s="669">
        <f>SUM(D94:D97)</f>
        <v>103.75999999999999</v>
      </c>
      <c r="E93" s="670">
        <f>SUM(E94:E97)</f>
        <v>114.28999999999998</v>
      </c>
      <c r="F93" s="654">
        <f t="shared" si="22"/>
        <v>325.7</v>
      </c>
      <c r="G93" s="669">
        <f>SUM(G94:G97)</f>
        <v>151.54</v>
      </c>
      <c r="H93" s="669">
        <f>SUM(H94:H97)</f>
        <v>74.009999999999991</v>
      </c>
      <c r="I93" s="669">
        <f>SUM(I94:I97)</f>
        <v>196.79999999999998</v>
      </c>
      <c r="J93" s="654">
        <f t="shared" si="23"/>
        <v>422.34999999999997</v>
      </c>
      <c r="K93" s="669">
        <f>SUM(K94:K97)</f>
        <v>219.23000000000002</v>
      </c>
      <c r="L93" s="669">
        <f>SUM(L94:L97)</f>
        <v>126.65</v>
      </c>
      <c r="M93" s="670">
        <f>SUM(M94:M97)</f>
        <v>165.76</v>
      </c>
      <c r="N93" s="654">
        <f t="shared" si="24"/>
        <v>511.64</v>
      </c>
      <c r="O93" s="669">
        <f>SUM(O94:O97)</f>
        <v>95.32</v>
      </c>
      <c r="P93" s="669">
        <f>SUM(P94:P97)</f>
        <v>92.38000000000001</v>
      </c>
      <c r="Q93" s="670">
        <f>SUM(Q94:Q97)</f>
        <v>77.23</v>
      </c>
      <c r="R93" s="654">
        <f t="shared" si="25"/>
        <v>264.93</v>
      </c>
      <c r="S93" s="672">
        <f>SUM(S94:S97)</f>
        <v>325.7</v>
      </c>
      <c r="T93" s="653">
        <f>SUM(T94:T97)</f>
        <v>422.35</v>
      </c>
      <c r="U93" s="653">
        <f>SUM(U94:U97)</f>
        <v>511.64000000000004</v>
      </c>
      <c r="V93" s="653">
        <f>SUM(V94:V97)</f>
        <v>264.93</v>
      </c>
      <c r="W93" s="657">
        <f t="shared" si="21"/>
        <v>1524.6200000000001</v>
      </c>
    </row>
    <row r="94" spans="2:23">
      <c r="B94" s="914" t="s">
        <v>442</v>
      </c>
      <c r="C94" s="648">
        <f>'корпоративный баланс энергии'!J970</f>
        <v>56.64</v>
      </c>
      <c r="D94" s="648">
        <f>'корпоративный баланс энергии'!M970</f>
        <v>54.09</v>
      </c>
      <c r="E94" s="649">
        <f>'корпоративный баланс энергии'!P970</f>
        <v>57.65</v>
      </c>
      <c r="F94" s="646">
        <f t="shared" si="22"/>
        <v>168.38</v>
      </c>
      <c r="G94" s="648">
        <f>'корпоративный баланс энергии'!S970</f>
        <v>43.73</v>
      </c>
      <c r="H94" s="648">
        <f>'корпоративный баланс энергии'!V970</f>
        <v>30.65</v>
      </c>
      <c r="I94" s="648">
        <f>'корпоративный баланс энергии'!Y970</f>
        <v>51.78</v>
      </c>
      <c r="J94" s="646">
        <f t="shared" si="23"/>
        <v>126.16</v>
      </c>
      <c r="K94" s="648">
        <f>'корпоративный баланс энергии'!AB970</f>
        <v>66.77</v>
      </c>
      <c r="L94" s="648">
        <f>'корпоративный баланс энергии'!AE970</f>
        <v>68.41</v>
      </c>
      <c r="M94" s="649">
        <f>'корпоративный баланс энергии'!AH970</f>
        <v>89.53</v>
      </c>
      <c r="N94" s="646">
        <f t="shared" si="24"/>
        <v>224.71</v>
      </c>
      <c r="O94" s="648">
        <f>'корпоративный баланс энергии'!AK970</f>
        <v>49.43</v>
      </c>
      <c r="P94" s="648">
        <f>'корпоративный баланс энергии'!AN970</f>
        <v>42.5</v>
      </c>
      <c r="Q94" s="649">
        <f>'корпоративный баланс энергии'!AQ970</f>
        <v>39.06</v>
      </c>
      <c r="R94" s="646">
        <f t="shared" si="25"/>
        <v>130.99</v>
      </c>
      <c r="S94" s="650">
        <f>F94</f>
        <v>168.38</v>
      </c>
      <c r="T94" s="651">
        <f>J94</f>
        <v>126.16</v>
      </c>
      <c r="U94" s="651">
        <f>N94</f>
        <v>224.71</v>
      </c>
      <c r="V94" s="651">
        <f>R94</f>
        <v>130.99</v>
      </c>
      <c r="W94" s="647">
        <f t="shared" si="21"/>
        <v>650.24</v>
      </c>
    </row>
    <row r="95" spans="2:23">
      <c r="B95" s="914" t="s">
        <v>443</v>
      </c>
      <c r="C95" s="648">
        <f>'корпоративный баланс энергии'!J971</f>
        <v>46.58</v>
      </c>
      <c r="D95" s="648">
        <f>'корпоративный баланс энергии'!M971</f>
        <v>45.48</v>
      </c>
      <c r="E95" s="649">
        <f>'корпоративный баланс энергии'!P971</f>
        <v>49.58</v>
      </c>
      <c r="F95" s="646">
        <f t="shared" si="22"/>
        <v>141.63999999999999</v>
      </c>
      <c r="G95" s="648">
        <f>'корпоративный баланс энергии'!S971</f>
        <v>39.56</v>
      </c>
      <c r="H95" s="648">
        <f>'корпоративный баланс энергии'!V971</f>
        <v>39.89</v>
      </c>
      <c r="I95" s="648">
        <f>'корпоративный баланс энергии'!Y971</f>
        <v>62.75</v>
      </c>
      <c r="J95" s="646">
        <f t="shared" si="23"/>
        <v>142.19999999999999</v>
      </c>
      <c r="K95" s="648">
        <f>'корпоративный баланс энергии'!AB971</f>
        <v>58.26</v>
      </c>
      <c r="L95" s="648">
        <f>'корпоративный баланс энергии'!AE971</f>
        <v>58.24</v>
      </c>
      <c r="M95" s="649">
        <f>'корпоративный баланс энергии'!AH971</f>
        <v>76.23</v>
      </c>
      <c r="N95" s="646">
        <f t="shared" si="24"/>
        <v>192.73000000000002</v>
      </c>
      <c r="O95" s="648">
        <f>'корпоративный баланс энергии'!AK971</f>
        <v>45.89</v>
      </c>
      <c r="P95" s="648">
        <f>'корпоративный баланс энергии'!AN971</f>
        <v>37.08</v>
      </c>
      <c r="Q95" s="649">
        <f>'корпоративный баланс энергии'!AQ971</f>
        <v>33.590000000000003</v>
      </c>
      <c r="R95" s="646">
        <f t="shared" si="25"/>
        <v>116.56</v>
      </c>
      <c r="S95" s="650">
        <f>F95</f>
        <v>141.63999999999999</v>
      </c>
      <c r="T95" s="651">
        <f>J95</f>
        <v>142.19999999999999</v>
      </c>
      <c r="U95" s="651">
        <f>N95</f>
        <v>192.73000000000002</v>
      </c>
      <c r="V95" s="651">
        <f>R95</f>
        <v>116.56</v>
      </c>
      <c r="W95" s="647">
        <f t="shared" si="21"/>
        <v>593.13</v>
      </c>
    </row>
    <row r="96" spans="2:23">
      <c r="B96" s="914" t="s">
        <v>444</v>
      </c>
      <c r="C96" s="648">
        <f>'корпоративный баланс энергии'!J972</f>
        <v>3.95</v>
      </c>
      <c r="D96" s="648">
        <f>'корпоративный баланс энергии'!M972</f>
        <v>3.72</v>
      </c>
      <c r="E96" s="649">
        <f>'корпоративный баланс энергии'!P972</f>
        <v>5.6</v>
      </c>
      <c r="F96" s="646">
        <f t="shared" si="22"/>
        <v>13.27</v>
      </c>
      <c r="G96" s="648">
        <f>'корпоративный баланс энергии'!S972</f>
        <v>56.6</v>
      </c>
      <c r="H96" s="648">
        <f>'корпоративный баланс энергии'!V972</f>
        <v>3.19</v>
      </c>
      <c r="I96" s="648">
        <f>'корпоративный баланс энергии'!Y972</f>
        <v>67.98</v>
      </c>
      <c r="J96" s="646">
        <f t="shared" si="23"/>
        <v>127.77000000000001</v>
      </c>
      <c r="K96" s="648">
        <f>'корпоративный баланс энергии'!AB972</f>
        <v>77.83</v>
      </c>
      <c r="L96" s="648">
        <f>'корпоративный баланс энергии'!AE972</f>
        <v>0</v>
      </c>
      <c r="M96" s="649">
        <f>'корпоративный баланс энергии'!AH972</f>
        <v>0</v>
      </c>
      <c r="N96" s="646">
        <f t="shared" si="24"/>
        <v>77.83</v>
      </c>
      <c r="O96" s="648">
        <f>'корпоративный баланс энергии'!AK972</f>
        <v>0</v>
      </c>
      <c r="P96" s="648">
        <f>'корпоративный баланс энергии'!AN972</f>
        <v>10.07</v>
      </c>
      <c r="Q96" s="649">
        <f>'корпоративный баланс энергии'!AQ972</f>
        <v>4.05</v>
      </c>
      <c r="R96" s="646">
        <f t="shared" si="25"/>
        <v>14.120000000000001</v>
      </c>
      <c r="S96" s="650">
        <f>F96</f>
        <v>13.27</v>
      </c>
      <c r="T96" s="651">
        <f>J96</f>
        <v>127.77000000000001</v>
      </c>
      <c r="U96" s="651">
        <f>N96</f>
        <v>77.83</v>
      </c>
      <c r="V96" s="651">
        <f>R96</f>
        <v>14.120000000000001</v>
      </c>
      <c r="W96" s="647">
        <f t="shared" si="21"/>
        <v>232.99</v>
      </c>
    </row>
    <row r="97" spans="2:23" ht="13.5" thickBot="1">
      <c r="B97" s="918" t="s">
        <v>445</v>
      </c>
      <c r="C97" s="680">
        <f>'корпоративный баланс энергии'!J973</f>
        <v>0.48</v>
      </c>
      <c r="D97" s="681">
        <f>'корпоративный баланс энергии'!M973</f>
        <v>0.47</v>
      </c>
      <c r="E97" s="682">
        <f>'корпоративный баланс энергии'!P973</f>
        <v>1.46</v>
      </c>
      <c r="F97" s="753">
        <f t="shared" si="22"/>
        <v>2.41</v>
      </c>
      <c r="G97" s="680">
        <f>'корпоративный баланс энергии'!S973</f>
        <v>11.65</v>
      </c>
      <c r="H97" s="681">
        <f>'корпоративный баланс энергии'!V973</f>
        <v>0.28000000000000003</v>
      </c>
      <c r="I97" s="681">
        <f>'корпоративный баланс энергии'!Y973</f>
        <v>14.29</v>
      </c>
      <c r="J97" s="753">
        <f t="shared" si="23"/>
        <v>26.22</v>
      </c>
      <c r="K97" s="680">
        <f>'корпоративный баланс энергии'!AB973</f>
        <v>16.37</v>
      </c>
      <c r="L97" s="681">
        <f>'корпоративный баланс энергии'!AE973</f>
        <v>0</v>
      </c>
      <c r="M97" s="682">
        <f>'корпоративный баланс энергии'!AH973</f>
        <v>0</v>
      </c>
      <c r="N97" s="753">
        <f t="shared" si="24"/>
        <v>16.37</v>
      </c>
      <c r="O97" s="680">
        <f>'корпоративный баланс энергии'!AK973</f>
        <v>0</v>
      </c>
      <c r="P97" s="681">
        <f>'корпоративный баланс энергии'!AN973</f>
        <v>2.73</v>
      </c>
      <c r="Q97" s="682">
        <f>'корпоративный баланс энергии'!AQ973</f>
        <v>0.53</v>
      </c>
      <c r="R97" s="753">
        <f t="shared" si="25"/>
        <v>3.26</v>
      </c>
      <c r="S97" s="754">
        <f>F97</f>
        <v>2.41</v>
      </c>
      <c r="T97" s="755">
        <f>J97</f>
        <v>26.22</v>
      </c>
      <c r="U97" s="755">
        <f>N97</f>
        <v>16.37</v>
      </c>
      <c r="V97" s="755">
        <f>R97</f>
        <v>3.26</v>
      </c>
      <c r="W97" s="756">
        <f t="shared" si="21"/>
        <v>48.26</v>
      </c>
    </row>
    <row r="98" spans="2:23">
      <c r="B98" s="782" t="s">
        <v>51</v>
      </c>
      <c r="C98" s="743">
        <f>SUM(C99:C100)</f>
        <v>1.0564800000000001</v>
      </c>
      <c r="D98" s="743">
        <f>SUM(D99:D100)</f>
        <v>0.76560000000000006</v>
      </c>
      <c r="E98" s="744">
        <f>SUM(E99:E100)</f>
        <v>1.2275999999999998</v>
      </c>
      <c r="F98" s="745">
        <f t="shared" si="22"/>
        <v>3.0496799999999999</v>
      </c>
      <c r="G98" s="743">
        <f>SUM(G99:G100)</f>
        <v>1.9727999999999997</v>
      </c>
      <c r="H98" s="743">
        <f>SUM(H99:H100)</f>
        <v>2.0236800000000001</v>
      </c>
      <c r="I98" s="743">
        <f>SUM(I99:I100)</f>
        <v>1.08</v>
      </c>
      <c r="J98" s="745">
        <f t="shared" si="23"/>
        <v>5.0764800000000001</v>
      </c>
      <c r="K98" s="743">
        <f>SUM(K99:K100)</f>
        <v>0.57287999999999994</v>
      </c>
      <c r="L98" s="743">
        <f>SUM(L99:L100)</f>
        <v>0.43895999999999996</v>
      </c>
      <c r="M98" s="744">
        <f>SUM(M99:M100)</f>
        <v>0.43920000000000003</v>
      </c>
      <c r="N98" s="745">
        <f t="shared" si="24"/>
        <v>1.4510399999999999</v>
      </c>
      <c r="O98" s="743">
        <f>SUM(O99:O100)</f>
        <v>0.5565119999999999</v>
      </c>
      <c r="P98" s="743">
        <f>SUM(P99:P100)</f>
        <v>0.77760000000000007</v>
      </c>
      <c r="Q98" s="744">
        <f>SUM(Q99:Q100)</f>
        <v>1.0401120000000001</v>
      </c>
      <c r="R98" s="745">
        <f t="shared" si="25"/>
        <v>2.3742239999999999</v>
      </c>
      <c r="S98" s="746">
        <f>SUM(S99:S100)</f>
        <v>3.0496799999999999</v>
      </c>
      <c r="T98" s="744">
        <f>SUM(T99:T100)</f>
        <v>5.0764800000000001</v>
      </c>
      <c r="U98" s="744">
        <f>SUM(U99:U100)</f>
        <v>1.4510399999999999</v>
      </c>
      <c r="V98" s="744">
        <f>SUM(V99:V100)</f>
        <v>2.3742239999999999</v>
      </c>
      <c r="W98" s="747">
        <f t="shared" si="21"/>
        <v>11.951424000000001</v>
      </c>
    </row>
    <row r="99" spans="2:23">
      <c r="B99" s="914" t="s">
        <v>799</v>
      </c>
      <c r="C99" s="648">
        <f>'корпоративный баланс энергии'!J995</f>
        <v>0.63160000000000005</v>
      </c>
      <c r="D99" s="648">
        <f>'корпоративный баланс энергии'!M995</f>
        <v>0.42920000000000003</v>
      </c>
      <c r="E99" s="649">
        <f>'корпоративный баланс энергии'!P995</f>
        <v>0.71760000000000002</v>
      </c>
      <c r="F99" s="646">
        <f t="shared" si="22"/>
        <v>1.7784</v>
      </c>
      <c r="G99" s="648">
        <f>'корпоративный баланс энергии'!S995</f>
        <v>1.2383999999999999</v>
      </c>
      <c r="H99" s="648">
        <f>'корпоративный баланс энергии'!V995</f>
        <v>1.32368</v>
      </c>
      <c r="I99" s="648">
        <f>'корпоративный баланс энергии'!Y995</f>
        <v>0.65</v>
      </c>
      <c r="J99" s="646">
        <f t="shared" si="23"/>
        <v>3.2120799999999998</v>
      </c>
      <c r="K99" s="648">
        <f>'корпоративный баланс энергии'!AB995</f>
        <v>0.34288000000000002</v>
      </c>
      <c r="L99" s="648">
        <f>'корпоративный баланс энергии'!AE995</f>
        <v>0.22896</v>
      </c>
      <c r="M99" s="649">
        <f>'корпоративный баланс энергии'!AH995</f>
        <v>0.22919999999999999</v>
      </c>
      <c r="N99" s="646">
        <f t="shared" si="24"/>
        <v>0.80103999999999997</v>
      </c>
      <c r="O99" s="648">
        <f>'корпоративный баланс энергии'!AK995</f>
        <v>0.35288000000000003</v>
      </c>
      <c r="P99" s="648">
        <f>'корпоративный баланс энергии'!AN995</f>
        <v>0.46760000000000002</v>
      </c>
      <c r="Q99" s="649">
        <f>'корпоративный баланс энергии'!AQ995</f>
        <v>0.66368000000000005</v>
      </c>
      <c r="R99" s="646">
        <f t="shared" si="25"/>
        <v>1.4841600000000001</v>
      </c>
      <c r="S99" s="650">
        <f>F99</f>
        <v>1.7784</v>
      </c>
      <c r="T99" s="651">
        <f>J99</f>
        <v>3.2120799999999998</v>
      </c>
      <c r="U99" s="651">
        <f>N99</f>
        <v>0.80103999999999997</v>
      </c>
      <c r="V99" s="651">
        <f>R99</f>
        <v>1.4841600000000001</v>
      </c>
      <c r="W99" s="647">
        <f t="shared" si="21"/>
        <v>7.2756800000000004</v>
      </c>
    </row>
    <row r="100" spans="2:23" ht="13.5" thickBot="1">
      <c r="B100" s="914" t="s">
        <v>800</v>
      </c>
      <c r="C100" s="648">
        <f>'корпоративный баланс энергии'!J996</f>
        <v>0.42488000000000004</v>
      </c>
      <c r="D100" s="648">
        <f>'корпоративный баланс энергии'!M996</f>
        <v>0.33640000000000003</v>
      </c>
      <c r="E100" s="649">
        <f>'корпоративный баланс энергии'!P996</f>
        <v>0.50999999999999979</v>
      </c>
      <c r="F100" s="646">
        <f t="shared" si="22"/>
        <v>1.27128</v>
      </c>
      <c r="G100" s="648">
        <f>'корпоративный баланс энергии'!S996</f>
        <v>0.73439999999999972</v>
      </c>
      <c r="H100" s="648">
        <f>'корпоративный баланс энергии'!V996</f>
        <v>0.70000000000000018</v>
      </c>
      <c r="I100" s="648">
        <f>'корпоративный баланс энергии'!Y996</f>
        <v>0.43000000000000005</v>
      </c>
      <c r="J100" s="646">
        <f t="shared" si="23"/>
        <v>1.8643999999999998</v>
      </c>
      <c r="K100" s="648">
        <f>'корпоративный баланс энергии'!AB996</f>
        <v>0.22999999999999993</v>
      </c>
      <c r="L100" s="648">
        <f>'корпоративный баланс энергии'!AE996</f>
        <v>0.20999999999999996</v>
      </c>
      <c r="M100" s="649">
        <f>'корпоративный баланс энергии'!AH996</f>
        <v>0.21000000000000005</v>
      </c>
      <c r="N100" s="646">
        <f t="shared" si="24"/>
        <v>0.64999999999999991</v>
      </c>
      <c r="O100" s="648">
        <f>'корпоративный баланс энергии'!AK996</f>
        <v>0.20363199999999987</v>
      </c>
      <c r="P100" s="648">
        <f>'корпоративный баланс энергии'!AN996</f>
        <v>0.31000000000000005</v>
      </c>
      <c r="Q100" s="649">
        <f>'корпоративный баланс энергии'!AQ996</f>
        <v>0.3764320000000001</v>
      </c>
      <c r="R100" s="646">
        <f t="shared" si="25"/>
        <v>0.89006399999999997</v>
      </c>
      <c r="S100" s="650">
        <f>F100</f>
        <v>1.27128</v>
      </c>
      <c r="T100" s="651">
        <f>J100</f>
        <v>1.8643999999999998</v>
      </c>
      <c r="U100" s="651">
        <f>N100</f>
        <v>0.64999999999999991</v>
      </c>
      <c r="V100" s="651">
        <f>R100</f>
        <v>0.89006399999999997</v>
      </c>
      <c r="W100" s="647">
        <f t="shared" si="21"/>
        <v>4.6757439999999999</v>
      </c>
    </row>
    <row r="101" spans="2:23">
      <c r="B101" s="782" t="s">
        <v>53</v>
      </c>
      <c r="C101" s="748">
        <f>SUM(C102,C105,C109)</f>
        <v>259.06136894226074</v>
      </c>
      <c r="D101" s="748">
        <f>SUM(D102,D105,D109)</f>
        <v>238.52286148071289</v>
      </c>
      <c r="E101" s="749">
        <f>SUM(E102,E105,E109)</f>
        <v>269.02201080322266</v>
      </c>
      <c r="F101" s="750">
        <f t="shared" si="22"/>
        <v>766.60624122619629</v>
      </c>
      <c r="G101" s="748">
        <f>SUM(G102,G105,G109)</f>
        <v>300.76905822753906</v>
      </c>
      <c r="H101" s="748">
        <f>SUM(H102,H105,H109)</f>
        <v>325.36174774169922</v>
      </c>
      <c r="I101" s="748">
        <f>SUM(I102,I105,I109)</f>
        <v>302.57071304321289</v>
      </c>
      <c r="J101" s="750">
        <f t="shared" si="23"/>
        <v>928.70151901245117</v>
      </c>
      <c r="K101" s="748">
        <f>SUM(K102,K105,K109)</f>
        <v>290.83388137817383</v>
      </c>
      <c r="L101" s="748">
        <f>SUM(L102,L105,L109)</f>
        <v>277.23252296447754</v>
      </c>
      <c r="M101" s="749">
        <f>SUM(M102,M105,M109)</f>
        <v>262.07363700866699</v>
      </c>
      <c r="N101" s="750">
        <f t="shared" si="24"/>
        <v>830.14004135131836</v>
      </c>
      <c r="O101" s="748">
        <f>SUM(O102,O105,O109)</f>
        <v>270.377685546875</v>
      </c>
      <c r="P101" s="748">
        <f>SUM(P102,P105,P109)</f>
        <v>270.71709442138672</v>
      </c>
      <c r="Q101" s="749">
        <f>SUM(Q102,Q105,Q109)</f>
        <v>263.95587348937988</v>
      </c>
      <c r="R101" s="750">
        <f t="shared" si="25"/>
        <v>805.0506534576416</v>
      </c>
      <c r="S101" s="751">
        <f>SUM(S102,S105,S109)</f>
        <v>766.60624122619629</v>
      </c>
      <c r="T101" s="749">
        <f>SUM(T102,T105,T109)</f>
        <v>928.70151901245117</v>
      </c>
      <c r="U101" s="749">
        <f>SUM(U102,U105,U109)</f>
        <v>830.14004135131836</v>
      </c>
      <c r="V101" s="749">
        <f>SUM(V102,V105,V109)</f>
        <v>805.0506534576416</v>
      </c>
      <c r="W101" s="752">
        <f t="shared" si="21"/>
        <v>3330.4984550476074</v>
      </c>
    </row>
    <row r="102" spans="2:23">
      <c r="B102" s="916" t="s">
        <v>801</v>
      </c>
      <c r="C102" s="652">
        <f>SUM(C103:C104)</f>
        <v>107.82878112792969</v>
      </c>
      <c r="D102" s="652">
        <f>SUM(D103:D104)</f>
        <v>98.505653381347656</v>
      </c>
      <c r="E102" s="653">
        <f>SUM(E103:E104)</f>
        <v>107.61944580078125</v>
      </c>
      <c r="F102" s="654">
        <f t="shared" si="22"/>
        <v>313.95388031005859</v>
      </c>
      <c r="G102" s="652">
        <f>SUM(G103:G104)</f>
        <v>102.61341094970703</v>
      </c>
      <c r="H102" s="652">
        <f>SUM(H103:H104)</f>
        <v>105.53364562988281</v>
      </c>
      <c r="I102" s="652">
        <f>SUM(I103:I104)</f>
        <v>101.67379760742188</v>
      </c>
      <c r="J102" s="654">
        <f t="shared" si="23"/>
        <v>309.82085418701172</v>
      </c>
      <c r="K102" s="652">
        <f>SUM(K103:K104)</f>
        <v>104.38541412353516</v>
      </c>
      <c r="L102" s="652">
        <f>SUM(L103:L104)</f>
        <v>106.31341552734375</v>
      </c>
      <c r="M102" s="653">
        <f>SUM(M103:M104)</f>
        <v>103.09709930419922</v>
      </c>
      <c r="N102" s="654">
        <f t="shared" si="24"/>
        <v>313.79592895507813</v>
      </c>
      <c r="O102" s="652">
        <f>SUM(O103:O104)</f>
        <v>103.87771606445313</v>
      </c>
      <c r="P102" s="652">
        <f>SUM(P103:P104)</f>
        <v>101.44277191162109</v>
      </c>
      <c r="Q102" s="653">
        <f>SUM(Q103:Q104)</f>
        <v>106.39276123046875</v>
      </c>
      <c r="R102" s="654">
        <f t="shared" si="25"/>
        <v>311.71324920654297</v>
      </c>
      <c r="S102" s="672">
        <f>SUM(S103:S104)</f>
        <v>313.95388031005859</v>
      </c>
      <c r="T102" s="653">
        <f>SUM(T103:T104)</f>
        <v>309.82085418701172</v>
      </c>
      <c r="U102" s="653">
        <f>SUM(U103:U104)</f>
        <v>313.79592895507813</v>
      </c>
      <c r="V102" s="653">
        <f>SUM(V103:V104)</f>
        <v>311.71324920654297</v>
      </c>
      <c r="W102" s="657">
        <f t="shared" si="21"/>
        <v>1249.2839126586914</v>
      </c>
    </row>
    <row r="103" spans="2:23">
      <c r="B103" s="914" t="s">
        <v>451</v>
      </c>
      <c r="C103" s="648">
        <f>'корпоративный баланс энергии'!J1052</f>
        <v>52.470504778188207</v>
      </c>
      <c r="D103" s="648">
        <f>'корпоративный баланс энергии'!M1052</f>
        <v>47.753130000608806</v>
      </c>
      <c r="E103" s="649">
        <f>'корпоративный баланс энергии'!P1052</f>
        <v>52.757577644522371</v>
      </c>
      <c r="F103" s="646">
        <f t="shared" si="22"/>
        <v>152.98121242331939</v>
      </c>
      <c r="G103" s="648">
        <f>'корпоративный баланс энергии'!S1052</f>
        <v>50.582501854841347</v>
      </c>
      <c r="H103" s="648">
        <f>'корпоративный баланс энергии'!V1052</f>
        <v>53.440661294044979</v>
      </c>
      <c r="I103" s="648">
        <f>'корпоративный баланс энергии'!Y1052</f>
        <v>50.92667679663878</v>
      </c>
      <c r="J103" s="646">
        <f t="shared" si="23"/>
        <v>154.9498399455251</v>
      </c>
      <c r="K103" s="648">
        <f>'корпоративный баланс энергии'!AB1052</f>
        <v>53.564312850275172</v>
      </c>
      <c r="L103" s="648">
        <f>'корпоративный баланс энергии'!AE1052</f>
        <v>51.815169066934907</v>
      </c>
      <c r="M103" s="649">
        <f>'корпоративный баланс энергии'!AH1052</f>
        <v>49.075507219256572</v>
      </c>
      <c r="N103" s="646">
        <f t="shared" si="24"/>
        <v>154.45498913646665</v>
      </c>
      <c r="O103" s="648">
        <f>'корпоративный баланс энергии'!AK1052</f>
        <v>52.789166908343489</v>
      </c>
      <c r="P103" s="648">
        <f>'корпоративный баланс энергии'!AN1052</f>
        <v>49.394359907132099</v>
      </c>
      <c r="Q103" s="649">
        <f>'корпоративный баланс энергии'!AQ1052</f>
        <v>52.426690084108124</v>
      </c>
      <c r="R103" s="646">
        <f t="shared" si="25"/>
        <v>154.61021689958372</v>
      </c>
      <c r="S103" s="650">
        <f>F103</f>
        <v>152.98121242331939</v>
      </c>
      <c r="T103" s="651">
        <f>J103</f>
        <v>154.9498399455251</v>
      </c>
      <c r="U103" s="651">
        <f>N103</f>
        <v>154.45498913646665</v>
      </c>
      <c r="V103" s="651">
        <f>R103</f>
        <v>154.61021689958372</v>
      </c>
      <c r="W103" s="647">
        <f t="shared" si="21"/>
        <v>616.99625840489489</v>
      </c>
    </row>
    <row r="104" spans="2:23">
      <c r="B104" s="914" t="s">
        <v>450</v>
      </c>
      <c r="C104" s="648">
        <f>'корпоративный баланс энергии'!J1051</f>
        <v>55.35827634974148</v>
      </c>
      <c r="D104" s="648">
        <f>'корпоративный баланс энергии'!M1051</f>
        <v>50.75252338073885</v>
      </c>
      <c r="E104" s="649">
        <f>'корпоративный баланс энергии'!P1051</f>
        <v>54.861868156258879</v>
      </c>
      <c r="F104" s="663">
        <f t="shared" si="22"/>
        <v>160.9726678867392</v>
      </c>
      <c r="G104" s="648">
        <f>'корпоративный баланс энергии'!S1051</f>
        <v>52.030909094865684</v>
      </c>
      <c r="H104" s="648">
        <f>'корпоративный баланс энергии'!V1051</f>
        <v>52.092984335837833</v>
      </c>
      <c r="I104" s="648">
        <f>'корпоративный баланс энергии'!Y1051</f>
        <v>50.747120810783095</v>
      </c>
      <c r="J104" s="663">
        <f t="shared" si="23"/>
        <v>154.87101424148662</v>
      </c>
      <c r="K104" s="648">
        <f>'корпоративный баланс энергии'!AB1051</f>
        <v>50.821101273259984</v>
      </c>
      <c r="L104" s="648">
        <f>'корпоративный баланс энергии'!AE1051</f>
        <v>54.498246460408843</v>
      </c>
      <c r="M104" s="649">
        <f>'корпоративный баланс энергии'!AH1051</f>
        <v>54.021592084942647</v>
      </c>
      <c r="N104" s="663">
        <f t="shared" si="24"/>
        <v>159.34093981861147</v>
      </c>
      <c r="O104" s="648">
        <f>'корпоративный баланс энергии'!AK1051</f>
        <v>51.088549156109636</v>
      </c>
      <c r="P104" s="648">
        <f>'корпоративный баланс энергии'!AN1051</f>
        <v>52.048412004488995</v>
      </c>
      <c r="Q104" s="649">
        <f>'корпоративный баланс энергии'!AQ1051</f>
        <v>53.966071146360626</v>
      </c>
      <c r="R104" s="663">
        <f t="shared" si="25"/>
        <v>157.10303230695925</v>
      </c>
      <c r="S104" s="664">
        <f>F104</f>
        <v>160.9726678867392</v>
      </c>
      <c r="T104" s="665">
        <f>J104</f>
        <v>154.87101424148662</v>
      </c>
      <c r="U104" s="665">
        <f>N104</f>
        <v>159.34093981861147</v>
      </c>
      <c r="V104" s="665">
        <f>R104</f>
        <v>157.10303230695925</v>
      </c>
      <c r="W104" s="666">
        <f t="shared" si="21"/>
        <v>632.28765425379652</v>
      </c>
    </row>
    <row r="105" spans="2:23">
      <c r="B105" s="917" t="s">
        <v>802</v>
      </c>
      <c r="C105" s="669">
        <f>SUM(C106:C108)</f>
        <v>106.1072826385498</v>
      </c>
      <c r="D105" s="669">
        <f>SUM(D106:D108)</f>
        <v>96.411823272705078</v>
      </c>
      <c r="E105" s="670">
        <f>SUM(E106:E108)</f>
        <v>107.27997970581055</v>
      </c>
      <c r="F105" s="671">
        <f t="shared" si="22"/>
        <v>309.79908561706543</v>
      </c>
      <c r="G105" s="669">
        <f>SUM(G106:G108)</f>
        <v>122.94675445556641</v>
      </c>
      <c r="H105" s="669">
        <f>SUM(H106:H108)</f>
        <v>141.80628204345703</v>
      </c>
      <c r="I105" s="669">
        <f>SUM(I106:I108)</f>
        <v>138.68622970581055</v>
      </c>
      <c r="J105" s="671">
        <f t="shared" si="23"/>
        <v>403.43926620483398</v>
      </c>
      <c r="K105" s="669">
        <f>SUM(K106:K108)</f>
        <v>133.18646621704102</v>
      </c>
      <c r="L105" s="669">
        <f>SUM(L106:L108)</f>
        <v>122.51058006286621</v>
      </c>
      <c r="M105" s="670">
        <f>SUM(M106:M108)</f>
        <v>112.57949638366699</v>
      </c>
      <c r="N105" s="671">
        <f t="shared" si="24"/>
        <v>368.27654266357422</v>
      </c>
      <c r="O105" s="669">
        <f>SUM(O106:O108)</f>
        <v>117.30259704589844</v>
      </c>
      <c r="P105" s="669">
        <f>SUM(P106:P108)</f>
        <v>118.56576156616211</v>
      </c>
      <c r="Q105" s="670">
        <f>SUM(Q106:Q108)</f>
        <v>110.38597297668457</v>
      </c>
      <c r="R105" s="671">
        <f t="shared" si="25"/>
        <v>346.25433158874512</v>
      </c>
      <c r="S105" s="672">
        <f>SUM(S106:S108)</f>
        <v>309.79908561706543</v>
      </c>
      <c r="T105" s="653">
        <f>SUM(T106:T108)</f>
        <v>403.43926620483398</v>
      </c>
      <c r="U105" s="653">
        <f>SUM(U106:U108)</f>
        <v>368.27654266357422</v>
      </c>
      <c r="V105" s="653">
        <f>SUM(V106:V108)</f>
        <v>346.25433158874512</v>
      </c>
      <c r="W105" s="657">
        <f t="shared" si="21"/>
        <v>1427.7692260742188</v>
      </c>
    </row>
    <row r="106" spans="2:23">
      <c r="B106" s="914" t="s">
        <v>803</v>
      </c>
      <c r="C106" s="648">
        <f>'корпоративный баланс энергии'!J1054</f>
        <v>25.65211296081543</v>
      </c>
      <c r="D106" s="648">
        <f>'корпоративный баланс энергии'!M1054</f>
        <v>21.190944671630859</v>
      </c>
      <c r="E106" s="649">
        <f>'корпоративный баланс энергии'!P1054</f>
        <v>24.140102386474609</v>
      </c>
      <c r="F106" s="654">
        <f t="shared" si="22"/>
        <v>70.983160018920898</v>
      </c>
      <c r="G106" s="648">
        <f>'корпоративный баланс энергии'!S1054</f>
        <v>40.429084777832031</v>
      </c>
      <c r="H106" s="648">
        <f>'корпоративный баланс энергии'!V1054</f>
        <v>49.38079833984375</v>
      </c>
      <c r="I106" s="648">
        <f>'корпоративный баланс энергии'!Y1054</f>
        <v>45.065425872802734</v>
      </c>
      <c r="J106" s="654">
        <f t="shared" si="23"/>
        <v>134.87530899047852</v>
      </c>
      <c r="K106" s="648">
        <f>'корпоративный баланс энергии'!AB1054</f>
        <v>38.024028778076172</v>
      </c>
      <c r="L106" s="648">
        <f>'корпоративный баланс энергии'!AE1054</f>
        <v>28.039411544799805</v>
      </c>
      <c r="M106" s="649">
        <f>'корпоративный баланс энергии'!AH1054</f>
        <v>22.222822189331055</v>
      </c>
      <c r="N106" s="654">
        <f t="shared" si="24"/>
        <v>88.286262512207031</v>
      </c>
      <c r="O106" s="648">
        <f>'корпоративный баланс энергии'!AK1054</f>
        <v>24.113616943359375</v>
      </c>
      <c r="P106" s="648">
        <f>'корпоративный баланс энергии'!AN1054</f>
        <v>27.636775970458984</v>
      </c>
      <c r="Q106" s="649">
        <f>'корпоративный баланс энергии'!AQ1054</f>
        <v>27.228914260864258</v>
      </c>
      <c r="R106" s="654">
        <f t="shared" si="25"/>
        <v>78.979307174682617</v>
      </c>
      <c r="S106" s="650">
        <f>F106</f>
        <v>70.983160018920898</v>
      </c>
      <c r="T106" s="651">
        <f>J106</f>
        <v>134.87530899047852</v>
      </c>
      <c r="U106" s="651">
        <f>N106</f>
        <v>88.286262512207031</v>
      </c>
      <c r="V106" s="651">
        <f>R106</f>
        <v>78.979307174682617</v>
      </c>
      <c r="W106" s="647">
        <f t="shared" si="21"/>
        <v>373.12403869628906</v>
      </c>
    </row>
    <row r="107" spans="2:23">
      <c r="B107" s="914" t="s">
        <v>804</v>
      </c>
      <c r="C107" s="648">
        <f>'корпоративный баланс энергии'!J1055</f>
        <v>34.039366164912735</v>
      </c>
      <c r="D107" s="648">
        <f>'корпоративный баланс энергии'!M1055</f>
        <v>31.605535701392711</v>
      </c>
      <c r="E107" s="649">
        <f>'корпоративный баланс энергии'!P1055</f>
        <v>35.602747362430648</v>
      </c>
      <c r="F107" s="646">
        <f t="shared" si="22"/>
        <v>101.24764922873609</v>
      </c>
      <c r="G107" s="648">
        <f>'корпоративный баланс энергии'!S1055</f>
        <v>38.680340991800897</v>
      </c>
      <c r="H107" s="648">
        <f>'корпоративный баланс энергии'!V1055</f>
        <v>43.013634687721897</v>
      </c>
      <c r="I107" s="648">
        <f>'корпоративный баланс энергии'!Y1055</f>
        <v>41.017723742240975</v>
      </c>
      <c r="J107" s="646">
        <f>SUM(G107:I107)</f>
        <v>122.71169942176377</v>
      </c>
      <c r="K107" s="648">
        <f>'корпоративный баланс энергии'!AB1055</f>
        <v>41.583538614883182</v>
      </c>
      <c r="L107" s="648">
        <f>'корпоративный баланс энергии'!AE1055</f>
        <v>40.669649731539899</v>
      </c>
      <c r="M107" s="649">
        <f>'корпоративный баланс энергии'!AH1055</f>
        <v>39.03486580681264</v>
      </c>
      <c r="N107" s="646">
        <f t="shared" si="24"/>
        <v>121.28805415323572</v>
      </c>
      <c r="O107" s="648">
        <f>'корпоративный баланс энергии'!AK1055</f>
        <v>40.860572417195428</v>
      </c>
      <c r="P107" s="648">
        <f>'корпоративный баланс энергии'!AN1055</f>
        <v>40.582598215718093</v>
      </c>
      <c r="Q107" s="649">
        <f>'корпоративный баланс энергии'!AQ1055</f>
        <v>37.270505135304589</v>
      </c>
      <c r="R107" s="646">
        <f t="shared" si="25"/>
        <v>118.71367576821811</v>
      </c>
      <c r="S107" s="650">
        <f>F107</f>
        <v>101.24764922873609</v>
      </c>
      <c r="T107" s="651">
        <f>J107</f>
        <v>122.71169942176377</v>
      </c>
      <c r="U107" s="651">
        <f>N107</f>
        <v>121.28805415323572</v>
      </c>
      <c r="V107" s="651">
        <f>R107</f>
        <v>118.71367576821811</v>
      </c>
      <c r="W107" s="647">
        <f t="shared" si="21"/>
        <v>463.96107857195364</v>
      </c>
    </row>
    <row r="108" spans="2:23">
      <c r="B108" s="915" t="s">
        <v>805</v>
      </c>
      <c r="C108" s="648">
        <f>'корпоративный баланс энергии'!J1056</f>
        <v>46.41580351282164</v>
      </c>
      <c r="D108" s="648">
        <f>'корпоративный баланс энергии'!M1056</f>
        <v>43.615342899681508</v>
      </c>
      <c r="E108" s="649">
        <f>'корпоративный баланс энергии'!P1056</f>
        <v>47.537129956905289</v>
      </c>
      <c r="F108" s="663">
        <f t="shared" si="22"/>
        <v>137.56827636940844</v>
      </c>
      <c r="G108" s="648">
        <f>'корпоративный баланс энергии'!S1056</f>
        <v>43.837328685933478</v>
      </c>
      <c r="H108" s="648">
        <f>'корпоративный баланс энергии'!V1056</f>
        <v>49.411849015891384</v>
      </c>
      <c r="I108" s="648">
        <f>'корпоративный баланс энергии'!Y1056</f>
        <v>52.603080090766838</v>
      </c>
      <c r="J108" s="663">
        <f>SUM(G108:I108)</f>
        <v>145.8522577925917</v>
      </c>
      <c r="K108" s="648">
        <f>'корпоративный баланс энергии'!AB1056</f>
        <v>53.578898824081662</v>
      </c>
      <c r="L108" s="648">
        <f>'корпоративный баланс энергии'!AE1056</f>
        <v>53.801518786526508</v>
      </c>
      <c r="M108" s="649">
        <f>'корпоративный баланс энергии'!AH1056</f>
        <v>51.321808387523298</v>
      </c>
      <c r="N108" s="663">
        <f t="shared" si="24"/>
        <v>158.70222599813147</v>
      </c>
      <c r="O108" s="648">
        <f>'корпоративный баланс энергии'!AK1056</f>
        <v>52.328407685343635</v>
      </c>
      <c r="P108" s="648">
        <f>'корпоративный баланс энергии'!AN1056</f>
        <v>50.346387379985032</v>
      </c>
      <c r="Q108" s="649">
        <f>'корпоративный баланс энергии'!AQ1056</f>
        <v>45.886553580515724</v>
      </c>
      <c r="R108" s="663">
        <f t="shared" si="25"/>
        <v>148.56134864584439</v>
      </c>
      <c r="S108" s="664">
        <f>F108</f>
        <v>137.56827636940844</v>
      </c>
      <c r="T108" s="665">
        <f>J108</f>
        <v>145.8522577925917</v>
      </c>
      <c r="U108" s="665">
        <f>N108</f>
        <v>158.70222599813147</v>
      </c>
      <c r="V108" s="665">
        <f>R108</f>
        <v>148.56134864584439</v>
      </c>
      <c r="W108" s="666">
        <f t="shared" si="21"/>
        <v>590.68410880597605</v>
      </c>
    </row>
    <row r="109" spans="2:23" ht="13.5" thickBot="1">
      <c r="B109" s="637" t="s">
        <v>452</v>
      </c>
      <c r="C109" s="1085">
        <v>45.12530517578125</v>
      </c>
      <c r="D109" s="1086">
        <v>43.605384826660156</v>
      </c>
      <c r="E109" s="1087">
        <v>54.122585296630859</v>
      </c>
      <c r="F109" s="781">
        <f t="shared" si="22"/>
        <v>142.85327529907227</v>
      </c>
      <c r="G109" s="1085">
        <v>75.208892822265625</v>
      </c>
      <c r="H109" s="1086">
        <v>78.021820068359375</v>
      </c>
      <c r="I109" s="1087">
        <v>62.210685729980469</v>
      </c>
      <c r="J109" s="781">
        <f t="shared" si="23"/>
        <v>215.44139862060547</v>
      </c>
      <c r="K109" s="1085">
        <v>53.262001037597656</v>
      </c>
      <c r="L109" s="1086">
        <v>48.408527374267578</v>
      </c>
      <c r="M109" s="1087">
        <v>46.397041320800781</v>
      </c>
      <c r="N109" s="781">
        <f t="shared" si="24"/>
        <v>148.06756973266602</v>
      </c>
      <c r="O109" s="1085">
        <v>49.197372436523438</v>
      </c>
      <c r="P109" s="1086">
        <v>50.708560943603516</v>
      </c>
      <c r="Q109" s="1087">
        <v>47.177139282226563</v>
      </c>
      <c r="R109" s="781">
        <f t="shared" si="25"/>
        <v>147.08307266235352</v>
      </c>
      <c r="S109" s="676">
        <f>F109</f>
        <v>142.85327529907227</v>
      </c>
      <c r="T109" s="677">
        <f>J109</f>
        <v>215.44139862060547</v>
      </c>
      <c r="U109" s="677">
        <f>N109</f>
        <v>148.06756973266602</v>
      </c>
      <c r="V109" s="677">
        <f>R109</f>
        <v>147.08307266235352</v>
      </c>
      <c r="W109" s="678">
        <f t="shared" si="21"/>
        <v>653.44531631469727</v>
      </c>
    </row>
    <row r="110" spans="2:23" ht="4.5" customHeight="1" thickBot="1">
      <c r="B110" s="635"/>
      <c r="C110" s="640"/>
      <c r="D110" s="640"/>
      <c r="E110" s="641"/>
      <c r="F110" s="642"/>
      <c r="G110" s="640"/>
      <c r="H110" s="640"/>
      <c r="I110" s="640"/>
      <c r="J110" s="642"/>
      <c r="K110" s="640"/>
      <c r="L110" s="640"/>
      <c r="M110" s="641"/>
      <c r="N110" s="642"/>
      <c r="O110" s="640"/>
      <c r="P110" s="640"/>
      <c r="Q110" s="641"/>
      <c r="R110" s="642"/>
      <c r="S110" s="643"/>
      <c r="T110" s="641"/>
      <c r="U110" s="641"/>
      <c r="V110" s="644"/>
      <c r="W110" s="645"/>
    </row>
    <row r="111" spans="2:23" ht="15" thickBot="1">
      <c r="B111" s="768" t="s">
        <v>363</v>
      </c>
      <c r="C111" s="769">
        <f>SUM(C112,C115,C127,C136,C143,C148,C150,C159,C172)</f>
        <v>1423.0379925220216</v>
      </c>
      <c r="D111" s="769">
        <f t="shared" ref="D111:E111" si="51">SUM(D112,D115,D127,D136,D143,D148,D150,D159,D172)</f>
        <v>1276.0071030049096</v>
      </c>
      <c r="E111" s="769">
        <f t="shared" si="51"/>
        <v>1433.8340100383928</v>
      </c>
      <c r="F111" s="771">
        <f>SUM(C111:E111)</f>
        <v>4132.8791055653237</v>
      </c>
      <c r="G111" s="769">
        <f>SUM(G112,G115,G127,G136,G143,G148,G150,G159,G172)</f>
        <v>1767.7536820189939</v>
      </c>
      <c r="H111" s="769">
        <f t="shared" ref="H111" si="52">SUM(H112,H115,H127,H136,H143,H148,H150,H159,H172)</f>
        <v>2662.5467741980588</v>
      </c>
      <c r="I111" s="769">
        <f t="shared" ref="I111" si="53">SUM(I112,I115,I127,I136,I143,I148,I150,I159,I172)</f>
        <v>2558.1402972686906</v>
      </c>
      <c r="J111" s="771">
        <f>SUM(G111:I111)</f>
        <v>6988.4407534857437</v>
      </c>
      <c r="K111" s="769">
        <f>SUM(K112,K115,K127,K136,K143,K148,K150,K159,K172)</f>
        <v>2294.6226357606083</v>
      </c>
      <c r="L111" s="769">
        <f t="shared" ref="L111" si="54">SUM(L112,L115,L127,L136,L143,L148,L150,L159,L172)</f>
        <v>1944.3493053697637</v>
      </c>
      <c r="M111" s="769">
        <f t="shared" ref="M111" si="55">SUM(M112,M115,M127,M136,M143,M148,M150,M159,M172)</f>
        <v>1606.9910825618842</v>
      </c>
      <c r="N111" s="771">
        <f>SUM(K111:M111)</f>
        <v>5845.9630236922567</v>
      </c>
      <c r="O111" s="769">
        <f>SUM(O112,O115,O127,O136,O143,O148,O150,O159,O172)</f>
        <v>1446.4287730750466</v>
      </c>
      <c r="P111" s="769">
        <f t="shared" ref="P111" si="56">SUM(P112,P115,P127,P136,P143,P148,P150,P159,P172)</f>
        <v>1422.0410353115822</v>
      </c>
      <c r="Q111" s="769">
        <f t="shared" ref="Q111" si="57">SUM(Q112,Q115,Q127,Q136,Q143,Q148,Q150,Q159,Q172)</f>
        <v>1500.510505868092</v>
      </c>
      <c r="R111" s="771">
        <f>SUM(O111:Q111)</f>
        <v>4368.9803142547207</v>
      </c>
      <c r="S111" s="772">
        <f>SUM(S112,S115,S127,S136,S143,S148,S150,S159,S172)</f>
        <v>4132.8791055653237</v>
      </c>
      <c r="T111" s="770">
        <f>SUM(T112,T115,T127,T136,T143,T148,T150,T159,T172)</f>
        <v>6988.4407534857437</v>
      </c>
      <c r="U111" s="770">
        <f t="shared" ref="U111:V111" si="58">SUM(U112,U115,U127,U136,U143,U148,U150,U159,U172)</f>
        <v>5845.9630236922558</v>
      </c>
      <c r="V111" s="770">
        <f t="shared" si="58"/>
        <v>4368.9803142547207</v>
      </c>
      <c r="W111" s="773">
        <f t="shared" si="21"/>
        <v>21336.263196998043</v>
      </c>
    </row>
    <row r="112" spans="2:23">
      <c r="B112" s="782" t="s">
        <v>87</v>
      </c>
      <c r="C112" s="743">
        <f>SUM(C113:C114)</f>
        <v>916.618408203125</v>
      </c>
      <c r="D112" s="743">
        <f>SUM(D113:D114)</f>
        <v>832.8963623046875</v>
      </c>
      <c r="E112" s="744">
        <f>SUM(E113:E114)</f>
        <v>932.69183349609375</v>
      </c>
      <c r="F112" s="745">
        <f t="shared" ref="F112:F185" si="59">SUM(C112:E112)</f>
        <v>2682.2066040039063</v>
      </c>
      <c r="G112" s="743">
        <f>SUM(G113:G114)</f>
        <v>1119.142578125</v>
      </c>
      <c r="H112" s="743">
        <f>SUM(H113:H114)</f>
        <v>1533.296875</v>
      </c>
      <c r="I112" s="743">
        <f>SUM(I113:I114)</f>
        <v>1193.1158447265625</v>
      </c>
      <c r="J112" s="745">
        <f t="shared" ref="J112:J183" si="60">SUM(G112:I112)</f>
        <v>3845.5552978515625</v>
      </c>
      <c r="K112" s="743">
        <f>SUM(K113:K114)</f>
        <v>1010.65576171875</v>
      </c>
      <c r="L112" s="743">
        <f>SUM(L113:L114)</f>
        <v>919.079345703125</v>
      </c>
      <c r="M112" s="744">
        <f>SUM(M113:M114)</f>
        <v>854.37506103515625</v>
      </c>
      <c r="N112" s="745">
        <f t="shared" ref="N112:N183" si="61">SUM(K112:M112)</f>
        <v>2784.1101684570313</v>
      </c>
      <c r="O112" s="743">
        <f>SUM(O113:O114)</f>
        <v>866.5648193359375</v>
      </c>
      <c r="P112" s="743">
        <f>SUM(P113:P114)</f>
        <v>885.76959228515625</v>
      </c>
      <c r="Q112" s="744">
        <f>SUM(Q113:Q114)</f>
        <v>958.0406494140625</v>
      </c>
      <c r="R112" s="745">
        <f t="shared" ref="R112:R183" si="62">SUM(O112:Q112)</f>
        <v>2710.3750610351563</v>
      </c>
      <c r="S112" s="746">
        <f>SUM(S113:S114)</f>
        <v>2682.2066040039063</v>
      </c>
      <c r="T112" s="744">
        <f>SUM(T113:T114)</f>
        <v>3845.5552978515625</v>
      </c>
      <c r="U112" s="744">
        <f>SUM(U113:U114)</f>
        <v>2784.1101684570313</v>
      </c>
      <c r="V112" s="744">
        <f>SUM(V113:V114)</f>
        <v>2710.3750610351563</v>
      </c>
      <c r="W112" s="747">
        <f t="shared" si="21"/>
        <v>12022.247131347656</v>
      </c>
    </row>
    <row r="113" spans="2:24">
      <c r="B113" s="636" t="s">
        <v>660</v>
      </c>
      <c r="C113" s="1082">
        <v>909.618408203125</v>
      </c>
      <c r="D113" s="1083">
        <v>825.8963623046875</v>
      </c>
      <c r="E113" s="1083">
        <v>925.69183349609375</v>
      </c>
      <c r="F113" s="654">
        <f t="shared" si="59"/>
        <v>2661.2066040039063</v>
      </c>
      <c r="G113" s="1082">
        <v>1106.142578125</v>
      </c>
      <c r="H113" s="1083">
        <v>1520.296875</v>
      </c>
      <c r="I113" s="1083">
        <v>1180.1158447265625</v>
      </c>
      <c r="J113" s="654">
        <f t="shared" si="60"/>
        <v>3806.5552978515625</v>
      </c>
      <c r="K113" s="1082">
        <v>997.65576171875</v>
      </c>
      <c r="L113" s="1083">
        <v>906.079345703125</v>
      </c>
      <c r="M113" s="1083">
        <v>841.37506103515625</v>
      </c>
      <c r="N113" s="654">
        <f t="shared" si="61"/>
        <v>2745.1101684570313</v>
      </c>
      <c r="O113" s="1082">
        <v>853.5648193359375</v>
      </c>
      <c r="P113" s="1083">
        <v>872.76959228515625</v>
      </c>
      <c r="Q113" s="1083">
        <v>945.0406494140625</v>
      </c>
      <c r="R113" s="654">
        <f t="shared" si="62"/>
        <v>2671.3750610351563</v>
      </c>
      <c r="S113" s="658">
        <f>F113</f>
        <v>2661.2066040039063</v>
      </c>
      <c r="T113" s="659">
        <f>J113</f>
        <v>3806.5552978515625</v>
      </c>
      <c r="U113" s="659">
        <f>N113</f>
        <v>2745.1101684570313</v>
      </c>
      <c r="V113" s="659">
        <f>R113</f>
        <v>2671.3750610351563</v>
      </c>
      <c r="W113" s="657">
        <f t="shared" si="21"/>
        <v>11884.247131347656</v>
      </c>
    </row>
    <row r="114" spans="2:24" ht="13.5" thickBot="1">
      <c r="B114" s="914" t="s">
        <v>806</v>
      </c>
      <c r="C114" s="648">
        <f>'корпоративный баланс энергии'!J1133</f>
        <v>7</v>
      </c>
      <c r="D114" s="648">
        <f>'корпоративный баланс энергии'!M1133</f>
        <v>7</v>
      </c>
      <c r="E114" s="649">
        <f>'корпоративный баланс энергии'!P1133</f>
        <v>7</v>
      </c>
      <c r="F114" s="646">
        <f t="shared" si="59"/>
        <v>21</v>
      </c>
      <c r="G114" s="648">
        <f>'корпоративный баланс энергии'!S1133</f>
        <v>13</v>
      </c>
      <c r="H114" s="648">
        <f>'корпоративный баланс энергии'!V1133</f>
        <v>13</v>
      </c>
      <c r="I114" s="648">
        <f>'корпоративный баланс энергии'!Y1133</f>
        <v>13</v>
      </c>
      <c r="J114" s="646">
        <f t="shared" si="60"/>
        <v>39</v>
      </c>
      <c r="K114" s="648">
        <f>'корпоративный баланс энергии'!AB1133</f>
        <v>13</v>
      </c>
      <c r="L114" s="648">
        <f>'корпоративный баланс энергии'!AE1133</f>
        <v>13</v>
      </c>
      <c r="M114" s="649">
        <f>'корпоративный баланс энергии'!AH1133</f>
        <v>13</v>
      </c>
      <c r="N114" s="646">
        <f t="shared" si="61"/>
        <v>39</v>
      </c>
      <c r="O114" s="648">
        <f>'корпоративный баланс энергии'!AK1133</f>
        <v>13</v>
      </c>
      <c r="P114" s="648">
        <f>'корпоративный баланс энергии'!AN1133</f>
        <v>13</v>
      </c>
      <c r="Q114" s="649">
        <f>'корпоративный баланс энергии'!AQ1133</f>
        <v>13</v>
      </c>
      <c r="R114" s="646">
        <f t="shared" si="62"/>
        <v>39</v>
      </c>
      <c r="S114" s="650">
        <f>F114</f>
        <v>21</v>
      </c>
      <c r="T114" s="651">
        <f>J114</f>
        <v>39</v>
      </c>
      <c r="U114" s="651">
        <f>N114</f>
        <v>39</v>
      </c>
      <c r="V114" s="651">
        <f>R114</f>
        <v>39</v>
      </c>
      <c r="W114" s="647">
        <f t="shared" si="21"/>
        <v>138</v>
      </c>
    </row>
    <row r="115" spans="2:24">
      <c r="B115" s="782" t="s">
        <v>88</v>
      </c>
      <c r="C115" s="748">
        <f>SUM(C116:C120,C123:C126)</f>
        <v>324.16700000000009</v>
      </c>
      <c r="D115" s="748">
        <f>SUM(D116:D120,D123:D126)</f>
        <v>279.98850000000004</v>
      </c>
      <c r="E115" s="749">
        <f>SUM(E116:E120,E123:E126)</f>
        <v>291.78390000000002</v>
      </c>
      <c r="F115" s="750">
        <f t="shared" si="59"/>
        <v>895.93940000000009</v>
      </c>
      <c r="G115" s="748">
        <f>SUM(G116:G120,G123:G126)</f>
        <v>322.54269999999997</v>
      </c>
      <c r="H115" s="748">
        <f>SUM(H116:H120,H123:H126)</f>
        <v>564.5471</v>
      </c>
      <c r="I115" s="748">
        <f>SUM(I116:I120,I123:I126)</f>
        <v>710.88539999999989</v>
      </c>
      <c r="J115" s="750">
        <f t="shared" si="60"/>
        <v>1597.9751999999999</v>
      </c>
      <c r="K115" s="748">
        <f>SUM(K116:K120,K123:K126)</f>
        <v>658.5154</v>
      </c>
      <c r="L115" s="748">
        <f>SUM(L116:L120,L123:L126)</f>
        <v>484.6293</v>
      </c>
      <c r="M115" s="749">
        <f>SUM(M116:M120,M123:M126)</f>
        <v>339.99550000000005</v>
      </c>
      <c r="N115" s="750">
        <f t="shared" si="61"/>
        <v>1483.1402</v>
      </c>
      <c r="O115" s="748">
        <f>SUM(O116:O120,O123:O126)</f>
        <v>329.50100000000003</v>
      </c>
      <c r="P115" s="748">
        <f>SUM(P116:P120,P123:P126)</f>
        <v>318.92969999999997</v>
      </c>
      <c r="Q115" s="749">
        <f>SUM(Q116:Q120,Q123:Q126)</f>
        <v>347.08230000000003</v>
      </c>
      <c r="R115" s="750">
        <f t="shared" si="62"/>
        <v>995.51300000000003</v>
      </c>
      <c r="S115" s="751">
        <f>SUM(S116:S120,S123:S126)</f>
        <v>895.93939999999998</v>
      </c>
      <c r="T115" s="749">
        <f>SUM(T116:T120,T123:T126)</f>
        <v>1597.9751999999999</v>
      </c>
      <c r="U115" s="749">
        <f>SUM(U116:U120,U123:U126)</f>
        <v>1483.1402</v>
      </c>
      <c r="V115" s="749">
        <f>SUM(V116:V120,V123:V126)</f>
        <v>995.51299999999981</v>
      </c>
      <c r="W115" s="752">
        <f t="shared" si="21"/>
        <v>4972.5677999999998</v>
      </c>
    </row>
    <row r="116" spans="2:24">
      <c r="B116" s="636" t="s">
        <v>807</v>
      </c>
      <c r="C116" s="1088">
        <v>173.113</v>
      </c>
      <c r="D116" s="1089">
        <v>148.47399999999999</v>
      </c>
      <c r="E116" s="1094">
        <v>131.279</v>
      </c>
      <c r="F116" s="654">
        <f t="shared" si="59"/>
        <v>452.86599999999999</v>
      </c>
      <c r="G116" s="1088">
        <v>133.57400000000001</v>
      </c>
      <c r="H116" s="1089">
        <v>202.69499999999999</v>
      </c>
      <c r="I116" s="1094">
        <v>287.94900000000001</v>
      </c>
      <c r="J116" s="654">
        <f t="shared" si="60"/>
        <v>624.21800000000007</v>
      </c>
      <c r="K116" s="1088">
        <v>278.02600000000001</v>
      </c>
      <c r="L116" s="1089">
        <v>223.96600000000001</v>
      </c>
      <c r="M116" s="1094">
        <v>160.352</v>
      </c>
      <c r="N116" s="654">
        <f t="shared" si="61"/>
        <v>662.34400000000005</v>
      </c>
      <c r="O116" s="1088">
        <v>160.9</v>
      </c>
      <c r="P116" s="1089">
        <v>164.99199999999999</v>
      </c>
      <c r="Q116" s="1094">
        <v>187.70099999999999</v>
      </c>
      <c r="R116" s="654">
        <f t="shared" si="62"/>
        <v>513.59299999999996</v>
      </c>
      <c r="S116" s="658">
        <f>F116</f>
        <v>452.86599999999999</v>
      </c>
      <c r="T116" s="659">
        <f>J116</f>
        <v>624.21800000000007</v>
      </c>
      <c r="U116" s="659">
        <f>N116</f>
        <v>662.34400000000005</v>
      </c>
      <c r="V116" s="659">
        <f>R116</f>
        <v>513.59299999999996</v>
      </c>
      <c r="W116" s="657">
        <f t="shared" si="21"/>
        <v>2253.0210000000002</v>
      </c>
      <c r="X116"/>
    </row>
    <row r="117" spans="2:24">
      <c r="B117" s="636" t="s">
        <v>808</v>
      </c>
      <c r="C117" s="1090">
        <v>56.002000000000002</v>
      </c>
      <c r="D117" s="1091">
        <v>45.776000000000003</v>
      </c>
      <c r="E117" s="1095">
        <v>69.424000000000007</v>
      </c>
      <c r="F117" s="654">
        <f t="shared" si="59"/>
        <v>171.202</v>
      </c>
      <c r="G117" s="1090">
        <v>75.605999999999995</v>
      </c>
      <c r="H117" s="1091">
        <v>173.74799999999999</v>
      </c>
      <c r="I117" s="1095">
        <v>212.41</v>
      </c>
      <c r="J117" s="654">
        <f t="shared" si="60"/>
        <v>461.76400000000001</v>
      </c>
      <c r="K117" s="1090">
        <v>193.74600000000001</v>
      </c>
      <c r="L117" s="1091">
        <v>122.69</v>
      </c>
      <c r="M117" s="1095">
        <v>86.93</v>
      </c>
      <c r="N117" s="654">
        <f t="shared" si="61"/>
        <v>403.36600000000004</v>
      </c>
      <c r="O117" s="1090">
        <v>79.484999999999999</v>
      </c>
      <c r="P117" s="1091">
        <v>54.997999999999998</v>
      </c>
      <c r="Q117" s="1095">
        <v>61.959000000000003</v>
      </c>
      <c r="R117" s="654">
        <f t="shared" si="62"/>
        <v>196.44200000000001</v>
      </c>
      <c r="S117" s="658">
        <f>F117</f>
        <v>171.202</v>
      </c>
      <c r="T117" s="659">
        <f>J117</f>
        <v>461.76400000000001</v>
      </c>
      <c r="U117" s="659">
        <f>N117</f>
        <v>403.36600000000004</v>
      </c>
      <c r="V117" s="659">
        <f>R117</f>
        <v>196.44200000000001</v>
      </c>
      <c r="W117" s="657">
        <f t="shared" si="21"/>
        <v>1232.7740000000001</v>
      </c>
      <c r="X117"/>
    </row>
    <row r="118" spans="2:24">
      <c r="B118" s="636" t="s">
        <v>809</v>
      </c>
      <c r="C118" s="1090">
        <v>51.816000000000003</v>
      </c>
      <c r="D118" s="1091">
        <v>46.843000000000004</v>
      </c>
      <c r="E118" s="1095">
        <v>45.277000000000001</v>
      </c>
      <c r="F118" s="654">
        <f t="shared" si="59"/>
        <v>143.93600000000001</v>
      </c>
      <c r="G118" s="1090">
        <v>45.344000000000001</v>
      </c>
      <c r="H118" s="1091">
        <v>64.346999999999994</v>
      </c>
      <c r="I118" s="1095">
        <v>74.793999999999997</v>
      </c>
      <c r="J118" s="654">
        <f t="shared" si="60"/>
        <v>184.48500000000001</v>
      </c>
      <c r="K118" s="1090">
        <v>66.933000000000007</v>
      </c>
      <c r="L118" s="1091">
        <v>55.39</v>
      </c>
      <c r="M118" s="1095">
        <v>41.7</v>
      </c>
      <c r="N118" s="654">
        <f t="shared" si="61"/>
        <v>164.02300000000002</v>
      </c>
      <c r="O118" s="1090">
        <v>43.4</v>
      </c>
      <c r="P118" s="1091">
        <v>46.511000000000003</v>
      </c>
      <c r="Q118" s="1095">
        <v>53.152000000000001</v>
      </c>
      <c r="R118" s="654">
        <f t="shared" si="62"/>
        <v>143.06299999999999</v>
      </c>
      <c r="S118" s="658">
        <f>F118</f>
        <v>143.93600000000001</v>
      </c>
      <c r="T118" s="659">
        <f>J118</f>
        <v>184.48500000000001</v>
      </c>
      <c r="U118" s="659">
        <f>N118</f>
        <v>164.02300000000002</v>
      </c>
      <c r="V118" s="659">
        <f>R118</f>
        <v>143.06299999999999</v>
      </c>
      <c r="W118" s="657">
        <f t="shared" ref="W118:W170" si="63">SUM(S118:V118)</f>
        <v>635.50700000000006</v>
      </c>
      <c r="X118"/>
    </row>
    <row r="119" spans="2:24">
      <c r="B119" s="636" t="s">
        <v>810</v>
      </c>
      <c r="C119" s="1092">
        <v>8.2949999999999999</v>
      </c>
      <c r="D119" s="1093">
        <v>6.7850000000000001</v>
      </c>
      <c r="E119" s="1096">
        <v>13.912000000000001</v>
      </c>
      <c r="F119" s="654">
        <f t="shared" si="59"/>
        <v>28.992000000000001</v>
      </c>
      <c r="G119" s="1092">
        <v>29.536999999999999</v>
      </c>
      <c r="H119" s="1093">
        <v>55.247</v>
      </c>
      <c r="I119" s="1096">
        <v>60.366999999999997</v>
      </c>
      <c r="J119" s="654">
        <f t="shared" si="60"/>
        <v>145.15099999999998</v>
      </c>
      <c r="K119" s="1092">
        <v>49.055999999999997</v>
      </c>
      <c r="L119" s="1093">
        <v>26.164999999999999</v>
      </c>
      <c r="M119" s="1096">
        <v>10.529</v>
      </c>
      <c r="N119" s="654">
        <f t="shared" si="61"/>
        <v>85.75</v>
      </c>
      <c r="O119" s="1092">
        <v>8.0909999999999993</v>
      </c>
      <c r="P119" s="1093">
        <v>16.876000000000001</v>
      </c>
      <c r="Q119" s="1096">
        <v>6.4340000000000002</v>
      </c>
      <c r="R119" s="654">
        <f t="shared" si="62"/>
        <v>31.401</v>
      </c>
      <c r="S119" s="673">
        <f>F119</f>
        <v>28.992000000000001</v>
      </c>
      <c r="T119" s="674">
        <f>J119</f>
        <v>145.15099999999998</v>
      </c>
      <c r="U119" s="674">
        <f>N119</f>
        <v>85.75</v>
      </c>
      <c r="V119" s="674">
        <f>R119</f>
        <v>31.401</v>
      </c>
      <c r="W119" s="662">
        <f t="shared" si="63"/>
        <v>291.29399999999998</v>
      </c>
      <c r="X119"/>
    </row>
    <row r="120" spans="2:24">
      <c r="B120" s="917" t="s">
        <v>811</v>
      </c>
      <c r="C120" s="652">
        <f>SUM(C121:C122)</f>
        <v>31.1</v>
      </c>
      <c r="D120" s="652">
        <f>SUM(D121:D122)</f>
        <v>27.6</v>
      </c>
      <c r="E120" s="653">
        <f>SUM(E121:E122)</f>
        <v>25.900000000000002</v>
      </c>
      <c r="F120" s="671">
        <f t="shared" si="59"/>
        <v>84.600000000000009</v>
      </c>
      <c r="G120" s="652">
        <f>SUM(G121:G122)</f>
        <v>30.200000000000003</v>
      </c>
      <c r="H120" s="652">
        <f>SUM(H121:H122)</f>
        <v>44.699999999999996</v>
      </c>
      <c r="I120" s="652">
        <f>SUM(I121:I122)</f>
        <v>47.300000000000004</v>
      </c>
      <c r="J120" s="671">
        <f t="shared" si="60"/>
        <v>122.20000000000002</v>
      </c>
      <c r="K120" s="652">
        <f>SUM(K121:K122)</f>
        <v>46.5</v>
      </c>
      <c r="L120" s="652">
        <f>SUM(L121:L122)</f>
        <v>39.9</v>
      </c>
      <c r="M120" s="653">
        <f>SUM(M121:M122)</f>
        <v>30.299999999999997</v>
      </c>
      <c r="N120" s="671">
        <f t="shared" si="61"/>
        <v>116.7</v>
      </c>
      <c r="O120" s="652">
        <f>SUM(O121:O122)</f>
        <v>28.6</v>
      </c>
      <c r="P120" s="652">
        <f>SUM(P121:P122)</f>
        <v>29.1</v>
      </c>
      <c r="Q120" s="653">
        <f>SUM(Q121:Q122)</f>
        <v>33.299999999999997</v>
      </c>
      <c r="R120" s="671">
        <f t="shared" si="62"/>
        <v>91</v>
      </c>
      <c r="S120" s="672">
        <f>SUM(S121:S122)</f>
        <v>84.600000000000009</v>
      </c>
      <c r="T120" s="653">
        <f>SUM(T121:T122)</f>
        <v>122.2</v>
      </c>
      <c r="U120" s="653">
        <f>SUM(U121:U122)</f>
        <v>116.70000000000002</v>
      </c>
      <c r="V120" s="653">
        <f>SUM(V121:V122)</f>
        <v>91.000000000000014</v>
      </c>
      <c r="W120" s="657">
        <f t="shared" si="63"/>
        <v>414.5</v>
      </c>
      <c r="X120"/>
    </row>
    <row r="121" spans="2:24">
      <c r="B121" s="914" t="s">
        <v>812</v>
      </c>
      <c r="C121" s="648">
        <f>'корпоративный баланс энергии'!J1160</f>
        <v>28.1</v>
      </c>
      <c r="D121" s="648">
        <f>'корпоративный баланс энергии'!M1160</f>
        <v>25.1</v>
      </c>
      <c r="E121" s="649">
        <f>'корпоративный баланс энергии'!P1160</f>
        <v>23.6</v>
      </c>
      <c r="F121" s="646">
        <f t="shared" si="59"/>
        <v>76.800000000000011</v>
      </c>
      <c r="G121" s="648">
        <f>'корпоративный баланс энергии'!S1160</f>
        <v>27.6</v>
      </c>
      <c r="H121" s="648">
        <f>'корпоративный баланс энергии'!V1160</f>
        <v>40.799999999999997</v>
      </c>
      <c r="I121" s="648">
        <f>'корпоративный баланс энергии'!Y1160</f>
        <v>43.1</v>
      </c>
      <c r="J121" s="646">
        <f t="shared" si="60"/>
        <v>111.5</v>
      </c>
      <c r="K121" s="648">
        <f>'корпоративный баланс энергии'!AB1160</f>
        <v>42.4</v>
      </c>
      <c r="L121" s="648">
        <f>'корпоративный баланс энергии'!AE1160</f>
        <v>37</v>
      </c>
      <c r="M121" s="649">
        <f>'корпоративный баланс энергии'!AH1160</f>
        <v>28.4</v>
      </c>
      <c r="N121" s="646">
        <f t="shared" si="61"/>
        <v>107.80000000000001</v>
      </c>
      <c r="O121" s="648">
        <f>'корпоративный баланс энергии'!AK1160</f>
        <v>27.1</v>
      </c>
      <c r="P121" s="648">
        <f>'корпоративный баланс энергии'!AN1160</f>
        <v>27.3</v>
      </c>
      <c r="Q121" s="649">
        <f>'корпоративный баланс энергии'!AQ1160</f>
        <v>30.7</v>
      </c>
      <c r="R121" s="646">
        <f t="shared" si="62"/>
        <v>85.100000000000009</v>
      </c>
      <c r="S121" s="650">
        <f t="shared" ref="S121:S126" si="64">F121</f>
        <v>76.800000000000011</v>
      </c>
      <c r="T121" s="651">
        <f t="shared" ref="T121:T126" si="65">J121</f>
        <v>111.5</v>
      </c>
      <c r="U121" s="651">
        <f t="shared" ref="U121:U126" si="66">N121</f>
        <v>107.80000000000001</v>
      </c>
      <c r="V121" s="651">
        <f t="shared" ref="V121:V126" si="67">R121</f>
        <v>85.100000000000009</v>
      </c>
      <c r="W121" s="647">
        <f t="shared" si="63"/>
        <v>381.20000000000005</v>
      </c>
      <c r="X121"/>
    </row>
    <row r="122" spans="2:24">
      <c r="B122" s="915" t="s">
        <v>813</v>
      </c>
      <c r="C122" s="648">
        <f>'корпоративный баланс энергии'!J1161</f>
        <v>3</v>
      </c>
      <c r="D122" s="648">
        <f>'корпоративный баланс энергии'!M1161</f>
        <v>2.5</v>
      </c>
      <c r="E122" s="649">
        <f>'корпоративный баланс энергии'!P1161</f>
        <v>2.2999999999999998</v>
      </c>
      <c r="F122" s="663">
        <f t="shared" si="59"/>
        <v>7.8</v>
      </c>
      <c r="G122" s="648">
        <f>'корпоративный баланс энергии'!S1161</f>
        <v>2.6</v>
      </c>
      <c r="H122" s="648">
        <f>'корпоративный баланс энергии'!V1161</f>
        <v>3.9</v>
      </c>
      <c r="I122" s="648">
        <f>'корпоративный баланс энергии'!Y1161</f>
        <v>4.2</v>
      </c>
      <c r="J122" s="663">
        <f t="shared" si="60"/>
        <v>10.7</v>
      </c>
      <c r="K122" s="648">
        <f>'корпоративный баланс энергии'!AB1161</f>
        <v>4.0999999999999996</v>
      </c>
      <c r="L122" s="648">
        <f>'корпоративный баланс энергии'!AE1161</f>
        <v>2.9</v>
      </c>
      <c r="M122" s="649">
        <f>'корпоративный баланс энергии'!AH1161</f>
        <v>1.9</v>
      </c>
      <c r="N122" s="663">
        <f t="shared" si="61"/>
        <v>8.9</v>
      </c>
      <c r="O122" s="648">
        <f>'корпоративный баланс энергии'!AK1161</f>
        <v>1.5</v>
      </c>
      <c r="P122" s="648">
        <f>'корпоративный баланс энергии'!AN1161</f>
        <v>1.8</v>
      </c>
      <c r="Q122" s="649">
        <f>'корпоративный баланс энергии'!AQ1161</f>
        <v>2.6</v>
      </c>
      <c r="R122" s="663">
        <f t="shared" si="62"/>
        <v>5.9</v>
      </c>
      <c r="S122" s="664">
        <f t="shared" si="64"/>
        <v>7.8</v>
      </c>
      <c r="T122" s="665">
        <f t="shared" si="65"/>
        <v>10.7</v>
      </c>
      <c r="U122" s="665">
        <f t="shared" si="66"/>
        <v>8.9</v>
      </c>
      <c r="V122" s="665">
        <f t="shared" si="67"/>
        <v>5.9</v>
      </c>
      <c r="W122" s="666">
        <f t="shared" si="63"/>
        <v>33.299999999999997</v>
      </c>
      <c r="X122"/>
    </row>
    <row r="123" spans="2:24">
      <c r="B123" s="636" t="s">
        <v>667</v>
      </c>
      <c r="C123" s="1082">
        <v>1.8480000000000001</v>
      </c>
      <c r="D123" s="1083">
        <v>2.8570000000000002</v>
      </c>
      <c r="E123" s="1084">
        <v>4.43</v>
      </c>
      <c r="F123" s="654">
        <f t="shared" si="59"/>
        <v>9.1349999999999998</v>
      </c>
      <c r="G123" s="1082">
        <v>2.972</v>
      </c>
      <c r="H123" s="1083">
        <v>7.3710000000000004</v>
      </c>
      <c r="I123" s="1084">
        <v>8.7949999999999999</v>
      </c>
      <c r="J123" s="654">
        <f t="shared" si="60"/>
        <v>19.137999999999998</v>
      </c>
      <c r="K123" s="1082">
        <v>4.1790000000000003</v>
      </c>
      <c r="L123" s="1083">
        <v>3.4870000000000001</v>
      </c>
      <c r="M123" s="1084">
        <v>0.82699999999999996</v>
      </c>
      <c r="N123" s="654">
        <f t="shared" si="61"/>
        <v>8.4930000000000003</v>
      </c>
      <c r="O123" s="1082">
        <v>1.8740000000000001</v>
      </c>
      <c r="P123" s="1083">
        <v>2.3340000000000001</v>
      </c>
      <c r="Q123" s="1084">
        <v>1.7989999999999999</v>
      </c>
      <c r="R123" s="654">
        <f t="shared" si="62"/>
        <v>6.0069999999999997</v>
      </c>
      <c r="S123" s="658">
        <f t="shared" si="64"/>
        <v>9.1349999999999998</v>
      </c>
      <c r="T123" s="659">
        <f t="shared" si="65"/>
        <v>19.137999999999998</v>
      </c>
      <c r="U123" s="659">
        <f t="shared" si="66"/>
        <v>8.4930000000000003</v>
      </c>
      <c r="V123" s="659">
        <f t="shared" si="67"/>
        <v>6.0069999999999997</v>
      </c>
      <c r="W123" s="657">
        <f t="shared" si="63"/>
        <v>42.772999999999996</v>
      </c>
      <c r="X123"/>
    </row>
    <row r="124" spans="2:24">
      <c r="B124" s="914" t="s">
        <v>668</v>
      </c>
      <c r="C124" s="648">
        <f>'корпоративный баланс энергии'!J1163</f>
        <v>0.8</v>
      </c>
      <c r="D124" s="648">
        <f>'корпоративный баланс энергии'!M1163</f>
        <v>0.6</v>
      </c>
      <c r="E124" s="649">
        <f>'корпоративный баланс энергии'!P1163</f>
        <v>0.8</v>
      </c>
      <c r="F124" s="646">
        <f t="shared" si="59"/>
        <v>2.2000000000000002</v>
      </c>
      <c r="G124" s="648">
        <f>'корпоративный баланс энергии'!S1163</f>
        <v>2.6</v>
      </c>
      <c r="H124" s="648">
        <f>'корпоративный баланс энергии'!V1163</f>
        <v>7.9</v>
      </c>
      <c r="I124" s="648">
        <f>'корпоративный баланс энергии'!Y1163</f>
        <v>8.85</v>
      </c>
      <c r="J124" s="646">
        <f t="shared" si="60"/>
        <v>19.350000000000001</v>
      </c>
      <c r="K124" s="648">
        <f>'корпоративный баланс энергии'!AB1163</f>
        <v>8.9</v>
      </c>
      <c r="L124" s="648">
        <f>'корпоративный баланс энергии'!AE1163</f>
        <v>6.2</v>
      </c>
      <c r="M124" s="649">
        <f>'корпоративный баланс энергии'!AH1163</f>
        <v>4.5</v>
      </c>
      <c r="N124" s="646">
        <f t="shared" si="61"/>
        <v>19.600000000000001</v>
      </c>
      <c r="O124" s="648">
        <f>'корпоративный баланс энергии'!AK1163</f>
        <v>3.3</v>
      </c>
      <c r="P124" s="648">
        <f>'корпоративный баланс энергии'!AN1163</f>
        <v>1.7</v>
      </c>
      <c r="Q124" s="649">
        <f>'корпоративный баланс энергии'!AQ1163</f>
        <v>1.1000000000000001</v>
      </c>
      <c r="R124" s="646">
        <f t="shared" si="62"/>
        <v>6.1</v>
      </c>
      <c r="S124" s="650">
        <f t="shared" si="64"/>
        <v>2.2000000000000002</v>
      </c>
      <c r="T124" s="651">
        <f t="shared" si="65"/>
        <v>19.350000000000001</v>
      </c>
      <c r="U124" s="651">
        <f t="shared" si="66"/>
        <v>19.600000000000001</v>
      </c>
      <c r="V124" s="651">
        <f t="shared" si="67"/>
        <v>6.1</v>
      </c>
      <c r="W124" s="647">
        <f t="shared" si="63"/>
        <v>47.250000000000007</v>
      </c>
      <c r="X124"/>
    </row>
    <row r="125" spans="2:24">
      <c r="B125" s="914" t="s">
        <v>814</v>
      </c>
      <c r="C125" s="648">
        <f>'корпоративный баланс энергии'!J1164</f>
        <v>1</v>
      </c>
      <c r="D125" s="648">
        <f>'корпоративный баланс энергии'!M1164</f>
        <v>0.9</v>
      </c>
      <c r="E125" s="649">
        <f>'корпоративный баланс энергии'!P1164</f>
        <v>0.5</v>
      </c>
      <c r="F125" s="646">
        <f t="shared" si="59"/>
        <v>2.4</v>
      </c>
      <c r="G125" s="648">
        <f>'корпоративный баланс энергии'!S1164</f>
        <v>2.4</v>
      </c>
      <c r="H125" s="648">
        <f>'корпоративный баланс энергии'!V1164</f>
        <v>8.1</v>
      </c>
      <c r="I125" s="648">
        <f>'корпоративный баланс энергии'!Y1164</f>
        <v>9.85</v>
      </c>
      <c r="J125" s="646">
        <f t="shared" si="60"/>
        <v>20.350000000000001</v>
      </c>
      <c r="K125" s="648">
        <f>'корпоративный баланс энергии'!AB1164</f>
        <v>10.6</v>
      </c>
      <c r="L125" s="648">
        <f>'корпоративный баланс энергии'!AE1164</f>
        <v>6.2</v>
      </c>
      <c r="M125" s="649">
        <f>'корпоративный баланс энергии'!AH1164</f>
        <v>4.3</v>
      </c>
      <c r="N125" s="646">
        <f t="shared" si="61"/>
        <v>21.1</v>
      </c>
      <c r="O125" s="648">
        <f>'корпоративный баланс энергии'!AK1164</f>
        <v>3.3</v>
      </c>
      <c r="P125" s="648">
        <f>'корпоративный баланс энергии'!AN1164</f>
        <v>1.9</v>
      </c>
      <c r="Q125" s="649">
        <f>'корпоративный баланс энергии'!AQ1164</f>
        <v>1.2</v>
      </c>
      <c r="R125" s="646">
        <f t="shared" si="62"/>
        <v>6.3999999999999995</v>
      </c>
      <c r="S125" s="650">
        <f t="shared" si="64"/>
        <v>2.4</v>
      </c>
      <c r="T125" s="651">
        <f t="shared" si="65"/>
        <v>20.350000000000001</v>
      </c>
      <c r="U125" s="651">
        <f t="shared" si="66"/>
        <v>21.1</v>
      </c>
      <c r="V125" s="651">
        <f t="shared" si="67"/>
        <v>6.3999999999999995</v>
      </c>
      <c r="W125" s="647">
        <f t="shared" si="63"/>
        <v>50.25</v>
      </c>
      <c r="X125"/>
    </row>
    <row r="126" spans="2:24" ht="13.5" thickBot="1">
      <c r="B126" s="637" t="s">
        <v>815</v>
      </c>
      <c r="C126" s="1085">
        <v>0.193</v>
      </c>
      <c r="D126" s="1086">
        <v>0.1535</v>
      </c>
      <c r="E126" s="1087">
        <v>0.26190000000000002</v>
      </c>
      <c r="F126" s="675">
        <f t="shared" si="59"/>
        <v>0.60840000000000005</v>
      </c>
      <c r="G126" s="1085">
        <v>0.30969999999999998</v>
      </c>
      <c r="H126" s="1086">
        <v>0.43909999999999999</v>
      </c>
      <c r="I126" s="1087">
        <v>0.57040000000000002</v>
      </c>
      <c r="J126" s="675">
        <f t="shared" si="60"/>
        <v>1.3191999999999999</v>
      </c>
      <c r="K126" s="1085">
        <v>0.57540000000000002</v>
      </c>
      <c r="L126" s="1086">
        <v>0.63129999999999997</v>
      </c>
      <c r="M126" s="1087">
        <v>0.5575</v>
      </c>
      <c r="N126" s="675">
        <f t="shared" si="61"/>
        <v>1.7642000000000002</v>
      </c>
      <c r="O126" s="1085">
        <v>0.55100000000000005</v>
      </c>
      <c r="P126" s="1086">
        <v>0.51870000000000005</v>
      </c>
      <c r="Q126" s="1087">
        <v>0.43730000000000002</v>
      </c>
      <c r="R126" s="675">
        <f t="shared" si="62"/>
        <v>1.5070000000000001</v>
      </c>
      <c r="S126" s="676">
        <f t="shared" si="64"/>
        <v>0.60840000000000005</v>
      </c>
      <c r="T126" s="677">
        <f t="shared" si="65"/>
        <v>1.3191999999999999</v>
      </c>
      <c r="U126" s="677">
        <f t="shared" si="66"/>
        <v>1.7642000000000002</v>
      </c>
      <c r="V126" s="677">
        <f t="shared" si="67"/>
        <v>1.5070000000000001</v>
      </c>
      <c r="W126" s="678">
        <f t="shared" si="63"/>
        <v>5.1988000000000003</v>
      </c>
      <c r="X126"/>
    </row>
    <row r="127" spans="2:24">
      <c r="B127" s="782" t="s">
        <v>816</v>
      </c>
      <c r="C127" s="743">
        <f>SUM(C128:C135)</f>
        <v>21.08865598291159</v>
      </c>
      <c r="D127" s="743">
        <f>SUM(D128:D135)</f>
        <v>17.899969561398027</v>
      </c>
      <c r="E127" s="744">
        <f>SUM(E128:E135)</f>
        <v>20.978861241042615</v>
      </c>
      <c r="F127" s="745">
        <f t="shared" si="59"/>
        <v>59.967486785352229</v>
      </c>
      <c r="G127" s="743">
        <f>SUM(G128:G135)</f>
        <v>27.690712419152263</v>
      </c>
      <c r="H127" s="743">
        <f>SUM(H128:H135)</f>
        <v>74.401549214124671</v>
      </c>
      <c r="I127" s="744">
        <f>SUM(I128:I135)</f>
        <v>96.519921606779107</v>
      </c>
      <c r="J127" s="745">
        <f t="shared" si="60"/>
        <v>198.61218324005603</v>
      </c>
      <c r="K127" s="743">
        <f>SUM(K128:K135)</f>
        <v>111.44756779074669</v>
      </c>
      <c r="L127" s="743">
        <f>SUM(L128:L135)</f>
        <v>110.5233475804329</v>
      </c>
      <c r="M127" s="744">
        <f>SUM(M128:M135)</f>
        <v>91.184079092741015</v>
      </c>
      <c r="N127" s="745">
        <f t="shared" si="61"/>
        <v>313.15499446392062</v>
      </c>
      <c r="O127" s="743">
        <f>SUM(O128:O135)</f>
        <v>15.856115370988846</v>
      </c>
      <c r="P127" s="743">
        <f>SUM(P128:P135)</f>
        <v>29.440768045186996</v>
      </c>
      <c r="Q127" s="744">
        <f>SUM(Q128:Q135)</f>
        <v>24.717322282493114</v>
      </c>
      <c r="R127" s="745">
        <f t="shared" si="62"/>
        <v>70.01420569866896</v>
      </c>
      <c r="S127" s="746">
        <f>SUM(S128:S135)</f>
        <v>59.967486785352229</v>
      </c>
      <c r="T127" s="744">
        <f>SUM(T128:T135)</f>
        <v>198.61218324005603</v>
      </c>
      <c r="U127" s="744">
        <f t="shared" ref="U127:V127" si="68">SUM(U128:U135)</f>
        <v>313.15499446392062</v>
      </c>
      <c r="V127" s="744">
        <f t="shared" si="68"/>
        <v>70.01420569866896</v>
      </c>
      <c r="W127" s="747">
        <f t="shared" si="63"/>
        <v>641.74887018799791</v>
      </c>
      <c r="X127"/>
    </row>
    <row r="128" spans="2:24">
      <c r="B128" s="636" t="s">
        <v>671</v>
      </c>
      <c r="C128" s="1088">
        <v>5.3</v>
      </c>
      <c r="D128" s="1089">
        <v>4.7</v>
      </c>
      <c r="E128" s="1094">
        <v>5.3</v>
      </c>
      <c r="F128" s="654">
        <f t="shared" si="59"/>
        <v>15.3</v>
      </c>
      <c r="G128" s="1088">
        <v>8</v>
      </c>
      <c r="H128" s="1089">
        <v>20.8</v>
      </c>
      <c r="I128" s="1094">
        <v>30</v>
      </c>
      <c r="J128" s="654">
        <f t="shared" si="60"/>
        <v>58.8</v>
      </c>
      <c r="K128" s="1088">
        <v>36.799999999999997</v>
      </c>
      <c r="L128" s="1089">
        <v>36.5</v>
      </c>
      <c r="M128" s="1094">
        <v>28</v>
      </c>
      <c r="N128" s="654">
        <f t="shared" si="61"/>
        <v>101.3</v>
      </c>
      <c r="O128" s="1088">
        <v>0</v>
      </c>
      <c r="P128" s="1089">
        <v>5.5</v>
      </c>
      <c r="Q128" s="1094">
        <v>6</v>
      </c>
      <c r="R128" s="654">
        <f t="shared" si="62"/>
        <v>11.5</v>
      </c>
      <c r="S128" s="658">
        <f t="shared" ref="S128:S134" si="69">F128</f>
        <v>15.3</v>
      </c>
      <c r="T128" s="659">
        <f t="shared" ref="T128:T134" si="70">J128</f>
        <v>58.8</v>
      </c>
      <c r="U128" s="659">
        <f t="shared" ref="U128:U134" si="71">N128</f>
        <v>101.3</v>
      </c>
      <c r="V128" s="659">
        <f t="shared" ref="V128:V134" si="72">R128</f>
        <v>11.5</v>
      </c>
      <c r="W128" s="657">
        <f t="shared" si="63"/>
        <v>186.89999999999998</v>
      </c>
      <c r="X128"/>
    </row>
    <row r="129" spans="2:24">
      <c r="B129" s="636" t="s">
        <v>817</v>
      </c>
      <c r="C129" s="1090">
        <v>5.5</v>
      </c>
      <c r="D129" s="1091">
        <v>4.5</v>
      </c>
      <c r="E129" s="1095">
        <v>5.5</v>
      </c>
      <c r="F129" s="654">
        <f t="shared" si="59"/>
        <v>15.5</v>
      </c>
      <c r="G129" s="1090">
        <v>3.1</v>
      </c>
      <c r="H129" s="1091">
        <v>12</v>
      </c>
      <c r="I129" s="1095">
        <v>17</v>
      </c>
      <c r="J129" s="654">
        <f t="shared" si="60"/>
        <v>32.1</v>
      </c>
      <c r="K129" s="1090">
        <v>17.5</v>
      </c>
      <c r="L129" s="1091">
        <v>17.5</v>
      </c>
      <c r="M129" s="1095">
        <v>15</v>
      </c>
      <c r="N129" s="654">
        <f t="shared" si="61"/>
        <v>50</v>
      </c>
      <c r="O129" s="1090">
        <v>7</v>
      </c>
      <c r="P129" s="1091">
        <v>8.3000000000000007</v>
      </c>
      <c r="Q129" s="1095">
        <v>6.4</v>
      </c>
      <c r="R129" s="654">
        <f t="shared" si="62"/>
        <v>21.700000000000003</v>
      </c>
      <c r="S129" s="658">
        <f t="shared" si="69"/>
        <v>15.5</v>
      </c>
      <c r="T129" s="659">
        <f t="shared" si="70"/>
        <v>32.1</v>
      </c>
      <c r="U129" s="659">
        <f t="shared" si="71"/>
        <v>50</v>
      </c>
      <c r="V129" s="659">
        <f t="shared" si="72"/>
        <v>21.700000000000003</v>
      </c>
      <c r="W129" s="657">
        <f t="shared" si="63"/>
        <v>119.3</v>
      </c>
      <c r="X129"/>
    </row>
    <row r="130" spans="2:24">
      <c r="B130" s="636" t="s">
        <v>818</v>
      </c>
      <c r="C130" s="1092">
        <v>5.5</v>
      </c>
      <c r="D130" s="1093">
        <v>4.5999999999999996</v>
      </c>
      <c r="E130" s="1096">
        <v>5.6</v>
      </c>
      <c r="F130" s="654">
        <f t="shared" si="59"/>
        <v>15.7</v>
      </c>
      <c r="G130" s="1092">
        <v>8.5</v>
      </c>
      <c r="H130" s="1093">
        <v>22.4</v>
      </c>
      <c r="I130" s="1096">
        <v>26.9</v>
      </c>
      <c r="J130" s="654">
        <f t="shared" si="60"/>
        <v>57.8</v>
      </c>
      <c r="K130" s="1092">
        <v>30.8</v>
      </c>
      <c r="L130" s="1093">
        <v>30</v>
      </c>
      <c r="M130" s="1096">
        <v>26.5</v>
      </c>
      <c r="N130" s="654">
        <f t="shared" si="61"/>
        <v>87.3</v>
      </c>
      <c r="O130" s="1092">
        <v>0</v>
      </c>
      <c r="P130" s="1093">
        <v>7</v>
      </c>
      <c r="Q130" s="1096">
        <v>6.3</v>
      </c>
      <c r="R130" s="654">
        <f t="shared" si="62"/>
        <v>13.3</v>
      </c>
      <c r="S130" s="658">
        <f t="shared" si="69"/>
        <v>15.7</v>
      </c>
      <c r="T130" s="659">
        <f t="shared" si="70"/>
        <v>57.8</v>
      </c>
      <c r="U130" s="659">
        <f t="shared" si="71"/>
        <v>87.3</v>
      </c>
      <c r="V130" s="659">
        <f t="shared" si="72"/>
        <v>13.3</v>
      </c>
      <c r="W130" s="657">
        <f t="shared" si="63"/>
        <v>174.10000000000002</v>
      </c>
      <c r="X130"/>
    </row>
    <row r="131" spans="2:24">
      <c r="B131" s="914" t="s">
        <v>675</v>
      </c>
      <c r="C131" s="660">
        <f>'корпоративный баланс энергии'!J1175</f>
        <v>0.11500000208616257</v>
      </c>
      <c r="D131" s="648">
        <f>'корпоративный баланс энергии'!M1175</f>
        <v>6.7125000059604645E-2</v>
      </c>
      <c r="E131" s="649">
        <f>'корпоративный баланс энергии'!P1175</f>
        <v>0.11173125356435776</v>
      </c>
      <c r="F131" s="646">
        <f t="shared" si="59"/>
        <v>0.29385625571012497</v>
      </c>
      <c r="G131" s="660">
        <f>'корпоративный баланс энергии'!S1175</f>
        <v>0.14685626327991486</v>
      </c>
      <c r="H131" s="648">
        <f>'корпоративный баланс энергии'!V1175</f>
        <v>1.3335551023483276</v>
      </c>
      <c r="I131" s="648">
        <f>'корпоративный баланс энергии'!Y1175</f>
        <v>1.6595838069915771</v>
      </c>
      <c r="J131" s="646">
        <f t="shared" si="60"/>
        <v>3.1399951726198196</v>
      </c>
      <c r="K131" s="660">
        <f>'корпоративный баланс энергии'!AB1175</f>
        <v>1.7163738012313843</v>
      </c>
      <c r="L131" s="648">
        <f>'корпоративный баланс энергии'!AE1175</f>
        <v>1.8605690002441406</v>
      </c>
      <c r="M131" s="649">
        <f>'корпоративный баланс энергии'!AH1175</f>
        <v>1.8074339628219604</v>
      </c>
      <c r="N131" s="646">
        <f t="shared" si="61"/>
        <v>5.3843767642974854</v>
      </c>
      <c r="O131" s="660">
        <f>'корпоративный баланс энергии'!AK1175</f>
        <v>1.6965838670730591</v>
      </c>
      <c r="P131" s="648">
        <f>'корпоративный баланс энергии'!AN1175</f>
        <v>1.2185015678405762</v>
      </c>
      <c r="Q131" s="649">
        <f>'корпоративный баланс энергии'!AQ1175</f>
        <v>0.29350918531417847</v>
      </c>
      <c r="R131" s="646">
        <f t="shared" si="62"/>
        <v>3.2085946202278137</v>
      </c>
      <c r="S131" s="650">
        <f t="shared" si="69"/>
        <v>0.29385625571012497</v>
      </c>
      <c r="T131" s="651">
        <f t="shared" si="70"/>
        <v>3.1399951726198196</v>
      </c>
      <c r="U131" s="651">
        <f t="shared" si="71"/>
        <v>5.3843767642974854</v>
      </c>
      <c r="V131" s="651">
        <f t="shared" si="72"/>
        <v>3.2085946202278137</v>
      </c>
      <c r="W131" s="647">
        <f t="shared" si="63"/>
        <v>12.026822812855244</v>
      </c>
      <c r="X131"/>
    </row>
    <row r="132" spans="2:24">
      <c r="B132" s="914" t="s">
        <v>673</v>
      </c>
      <c r="C132" s="660">
        <f>'корпоративный баланс энергии'!J1173</f>
        <v>0</v>
      </c>
      <c r="D132" s="648">
        <f>'корпоративный баланс энергии'!M1173</f>
        <v>0</v>
      </c>
      <c r="E132" s="649">
        <f>'корпоративный баланс энергии'!P1173</f>
        <v>0</v>
      </c>
      <c r="F132" s="646">
        <f t="shared" si="59"/>
        <v>0</v>
      </c>
      <c r="G132" s="660">
        <f>'корпоративный баланс энергии'!S1173</f>
        <v>4.3650001287460327E-2</v>
      </c>
      <c r="H132" s="648">
        <f>'корпоративный баланс энергии'!V1173</f>
        <v>0.24035000801086426</v>
      </c>
      <c r="I132" s="648">
        <f>'корпоративный баланс энергии'!Y1173</f>
        <v>0.31178334355354309</v>
      </c>
      <c r="J132" s="646">
        <f t="shared" si="60"/>
        <v>0.59578335285186768</v>
      </c>
      <c r="K132" s="660">
        <f>'корпоративный баланс энергии'!AB1173</f>
        <v>0.30024999380111694</v>
      </c>
      <c r="L132" s="648">
        <f>'корпоративный баланс энергии'!AE1173</f>
        <v>0.33314999938011169</v>
      </c>
      <c r="M132" s="649">
        <f>'корпоративный баланс энергии'!AH1173</f>
        <v>0.32135000824928284</v>
      </c>
      <c r="N132" s="646">
        <f t="shared" si="61"/>
        <v>0.95475000143051147</v>
      </c>
      <c r="O132" s="660">
        <f>'корпоративный баланс энергии'!AK1173</f>
        <v>0.29004165530204773</v>
      </c>
      <c r="P132" s="648">
        <f>'корпоративный баланс энергии'!AN1173</f>
        <v>0.13873332738876343</v>
      </c>
      <c r="Q132" s="649">
        <f>'корпоративный баланс энергии'!AQ1173</f>
        <v>8.0366663634777069E-2</v>
      </c>
      <c r="R132" s="646">
        <f t="shared" si="62"/>
        <v>0.50914164632558823</v>
      </c>
      <c r="S132" s="650">
        <f t="shared" si="69"/>
        <v>0</v>
      </c>
      <c r="T132" s="651">
        <f t="shared" si="70"/>
        <v>0.59578335285186768</v>
      </c>
      <c r="U132" s="651">
        <f t="shared" si="71"/>
        <v>0.95475000143051147</v>
      </c>
      <c r="V132" s="651">
        <f t="shared" si="72"/>
        <v>0.50914164632558823</v>
      </c>
      <c r="W132" s="647">
        <f t="shared" si="63"/>
        <v>2.0596750006079674</v>
      </c>
      <c r="X132"/>
    </row>
    <row r="133" spans="2:24">
      <c r="B133" s="914" t="s">
        <v>674</v>
      </c>
      <c r="C133" s="660">
        <f>'корпоративный баланс энергии'!J1174</f>
        <v>0.27365598082542419</v>
      </c>
      <c r="D133" s="648">
        <f>'корпоративный баланс энергии'!M1174</f>
        <v>0.23284456133842468</v>
      </c>
      <c r="E133" s="649">
        <f>'корпоративный баланс энергии'!P1174</f>
        <v>0.26712998747825623</v>
      </c>
      <c r="F133" s="646">
        <f t="shared" si="59"/>
        <v>0.7736305296421051</v>
      </c>
      <c r="G133" s="660">
        <f>'корпоративный баланс энергии'!S1174</f>
        <v>0.30020615458488464</v>
      </c>
      <c r="H133" s="648">
        <f>'корпоративный баланс энергии'!V1174</f>
        <v>0.42764410376548767</v>
      </c>
      <c r="I133" s="648">
        <f>'корпоративный баланс энергии'!Y1174</f>
        <v>0.44855445623397827</v>
      </c>
      <c r="J133" s="646">
        <f t="shared" si="60"/>
        <v>1.1764047145843506</v>
      </c>
      <c r="K133" s="660">
        <f>'корпоративный баланс энергии'!AB1174</f>
        <v>0.43094399571418762</v>
      </c>
      <c r="L133" s="648">
        <f>'корпоративный баланс энергии'!AE1174</f>
        <v>0.42962858080863953</v>
      </c>
      <c r="M133" s="649">
        <f>'корпоративный баланс энергии'!AH1174</f>
        <v>0.35529512166976929</v>
      </c>
      <c r="N133" s="646">
        <f t="shared" si="61"/>
        <v>1.2158676981925964</v>
      </c>
      <c r="O133" s="660">
        <f>'корпоративный баланс энергии'!AK1174</f>
        <v>0.36948984861373901</v>
      </c>
      <c r="P133" s="648">
        <f>'корпоративный баланс энергии'!AN1174</f>
        <v>0.38353314995765686</v>
      </c>
      <c r="Q133" s="649">
        <f>'корпоративный баланс энергии'!AQ1174</f>
        <v>0.34344643354415894</v>
      </c>
      <c r="R133" s="646">
        <f t="shared" si="62"/>
        <v>1.0964694321155548</v>
      </c>
      <c r="S133" s="650">
        <f t="shared" si="69"/>
        <v>0.7736305296421051</v>
      </c>
      <c r="T133" s="651">
        <f t="shared" si="70"/>
        <v>1.1764047145843506</v>
      </c>
      <c r="U133" s="651">
        <f t="shared" si="71"/>
        <v>1.2158676981925964</v>
      </c>
      <c r="V133" s="651">
        <f t="shared" si="72"/>
        <v>1.0964694321155548</v>
      </c>
      <c r="W133" s="647">
        <f t="shared" si="63"/>
        <v>4.2623723745346069</v>
      </c>
      <c r="X133"/>
    </row>
    <row r="134" spans="2:24">
      <c r="B134" s="914" t="s">
        <v>819</v>
      </c>
      <c r="C134" s="660">
        <f>'корпоративный баланс энергии'!J1177</f>
        <v>2.1</v>
      </c>
      <c r="D134" s="648">
        <f>'корпоративный баланс энергии'!M1177</f>
        <v>1.9</v>
      </c>
      <c r="E134" s="649">
        <f>'корпоративный баланс энергии'!P1177</f>
        <v>2.1</v>
      </c>
      <c r="F134" s="646">
        <f t="shared" si="59"/>
        <v>6.1</v>
      </c>
      <c r="G134" s="660">
        <f>'корпоративный баланс энергии'!S1177</f>
        <v>4.3</v>
      </c>
      <c r="H134" s="648">
        <f>'корпоративный баланс энергии'!V1177</f>
        <v>10</v>
      </c>
      <c r="I134" s="648">
        <f>'корпоративный баланс энергии'!Y1177</f>
        <v>13</v>
      </c>
      <c r="J134" s="646">
        <f t="shared" si="60"/>
        <v>27.3</v>
      </c>
      <c r="K134" s="660">
        <f>'корпоративный баланс энергии'!AB1177</f>
        <v>16.5</v>
      </c>
      <c r="L134" s="648">
        <f>'корпоративный баланс энергии'!AE1177</f>
        <v>16.5</v>
      </c>
      <c r="M134" s="649">
        <f>'корпоративный баланс энергии'!AH1177</f>
        <v>12</v>
      </c>
      <c r="N134" s="646">
        <f t="shared" si="61"/>
        <v>45</v>
      </c>
      <c r="O134" s="660">
        <f>'корпоративный баланс энергии'!AK1177</f>
        <v>0</v>
      </c>
      <c r="P134" s="648">
        <f>'корпоративный баланс энергии'!AN1177</f>
        <v>3</v>
      </c>
      <c r="Q134" s="649">
        <f>'корпоративный баланс энергии'!AQ1177</f>
        <v>2.5</v>
      </c>
      <c r="R134" s="646">
        <f t="shared" si="62"/>
        <v>5.5</v>
      </c>
      <c r="S134" s="650">
        <f t="shared" si="69"/>
        <v>6.1</v>
      </c>
      <c r="T134" s="651">
        <f t="shared" si="70"/>
        <v>27.3</v>
      </c>
      <c r="U134" s="651">
        <f t="shared" si="71"/>
        <v>45</v>
      </c>
      <c r="V134" s="651">
        <f t="shared" si="72"/>
        <v>5.5</v>
      </c>
      <c r="W134" s="647">
        <f t="shared" si="63"/>
        <v>83.9</v>
      </c>
      <c r="X134"/>
    </row>
    <row r="135" spans="2:24">
      <c r="B135" s="915" t="s">
        <v>1268</v>
      </c>
      <c r="C135" s="679">
        <f>'корпоративный баланс энергии'!J1178</f>
        <v>2.2999999999999998</v>
      </c>
      <c r="D135" s="667">
        <f>'корпоративный баланс энергии'!M1178</f>
        <v>1.9</v>
      </c>
      <c r="E135" s="668">
        <f>'корпоративный баланс энергии'!P1178</f>
        <v>2.1</v>
      </c>
      <c r="F135" s="663">
        <f t="shared" ref="F135" si="73">SUM(C135:E135)</f>
        <v>6.2999999999999989</v>
      </c>
      <c r="G135" s="679">
        <f>'корпоративный баланс энергии'!S1178</f>
        <v>3.3</v>
      </c>
      <c r="H135" s="667">
        <f>'корпоративный баланс энергии'!V1178</f>
        <v>7.2</v>
      </c>
      <c r="I135" s="667">
        <f>'корпоративный баланс энергии'!Y1178</f>
        <v>7.2</v>
      </c>
      <c r="J135" s="663">
        <f t="shared" ref="J135" si="74">SUM(G135:I135)</f>
        <v>17.7</v>
      </c>
      <c r="K135" s="679">
        <f>'корпоративный баланс энергии'!AB1178</f>
        <v>7.4</v>
      </c>
      <c r="L135" s="667">
        <f>'корпоративный баланс энергии'!AE1178</f>
        <v>7.4</v>
      </c>
      <c r="M135" s="668">
        <f>'корпоративный баланс энергии'!AH1178</f>
        <v>7.2</v>
      </c>
      <c r="N135" s="663">
        <f t="shared" ref="N135" si="75">SUM(K135:M135)</f>
        <v>22</v>
      </c>
      <c r="O135" s="679">
        <f>'корпоративный баланс энергии'!AK1178</f>
        <v>6.5</v>
      </c>
      <c r="P135" s="667">
        <f>'корпоративный баланс энергии'!AN1178</f>
        <v>3.9</v>
      </c>
      <c r="Q135" s="668">
        <f>'корпоративный баланс энергии'!AQ1178</f>
        <v>2.8</v>
      </c>
      <c r="R135" s="663">
        <f t="shared" ref="R135" si="76">SUM(O135:Q135)</f>
        <v>13.2</v>
      </c>
      <c r="S135" s="664">
        <f t="shared" ref="S135" si="77">F135</f>
        <v>6.2999999999999989</v>
      </c>
      <c r="T135" s="665">
        <f t="shared" ref="T135" si="78">J135</f>
        <v>17.7</v>
      </c>
      <c r="U135" s="665">
        <f t="shared" ref="U135" si="79">N135</f>
        <v>22</v>
      </c>
      <c r="V135" s="665">
        <f t="shared" ref="V135" si="80">R135</f>
        <v>13.2</v>
      </c>
      <c r="W135" s="666">
        <f t="shared" ref="W135" si="81">SUM(S135:V135)</f>
        <v>59.2</v>
      </c>
      <c r="X135"/>
    </row>
    <row r="136" spans="2:24">
      <c r="B136" s="786" t="s">
        <v>820</v>
      </c>
      <c r="C136" s="743">
        <f>SUM(C137:C142)</f>
        <v>13.918052288472651</v>
      </c>
      <c r="D136" s="743">
        <f>SUM(D137:D142)</f>
        <v>12.777990721940995</v>
      </c>
      <c r="E136" s="744">
        <f>SUM(E137:E142)</f>
        <v>14.591954860806466</v>
      </c>
      <c r="F136" s="745">
        <f t="shared" si="59"/>
        <v>41.287997871220114</v>
      </c>
      <c r="G136" s="743">
        <f>SUM(G137:G142)</f>
        <v>28.449447148406026</v>
      </c>
      <c r="H136" s="743">
        <f>SUM(H137:H142)</f>
        <v>79.458559856568343</v>
      </c>
      <c r="I136" s="744">
        <f>SUM(I137:I142)</f>
        <v>91.569787997802749</v>
      </c>
      <c r="J136" s="745">
        <f t="shared" si="60"/>
        <v>199.4777950027771</v>
      </c>
      <c r="K136" s="743">
        <f>SUM(K137:K142)</f>
        <v>88.534308902028627</v>
      </c>
      <c r="L136" s="743">
        <f>SUM(L137:L142)</f>
        <v>70.976256571705804</v>
      </c>
      <c r="M136" s="744">
        <f>SUM(M137:M142)</f>
        <v>44.920152808923646</v>
      </c>
      <c r="N136" s="745">
        <f t="shared" si="61"/>
        <v>204.43071828265806</v>
      </c>
      <c r="O136" s="743">
        <f>SUM(O137:O142)</f>
        <v>24.247577814820691</v>
      </c>
      <c r="P136" s="743">
        <f>SUM(P137:P142)</f>
        <v>14.228487712144851</v>
      </c>
      <c r="Q136" s="744">
        <f>SUM(Q137:Q142)</f>
        <v>14.397726043698864</v>
      </c>
      <c r="R136" s="745">
        <f t="shared" si="62"/>
        <v>52.873791570664409</v>
      </c>
      <c r="S136" s="746">
        <f>SUM(S137:S142)</f>
        <v>41.287997871220107</v>
      </c>
      <c r="T136" s="744">
        <f>SUM(T137:T142)</f>
        <v>199.4777950027771</v>
      </c>
      <c r="U136" s="744">
        <f t="shared" ref="U136:V136" si="82">SUM(U137:U142)</f>
        <v>204.43071828265809</v>
      </c>
      <c r="V136" s="744">
        <f t="shared" si="82"/>
        <v>52.873791570664409</v>
      </c>
      <c r="W136" s="747">
        <f t="shared" si="63"/>
        <v>498.07030272731976</v>
      </c>
      <c r="X136"/>
    </row>
    <row r="137" spans="2:24">
      <c r="B137" s="636" t="s">
        <v>821</v>
      </c>
      <c r="C137" s="1088">
        <v>0</v>
      </c>
      <c r="D137" s="1089">
        <v>0</v>
      </c>
      <c r="E137" s="1094">
        <v>0</v>
      </c>
      <c r="F137" s="654">
        <f t="shared" si="59"/>
        <v>0</v>
      </c>
      <c r="G137" s="1088">
        <v>14.089187000000001</v>
      </c>
      <c r="H137" s="1089">
        <v>63.355835999999996</v>
      </c>
      <c r="I137" s="1094">
        <v>74.618284000000003</v>
      </c>
      <c r="J137" s="654">
        <f t="shared" si="60"/>
        <v>152.06330700000001</v>
      </c>
      <c r="K137" s="1088">
        <v>71.284086329999994</v>
      </c>
      <c r="L137" s="1089">
        <v>54.634082999999997</v>
      </c>
      <c r="M137" s="1094">
        <v>30.042424669999999</v>
      </c>
      <c r="N137" s="654">
        <f t="shared" si="61"/>
        <v>155.96059399999999</v>
      </c>
      <c r="O137" s="1088">
        <v>9.4082706700000003</v>
      </c>
      <c r="P137" s="1089">
        <v>0</v>
      </c>
      <c r="Q137" s="1094">
        <v>2.4053299999999998E-3</v>
      </c>
      <c r="R137" s="654">
        <f t="shared" si="62"/>
        <v>9.4106760000000005</v>
      </c>
      <c r="S137" s="658">
        <f t="shared" ref="S137:S142" si="83">F137</f>
        <v>0</v>
      </c>
      <c r="T137" s="659">
        <f t="shared" ref="T137:T142" si="84">J137</f>
        <v>152.06330700000001</v>
      </c>
      <c r="U137" s="659">
        <f t="shared" ref="U137:U142" si="85">N137</f>
        <v>155.96059399999999</v>
      </c>
      <c r="V137" s="659">
        <f t="shared" ref="V137:V142" si="86">R137</f>
        <v>9.4106760000000005</v>
      </c>
      <c r="W137" s="657">
        <f t="shared" si="63"/>
        <v>317.43457700000005</v>
      </c>
      <c r="X137"/>
    </row>
    <row r="138" spans="2:24">
      <c r="B138" s="636" t="s">
        <v>822</v>
      </c>
      <c r="C138" s="1092">
        <v>12</v>
      </c>
      <c r="D138" s="1093">
        <v>10.8</v>
      </c>
      <c r="E138" s="1096">
        <v>12</v>
      </c>
      <c r="F138" s="654">
        <f t="shared" si="59"/>
        <v>34.799999999999997</v>
      </c>
      <c r="G138" s="1092">
        <v>11.6</v>
      </c>
      <c r="H138" s="1093">
        <v>12.4</v>
      </c>
      <c r="I138" s="1096">
        <v>12.4</v>
      </c>
      <c r="J138" s="654">
        <f t="shared" si="60"/>
        <v>36.4</v>
      </c>
      <c r="K138" s="1092">
        <v>12.4</v>
      </c>
      <c r="L138" s="1093">
        <v>12.4</v>
      </c>
      <c r="M138" s="1096">
        <v>12</v>
      </c>
      <c r="N138" s="654">
        <f t="shared" si="61"/>
        <v>36.799999999999997</v>
      </c>
      <c r="O138" s="1092">
        <v>12</v>
      </c>
      <c r="P138" s="1093">
        <v>11.6</v>
      </c>
      <c r="Q138" s="1096">
        <v>12</v>
      </c>
      <c r="R138" s="654">
        <f t="shared" si="62"/>
        <v>35.6</v>
      </c>
      <c r="S138" s="658">
        <f t="shared" si="83"/>
        <v>34.799999999999997</v>
      </c>
      <c r="T138" s="659">
        <f t="shared" si="84"/>
        <v>36.4</v>
      </c>
      <c r="U138" s="659">
        <f t="shared" si="85"/>
        <v>36.799999999999997</v>
      </c>
      <c r="V138" s="659">
        <f t="shared" si="86"/>
        <v>35.6</v>
      </c>
      <c r="W138" s="657">
        <f t="shared" si="63"/>
        <v>143.6</v>
      </c>
      <c r="X138"/>
    </row>
    <row r="139" spans="2:24">
      <c r="B139" s="914" t="s">
        <v>681</v>
      </c>
      <c r="C139" s="660">
        <f>'корпоративный баланс энергии'!J1203</f>
        <v>7.0052288472652435E-2</v>
      </c>
      <c r="D139" s="648">
        <f>'корпоративный баланс энергии'!M1203</f>
        <v>0.13499072194099426</v>
      </c>
      <c r="E139" s="649">
        <f>'корпоративный баланс энергии'!P1203</f>
        <v>0.15995486080646515</v>
      </c>
      <c r="F139" s="646">
        <f t="shared" si="59"/>
        <v>0.36499787122011185</v>
      </c>
      <c r="G139" s="660">
        <f>'корпоративный баланс энергии'!S1203</f>
        <v>0.14926014840602875</v>
      </c>
      <c r="H139" s="648">
        <f>'корпоративный баланс энергии'!V1203</f>
        <v>9.7723856568336487E-2</v>
      </c>
      <c r="I139" s="648">
        <f>'корпоративный баланс энергии'!Y1203</f>
        <v>0.14550399780273438</v>
      </c>
      <c r="J139" s="646">
        <f t="shared" si="60"/>
        <v>0.39248800277709961</v>
      </c>
      <c r="K139" s="660">
        <f>'корпоративный баланс энергии'!AB1203</f>
        <v>9.6222572028636932E-2</v>
      </c>
      <c r="L139" s="648">
        <f>'корпоративный баланс энергии'!AE1203</f>
        <v>7.5173571705818176E-2</v>
      </c>
      <c r="M139" s="649">
        <f>'корпоративный баланс энергии'!AH1203</f>
        <v>0.16672813892364502</v>
      </c>
      <c r="N139" s="646">
        <f t="shared" si="61"/>
        <v>0.33812428265810013</v>
      </c>
      <c r="O139" s="660">
        <f>'корпоративный баланс энергии'!AK1203</f>
        <v>0.11530714482069016</v>
      </c>
      <c r="P139" s="648">
        <f>'корпоративный баланс энергии'!AN1203</f>
        <v>0.15348771214485168</v>
      </c>
      <c r="Q139" s="649">
        <f>'корпоративный баланс энергии'!AQ1203</f>
        <v>0.11232071369886398</v>
      </c>
      <c r="R139" s="646">
        <f t="shared" si="62"/>
        <v>0.38111557066440582</v>
      </c>
      <c r="S139" s="650">
        <f t="shared" si="83"/>
        <v>0.36499787122011185</v>
      </c>
      <c r="T139" s="651">
        <f t="shared" si="84"/>
        <v>0.39248800277709961</v>
      </c>
      <c r="U139" s="651">
        <f t="shared" si="85"/>
        <v>0.33812428265810013</v>
      </c>
      <c r="V139" s="651">
        <f t="shared" si="86"/>
        <v>0.38111557066440582</v>
      </c>
      <c r="W139" s="647">
        <f t="shared" si="63"/>
        <v>1.4767257273197174</v>
      </c>
      <c r="X139"/>
    </row>
    <row r="140" spans="2:24">
      <c r="B140" s="914" t="s">
        <v>509</v>
      </c>
      <c r="C140" s="660">
        <f>'корпоративный баланс энергии'!J1204</f>
        <v>0.34599999999999997</v>
      </c>
      <c r="D140" s="648">
        <f>'корпоративный баланс энергии'!M1204</f>
        <v>0.42699999999999999</v>
      </c>
      <c r="E140" s="649">
        <f>'корпоративный баланс энергии'!P1204</f>
        <v>0.76</v>
      </c>
      <c r="F140" s="646">
        <f t="shared" si="59"/>
        <v>1.5329999999999999</v>
      </c>
      <c r="G140" s="660">
        <f>'корпоративный баланс энергии'!S1204</f>
        <v>0.76100000000000001</v>
      </c>
      <c r="H140" s="648">
        <f>'корпоративный баланс энергии'!V1204</f>
        <v>0.74099999999999999</v>
      </c>
      <c r="I140" s="648">
        <f>'корпоративный баланс энергии'!Y1204</f>
        <v>0.65600000000000003</v>
      </c>
      <c r="J140" s="646">
        <f t="shared" si="60"/>
        <v>2.1579999999999999</v>
      </c>
      <c r="K140" s="660">
        <f>'корпоративный баланс энергии'!AB1204</f>
        <v>0.66</v>
      </c>
      <c r="L140" s="648">
        <f>'корпоративный баланс энергии'!AE1204</f>
        <v>0.63300000000000001</v>
      </c>
      <c r="M140" s="649">
        <f>'корпоративный баланс энергии'!AH1204</f>
        <v>0.63100000000000001</v>
      </c>
      <c r="N140" s="646">
        <f t="shared" si="61"/>
        <v>1.9240000000000002</v>
      </c>
      <c r="O140" s="660">
        <f>'корпоративный баланс энергии'!AK1204</f>
        <v>0.69199999999999995</v>
      </c>
      <c r="P140" s="648">
        <f>'корпоративный баланс энергии'!AN1204</f>
        <v>0.68500000000000005</v>
      </c>
      <c r="Q140" s="649">
        <f>'корпоративный баланс энергии'!AQ1204</f>
        <v>0.58099999999999996</v>
      </c>
      <c r="R140" s="646">
        <f t="shared" si="62"/>
        <v>1.958</v>
      </c>
      <c r="S140" s="650">
        <f t="shared" si="83"/>
        <v>1.5329999999999999</v>
      </c>
      <c r="T140" s="651">
        <f t="shared" si="84"/>
        <v>2.1579999999999999</v>
      </c>
      <c r="U140" s="651">
        <f t="shared" si="85"/>
        <v>1.9240000000000002</v>
      </c>
      <c r="V140" s="651">
        <f t="shared" si="86"/>
        <v>1.958</v>
      </c>
      <c r="W140" s="647">
        <f t="shared" si="63"/>
        <v>7.5730000000000004</v>
      </c>
      <c r="X140"/>
    </row>
    <row r="141" spans="2:24">
      <c r="B141" s="914" t="s">
        <v>1269</v>
      </c>
      <c r="C141" s="660">
        <f>'корпоративный баланс энергии'!J1206</f>
        <v>0.372</v>
      </c>
      <c r="D141" s="648">
        <f>'корпоративный баланс энергии'!M1206</f>
        <v>0.33600000000000002</v>
      </c>
      <c r="E141" s="649">
        <f>'корпоративный баланс энергии'!P1206</f>
        <v>0.372</v>
      </c>
      <c r="F141" s="646">
        <f t="shared" ref="F141" si="87">SUM(C141:E141)</f>
        <v>1.08</v>
      </c>
      <c r="G141" s="660">
        <f>'корпоративный баланс энергии'!S1206</f>
        <v>0.36</v>
      </c>
      <c r="H141" s="648">
        <f>'корпоративный баланс энергии'!V1206</f>
        <v>0.74399999999999999</v>
      </c>
      <c r="I141" s="648">
        <f>'корпоративный баланс энергии'!Y1206</f>
        <v>0.72</v>
      </c>
      <c r="J141" s="646">
        <f t="shared" ref="J141" si="88">SUM(G141:I141)</f>
        <v>1.8240000000000001</v>
      </c>
      <c r="K141" s="660">
        <f>'корпоративный баланс энергии'!AB1206</f>
        <v>0.74399999999999999</v>
      </c>
      <c r="L141" s="648">
        <f>'корпоративный баланс энергии'!AE1206</f>
        <v>0.74399999999999999</v>
      </c>
      <c r="M141" s="649">
        <f>'корпоративный баланс энергии'!AH1206</f>
        <v>0.36</v>
      </c>
      <c r="N141" s="646">
        <f t="shared" ref="N141" si="89">SUM(K141:M141)</f>
        <v>1.8479999999999999</v>
      </c>
      <c r="O141" s="660">
        <f>'корпоративный баланс энергии'!AK1206</f>
        <v>0.372</v>
      </c>
      <c r="P141" s="648">
        <f>'корпоративный баланс энергии'!AN1206</f>
        <v>0.36</v>
      </c>
      <c r="Q141" s="649">
        <f>'корпоративный баланс энергии'!AQ1206</f>
        <v>0.372</v>
      </c>
      <c r="R141" s="646">
        <f t="shared" ref="R141" si="90">SUM(O141:Q141)</f>
        <v>1.1040000000000001</v>
      </c>
      <c r="S141" s="650">
        <f t="shared" si="83"/>
        <v>1.08</v>
      </c>
      <c r="T141" s="651">
        <f t="shared" si="84"/>
        <v>1.8240000000000001</v>
      </c>
      <c r="U141" s="651">
        <f t="shared" si="85"/>
        <v>1.8479999999999999</v>
      </c>
      <c r="V141" s="651">
        <f t="shared" si="86"/>
        <v>1.1040000000000001</v>
      </c>
      <c r="W141" s="647">
        <f t="shared" ref="W141" si="91">SUM(S141:V141)</f>
        <v>5.8559999999999999</v>
      </c>
      <c r="X141"/>
    </row>
    <row r="142" spans="2:24">
      <c r="B142" s="915" t="s">
        <v>1270</v>
      </c>
      <c r="C142" s="679">
        <f>'корпоративный баланс энергии'!J1207</f>
        <v>1.1299999999999999</v>
      </c>
      <c r="D142" s="667">
        <f>'корпоративный баланс энергии'!M1207</f>
        <v>1.08</v>
      </c>
      <c r="E142" s="668">
        <f>'корпоративный баланс энергии'!P1207</f>
        <v>1.3</v>
      </c>
      <c r="F142" s="663">
        <f t="shared" ref="F142" si="92">SUM(C142:E142)</f>
        <v>3.51</v>
      </c>
      <c r="G142" s="679">
        <f>'корпоративный баланс энергии'!S1207</f>
        <v>1.49</v>
      </c>
      <c r="H142" s="667">
        <f>'корпоративный баланс энергии'!V1207</f>
        <v>2.12</v>
      </c>
      <c r="I142" s="667">
        <f>'корпоративный баланс энергии'!Y1207</f>
        <v>3.03</v>
      </c>
      <c r="J142" s="663">
        <f t="shared" ref="J142" si="93">SUM(G142:I142)</f>
        <v>6.6400000000000006</v>
      </c>
      <c r="K142" s="679">
        <f>'корпоративный баланс энергии'!AB1207</f>
        <v>3.35</v>
      </c>
      <c r="L142" s="667">
        <f>'корпоративный баланс энергии'!AE1207</f>
        <v>2.4900000000000002</v>
      </c>
      <c r="M142" s="668">
        <f>'корпоративный баланс энергии'!AH1207</f>
        <v>1.72</v>
      </c>
      <c r="N142" s="663">
        <f t="shared" ref="N142" si="94">SUM(K142:M142)</f>
        <v>7.56</v>
      </c>
      <c r="O142" s="679">
        <f>'корпоративный баланс энергии'!AK1207</f>
        <v>1.66</v>
      </c>
      <c r="P142" s="667">
        <f>'корпоративный баланс энергии'!AN1207</f>
        <v>1.43</v>
      </c>
      <c r="Q142" s="668">
        <f>'корпоративный баланс энергии'!AQ1207</f>
        <v>1.33</v>
      </c>
      <c r="R142" s="663">
        <f t="shared" ref="R142" si="95">SUM(O142:Q142)</f>
        <v>4.42</v>
      </c>
      <c r="S142" s="664">
        <f t="shared" si="83"/>
        <v>3.51</v>
      </c>
      <c r="T142" s="665">
        <f t="shared" si="84"/>
        <v>6.6400000000000006</v>
      </c>
      <c r="U142" s="665">
        <f t="shared" si="85"/>
        <v>7.56</v>
      </c>
      <c r="V142" s="665">
        <f t="shared" si="86"/>
        <v>4.42</v>
      </c>
      <c r="W142" s="666">
        <f t="shared" ref="W142" si="96">SUM(S142:V142)</f>
        <v>22.130000000000003</v>
      </c>
      <c r="X142"/>
    </row>
    <row r="143" spans="2:24">
      <c r="B143" s="786" t="s">
        <v>268</v>
      </c>
      <c r="C143" s="743">
        <f>SUM(C144:C147)</f>
        <v>26.93534</v>
      </c>
      <c r="D143" s="743">
        <f>SUM(D144:D147)</f>
        <v>23.760160000000003</v>
      </c>
      <c r="E143" s="743">
        <f>SUM(E144:E147)</f>
        <v>37.311540000000001</v>
      </c>
      <c r="F143" s="745">
        <f t="shared" si="59"/>
        <v>88.007040000000003</v>
      </c>
      <c r="G143" s="743">
        <f>SUM(G144:G147)</f>
        <v>51.08</v>
      </c>
      <c r="H143" s="743">
        <f>SUM(H144:H147)</f>
        <v>56.51648999999999</v>
      </c>
      <c r="I143" s="743">
        <f>SUM(I144:I147)</f>
        <v>51.157159999999998</v>
      </c>
      <c r="J143" s="745">
        <f t="shared" si="60"/>
        <v>158.75364999999999</v>
      </c>
      <c r="K143" s="743">
        <f>SUM(K144:K147)</f>
        <v>41.288679999999999</v>
      </c>
      <c r="L143" s="743">
        <f>SUM(L144:L147)</f>
        <v>13.98204</v>
      </c>
      <c r="M143" s="743">
        <f>SUM(M144:M147)</f>
        <v>10.25178</v>
      </c>
      <c r="N143" s="745">
        <f t="shared" si="61"/>
        <v>65.522499999999994</v>
      </c>
      <c r="O143" s="743">
        <f>SUM(O144:O147)</f>
        <v>23.631070000000001</v>
      </c>
      <c r="P143" s="743">
        <f>SUM(P144:P147)</f>
        <v>30.688469999999995</v>
      </c>
      <c r="Q143" s="743">
        <f>SUM(Q144:Q147)</f>
        <v>31.98169</v>
      </c>
      <c r="R143" s="745">
        <f t="shared" si="62"/>
        <v>86.301230000000004</v>
      </c>
      <c r="S143" s="746">
        <f>SUM(S144:S147)</f>
        <v>88.007040000000003</v>
      </c>
      <c r="T143" s="744">
        <f>SUM(T144:T147)</f>
        <v>158.75364999999999</v>
      </c>
      <c r="U143" s="744">
        <f t="shared" ref="U143:V143" si="97">SUM(U144:U147)</f>
        <v>65.522500000000008</v>
      </c>
      <c r="V143" s="744">
        <f t="shared" si="97"/>
        <v>86.301230000000004</v>
      </c>
      <c r="W143" s="747">
        <f t="shared" si="63"/>
        <v>398.58442000000002</v>
      </c>
    </row>
    <row r="144" spans="2:24">
      <c r="B144" s="636" t="s">
        <v>195</v>
      </c>
      <c r="C144" s="1088">
        <v>15.73401</v>
      </c>
      <c r="D144" s="1089">
        <v>14.22082</v>
      </c>
      <c r="E144" s="1094">
        <v>22.465720000000001</v>
      </c>
      <c r="F144" s="654">
        <f t="shared" si="59"/>
        <v>52.420550000000006</v>
      </c>
      <c r="G144" s="1088">
        <v>29.023589999999999</v>
      </c>
      <c r="H144" s="1089">
        <v>31.99166</v>
      </c>
      <c r="I144" s="1094">
        <v>27.497530000000001</v>
      </c>
      <c r="J144" s="654">
        <f t="shared" si="60"/>
        <v>88.512779999999992</v>
      </c>
      <c r="K144" s="1088">
        <v>19.808399999999999</v>
      </c>
      <c r="L144" s="1089">
        <v>0</v>
      </c>
      <c r="M144" s="1094">
        <v>7.1422999999999996</v>
      </c>
      <c r="N144" s="654">
        <f t="shared" si="61"/>
        <v>26.950699999999998</v>
      </c>
      <c r="O144" s="1088">
        <v>12.352880000000001</v>
      </c>
      <c r="P144" s="1089">
        <v>16.844729999999998</v>
      </c>
      <c r="Q144" s="1094">
        <v>18.506489999999999</v>
      </c>
      <c r="R144" s="654">
        <f t="shared" si="62"/>
        <v>47.704099999999997</v>
      </c>
      <c r="S144" s="658">
        <f>F144</f>
        <v>52.420550000000006</v>
      </c>
      <c r="T144" s="659">
        <f>J144</f>
        <v>88.512779999999992</v>
      </c>
      <c r="U144" s="659">
        <f>N144</f>
        <v>26.950699999999998</v>
      </c>
      <c r="V144" s="659">
        <f>R144</f>
        <v>47.704099999999997</v>
      </c>
      <c r="W144" s="657">
        <f t="shared" si="63"/>
        <v>215.58812999999998</v>
      </c>
    </row>
    <row r="145" spans="2:23">
      <c r="B145" s="636" t="s">
        <v>196</v>
      </c>
      <c r="C145" s="1090">
        <v>8.6567600000000002</v>
      </c>
      <c r="D145" s="1091">
        <v>7.35236</v>
      </c>
      <c r="E145" s="1095">
        <v>10.660830000000001</v>
      </c>
      <c r="F145" s="654">
        <f t="shared" si="59"/>
        <v>26.66995</v>
      </c>
      <c r="G145" s="1090">
        <v>15.91015</v>
      </c>
      <c r="H145" s="1091">
        <v>17.87764</v>
      </c>
      <c r="I145" s="1095">
        <v>17.31644</v>
      </c>
      <c r="J145" s="654">
        <f t="shared" si="60"/>
        <v>51.104230000000001</v>
      </c>
      <c r="K145" s="1090">
        <v>16.25318</v>
      </c>
      <c r="L145" s="1091">
        <v>11.126749999999999</v>
      </c>
      <c r="M145" s="1095">
        <v>1.3</v>
      </c>
      <c r="N145" s="654">
        <f t="shared" si="61"/>
        <v>28.679930000000002</v>
      </c>
      <c r="O145" s="1090">
        <v>9.2920200000000008</v>
      </c>
      <c r="P145" s="1091">
        <v>10.53684</v>
      </c>
      <c r="Q145" s="1095">
        <v>10.02345</v>
      </c>
      <c r="R145" s="654">
        <f t="shared" si="62"/>
        <v>29.852309999999999</v>
      </c>
      <c r="S145" s="658">
        <f>F145</f>
        <v>26.66995</v>
      </c>
      <c r="T145" s="659">
        <f>J145</f>
        <v>51.104230000000001</v>
      </c>
      <c r="U145" s="659">
        <f>N145</f>
        <v>28.679930000000002</v>
      </c>
      <c r="V145" s="659">
        <f>R145</f>
        <v>29.852309999999999</v>
      </c>
      <c r="W145" s="657">
        <f t="shared" si="63"/>
        <v>136.30642</v>
      </c>
    </row>
    <row r="146" spans="2:23">
      <c r="B146" s="636" t="s">
        <v>197</v>
      </c>
      <c r="C146" s="1092">
        <v>2.2995100000000002</v>
      </c>
      <c r="D146" s="1093">
        <v>1.9997100000000001</v>
      </c>
      <c r="E146" s="1096">
        <v>3.98807</v>
      </c>
      <c r="F146" s="654">
        <f t="shared" si="59"/>
        <v>8.2872900000000005</v>
      </c>
      <c r="G146" s="1092">
        <v>5.9666199999999998</v>
      </c>
      <c r="H146" s="1093">
        <v>6.4575899999999997</v>
      </c>
      <c r="I146" s="1096">
        <v>6.1553699999999996</v>
      </c>
      <c r="J146" s="654">
        <f t="shared" si="60"/>
        <v>18.57958</v>
      </c>
      <c r="K146" s="1092">
        <v>5.0270999999999999</v>
      </c>
      <c r="L146" s="1093">
        <v>2.6746099999999999</v>
      </c>
      <c r="M146" s="1096">
        <v>1.71329</v>
      </c>
      <c r="N146" s="654">
        <f t="shared" si="61"/>
        <v>9.4150000000000009</v>
      </c>
      <c r="O146" s="1092">
        <v>1.8791</v>
      </c>
      <c r="P146" s="1093">
        <v>3.1101299999999998</v>
      </c>
      <c r="Q146" s="1096">
        <v>3.1545800000000002</v>
      </c>
      <c r="R146" s="654">
        <f t="shared" si="62"/>
        <v>8.1438100000000002</v>
      </c>
      <c r="S146" s="658">
        <f>F146</f>
        <v>8.2872900000000005</v>
      </c>
      <c r="T146" s="659">
        <f>J146</f>
        <v>18.57958</v>
      </c>
      <c r="U146" s="659">
        <f>N146</f>
        <v>9.4150000000000009</v>
      </c>
      <c r="V146" s="659">
        <f>R146</f>
        <v>8.1438100000000002</v>
      </c>
      <c r="W146" s="657">
        <f t="shared" si="63"/>
        <v>44.42568</v>
      </c>
    </row>
    <row r="147" spans="2:23">
      <c r="B147" s="915" t="s">
        <v>241</v>
      </c>
      <c r="C147" s="679">
        <f>'корпоративный баланс энергии'!J1221</f>
        <v>0.24506</v>
      </c>
      <c r="D147" s="667">
        <f>'корпоративный баланс энергии'!M1221</f>
        <v>0.18726999999999999</v>
      </c>
      <c r="E147" s="668">
        <f>'корпоративный баланс энергии'!P1221</f>
        <v>0.19692000000000001</v>
      </c>
      <c r="F147" s="663">
        <f t="shared" si="59"/>
        <v>0.62924999999999998</v>
      </c>
      <c r="G147" s="679">
        <f>'корпоративный баланс энергии'!S1221</f>
        <v>0.17963999999999999</v>
      </c>
      <c r="H147" s="667">
        <f>'корпоративный баланс энергии'!V1221</f>
        <v>0.18959999999999999</v>
      </c>
      <c r="I147" s="667">
        <f>'корпоративный баланс энергии'!Y1221</f>
        <v>0.18781999999999999</v>
      </c>
      <c r="J147" s="663">
        <f t="shared" si="60"/>
        <v>0.55706</v>
      </c>
      <c r="K147" s="679">
        <f>'корпоративный баланс энергии'!AB1221</f>
        <v>0.2</v>
      </c>
      <c r="L147" s="667">
        <f>'корпоративный баланс энергии'!AE1221</f>
        <v>0.18068000000000001</v>
      </c>
      <c r="M147" s="668">
        <f>'корпоративный баланс энергии'!AH1221</f>
        <v>9.6189999999999998E-2</v>
      </c>
      <c r="N147" s="663">
        <f t="shared" si="61"/>
        <v>0.47687000000000002</v>
      </c>
      <c r="O147" s="679">
        <f>'корпоративный баланс энергии'!AK1221</f>
        <v>0.10707</v>
      </c>
      <c r="P147" s="667">
        <f>'корпоративный баланс энергии'!AN1221</f>
        <v>0.19677</v>
      </c>
      <c r="Q147" s="668">
        <f>'корпоративный баланс энергии'!AQ1221</f>
        <v>0.29716999999999999</v>
      </c>
      <c r="R147" s="663">
        <f t="shared" si="62"/>
        <v>0.60101000000000004</v>
      </c>
      <c r="S147" s="664">
        <f>F147</f>
        <v>0.62924999999999998</v>
      </c>
      <c r="T147" s="665">
        <f>J147</f>
        <v>0.55706</v>
      </c>
      <c r="U147" s="665">
        <f>N147</f>
        <v>0.47687000000000002</v>
      </c>
      <c r="V147" s="665">
        <f>R147</f>
        <v>0.60101000000000004</v>
      </c>
      <c r="W147" s="666">
        <f>SUM(S147:V147)</f>
        <v>2.2641900000000001</v>
      </c>
    </row>
    <row r="148" spans="2:23">
      <c r="B148" s="783" t="s">
        <v>91</v>
      </c>
      <c r="C148" s="743">
        <f>C149</f>
        <v>36.821193700000002</v>
      </c>
      <c r="D148" s="743">
        <f>D149</f>
        <v>33.085617069999998</v>
      </c>
      <c r="E148" s="744">
        <f>E149</f>
        <v>43.053936</v>
      </c>
      <c r="F148" s="745">
        <f t="shared" si="59"/>
        <v>112.96074676999999</v>
      </c>
      <c r="G148" s="743">
        <f>G149</f>
        <v>65.195564270000006</v>
      </c>
      <c r="H148" s="743">
        <f>H149</f>
        <v>79.272575380000006</v>
      </c>
      <c r="I148" s="743">
        <f>I149</f>
        <v>65.326507570000004</v>
      </c>
      <c r="J148" s="745">
        <f t="shared" si="60"/>
        <v>209.79464722</v>
      </c>
      <c r="K148" s="743">
        <f>K149</f>
        <v>59.375583650000003</v>
      </c>
      <c r="L148" s="743">
        <f>L149</f>
        <v>57.895744319999999</v>
      </c>
      <c r="M148" s="744">
        <f>M149</f>
        <v>53.416412350000002</v>
      </c>
      <c r="N148" s="745">
        <f t="shared" si="61"/>
        <v>170.68774031999999</v>
      </c>
      <c r="O148" s="743">
        <f>O149</f>
        <v>52.748291020000003</v>
      </c>
      <c r="P148" s="743">
        <f>P149</f>
        <v>47.522838589999999</v>
      </c>
      <c r="Q148" s="744">
        <f>Q149</f>
        <v>39.157394410000002</v>
      </c>
      <c r="R148" s="745">
        <f t="shared" si="62"/>
        <v>139.42852402</v>
      </c>
      <c r="S148" s="746">
        <f>S149</f>
        <v>112.96074676999999</v>
      </c>
      <c r="T148" s="744">
        <f>T149</f>
        <v>209.79464722</v>
      </c>
      <c r="U148" s="744">
        <f>U149</f>
        <v>170.68774031999999</v>
      </c>
      <c r="V148" s="744">
        <f>V149</f>
        <v>139.42852402</v>
      </c>
      <c r="W148" s="747">
        <f t="shared" si="63"/>
        <v>632.87165832999995</v>
      </c>
    </row>
    <row r="149" spans="2:23">
      <c r="B149" s="776" t="s">
        <v>233</v>
      </c>
      <c r="C149" s="1082">
        <v>36.821193700000002</v>
      </c>
      <c r="D149" s="1083">
        <v>33.085617069999998</v>
      </c>
      <c r="E149" s="1084">
        <v>43.053936</v>
      </c>
      <c r="F149" s="661">
        <f t="shared" si="59"/>
        <v>112.96074676999999</v>
      </c>
      <c r="G149" s="1082">
        <v>65.195564270000006</v>
      </c>
      <c r="H149" s="1083">
        <v>79.272575380000006</v>
      </c>
      <c r="I149" s="1084">
        <v>65.326507570000004</v>
      </c>
      <c r="J149" s="661">
        <f t="shared" si="60"/>
        <v>209.79464722</v>
      </c>
      <c r="K149" s="1082">
        <v>59.375583650000003</v>
      </c>
      <c r="L149" s="1083">
        <v>57.895744319999999</v>
      </c>
      <c r="M149" s="1084">
        <v>53.416412350000002</v>
      </c>
      <c r="N149" s="661">
        <f t="shared" si="61"/>
        <v>170.68774031999999</v>
      </c>
      <c r="O149" s="1082">
        <v>52.748291020000003</v>
      </c>
      <c r="P149" s="1083">
        <v>47.522838589999999</v>
      </c>
      <c r="Q149" s="1084">
        <v>39.157394410000002</v>
      </c>
      <c r="R149" s="661">
        <f t="shared" si="62"/>
        <v>139.42852402</v>
      </c>
      <c r="S149" s="673">
        <f>F149</f>
        <v>112.96074676999999</v>
      </c>
      <c r="T149" s="674">
        <f>J149</f>
        <v>209.79464722</v>
      </c>
      <c r="U149" s="674">
        <f>N149</f>
        <v>170.68774031999999</v>
      </c>
      <c r="V149" s="674">
        <f>R149</f>
        <v>139.42852402</v>
      </c>
      <c r="W149" s="662">
        <f t="shared" si="63"/>
        <v>632.87165832999995</v>
      </c>
    </row>
    <row r="150" spans="2:23">
      <c r="B150" s="783" t="s">
        <v>823</v>
      </c>
      <c r="C150" s="743">
        <f>SUM(C151:C158)</f>
        <v>20.940732337512074</v>
      </c>
      <c r="D150" s="743">
        <f>SUM(D151:D158)</f>
        <v>16.190233316883443</v>
      </c>
      <c r="E150" s="744">
        <f>SUM(E151:E158)</f>
        <v>21.148648780450227</v>
      </c>
      <c r="F150" s="745">
        <f t="shared" si="59"/>
        <v>58.27961443484574</v>
      </c>
      <c r="G150" s="743">
        <f>SUM(G151:G158)</f>
        <v>40.809590046435595</v>
      </c>
      <c r="H150" s="743">
        <f>SUM(H151:H158)</f>
        <v>97.333618087366219</v>
      </c>
      <c r="I150" s="743">
        <f>SUM(I151:I158)</f>
        <v>143.90741534754633</v>
      </c>
      <c r="J150" s="745">
        <f t="shared" si="60"/>
        <v>282.05062348134811</v>
      </c>
      <c r="K150" s="743">
        <f>SUM(K151:K158)</f>
        <v>119.16506368908287</v>
      </c>
      <c r="L150" s="743">
        <f>SUM(L151:L158)</f>
        <v>101.62625113449992</v>
      </c>
      <c r="M150" s="744">
        <f>SUM(M151:M158)</f>
        <v>70.847877285063262</v>
      </c>
      <c r="N150" s="745">
        <f t="shared" si="61"/>
        <v>291.63919210864606</v>
      </c>
      <c r="O150" s="743">
        <f>SUM(O151:O158)</f>
        <v>30.120735513299707</v>
      </c>
      <c r="P150" s="743">
        <f>SUM(P151:P158)</f>
        <v>21.120562589094046</v>
      </c>
      <c r="Q150" s="744">
        <f>SUM(Q151:Q158)</f>
        <v>15.971943717837334</v>
      </c>
      <c r="R150" s="745">
        <f t="shared" si="62"/>
        <v>67.21324182023109</v>
      </c>
      <c r="S150" s="746">
        <f>SUM(S151:S158)</f>
        <v>58.279614434845747</v>
      </c>
      <c r="T150" s="744">
        <f>SUM(T151:T158)</f>
        <v>282.05062348134817</v>
      </c>
      <c r="U150" s="744">
        <f>SUM(U151:U158)</f>
        <v>291.63919210864606</v>
      </c>
      <c r="V150" s="744">
        <f>SUM(V151:V158)</f>
        <v>67.213241820231076</v>
      </c>
      <c r="W150" s="747">
        <f t="shared" si="63"/>
        <v>699.18267184507113</v>
      </c>
    </row>
    <row r="151" spans="2:23">
      <c r="B151" s="636" t="s">
        <v>694</v>
      </c>
      <c r="C151" s="1088">
        <v>4.3</v>
      </c>
      <c r="D151" s="1089">
        <v>0</v>
      </c>
      <c r="E151" s="1094">
        <v>6.4</v>
      </c>
      <c r="F151" s="654">
        <f t="shared" si="59"/>
        <v>10.7</v>
      </c>
      <c r="G151" s="1088">
        <v>18</v>
      </c>
      <c r="H151" s="1089">
        <v>30</v>
      </c>
      <c r="I151" s="1094">
        <v>30</v>
      </c>
      <c r="J151" s="654">
        <f t="shared" si="60"/>
        <v>78</v>
      </c>
      <c r="K151" s="1088">
        <v>27</v>
      </c>
      <c r="L151" s="1089">
        <v>30</v>
      </c>
      <c r="M151" s="1094">
        <v>20</v>
      </c>
      <c r="N151" s="654">
        <f t="shared" si="61"/>
        <v>77</v>
      </c>
      <c r="O151" s="1088">
        <v>0</v>
      </c>
      <c r="P151" s="1089">
        <v>0</v>
      </c>
      <c r="Q151" s="1094">
        <v>0</v>
      </c>
      <c r="R151" s="654">
        <f t="shared" si="62"/>
        <v>0</v>
      </c>
      <c r="S151" s="658">
        <f t="shared" ref="S151:S158" si="98">F151</f>
        <v>10.7</v>
      </c>
      <c r="T151" s="659">
        <f t="shared" ref="T151:T158" si="99">J151</f>
        <v>78</v>
      </c>
      <c r="U151" s="659">
        <f t="shared" ref="U151:U158" si="100">N151</f>
        <v>77</v>
      </c>
      <c r="V151" s="659">
        <f t="shared" ref="V151:V158" si="101">R151</f>
        <v>0</v>
      </c>
      <c r="W151" s="657">
        <f t="shared" si="63"/>
        <v>165.7</v>
      </c>
    </row>
    <row r="152" spans="2:23">
      <c r="B152" s="636" t="s">
        <v>824</v>
      </c>
      <c r="C152" s="1090">
        <v>1</v>
      </c>
      <c r="D152" s="1091">
        <v>0.9</v>
      </c>
      <c r="E152" s="1095">
        <v>0.75</v>
      </c>
      <c r="F152" s="654">
        <f t="shared" si="59"/>
        <v>2.65</v>
      </c>
      <c r="G152" s="1090">
        <v>0.45</v>
      </c>
      <c r="H152" s="1091">
        <v>1.1000000000000001</v>
      </c>
      <c r="I152" s="1095">
        <v>6.5</v>
      </c>
      <c r="J152" s="654">
        <f t="shared" si="60"/>
        <v>8.0500000000000007</v>
      </c>
      <c r="K152" s="1090">
        <v>8</v>
      </c>
      <c r="L152" s="1091">
        <v>8</v>
      </c>
      <c r="M152" s="1095">
        <v>4</v>
      </c>
      <c r="N152" s="654">
        <f t="shared" si="61"/>
        <v>20</v>
      </c>
      <c r="O152" s="1090">
        <v>3.4</v>
      </c>
      <c r="P152" s="1091">
        <v>1.7</v>
      </c>
      <c r="Q152" s="1095">
        <v>1.4</v>
      </c>
      <c r="R152" s="654">
        <f t="shared" si="62"/>
        <v>6.5</v>
      </c>
      <c r="S152" s="658">
        <f t="shared" si="98"/>
        <v>2.65</v>
      </c>
      <c r="T152" s="659">
        <f t="shared" si="99"/>
        <v>8.0500000000000007</v>
      </c>
      <c r="U152" s="659">
        <f t="shared" si="100"/>
        <v>20</v>
      </c>
      <c r="V152" s="659">
        <f t="shared" si="101"/>
        <v>6.5</v>
      </c>
      <c r="W152" s="657">
        <f t="shared" si="63"/>
        <v>37.200000000000003</v>
      </c>
    </row>
    <row r="153" spans="2:23">
      <c r="B153" s="636" t="s">
        <v>825</v>
      </c>
      <c r="C153" s="1092">
        <v>1</v>
      </c>
      <c r="D153" s="1093">
        <v>0.9</v>
      </c>
      <c r="E153" s="1096">
        <v>1</v>
      </c>
      <c r="F153" s="654">
        <f t="shared" si="59"/>
        <v>2.9</v>
      </c>
      <c r="G153" s="1092">
        <v>2</v>
      </c>
      <c r="H153" s="1093">
        <v>4.5</v>
      </c>
      <c r="I153" s="1096">
        <v>5.5</v>
      </c>
      <c r="J153" s="654">
        <f t="shared" si="60"/>
        <v>12</v>
      </c>
      <c r="K153" s="1092">
        <v>5.7</v>
      </c>
      <c r="L153" s="1093">
        <v>5.0999999999999996</v>
      </c>
      <c r="M153" s="1096">
        <v>4</v>
      </c>
      <c r="N153" s="654">
        <f t="shared" si="61"/>
        <v>14.8</v>
      </c>
      <c r="O153" s="1092">
        <v>0</v>
      </c>
      <c r="P153" s="1093">
        <v>1.3</v>
      </c>
      <c r="Q153" s="1096">
        <v>1</v>
      </c>
      <c r="R153" s="654">
        <f t="shared" si="62"/>
        <v>2.2999999999999998</v>
      </c>
      <c r="S153" s="658">
        <f t="shared" si="98"/>
        <v>2.9</v>
      </c>
      <c r="T153" s="659">
        <f t="shared" si="99"/>
        <v>12</v>
      </c>
      <c r="U153" s="659">
        <f t="shared" si="100"/>
        <v>14.8</v>
      </c>
      <c r="V153" s="659">
        <f t="shared" si="101"/>
        <v>2.2999999999999998</v>
      </c>
      <c r="W153" s="657">
        <f t="shared" si="63"/>
        <v>32</v>
      </c>
    </row>
    <row r="154" spans="2:23">
      <c r="B154" s="914" t="s">
        <v>826</v>
      </c>
      <c r="C154" s="660">
        <f>'корпоративный баланс энергии'!J1327</f>
        <v>7.7103354968130589E-2</v>
      </c>
      <c r="D154" s="648">
        <f>'корпоративный баланс энергии'!M1327</f>
        <v>6.3602855429053307E-2</v>
      </c>
      <c r="E154" s="649">
        <f>'корпоративный баланс энергии'!P1327</f>
        <v>8.6883639916777611E-2</v>
      </c>
      <c r="F154" s="646">
        <f t="shared" si="59"/>
        <v>0.22758985031396151</v>
      </c>
      <c r="G154" s="660">
        <f>'корпоративный баланс энергии'!S1327</f>
        <v>0.10668935254216194</v>
      </c>
      <c r="H154" s="648">
        <f>'корпоративный баланс энергии'!V1327</f>
        <v>8.0411570146679878E-2</v>
      </c>
      <c r="I154" s="648">
        <f>'корпоративный баланс энергии'!Y1327</f>
        <v>6.2620859593153E-2</v>
      </c>
      <c r="J154" s="646">
        <f t="shared" si="60"/>
        <v>0.24972178228199482</v>
      </c>
      <c r="K154" s="660">
        <f>'корпоративный баланс энергии'!AB1327</f>
        <v>6.1050500720739365E-2</v>
      </c>
      <c r="L154" s="648">
        <f>'корпоративный баланс энергии'!AE1327</f>
        <v>6.5627073869109154E-2</v>
      </c>
      <c r="M154" s="649">
        <f>'корпоративный баланс энергии'!AH1327</f>
        <v>7.6549924910068512E-2</v>
      </c>
      <c r="N154" s="646">
        <f t="shared" si="61"/>
        <v>0.20322749949991703</v>
      </c>
      <c r="O154" s="660">
        <f>'корпоративный баланс энергии'!AK1327</f>
        <v>7.9155143350362778E-2</v>
      </c>
      <c r="P154" s="648">
        <f>'корпоративный баланс энергии'!AN1327</f>
        <v>7.0895714685320854E-2</v>
      </c>
      <c r="Q154" s="649">
        <f>'корпоративный баланс энергии'!AQ1327</f>
        <v>8.9792355895042419E-2</v>
      </c>
      <c r="R154" s="646">
        <f t="shared" si="62"/>
        <v>0.23984321393072605</v>
      </c>
      <c r="S154" s="650">
        <f t="shared" si="98"/>
        <v>0.22758985031396151</v>
      </c>
      <c r="T154" s="651">
        <f t="shared" si="99"/>
        <v>0.24972178228199482</v>
      </c>
      <c r="U154" s="651">
        <f t="shared" si="100"/>
        <v>0.20322749949991703</v>
      </c>
      <c r="V154" s="651">
        <f t="shared" si="101"/>
        <v>0.23984321393072605</v>
      </c>
      <c r="W154" s="647">
        <f t="shared" si="63"/>
        <v>0.92038234602659941</v>
      </c>
    </row>
    <row r="155" spans="2:23">
      <c r="B155" s="914" t="s">
        <v>697</v>
      </c>
      <c r="C155" s="660">
        <f>'корпоративный баланс энергии'!J1329</f>
        <v>0.58308422565460205</v>
      </c>
      <c r="D155" s="648">
        <f>'корпоративный баланс энергии'!M1329</f>
        <v>0.46490475535392761</v>
      </c>
      <c r="E155" s="649">
        <f>'корпоративный баланс энергии'!P1329</f>
        <v>0.5</v>
      </c>
      <c r="F155" s="646">
        <f t="shared" si="59"/>
        <v>1.5479889810085297</v>
      </c>
      <c r="G155" s="660">
        <f>'корпоративный баланс энергии'!S1329</f>
        <v>1.7131091356277466</v>
      </c>
      <c r="H155" s="648">
        <f>'корпоративный баланс энергии'!V1329</f>
        <v>5.7758536338806152</v>
      </c>
      <c r="I155" s="648">
        <f>'корпоративный баланс энергии'!Y1329</f>
        <v>7.5737643241882324</v>
      </c>
      <c r="J155" s="646">
        <f t="shared" si="60"/>
        <v>15.062727093696594</v>
      </c>
      <c r="K155" s="660">
        <f>'корпоративный баланс энергии'!AB1329</f>
        <v>5.9405460357666016</v>
      </c>
      <c r="L155" s="648">
        <f>'корпоративный баланс энергии'!AE1329</f>
        <v>3.2080912590026855</v>
      </c>
      <c r="M155" s="649">
        <f>'корпоративный баланс энергии'!AH1329</f>
        <v>2.147669792175293</v>
      </c>
      <c r="N155" s="646">
        <f t="shared" si="61"/>
        <v>11.29630708694458</v>
      </c>
      <c r="O155" s="660">
        <f>'корпоративный баланс энергии'!AK1329</f>
        <v>1.2861151695251465</v>
      </c>
      <c r="P155" s="648">
        <f>'корпоративный баланс энергии'!AN1329</f>
        <v>0.82879847288131714</v>
      </c>
      <c r="Q155" s="649">
        <f>'корпоративный баланс энергии'!AQ1329</f>
        <v>0.59479838609695435</v>
      </c>
      <c r="R155" s="646">
        <f t="shared" si="62"/>
        <v>2.709712028503418</v>
      </c>
      <c r="S155" s="650">
        <f t="shared" si="98"/>
        <v>1.5479889810085297</v>
      </c>
      <c r="T155" s="651">
        <f t="shared" si="99"/>
        <v>15.062727093696594</v>
      </c>
      <c r="U155" s="651">
        <f t="shared" si="100"/>
        <v>11.29630708694458</v>
      </c>
      <c r="V155" s="651">
        <f t="shared" si="101"/>
        <v>2.709712028503418</v>
      </c>
      <c r="W155" s="647">
        <f t="shared" si="63"/>
        <v>30.616735190153122</v>
      </c>
    </row>
    <row r="156" spans="2:23">
      <c r="B156" s="914" t="s">
        <v>1271</v>
      </c>
      <c r="C156" s="660">
        <f>'корпоративный баланс энергии'!J1330</f>
        <v>12.374000000000001</v>
      </c>
      <c r="D156" s="648">
        <f>'корпоративный баланс энергии'!M1330</f>
        <v>12.374000000000001</v>
      </c>
      <c r="E156" s="649">
        <f>'корпоративный баланс энергии'!P1330</f>
        <v>11.819000000000001</v>
      </c>
      <c r="F156" s="646">
        <f t="shared" ref="F156" si="102">SUM(C156:E156)</f>
        <v>36.567</v>
      </c>
      <c r="G156" s="660">
        <f>'корпоративный баланс энергии'!S1330</f>
        <v>16.898</v>
      </c>
      <c r="H156" s="648">
        <f>'корпоративный баланс энергии'!V1330</f>
        <v>53.927</v>
      </c>
      <c r="I156" s="648">
        <f>'корпоративный баланс энергии'!Y1330</f>
        <v>92.34</v>
      </c>
      <c r="J156" s="646">
        <f t="shared" ref="J156" si="103">SUM(G156:I156)</f>
        <v>163.16500000000002</v>
      </c>
      <c r="K156" s="660">
        <f>'корпоративный баланс энергии'!AB1330</f>
        <v>70.548000000000002</v>
      </c>
      <c r="L156" s="648">
        <f>'корпоративный баланс энергии'!AE1330</f>
        <v>53.2</v>
      </c>
      <c r="M156" s="649">
        <f>'корпоративный баланс энергии'!AH1330</f>
        <v>38.783000000000001</v>
      </c>
      <c r="N156" s="646">
        <f t="shared" ref="N156" si="104">SUM(K156:M156)</f>
        <v>162.53100000000001</v>
      </c>
      <c r="O156" s="660">
        <f>'корпоративный баланс энергии'!AK1330</f>
        <v>23.452999999999999</v>
      </c>
      <c r="P156" s="648">
        <f>'корпоративный баланс энергии'!AN1330</f>
        <v>15.255000000000001</v>
      </c>
      <c r="Q156" s="649">
        <f>'корпоративный баланс энергии'!AQ1330</f>
        <v>11.079000000000001</v>
      </c>
      <c r="R156" s="646">
        <f t="shared" ref="R156" si="105">SUM(O156:Q156)</f>
        <v>49.786999999999999</v>
      </c>
      <c r="S156" s="650">
        <f t="shared" ref="S156" si="106">F156</f>
        <v>36.567</v>
      </c>
      <c r="T156" s="651">
        <f t="shared" ref="T156" si="107">J156</f>
        <v>163.16500000000002</v>
      </c>
      <c r="U156" s="651">
        <f t="shared" ref="U156" si="108">N156</f>
        <v>162.53100000000001</v>
      </c>
      <c r="V156" s="651">
        <f t="shared" ref="V156" si="109">R156</f>
        <v>49.786999999999999</v>
      </c>
      <c r="W156" s="647">
        <f t="shared" ref="W156" si="110">SUM(S156:V156)</f>
        <v>412.05</v>
      </c>
    </row>
    <row r="157" spans="2:23">
      <c r="B157" s="914" t="s">
        <v>827</v>
      </c>
      <c r="C157" s="660">
        <f>'корпоративный баланс энергии'!J1328</f>
        <v>0.27500000000000002</v>
      </c>
      <c r="D157" s="648">
        <f>'корпоративный баланс энергии'!M1328</f>
        <v>0.22</v>
      </c>
      <c r="E157" s="649">
        <f>'корпоративный баланс энергии'!P1328</f>
        <v>0.3</v>
      </c>
      <c r="F157" s="646">
        <f t="shared" si="59"/>
        <v>0.79499999999999993</v>
      </c>
      <c r="G157" s="660">
        <f>'корпоративный баланс энергии'!S1328</f>
        <v>0.6</v>
      </c>
      <c r="H157" s="648">
        <f>'корпоративный баланс энергии'!V1328</f>
        <v>0.6</v>
      </c>
      <c r="I157" s="648">
        <f>'корпоративный баланс энергии'!Y1328</f>
        <v>0.76</v>
      </c>
      <c r="J157" s="646">
        <f t="shared" si="60"/>
        <v>1.96</v>
      </c>
      <c r="K157" s="660">
        <f>'корпоративный баланс энергии'!AB1328</f>
        <v>0.76</v>
      </c>
      <c r="L157" s="648">
        <f>'корпоративный баланс энергии'!AE1328</f>
        <v>0.76</v>
      </c>
      <c r="M157" s="649">
        <f>'корпоративный баланс энергии'!AH1328</f>
        <v>0.6</v>
      </c>
      <c r="N157" s="646">
        <f t="shared" si="61"/>
        <v>2.12</v>
      </c>
      <c r="O157" s="660">
        <f>'корпоративный баланс энергии'!AK1328</f>
        <v>0.6</v>
      </c>
      <c r="P157" s="648">
        <f>'корпоративный баланс энергии'!AN1328</f>
        <v>0.55000000000000004</v>
      </c>
      <c r="Q157" s="649">
        <f>'корпоративный баланс энергии'!AQ1328</f>
        <v>0.40500000000000003</v>
      </c>
      <c r="R157" s="646">
        <f t="shared" si="62"/>
        <v>1.5549999999999999</v>
      </c>
      <c r="S157" s="650">
        <f t="shared" si="98"/>
        <v>0.79499999999999993</v>
      </c>
      <c r="T157" s="651">
        <f t="shared" si="99"/>
        <v>1.96</v>
      </c>
      <c r="U157" s="651">
        <f t="shared" si="100"/>
        <v>2.12</v>
      </c>
      <c r="V157" s="651">
        <f t="shared" si="101"/>
        <v>1.5549999999999999</v>
      </c>
      <c r="W157" s="647">
        <f t="shared" si="63"/>
        <v>6.43</v>
      </c>
    </row>
    <row r="158" spans="2:23">
      <c r="B158" s="915" t="s">
        <v>828</v>
      </c>
      <c r="C158" s="679">
        <f>'корпоративный баланс энергии'!J1331</f>
        <v>1.3315447568893433</v>
      </c>
      <c r="D158" s="667">
        <f>'корпоративный баланс энергии'!M1331</f>
        <v>1.2677257061004639</v>
      </c>
      <c r="E158" s="668">
        <f>'корпоративный баланс энергии'!P1331</f>
        <v>0.29276514053344727</v>
      </c>
      <c r="F158" s="663">
        <f t="shared" si="59"/>
        <v>2.8920356035232544</v>
      </c>
      <c r="G158" s="679">
        <f>'корпоративный баланс энергии'!S1331</f>
        <v>1.041791558265686</v>
      </c>
      <c r="H158" s="667">
        <f>'корпоративный баланс энергии'!V1331</f>
        <v>1.3503528833389282</v>
      </c>
      <c r="I158" s="667">
        <f>'корпоративный баланс энергии'!Y1331</f>
        <v>1.1710301637649536</v>
      </c>
      <c r="J158" s="663">
        <f t="shared" si="60"/>
        <v>3.5631746053695679</v>
      </c>
      <c r="K158" s="679">
        <f>'корпоративный баланс энергии'!AB1331</f>
        <v>1.15546715259552</v>
      </c>
      <c r="L158" s="667">
        <f>'корпоративный баланс энергии'!AE1331</f>
        <v>1.2925328016281128</v>
      </c>
      <c r="M158" s="668">
        <f>'корпоративный баланс энергии'!AH1331</f>
        <v>1.2406575679779053</v>
      </c>
      <c r="N158" s="663">
        <f t="shared" si="61"/>
        <v>3.6886575222015381</v>
      </c>
      <c r="O158" s="679">
        <f>'корпоративный баланс энергии'!AK1331</f>
        <v>1.3024652004241943</v>
      </c>
      <c r="P158" s="667">
        <f>'корпоративный баланс энергии'!AN1331</f>
        <v>1.4158684015274048</v>
      </c>
      <c r="Q158" s="668">
        <f>'корпоративный баланс энергии'!AQ1331</f>
        <v>1.4033529758453369</v>
      </c>
      <c r="R158" s="663">
        <f t="shared" si="62"/>
        <v>4.121686577796936</v>
      </c>
      <c r="S158" s="664">
        <f t="shared" si="98"/>
        <v>2.8920356035232544</v>
      </c>
      <c r="T158" s="665">
        <f t="shared" si="99"/>
        <v>3.5631746053695679</v>
      </c>
      <c r="U158" s="665">
        <f t="shared" si="100"/>
        <v>3.6886575222015381</v>
      </c>
      <c r="V158" s="665">
        <f t="shared" si="101"/>
        <v>4.121686577796936</v>
      </c>
      <c r="W158" s="666">
        <f t="shared" si="63"/>
        <v>14.265554308891296</v>
      </c>
    </row>
    <row r="159" spans="2:23">
      <c r="B159" s="783" t="s">
        <v>92</v>
      </c>
      <c r="C159" s="743">
        <f>C160+C171</f>
        <v>62.186</v>
      </c>
      <c r="D159" s="743">
        <f>D160+D171</f>
        <v>59.157000000000011</v>
      </c>
      <c r="E159" s="744">
        <f>E160+E171</f>
        <v>71.878999999999991</v>
      </c>
      <c r="F159" s="745">
        <f t="shared" si="59"/>
        <v>193.22200000000001</v>
      </c>
      <c r="G159" s="743">
        <f>G160+G171</f>
        <v>112.242</v>
      </c>
      <c r="H159" s="743">
        <f>H160+H171</f>
        <v>177.05699999999999</v>
      </c>
      <c r="I159" s="744">
        <f>I160+I171</f>
        <v>205.06299999999996</v>
      </c>
      <c r="J159" s="745">
        <f t="shared" si="60"/>
        <v>494.36199999999997</v>
      </c>
      <c r="K159" s="743">
        <f>K160+K171</f>
        <v>204.99200000000002</v>
      </c>
      <c r="L159" s="743">
        <f>L160+L171</f>
        <v>184.964</v>
      </c>
      <c r="M159" s="744">
        <f>M160+M171</f>
        <v>141.30500000000001</v>
      </c>
      <c r="N159" s="745">
        <f t="shared" si="61"/>
        <v>531.26099999999997</v>
      </c>
      <c r="O159" s="743">
        <f>O160+O171</f>
        <v>103.06799999999998</v>
      </c>
      <c r="P159" s="743">
        <f>P160+P171</f>
        <v>73.647000000000006</v>
      </c>
      <c r="Q159" s="744">
        <f>Q160+Q171</f>
        <v>68.518000000000015</v>
      </c>
      <c r="R159" s="745">
        <f t="shared" si="62"/>
        <v>245.233</v>
      </c>
      <c r="S159" s="746">
        <f>S160+S171</f>
        <v>193.22200000000001</v>
      </c>
      <c r="T159" s="744">
        <f>T160+T171</f>
        <v>494.36199999999997</v>
      </c>
      <c r="U159" s="744">
        <f t="shared" ref="U159:V159" si="111">U160+U171</f>
        <v>531.26100000000008</v>
      </c>
      <c r="V159" s="744">
        <f t="shared" si="111"/>
        <v>245.23299999999998</v>
      </c>
      <c r="W159" s="747">
        <f t="shared" si="63"/>
        <v>1464.078</v>
      </c>
    </row>
    <row r="160" spans="2:23">
      <c r="B160" s="916" t="s">
        <v>471</v>
      </c>
      <c r="C160" s="652">
        <f>SUM(C161:C170)</f>
        <v>61.496000000000002</v>
      </c>
      <c r="D160" s="652">
        <f>SUM(D161:D170)</f>
        <v>58.487000000000009</v>
      </c>
      <c r="E160" s="653">
        <f>SUM(E161:E170)</f>
        <v>71.138999999999996</v>
      </c>
      <c r="F160" s="654">
        <f t="shared" si="59"/>
        <v>191.12200000000001</v>
      </c>
      <c r="G160" s="652">
        <f>SUM(G161:G170)</f>
        <v>110.562</v>
      </c>
      <c r="H160" s="652">
        <f>SUM(H161:H170)</f>
        <v>174.49699999999999</v>
      </c>
      <c r="I160" s="652">
        <f>SUM(I161:I170)</f>
        <v>201.89299999999997</v>
      </c>
      <c r="J160" s="654">
        <f t="shared" si="60"/>
        <v>486.95199999999994</v>
      </c>
      <c r="K160" s="652">
        <f>SUM(K161:K170)</f>
        <v>202.05200000000002</v>
      </c>
      <c r="L160" s="652">
        <f>SUM(L161:L170)</f>
        <v>182.25399999999999</v>
      </c>
      <c r="M160" s="653">
        <f>SUM(M161:M170)</f>
        <v>139.465</v>
      </c>
      <c r="N160" s="654">
        <f t="shared" si="61"/>
        <v>523.77100000000007</v>
      </c>
      <c r="O160" s="652">
        <f>SUM(O161:O170)</f>
        <v>101.71799999999999</v>
      </c>
      <c r="P160" s="652">
        <f>SUM(P161:P170)</f>
        <v>72.477000000000004</v>
      </c>
      <c r="Q160" s="653">
        <f>SUM(Q161:Q170)</f>
        <v>67.478000000000009</v>
      </c>
      <c r="R160" s="654">
        <f t="shared" si="62"/>
        <v>241.673</v>
      </c>
      <c r="S160" s="672">
        <f>SUM(S161:S170)</f>
        <v>191.12200000000001</v>
      </c>
      <c r="T160" s="653">
        <f>SUM(T161:T170)</f>
        <v>486.95199999999994</v>
      </c>
      <c r="U160" s="653">
        <f>SUM(U161:U170)</f>
        <v>523.77100000000007</v>
      </c>
      <c r="V160" s="653">
        <f>SUM(V161:V170)</f>
        <v>241.67299999999997</v>
      </c>
      <c r="W160" s="657">
        <f t="shared" si="63"/>
        <v>1443.518</v>
      </c>
    </row>
    <row r="161" spans="2:23">
      <c r="B161" s="914" t="s">
        <v>701</v>
      </c>
      <c r="C161" s="648">
        <f>'корпоративный баланс энергии'!J1346</f>
        <v>0</v>
      </c>
      <c r="D161" s="648">
        <f>'корпоративный баланс энергии'!M1346</f>
        <v>0</v>
      </c>
      <c r="E161" s="649">
        <f>'корпоративный баланс энергии'!P1346</f>
        <v>0</v>
      </c>
      <c r="F161" s="646">
        <f t="shared" si="59"/>
        <v>0</v>
      </c>
      <c r="G161" s="648">
        <f>'корпоративный баланс энергии'!S1346</f>
        <v>0</v>
      </c>
      <c r="H161" s="648">
        <f>'корпоративный баланс энергии'!V1346</f>
        <v>3.5209999999999999</v>
      </c>
      <c r="I161" s="648">
        <f>'корпоративный баланс энергии'!Y1346</f>
        <v>4.1029999999999998</v>
      </c>
      <c r="J161" s="646">
        <f t="shared" si="60"/>
        <v>7.6239999999999997</v>
      </c>
      <c r="K161" s="648">
        <f>'корпоративный баланс энергии'!AB1346</f>
        <v>1.0589999999999999</v>
      </c>
      <c r="L161" s="648">
        <f>'корпоративный баланс энергии'!AE1346</f>
        <v>1.071</v>
      </c>
      <c r="M161" s="649">
        <f>'корпоративный баланс энергии'!AH1346</f>
        <v>0</v>
      </c>
      <c r="N161" s="646">
        <f t="shared" si="61"/>
        <v>2.13</v>
      </c>
      <c r="O161" s="648">
        <f>'корпоративный баланс энергии'!AK1346</f>
        <v>0</v>
      </c>
      <c r="P161" s="648">
        <f>'корпоративный баланс энергии'!AN1346</f>
        <v>0</v>
      </c>
      <c r="Q161" s="649">
        <f>'корпоративный баланс энергии'!AQ1346</f>
        <v>0</v>
      </c>
      <c r="R161" s="646">
        <f t="shared" si="62"/>
        <v>0</v>
      </c>
      <c r="S161" s="650">
        <f t="shared" ref="S161:S170" si="112">F161</f>
        <v>0</v>
      </c>
      <c r="T161" s="651">
        <f t="shared" ref="T161:T170" si="113">J161</f>
        <v>7.6239999999999997</v>
      </c>
      <c r="U161" s="651">
        <f t="shared" ref="U161:U170" si="114">N161</f>
        <v>2.13</v>
      </c>
      <c r="V161" s="651">
        <f t="shared" ref="V161:V170" si="115">R161</f>
        <v>0</v>
      </c>
      <c r="W161" s="647">
        <f t="shared" si="63"/>
        <v>9.7539999999999996</v>
      </c>
    </row>
    <row r="162" spans="2:23">
      <c r="B162" s="914" t="s">
        <v>702</v>
      </c>
      <c r="C162" s="648">
        <f>'корпоративный баланс энергии'!J1347</f>
        <v>8.82</v>
      </c>
      <c r="D162" s="648">
        <f>'корпоративный баланс энергии'!M1347</f>
        <v>8.2319999999999993</v>
      </c>
      <c r="E162" s="649">
        <f>'корпоративный баланс энергии'!P1347</f>
        <v>9.4079999999999995</v>
      </c>
      <c r="F162" s="646">
        <f t="shared" si="59"/>
        <v>26.46</v>
      </c>
      <c r="G162" s="648">
        <f>'корпоративный баланс энергии'!S1347</f>
        <v>13.07</v>
      </c>
      <c r="H162" s="648">
        <f>'корпоративный баланс энергии'!V1347</f>
        <v>25.358000000000001</v>
      </c>
      <c r="I162" s="648">
        <f>'корпоративный баланс энергии'!Y1347</f>
        <v>25.972999999999999</v>
      </c>
      <c r="J162" s="646">
        <f t="shared" si="60"/>
        <v>64.400999999999996</v>
      </c>
      <c r="K162" s="648">
        <f>'корпоративный баланс энергии'!AB1347</f>
        <v>26.446000000000002</v>
      </c>
      <c r="L162" s="648">
        <f>'корпоративный баланс энергии'!AE1347</f>
        <v>25.297999999999998</v>
      </c>
      <c r="M162" s="649">
        <f>'корпоративный баланс энергии'!AH1347</f>
        <v>20.329999999999998</v>
      </c>
      <c r="N162" s="646">
        <f t="shared" si="61"/>
        <v>72.073999999999998</v>
      </c>
      <c r="O162" s="648">
        <f>'корпоративный баланс энергии'!AK1347</f>
        <v>13.382</v>
      </c>
      <c r="P162" s="648">
        <f>'корпоративный баланс энергии'!AN1347</f>
        <v>9.9580000000000002</v>
      </c>
      <c r="Q162" s="649">
        <f>'корпоративный баланс энергии'!AQ1347</f>
        <v>9.5839999999999996</v>
      </c>
      <c r="R162" s="646">
        <f t="shared" si="62"/>
        <v>32.923999999999999</v>
      </c>
      <c r="S162" s="650">
        <f t="shared" si="112"/>
        <v>26.46</v>
      </c>
      <c r="T162" s="651">
        <f t="shared" si="113"/>
        <v>64.400999999999996</v>
      </c>
      <c r="U162" s="651">
        <f t="shared" si="114"/>
        <v>72.073999999999998</v>
      </c>
      <c r="V162" s="651">
        <f t="shared" si="115"/>
        <v>32.923999999999999</v>
      </c>
      <c r="W162" s="647">
        <f t="shared" si="63"/>
        <v>195.85900000000001</v>
      </c>
    </row>
    <row r="163" spans="2:23">
      <c r="B163" s="914" t="s">
        <v>703</v>
      </c>
      <c r="C163" s="648">
        <f>'корпоративный баланс энергии'!J1348</f>
        <v>22.32</v>
      </c>
      <c r="D163" s="648">
        <f>'корпоративный баланс энергии'!M1348</f>
        <v>20.832000000000001</v>
      </c>
      <c r="E163" s="649">
        <f>'корпоративный баланс энергии'!P1348</f>
        <v>23.808</v>
      </c>
      <c r="F163" s="646">
        <f t="shared" si="59"/>
        <v>66.960000000000008</v>
      </c>
      <c r="G163" s="648">
        <f>'корпоративный баланс энергии'!S1348</f>
        <v>36</v>
      </c>
      <c r="H163" s="648">
        <f>'корпоративный баланс энергии'!V1348</f>
        <v>65.471999999999994</v>
      </c>
      <c r="I163" s="648">
        <f>'корпоративный баланс энергии'!Y1348</f>
        <v>79.918999999999997</v>
      </c>
      <c r="J163" s="646">
        <f t="shared" si="60"/>
        <v>181.39099999999999</v>
      </c>
      <c r="K163" s="648">
        <f>'корпоративный баланс энергии'!AB1348</f>
        <v>81.838999999999999</v>
      </c>
      <c r="L163" s="648">
        <f>'корпоративный баланс энергии'!AE1348</f>
        <v>72.912000000000006</v>
      </c>
      <c r="M163" s="649">
        <f>'корпоративный баланс энергии'!AH1348</f>
        <v>51.84</v>
      </c>
      <c r="N163" s="646">
        <f t="shared" si="61"/>
        <v>206.59100000000001</v>
      </c>
      <c r="O163" s="648">
        <f>'корпоративный баланс энергии'!AK1348</f>
        <v>38.688000000000002</v>
      </c>
      <c r="P163" s="648">
        <f>'корпоративный баланс энергии'!AN1348</f>
        <v>25.2</v>
      </c>
      <c r="Q163" s="649">
        <f>'корпоративный баланс энергии'!AQ1348</f>
        <v>24.253</v>
      </c>
      <c r="R163" s="646">
        <f t="shared" si="62"/>
        <v>88.141000000000005</v>
      </c>
      <c r="S163" s="650">
        <f t="shared" si="112"/>
        <v>66.960000000000008</v>
      </c>
      <c r="T163" s="651">
        <f t="shared" si="113"/>
        <v>181.39099999999999</v>
      </c>
      <c r="U163" s="651">
        <f t="shared" si="114"/>
        <v>206.59100000000001</v>
      </c>
      <c r="V163" s="651">
        <f t="shared" si="115"/>
        <v>88.141000000000005</v>
      </c>
      <c r="W163" s="647">
        <f t="shared" si="63"/>
        <v>543.08299999999997</v>
      </c>
    </row>
    <row r="164" spans="2:23">
      <c r="B164" s="914" t="s">
        <v>704</v>
      </c>
      <c r="C164" s="648">
        <f>'корпоративный баланс энергии'!J1349</f>
        <v>10.331</v>
      </c>
      <c r="D164" s="648">
        <f>'корпоративный баланс энергии'!M1349</f>
        <v>9.6769999999999996</v>
      </c>
      <c r="E164" s="649">
        <f>'корпоративный баланс энергии'!P1349</f>
        <v>10.714</v>
      </c>
      <c r="F164" s="646">
        <f t="shared" si="59"/>
        <v>30.722000000000001</v>
      </c>
      <c r="G164" s="648">
        <f>'корпоративный баланс энергии'!S1349</f>
        <v>17.774000000000001</v>
      </c>
      <c r="H164" s="648">
        <f>'корпоративный баланс энергии'!V1349</f>
        <v>24.870999999999999</v>
      </c>
      <c r="I164" s="648">
        <f>'корпоративный баланс энергии'!Y1349</f>
        <v>31.474</v>
      </c>
      <c r="J164" s="646">
        <f t="shared" si="60"/>
        <v>74.119</v>
      </c>
      <c r="K164" s="648">
        <f>'корпоративный баланс энергии'!AB1349</f>
        <v>30.61</v>
      </c>
      <c r="L164" s="648">
        <f>'корпоративный баланс энергии'!AE1349</f>
        <v>26.783999999999999</v>
      </c>
      <c r="M164" s="649">
        <f>'корпоративный баланс энергии'!AH1349</f>
        <v>21.106999999999999</v>
      </c>
      <c r="N164" s="646">
        <f t="shared" si="61"/>
        <v>78.501000000000005</v>
      </c>
      <c r="O164" s="648">
        <f>'корпоративный баланс энергии'!AK1349</f>
        <v>13.391999999999999</v>
      </c>
      <c r="P164" s="648">
        <f>'корпоративный баланс энергии'!AN1349</f>
        <v>11.849</v>
      </c>
      <c r="Q164" s="649">
        <f>'корпоративный баланс энергии'!AQ1349</f>
        <v>11.13</v>
      </c>
      <c r="R164" s="646">
        <f t="shared" si="62"/>
        <v>36.371000000000002</v>
      </c>
      <c r="S164" s="650">
        <f t="shared" si="112"/>
        <v>30.722000000000001</v>
      </c>
      <c r="T164" s="651">
        <f t="shared" si="113"/>
        <v>74.119</v>
      </c>
      <c r="U164" s="651">
        <f t="shared" si="114"/>
        <v>78.501000000000005</v>
      </c>
      <c r="V164" s="651">
        <f t="shared" si="115"/>
        <v>36.371000000000002</v>
      </c>
      <c r="W164" s="647">
        <f t="shared" si="63"/>
        <v>219.71300000000002</v>
      </c>
    </row>
    <row r="165" spans="2:23">
      <c r="B165" s="914" t="s">
        <v>705</v>
      </c>
      <c r="C165" s="648">
        <f>'корпоративный баланс энергии'!J1350</f>
        <v>9.2850000000000001</v>
      </c>
      <c r="D165" s="648">
        <f>'корпоративный баланс энергии'!M1350</f>
        <v>8.7089999999999996</v>
      </c>
      <c r="E165" s="649">
        <f>'корпоративный баланс энергии'!P1350</f>
        <v>9.6419999999999995</v>
      </c>
      <c r="F165" s="646">
        <f t="shared" si="59"/>
        <v>27.635999999999999</v>
      </c>
      <c r="G165" s="648">
        <f>'корпоративный баланс энергии'!S1350</f>
        <v>16.242999999999999</v>
      </c>
      <c r="H165" s="648">
        <f>'корпоративный баланс энергии'!V1350</f>
        <v>22.856000000000002</v>
      </c>
      <c r="I165" s="648">
        <f>'корпоративный баланс энергии'!Y1350</f>
        <v>29.03</v>
      </c>
      <c r="J165" s="646">
        <f t="shared" si="60"/>
        <v>68.129000000000005</v>
      </c>
      <c r="K165" s="648">
        <f>'корпоративный баланс энергии'!AB1350</f>
        <v>28.212</v>
      </c>
      <c r="L165" s="648">
        <f>'корпоративный баланс энергии'!AE1350</f>
        <v>24.283999999999999</v>
      </c>
      <c r="M165" s="649">
        <f>'корпоративный баланс энергии'!AH1350</f>
        <v>19.353000000000002</v>
      </c>
      <c r="N165" s="646">
        <f t="shared" si="61"/>
        <v>71.84899999999999</v>
      </c>
      <c r="O165" s="648">
        <f>'корпоративный баланс энергии'!AK1350</f>
        <v>12.141999999999999</v>
      </c>
      <c r="P165" s="648">
        <f>'корпоративный баланс энергии'!AN1350</f>
        <v>10.714</v>
      </c>
      <c r="Q165" s="649">
        <f>'корпоративный баланс энергии'!AQ1350</f>
        <v>10.083</v>
      </c>
      <c r="R165" s="646">
        <f t="shared" si="62"/>
        <v>32.939</v>
      </c>
      <c r="S165" s="650">
        <f t="shared" si="112"/>
        <v>27.635999999999999</v>
      </c>
      <c r="T165" s="651">
        <f t="shared" si="113"/>
        <v>68.129000000000005</v>
      </c>
      <c r="U165" s="651">
        <f t="shared" si="114"/>
        <v>71.84899999999999</v>
      </c>
      <c r="V165" s="651">
        <f t="shared" si="115"/>
        <v>32.939</v>
      </c>
      <c r="W165" s="647">
        <f t="shared" si="63"/>
        <v>200.55299999999997</v>
      </c>
    </row>
    <row r="166" spans="2:23">
      <c r="B166" s="914" t="s">
        <v>706</v>
      </c>
      <c r="C166" s="648">
        <f>'корпоративный баланс энергии'!J1351</f>
        <v>2.536</v>
      </c>
      <c r="D166" s="648">
        <f>'корпоративный баланс энергии'!M1351</f>
        <v>2.5960000000000001</v>
      </c>
      <c r="E166" s="649">
        <f>'корпоративный баланс энергии'!P1351</f>
        <v>4.0579999999999998</v>
      </c>
      <c r="F166" s="646">
        <f t="shared" si="59"/>
        <v>9.19</v>
      </c>
      <c r="G166" s="648">
        <f>'корпоративный баланс энергии'!S1351</f>
        <v>7.2</v>
      </c>
      <c r="H166" s="648">
        <f>'корпоративный баланс энергии'!V1351</f>
        <v>9.3000000000000007</v>
      </c>
      <c r="I166" s="648">
        <f>'корпоративный баланс энергии'!Y1351</f>
        <v>9</v>
      </c>
      <c r="J166" s="646">
        <f t="shared" si="60"/>
        <v>25.5</v>
      </c>
      <c r="K166" s="648">
        <f>'корпоративный баланс энергии'!AB1351</f>
        <v>9.6379999999999999</v>
      </c>
      <c r="L166" s="648">
        <f>'корпоративный баланс энергии'!AE1351</f>
        <v>9.3000000000000007</v>
      </c>
      <c r="M166" s="649">
        <f>'корпоративный баланс энергии'!AH1351</f>
        <v>7.2</v>
      </c>
      <c r="N166" s="646">
        <f t="shared" si="61"/>
        <v>26.138000000000002</v>
      </c>
      <c r="O166" s="648">
        <f>'корпоративный баланс энергии'!AK1351</f>
        <v>6.4260000000000002</v>
      </c>
      <c r="P166" s="648">
        <f>'корпоративный баланс энергии'!AN1351</f>
        <v>3.6</v>
      </c>
      <c r="Q166" s="649">
        <f>'корпоративный баланс энергии'!AQ1351</f>
        <v>2.7730000000000001</v>
      </c>
      <c r="R166" s="646">
        <f t="shared" si="62"/>
        <v>12.798999999999999</v>
      </c>
      <c r="S166" s="650">
        <f t="shared" si="112"/>
        <v>9.19</v>
      </c>
      <c r="T166" s="651">
        <f t="shared" si="113"/>
        <v>25.5</v>
      </c>
      <c r="U166" s="651">
        <f t="shared" si="114"/>
        <v>26.138000000000002</v>
      </c>
      <c r="V166" s="651">
        <f t="shared" si="115"/>
        <v>12.798999999999999</v>
      </c>
      <c r="W166" s="647">
        <f t="shared" si="63"/>
        <v>73.62700000000001</v>
      </c>
    </row>
    <row r="167" spans="2:23">
      <c r="B167" s="914" t="s">
        <v>829</v>
      </c>
      <c r="C167" s="648">
        <f>'корпоративный баланс энергии'!J1352</f>
        <v>1.585</v>
      </c>
      <c r="D167" s="648">
        <f>'корпоративный баланс энергии'!M1352</f>
        <v>1.5609999999999999</v>
      </c>
      <c r="E167" s="649">
        <f>'корпоративный баланс энергии'!P1352</f>
        <v>2.484</v>
      </c>
      <c r="F167" s="646">
        <f t="shared" si="59"/>
        <v>5.63</v>
      </c>
      <c r="G167" s="648">
        <f>'корпоративный баланс энергии'!S1352</f>
        <v>4.4939999999999998</v>
      </c>
      <c r="H167" s="648">
        <f>'корпоративный баланс энергии'!V1352</f>
        <v>5.6829999999999998</v>
      </c>
      <c r="I167" s="648">
        <f>'корпоративный баланс энергии'!Y1352</f>
        <v>5.41</v>
      </c>
      <c r="J167" s="646">
        <f t="shared" si="60"/>
        <v>15.587</v>
      </c>
      <c r="K167" s="648">
        <f>'корпоративный баланс энергии'!AB1352</f>
        <v>5.6159999999999997</v>
      </c>
      <c r="L167" s="648">
        <f>'корпоративный баланс энергии'!AE1352</f>
        <v>5.6159999999999997</v>
      </c>
      <c r="M167" s="649">
        <f>'корпоративный баланс энергии'!AH1352</f>
        <v>4.3899999999999997</v>
      </c>
      <c r="N167" s="646">
        <f t="shared" si="61"/>
        <v>15.622</v>
      </c>
      <c r="O167" s="648">
        <f>'корпоративный баланс энергии'!AK1352</f>
        <v>3.996</v>
      </c>
      <c r="P167" s="648">
        <f>'корпоративный баланс энергии'!AN1352</f>
        <v>2.1949999999999998</v>
      </c>
      <c r="Q167" s="649">
        <f>'корпоративный баланс энергии'!AQ1352</f>
        <v>1.7230000000000001</v>
      </c>
      <c r="R167" s="646">
        <f t="shared" si="62"/>
        <v>7.9139999999999997</v>
      </c>
      <c r="S167" s="650">
        <f t="shared" si="112"/>
        <v>5.63</v>
      </c>
      <c r="T167" s="651">
        <f t="shared" si="113"/>
        <v>15.587</v>
      </c>
      <c r="U167" s="651">
        <f t="shared" si="114"/>
        <v>15.622</v>
      </c>
      <c r="V167" s="651">
        <f t="shared" si="115"/>
        <v>7.9139999999999997</v>
      </c>
      <c r="W167" s="647">
        <f t="shared" si="63"/>
        <v>44.753</v>
      </c>
    </row>
    <row r="168" spans="2:23">
      <c r="B168" s="914" t="s">
        <v>707</v>
      </c>
      <c r="C168" s="648">
        <f>'корпоративный баланс энергии'!J1353</f>
        <v>2.2210000000000001</v>
      </c>
      <c r="D168" s="648">
        <f>'корпоративный баланс энергии'!M1353</f>
        <v>2.2069999999999999</v>
      </c>
      <c r="E168" s="649">
        <f>'корпоративный баланс энергии'!P1353</f>
        <v>3.109</v>
      </c>
      <c r="F168" s="646">
        <f t="shared" si="59"/>
        <v>7.5369999999999999</v>
      </c>
      <c r="G168" s="648">
        <f>'корпоративный баланс энергии'!S1353</f>
        <v>4.62</v>
      </c>
      <c r="H168" s="648">
        <f>'корпоративный баланс энергии'!V1353</f>
        <v>5.4980000000000002</v>
      </c>
      <c r="I168" s="648">
        <f>'корпоративный баланс энергии'!Y1353</f>
        <v>5.8730000000000002</v>
      </c>
      <c r="J168" s="646">
        <f t="shared" si="60"/>
        <v>15.991</v>
      </c>
      <c r="K168" s="648">
        <f>'корпоративный баланс энергии'!AB1353</f>
        <v>6.1130000000000004</v>
      </c>
      <c r="L168" s="648">
        <f>'корпоративный баланс энергии'!AE1353</f>
        <v>6.2560000000000002</v>
      </c>
      <c r="M168" s="649">
        <f>'корпоративный баланс энергии'!AH1353</f>
        <v>5.5270000000000001</v>
      </c>
      <c r="N168" s="646">
        <f t="shared" si="61"/>
        <v>17.896000000000001</v>
      </c>
      <c r="O168" s="648">
        <f>'корпоративный баланс энергии'!AK1353</f>
        <v>4.6539999999999999</v>
      </c>
      <c r="P168" s="648">
        <f>'корпоративный баланс энергии'!AN1353</f>
        <v>3.0089999999999999</v>
      </c>
      <c r="Q168" s="649">
        <f>'корпоративный баланс энергии'!AQ1353</f>
        <v>2.6480000000000001</v>
      </c>
      <c r="R168" s="646">
        <f t="shared" si="62"/>
        <v>10.311</v>
      </c>
      <c r="S168" s="650">
        <f t="shared" si="112"/>
        <v>7.5369999999999999</v>
      </c>
      <c r="T168" s="651">
        <f t="shared" si="113"/>
        <v>15.991</v>
      </c>
      <c r="U168" s="651">
        <f t="shared" si="114"/>
        <v>17.896000000000001</v>
      </c>
      <c r="V168" s="651">
        <f t="shared" si="115"/>
        <v>10.311</v>
      </c>
      <c r="W168" s="647">
        <f t="shared" si="63"/>
        <v>51.734999999999999</v>
      </c>
    </row>
    <row r="169" spans="2:23">
      <c r="B169" s="914" t="s">
        <v>708</v>
      </c>
      <c r="C169" s="648">
        <f>'корпоративный баланс энергии'!J1354</f>
        <v>3.1579999999999999</v>
      </c>
      <c r="D169" s="648">
        <f>'корпоративный баланс энергии'!M1354</f>
        <v>3.4409999999999998</v>
      </c>
      <c r="E169" s="649">
        <f>'корпоративный баланс энергии'!P1354</f>
        <v>6.1369999999999996</v>
      </c>
      <c r="F169" s="646">
        <f t="shared" si="59"/>
        <v>12.736000000000001</v>
      </c>
      <c r="G169" s="648">
        <f>'корпоративный баланс энергии'!S1354</f>
        <v>8.7910000000000004</v>
      </c>
      <c r="H169" s="648">
        <f>'корпоративный баланс энергии'!V1354</f>
        <v>9.4879999999999995</v>
      </c>
      <c r="I169" s="648">
        <f>'корпоративный баланс энергии'!Y1354</f>
        <v>9.1229999999999993</v>
      </c>
      <c r="J169" s="646">
        <f t="shared" si="60"/>
        <v>27.402000000000001</v>
      </c>
      <c r="K169" s="648">
        <f>'корпоративный баланс энергии'!AB1354</f>
        <v>10.311</v>
      </c>
      <c r="L169" s="648">
        <f>'корпоративный баланс энергии'!AE1354</f>
        <v>8.7669999999999995</v>
      </c>
      <c r="M169" s="649">
        <f>'корпоративный баланс энергии'!AH1354</f>
        <v>9.2100000000000009</v>
      </c>
      <c r="N169" s="646">
        <f t="shared" si="61"/>
        <v>28.288</v>
      </c>
      <c r="O169" s="648">
        <f>'корпоративный баланс энергии'!AK1354</f>
        <v>7.798</v>
      </c>
      <c r="P169" s="648">
        <f>'корпоративный баланс энергии'!AN1354</f>
        <v>4.7519999999999998</v>
      </c>
      <c r="Q169" s="649">
        <f>'корпоративный баланс энергии'!AQ1354</f>
        <v>3.8039999999999998</v>
      </c>
      <c r="R169" s="646">
        <f t="shared" si="62"/>
        <v>16.353999999999999</v>
      </c>
      <c r="S169" s="650">
        <f t="shared" si="112"/>
        <v>12.736000000000001</v>
      </c>
      <c r="T169" s="651">
        <f t="shared" si="113"/>
        <v>27.402000000000001</v>
      </c>
      <c r="U169" s="651">
        <f t="shared" si="114"/>
        <v>28.288</v>
      </c>
      <c r="V169" s="651">
        <f t="shared" si="115"/>
        <v>16.353999999999999</v>
      </c>
      <c r="W169" s="647">
        <f t="shared" si="63"/>
        <v>84.78</v>
      </c>
    </row>
    <row r="170" spans="2:23">
      <c r="B170" s="914" t="s">
        <v>709</v>
      </c>
      <c r="C170" s="648">
        <f>'корпоративный баланс энергии'!J1355</f>
        <v>1.24</v>
      </c>
      <c r="D170" s="648">
        <f>'корпоративный баланс энергии'!M1355</f>
        <v>1.232</v>
      </c>
      <c r="E170" s="649">
        <f>'корпоративный баланс энергии'!P1355</f>
        <v>1.7789999999999999</v>
      </c>
      <c r="F170" s="646">
        <f t="shared" si="59"/>
        <v>4.2509999999999994</v>
      </c>
      <c r="G170" s="648">
        <f>'корпоративный баланс энергии'!S1355</f>
        <v>2.37</v>
      </c>
      <c r="H170" s="648">
        <f>'корпоративный баланс энергии'!V1355</f>
        <v>2.4500000000000002</v>
      </c>
      <c r="I170" s="648">
        <f>'корпоративный баланс энергии'!Y1355</f>
        <v>1.988</v>
      </c>
      <c r="J170" s="646">
        <f t="shared" si="60"/>
        <v>6.8079999999999998</v>
      </c>
      <c r="K170" s="648">
        <f>'корпоративный баланс энергии'!AB1355</f>
        <v>2.2080000000000002</v>
      </c>
      <c r="L170" s="648">
        <f>'корпоративный баланс энергии'!AE1355</f>
        <v>1.966</v>
      </c>
      <c r="M170" s="649">
        <f>'корпоративный баланс энергии'!AH1355</f>
        <v>0.50800000000000001</v>
      </c>
      <c r="N170" s="646">
        <f t="shared" si="61"/>
        <v>4.6820000000000004</v>
      </c>
      <c r="O170" s="648">
        <f>'корпоративный баланс энергии'!AK1355</f>
        <v>1.24</v>
      </c>
      <c r="P170" s="648">
        <f>'корпоративный баланс энергии'!AN1355</f>
        <v>1.2</v>
      </c>
      <c r="Q170" s="649">
        <f>'корпоративный баланс энергии'!AQ1355</f>
        <v>1.48</v>
      </c>
      <c r="R170" s="646">
        <f t="shared" si="62"/>
        <v>3.92</v>
      </c>
      <c r="S170" s="650">
        <f t="shared" si="112"/>
        <v>4.2509999999999994</v>
      </c>
      <c r="T170" s="651">
        <f t="shared" si="113"/>
        <v>6.8079999999999998</v>
      </c>
      <c r="U170" s="651">
        <f t="shared" si="114"/>
        <v>4.6820000000000004</v>
      </c>
      <c r="V170" s="651">
        <f t="shared" si="115"/>
        <v>3.92</v>
      </c>
      <c r="W170" s="647">
        <f t="shared" si="63"/>
        <v>19.661000000000001</v>
      </c>
    </row>
    <row r="171" spans="2:23">
      <c r="B171" s="915" t="s">
        <v>1272</v>
      </c>
      <c r="C171" s="667">
        <f>'корпоративный баланс энергии'!J1356</f>
        <v>0.69</v>
      </c>
      <c r="D171" s="667">
        <f>'корпоративный баланс энергии'!M1356</f>
        <v>0.67</v>
      </c>
      <c r="E171" s="668">
        <f>'корпоративный баланс энергии'!P1356</f>
        <v>0.74</v>
      </c>
      <c r="F171" s="663">
        <f t="shared" ref="F171" si="116">SUM(C171:E171)</f>
        <v>2.0999999999999996</v>
      </c>
      <c r="G171" s="667">
        <f>'корпоративный баланс энергии'!S1356</f>
        <v>1.68</v>
      </c>
      <c r="H171" s="667">
        <f>'корпоративный баланс энергии'!V1356</f>
        <v>2.56</v>
      </c>
      <c r="I171" s="667">
        <f>'корпоративный баланс энергии'!Y1356</f>
        <v>3.17</v>
      </c>
      <c r="J171" s="663">
        <f t="shared" ref="J171" si="117">SUM(G171:I171)</f>
        <v>7.41</v>
      </c>
      <c r="K171" s="667">
        <f>'корпоративный баланс энергии'!AB1356</f>
        <v>2.94</v>
      </c>
      <c r="L171" s="667">
        <f>'корпоративный баланс энергии'!AE1356</f>
        <v>2.71</v>
      </c>
      <c r="M171" s="668">
        <f>'корпоративный баланс энергии'!AH1356</f>
        <v>1.84</v>
      </c>
      <c r="N171" s="663">
        <f t="shared" ref="N171" si="118">SUM(K171:M171)</f>
        <v>7.49</v>
      </c>
      <c r="O171" s="667">
        <f>'корпоративный баланс энергии'!AK1356</f>
        <v>1.35</v>
      </c>
      <c r="P171" s="667">
        <f>'корпоративный баланс энергии'!AN1356</f>
        <v>1.17</v>
      </c>
      <c r="Q171" s="668">
        <f>'корпоративный баланс энергии'!AQ1356</f>
        <v>1.04</v>
      </c>
      <c r="R171" s="663">
        <f t="shared" ref="R171" si="119">SUM(O171:Q171)</f>
        <v>3.56</v>
      </c>
      <c r="S171" s="664">
        <f t="shared" ref="S171" si="120">F171</f>
        <v>2.0999999999999996</v>
      </c>
      <c r="T171" s="665">
        <f t="shared" ref="T171" si="121">J171</f>
        <v>7.41</v>
      </c>
      <c r="U171" s="665">
        <f t="shared" ref="U171" si="122">N171</f>
        <v>7.49</v>
      </c>
      <c r="V171" s="665">
        <f t="shared" ref="V171" si="123">R171</f>
        <v>3.56</v>
      </c>
      <c r="W171" s="666">
        <f t="shared" ref="W171" si="124">SUM(S171:V171)</f>
        <v>20.56</v>
      </c>
    </row>
    <row r="172" spans="2:23">
      <c r="B172" s="786" t="s">
        <v>1101</v>
      </c>
      <c r="C172" s="743">
        <f>C173</f>
        <v>0.36261000999999998</v>
      </c>
      <c r="D172" s="743">
        <f>D173</f>
        <v>0.25127002999999998</v>
      </c>
      <c r="E172" s="744">
        <f>E173</f>
        <v>0.39433565999999998</v>
      </c>
      <c r="F172" s="745">
        <f t="shared" ref="F172" si="125">SUM(C172:E172)</f>
        <v>1.0082157</v>
      </c>
      <c r="G172" s="743">
        <f>G173</f>
        <v>0.60109000999999995</v>
      </c>
      <c r="H172" s="743">
        <f>H173</f>
        <v>0.66300665999999997</v>
      </c>
      <c r="I172" s="743">
        <f>I173</f>
        <v>0.59526002</v>
      </c>
      <c r="J172" s="745">
        <f t="shared" ref="J172" si="126">SUM(G172:I172)</f>
        <v>1.8593566899999998</v>
      </c>
      <c r="K172" s="743">
        <f>K173</f>
        <v>0.64827000999999995</v>
      </c>
      <c r="L172" s="743">
        <f>L173</f>
        <v>0.67302006000000003</v>
      </c>
      <c r="M172" s="744">
        <f>M173</f>
        <v>0.69521999000000001</v>
      </c>
      <c r="N172" s="745">
        <f t="shared" ref="N172" si="127">SUM(K172:M172)</f>
        <v>2.0165100599999999</v>
      </c>
      <c r="O172" s="743">
        <f>O173</f>
        <v>0.69116401999999999</v>
      </c>
      <c r="P172" s="743">
        <f>P173</f>
        <v>0.69361609000000002</v>
      </c>
      <c r="Q172" s="744">
        <f>Q173</f>
        <v>0.64348000000000005</v>
      </c>
      <c r="R172" s="745">
        <f t="shared" ref="R172" si="128">SUM(O172:Q172)</f>
        <v>2.0282601099999997</v>
      </c>
      <c r="S172" s="746">
        <f>S173</f>
        <v>1.0082157</v>
      </c>
      <c r="T172" s="744">
        <f>T173</f>
        <v>1.8593566899999998</v>
      </c>
      <c r="U172" s="744">
        <f>U173</f>
        <v>2.0165100599999999</v>
      </c>
      <c r="V172" s="744">
        <f>V173</f>
        <v>2.0282601099999997</v>
      </c>
      <c r="W172" s="747">
        <f t="shared" ref="W172:W173" si="129">SUM(S172:V172)</f>
        <v>6.912342559999999</v>
      </c>
    </row>
    <row r="173" spans="2:23" ht="13.5" thickBot="1">
      <c r="B173" s="637" t="s">
        <v>1102</v>
      </c>
      <c r="C173" s="1082">
        <v>0.36261000999999998</v>
      </c>
      <c r="D173" s="1083">
        <v>0.25127002999999998</v>
      </c>
      <c r="E173" s="1084">
        <v>0.39433565999999998</v>
      </c>
      <c r="F173" s="661">
        <f t="shared" si="59"/>
        <v>1.0082157</v>
      </c>
      <c r="G173" s="1082">
        <v>0.60109000999999995</v>
      </c>
      <c r="H173" s="1083">
        <v>0.66300665999999997</v>
      </c>
      <c r="I173" s="1084">
        <v>0.59526002</v>
      </c>
      <c r="J173" s="661">
        <f t="shared" si="60"/>
        <v>1.8593566899999998</v>
      </c>
      <c r="K173" s="1082">
        <v>0.64827000999999995</v>
      </c>
      <c r="L173" s="1083">
        <v>0.67302006000000003</v>
      </c>
      <c r="M173" s="1084">
        <v>0.69521999000000001</v>
      </c>
      <c r="N173" s="661">
        <f t="shared" si="61"/>
        <v>2.0165100599999999</v>
      </c>
      <c r="O173" s="1082">
        <v>0.69116401999999999</v>
      </c>
      <c r="P173" s="1083">
        <v>0.69361609000000002</v>
      </c>
      <c r="Q173" s="1084">
        <v>0.64348000000000005</v>
      </c>
      <c r="R173" s="661">
        <f t="shared" si="62"/>
        <v>2.0282601099999997</v>
      </c>
      <c r="S173" s="673">
        <f>F173</f>
        <v>1.0082157</v>
      </c>
      <c r="T173" s="674">
        <f>J173</f>
        <v>1.8593566899999998</v>
      </c>
      <c r="U173" s="674">
        <f>N173</f>
        <v>2.0165100599999999</v>
      </c>
      <c r="V173" s="674">
        <f>R173</f>
        <v>2.0282601099999997</v>
      </c>
      <c r="W173" s="662">
        <f t="shared" si="129"/>
        <v>6.912342559999999</v>
      </c>
    </row>
    <row r="174" spans="2:23" ht="15" thickBot="1">
      <c r="B174" s="785" t="s">
        <v>830</v>
      </c>
      <c r="C174" s="763">
        <f>C22+C24+C38+C39+C44+C113</f>
        <v>2867.203426361084</v>
      </c>
      <c r="D174" s="763">
        <f t="shared" ref="D174:E174" si="130">D22+D24+D38+D39+D44+D113</f>
        <v>2642.9587616920471</v>
      </c>
      <c r="E174" s="763">
        <f t="shared" si="130"/>
        <v>2873.2193522453308</v>
      </c>
      <c r="F174" s="765">
        <f t="shared" si="59"/>
        <v>8383.3815402984619</v>
      </c>
      <c r="G174" s="763">
        <f>G22+G24+G38+G39+G44+G113</f>
        <v>3723.1547493934631</v>
      </c>
      <c r="H174" s="763">
        <f t="shared" ref="H174:I174" si="131">H22+H24+H38+H39+H44+H113</f>
        <v>5276.9535007476807</v>
      </c>
      <c r="I174" s="763">
        <f t="shared" si="131"/>
        <v>4227.1059484481812</v>
      </c>
      <c r="J174" s="765">
        <f t="shared" si="60"/>
        <v>13227.214198589325</v>
      </c>
      <c r="K174" s="763">
        <f>K22+K24+K38+K39+K44+K113</f>
        <v>3483.3932361602783</v>
      </c>
      <c r="L174" s="763">
        <f t="shared" ref="L174:M174" si="132">L22+L24+L38+L39+L44+L113</f>
        <v>3160.8990969657898</v>
      </c>
      <c r="M174" s="763">
        <f t="shared" si="132"/>
        <v>2943.4197206497192</v>
      </c>
      <c r="N174" s="765">
        <f t="shared" si="61"/>
        <v>9587.7120537757874</v>
      </c>
      <c r="O174" s="763">
        <f>O22+O24+O38+O39+O44+O113</f>
        <v>3013.2888231277466</v>
      </c>
      <c r="P174" s="763">
        <f t="shared" ref="P174:Q174" si="133">P22+P24+P38+P39+P44+P113</f>
        <v>3006.7217173576355</v>
      </c>
      <c r="Q174" s="763">
        <f t="shared" si="133"/>
        <v>3066.6249284744263</v>
      </c>
      <c r="R174" s="765">
        <f t="shared" si="62"/>
        <v>9086.6354689598083</v>
      </c>
      <c r="S174" s="763">
        <f>S22+S24+S38+S39+S44+S113</f>
        <v>8383.3815402984619</v>
      </c>
      <c r="T174" s="763">
        <f>T22+T24+T38+T39+T44+T113</f>
        <v>13227.214198589325</v>
      </c>
      <c r="U174" s="763">
        <f>U22+U24+U38+U39+U44+U113</f>
        <v>9587.7120537757874</v>
      </c>
      <c r="V174" s="763">
        <f>V22+V24+V38+V39+V44+V113</f>
        <v>9086.6354689598083</v>
      </c>
      <c r="W174" s="767">
        <f t="shared" ref="W174:W197" si="134">SUM(S174:V174)</f>
        <v>40284.943261623383</v>
      </c>
    </row>
    <row r="175" spans="2:23" ht="4.5" customHeight="1" thickBot="1">
      <c r="B175" s="635"/>
      <c r="C175" s="640"/>
      <c r="D175" s="640"/>
      <c r="E175" s="641"/>
      <c r="F175" s="642"/>
      <c r="G175" s="640"/>
      <c r="H175" s="640"/>
      <c r="I175" s="640"/>
      <c r="J175" s="642"/>
      <c r="K175" s="640"/>
      <c r="L175" s="640"/>
      <c r="M175" s="641"/>
      <c r="N175" s="642"/>
      <c r="O175" s="640"/>
      <c r="P175" s="640"/>
      <c r="Q175" s="641"/>
      <c r="R175" s="642"/>
      <c r="S175" s="643"/>
      <c r="T175" s="641"/>
      <c r="U175" s="641"/>
      <c r="V175" s="644"/>
      <c r="W175" s="645"/>
    </row>
    <row r="176" spans="2:23" ht="15" thickBot="1">
      <c r="B176" s="768" t="s">
        <v>238</v>
      </c>
      <c r="C176" s="769">
        <f>SUM(C177,C182,C186,C188)</f>
        <v>7651.3177616969779</v>
      </c>
      <c r="D176" s="770">
        <f>SUM(D177,D182,D186,D188)</f>
        <v>6891.3506383707672</v>
      </c>
      <c r="E176" s="770">
        <f>SUM(E177,E182,E186,E188)</f>
        <v>7510.5614403660929</v>
      </c>
      <c r="F176" s="784">
        <f t="shared" si="59"/>
        <v>22053.229840433836</v>
      </c>
      <c r="G176" s="769">
        <f>SUM(G177,G182,G186,G188)</f>
        <v>7233.5556796531482</v>
      </c>
      <c r="H176" s="770">
        <f>SUM(H177,H182,H186,H188)</f>
        <v>8620.5243966858834</v>
      </c>
      <c r="I176" s="770">
        <f>SUM(I177,I182,I186,I188)</f>
        <v>8958.1620600826882</v>
      </c>
      <c r="J176" s="784">
        <f t="shared" si="60"/>
        <v>24812.242136421723</v>
      </c>
      <c r="K176" s="769">
        <f>SUM(K177,K182,K186,K188)</f>
        <v>9374.5015158148963</v>
      </c>
      <c r="L176" s="770">
        <f>SUM(L177,L182,L186,L188)</f>
        <v>9626.5877104886749</v>
      </c>
      <c r="M176" s="770">
        <f>SUM(M177,M182,M186,M188)</f>
        <v>9519.9022735205635</v>
      </c>
      <c r="N176" s="784">
        <f t="shared" si="61"/>
        <v>28520.991499824137</v>
      </c>
      <c r="O176" s="769">
        <f>SUM(O177,O182,O186,O188)</f>
        <v>9399.3370276085498</v>
      </c>
      <c r="P176" s="770">
        <f>SUM(P177,P182,P186,P188)</f>
        <v>7589.4287665325701</v>
      </c>
      <c r="Q176" s="770">
        <f>SUM(Q177,Q182,Q186,Q188)</f>
        <v>7688.742071991519</v>
      </c>
      <c r="R176" s="784">
        <f t="shared" si="62"/>
        <v>24677.507866132641</v>
      </c>
      <c r="S176" s="772">
        <f>SUM(S177,S182,S186,S188)</f>
        <v>22053.229840433836</v>
      </c>
      <c r="T176" s="770">
        <f>SUM(T177,T182,T186,T188)</f>
        <v>24812.242136421719</v>
      </c>
      <c r="U176" s="770">
        <f>SUM(U177,U182,U186,U188)</f>
        <v>28520.991499824137</v>
      </c>
      <c r="V176" s="770">
        <f>SUM(V177,V182,V186,V188)</f>
        <v>24677.507866132641</v>
      </c>
      <c r="W176" s="773">
        <f t="shared" si="134"/>
        <v>100063.97134281234</v>
      </c>
    </row>
    <row r="177" spans="2:23">
      <c r="B177" s="782" t="s">
        <v>185</v>
      </c>
      <c r="C177" s="743">
        <f>SUM(C178:C181)</f>
        <v>3204.1300451982688</v>
      </c>
      <c r="D177" s="743">
        <f>SUM(D178:D181)</f>
        <v>2897.9296066079937</v>
      </c>
      <c r="E177" s="744">
        <f>SUM(E178:E181)</f>
        <v>3090.6780468028901</v>
      </c>
      <c r="F177" s="745">
        <f t="shared" si="59"/>
        <v>9192.7376986091531</v>
      </c>
      <c r="G177" s="743">
        <f>SUM(G178:G181)</f>
        <v>2957.8127967613973</v>
      </c>
      <c r="H177" s="743">
        <f>SUM(H178:H181)</f>
        <v>3515.0747499060567</v>
      </c>
      <c r="I177" s="743">
        <f>SUM(I178:I181)</f>
        <v>3449.2552338240985</v>
      </c>
      <c r="J177" s="745">
        <f t="shared" si="60"/>
        <v>9922.1427804915529</v>
      </c>
      <c r="K177" s="743">
        <f>SUM(K178:K181)</f>
        <v>3779.9708873629015</v>
      </c>
      <c r="L177" s="743">
        <f>SUM(L178:L181)</f>
        <v>3858.0214531733227</v>
      </c>
      <c r="M177" s="744">
        <f>SUM(M178:M181)</f>
        <v>3797.7357518303206</v>
      </c>
      <c r="N177" s="745">
        <f t="shared" si="61"/>
        <v>11435.728092366546</v>
      </c>
      <c r="O177" s="743">
        <f>SUM(O178:O181)</f>
        <v>3895.3660807588676</v>
      </c>
      <c r="P177" s="743">
        <f>SUM(P178:P181)</f>
        <v>3220.7816289710154</v>
      </c>
      <c r="Q177" s="744">
        <f>SUM(Q178:Q181)</f>
        <v>3254.2341746452908</v>
      </c>
      <c r="R177" s="745">
        <f t="shared" si="62"/>
        <v>10370.381884375174</v>
      </c>
      <c r="S177" s="746">
        <f>SUM(S178:S181)</f>
        <v>9192.7376986091513</v>
      </c>
      <c r="T177" s="744">
        <f>SUM(T178:T181)</f>
        <v>9922.1427804915511</v>
      </c>
      <c r="U177" s="744">
        <f>SUM(U178:U181)</f>
        <v>11435.728092366546</v>
      </c>
      <c r="V177" s="744">
        <f>SUM(V178:V181)</f>
        <v>10370.381884375172</v>
      </c>
      <c r="W177" s="747">
        <f t="shared" si="134"/>
        <v>40920.990455842417</v>
      </c>
    </row>
    <row r="178" spans="2:23">
      <c r="B178" s="636" t="s">
        <v>200</v>
      </c>
      <c r="C178" s="1088">
        <v>1502.3563864879343</v>
      </c>
      <c r="D178" s="1089">
        <v>1309.5164421640673</v>
      </c>
      <c r="E178" s="1089">
        <v>1394.9164244527476</v>
      </c>
      <c r="F178" s="654">
        <f t="shared" si="59"/>
        <v>4206.7892531047492</v>
      </c>
      <c r="G178" s="1088">
        <v>1317.1540992627345</v>
      </c>
      <c r="H178" s="1089">
        <v>1676.6139242576501</v>
      </c>
      <c r="I178" s="1089">
        <v>1561.0911753812748</v>
      </c>
      <c r="J178" s="654">
        <f t="shared" si="60"/>
        <v>4554.8591989016586</v>
      </c>
      <c r="K178" s="1088">
        <v>1748.1585755423032</v>
      </c>
      <c r="L178" s="1089">
        <v>1827.650483057088</v>
      </c>
      <c r="M178" s="1089">
        <v>1805.021339971755</v>
      </c>
      <c r="N178" s="654">
        <f t="shared" si="61"/>
        <v>5380.8303985711464</v>
      </c>
      <c r="O178" s="1088">
        <v>1856.0651838289923</v>
      </c>
      <c r="P178" s="1089">
        <v>1566.6527323814646</v>
      </c>
      <c r="Q178" s="1089">
        <v>1548.0333735002005</v>
      </c>
      <c r="R178" s="654">
        <f t="shared" si="62"/>
        <v>4970.7512897106571</v>
      </c>
      <c r="S178" s="658">
        <f>F178</f>
        <v>4206.7892531047492</v>
      </c>
      <c r="T178" s="659">
        <f>J178</f>
        <v>4554.8591989016586</v>
      </c>
      <c r="U178" s="659">
        <f>N178</f>
        <v>5380.8303985711464</v>
      </c>
      <c r="V178" s="659">
        <f>R178</f>
        <v>4970.7512897106571</v>
      </c>
      <c r="W178" s="657">
        <f t="shared" si="134"/>
        <v>19113.230140288211</v>
      </c>
    </row>
    <row r="179" spans="2:23">
      <c r="B179" s="636" t="s">
        <v>201</v>
      </c>
      <c r="C179" s="1090">
        <v>285.22201513869112</v>
      </c>
      <c r="D179" s="1091">
        <v>266.40069698719566</v>
      </c>
      <c r="E179" s="1091">
        <v>284.3466383033504</v>
      </c>
      <c r="F179" s="654">
        <f t="shared" si="59"/>
        <v>835.96935042923724</v>
      </c>
      <c r="G179" s="1090">
        <v>274.81550985194406</v>
      </c>
      <c r="H179" s="1091">
        <v>284.02069705414038</v>
      </c>
      <c r="I179" s="1091">
        <v>275.50501341482664</v>
      </c>
      <c r="J179" s="654">
        <f t="shared" si="60"/>
        <v>834.34122032091113</v>
      </c>
      <c r="K179" s="1090">
        <v>285.60203177051596</v>
      </c>
      <c r="L179" s="1091">
        <v>286.37997715135685</v>
      </c>
      <c r="M179" s="1091">
        <v>277.59685789727712</v>
      </c>
      <c r="N179" s="654">
        <f t="shared" si="61"/>
        <v>849.57886681914999</v>
      </c>
      <c r="O179" s="1090">
        <v>286.85738387766077</v>
      </c>
      <c r="P179" s="1091">
        <v>277.18101359821259</v>
      </c>
      <c r="Q179" s="1091">
        <v>285.75293568087022</v>
      </c>
      <c r="R179" s="654">
        <f t="shared" si="62"/>
        <v>849.79133315674358</v>
      </c>
      <c r="S179" s="658">
        <f>F179</f>
        <v>835.96935042923724</v>
      </c>
      <c r="T179" s="659">
        <f>J179</f>
        <v>834.34122032091113</v>
      </c>
      <c r="U179" s="659">
        <f>N179</f>
        <v>849.57886681914999</v>
      </c>
      <c r="V179" s="659">
        <f>R179</f>
        <v>849.79133315674358</v>
      </c>
      <c r="W179" s="657">
        <f t="shared" si="134"/>
        <v>3369.6807707260423</v>
      </c>
    </row>
    <row r="180" spans="2:23">
      <c r="B180" s="636" t="s">
        <v>202</v>
      </c>
      <c r="C180" s="1090">
        <v>1407.440266809253</v>
      </c>
      <c r="D180" s="1091">
        <v>1315.4542012938584</v>
      </c>
      <c r="E180" s="1091">
        <v>1403.6468566053857</v>
      </c>
      <c r="F180" s="654">
        <f t="shared" si="59"/>
        <v>4126.5413247084971</v>
      </c>
      <c r="G180" s="1090">
        <v>1354.6097071932279</v>
      </c>
      <c r="H180" s="1091">
        <v>1516.9144785698522</v>
      </c>
      <c r="I180" s="1091">
        <v>1553.8002346031926</v>
      </c>
      <c r="J180" s="654">
        <f t="shared" si="60"/>
        <v>4425.3244203662725</v>
      </c>
      <c r="K180" s="1090">
        <v>1690.4607149255708</v>
      </c>
      <c r="L180" s="1091">
        <v>1690.1241335288425</v>
      </c>
      <c r="M180" s="1091">
        <v>1663.7642824769136</v>
      </c>
      <c r="N180" s="654">
        <f t="shared" si="61"/>
        <v>5044.3491309313267</v>
      </c>
      <c r="O180" s="1090">
        <v>1719.7998706266778</v>
      </c>
      <c r="P180" s="1091">
        <v>1361.1477807574515</v>
      </c>
      <c r="Q180" s="1091">
        <v>1407.8726739664173</v>
      </c>
      <c r="R180" s="654">
        <f t="shared" si="62"/>
        <v>4488.8203253505462</v>
      </c>
      <c r="S180" s="658">
        <f>F180</f>
        <v>4126.5413247084971</v>
      </c>
      <c r="T180" s="659">
        <f>J180</f>
        <v>4425.3244203662725</v>
      </c>
      <c r="U180" s="659">
        <f>N180</f>
        <v>5044.3491309313267</v>
      </c>
      <c r="V180" s="659">
        <f>R180</f>
        <v>4488.8203253505462</v>
      </c>
      <c r="W180" s="657">
        <f t="shared" si="134"/>
        <v>18085.035201356644</v>
      </c>
    </row>
    <row r="181" spans="2:23">
      <c r="B181" s="776" t="s">
        <v>490</v>
      </c>
      <c r="C181" s="1092">
        <v>9.1113767623901367</v>
      </c>
      <c r="D181" s="1093">
        <v>6.5582661628723145</v>
      </c>
      <c r="E181" s="1093">
        <v>7.76812744140625</v>
      </c>
      <c r="F181" s="661">
        <f t="shared" si="59"/>
        <v>23.437770366668701</v>
      </c>
      <c r="G181" s="1092">
        <v>11.233480453491211</v>
      </c>
      <c r="H181" s="1093">
        <v>37.525650024414063</v>
      </c>
      <c r="I181" s="1093">
        <v>58.858810424804688</v>
      </c>
      <c r="J181" s="661">
        <f t="shared" si="60"/>
        <v>107.61794090270996</v>
      </c>
      <c r="K181" s="1092">
        <v>55.749565124511719</v>
      </c>
      <c r="L181" s="1093">
        <v>53.866859436035156</v>
      </c>
      <c r="M181" s="1093">
        <v>51.353271484375</v>
      </c>
      <c r="N181" s="661">
        <f t="shared" si="61"/>
        <v>160.96969604492188</v>
      </c>
      <c r="O181" s="1092">
        <v>32.643642425537109</v>
      </c>
      <c r="P181" s="1093">
        <v>15.800102233886719</v>
      </c>
      <c r="Q181" s="1093">
        <v>12.575191497802734</v>
      </c>
      <c r="R181" s="661">
        <f t="shared" si="62"/>
        <v>61.018936157226563</v>
      </c>
      <c r="S181" s="673">
        <f>F181</f>
        <v>23.437770366668701</v>
      </c>
      <c r="T181" s="674">
        <f>J181</f>
        <v>107.61794090270996</v>
      </c>
      <c r="U181" s="674">
        <f>N181</f>
        <v>160.96969604492188</v>
      </c>
      <c r="V181" s="674">
        <f>R181</f>
        <v>61.018936157226563</v>
      </c>
      <c r="W181" s="662">
        <f t="shared" si="134"/>
        <v>353.0443434715271</v>
      </c>
    </row>
    <row r="182" spans="2:23">
      <c r="B182" s="786" t="s">
        <v>831</v>
      </c>
      <c r="C182" s="743">
        <f>SUM(C183:C185)</f>
        <v>2492.4985676339625</v>
      </c>
      <c r="D182" s="743">
        <f>SUM(D183:D185)</f>
        <v>2311.2610216919729</v>
      </c>
      <c r="E182" s="743">
        <f>SUM(E183:E185)</f>
        <v>2450.3379043664254</v>
      </c>
      <c r="F182" s="745">
        <f t="shared" si="59"/>
        <v>7254.0974936923603</v>
      </c>
      <c r="G182" s="743">
        <f>SUM(G183:G185)</f>
        <v>2408.4350264464379</v>
      </c>
      <c r="H182" s="743">
        <f>SUM(H183:H185)</f>
        <v>2952.672383291057</v>
      </c>
      <c r="I182" s="743">
        <f>SUM(I183:I185)</f>
        <v>3128.1211533459928</v>
      </c>
      <c r="J182" s="745">
        <f t="shared" si="60"/>
        <v>8489.2285630834886</v>
      </c>
      <c r="K182" s="743">
        <f>SUM(K183:K185)</f>
        <v>3304.3169910618585</v>
      </c>
      <c r="L182" s="743">
        <f>SUM(L183:L185)</f>
        <v>3301.7275398547204</v>
      </c>
      <c r="M182" s="743">
        <f>SUM(M183:M185)</f>
        <v>3247.9463996707927</v>
      </c>
      <c r="N182" s="745">
        <f t="shared" si="61"/>
        <v>9853.9909305873716</v>
      </c>
      <c r="O182" s="743">
        <f>SUM(O183:O185)</f>
        <v>3308.5265349361293</v>
      </c>
      <c r="P182" s="743">
        <f>SUM(P183:P185)</f>
        <v>2414.4706696660469</v>
      </c>
      <c r="Q182" s="743">
        <f>SUM(Q183:Q185)</f>
        <v>2443.633076179236</v>
      </c>
      <c r="R182" s="745">
        <f t="shared" si="62"/>
        <v>8166.6302807814118</v>
      </c>
      <c r="S182" s="799">
        <f>SUM(S183:S185)</f>
        <v>7254.0974936923603</v>
      </c>
      <c r="T182" s="800">
        <f>SUM(T183:T185)</f>
        <v>8489.2285630834867</v>
      </c>
      <c r="U182" s="800">
        <f>SUM(U183:U185)</f>
        <v>9853.9909305873716</v>
      </c>
      <c r="V182" s="800">
        <f>SUM(V183:V185)</f>
        <v>8166.6302807814118</v>
      </c>
      <c r="W182" s="747">
        <f t="shared" si="134"/>
        <v>33763.947268144635</v>
      </c>
    </row>
    <row r="183" spans="2:23">
      <c r="B183" s="636" t="s">
        <v>493</v>
      </c>
      <c r="C183" s="1088">
        <v>1250.7826786456469</v>
      </c>
      <c r="D183" s="1089">
        <v>1152.3759089618211</v>
      </c>
      <c r="E183" s="1094">
        <v>1214.4474123286827</v>
      </c>
      <c r="F183" s="654">
        <f t="shared" si="59"/>
        <v>3617.6059999361505</v>
      </c>
      <c r="G183" s="1088">
        <v>1168.5491875503403</v>
      </c>
      <c r="H183" s="1089">
        <v>1569.2810789601306</v>
      </c>
      <c r="I183" s="1094">
        <v>1691.3923732985861</v>
      </c>
      <c r="J183" s="654">
        <f t="shared" si="60"/>
        <v>4429.222639809057</v>
      </c>
      <c r="K183" s="1088">
        <v>1821.3397118958865</v>
      </c>
      <c r="L183" s="1089">
        <v>1820.5742589789593</v>
      </c>
      <c r="M183" s="1094">
        <v>1816.1478907350267</v>
      </c>
      <c r="N183" s="654">
        <f t="shared" si="61"/>
        <v>5458.0618616098727</v>
      </c>
      <c r="O183" s="1088">
        <v>1806.6799414672385</v>
      </c>
      <c r="P183" s="1089">
        <v>1279.2347092492387</v>
      </c>
      <c r="Q183" s="1094">
        <v>1247.1577942000858</v>
      </c>
      <c r="R183" s="654">
        <f t="shared" si="62"/>
        <v>4333.0724449165627</v>
      </c>
      <c r="S183" s="658">
        <f>F183</f>
        <v>3617.6059999361505</v>
      </c>
      <c r="T183" s="659">
        <f>J183</f>
        <v>4429.222639809057</v>
      </c>
      <c r="U183" s="659">
        <f>N183</f>
        <v>5458.0618616098727</v>
      </c>
      <c r="V183" s="659">
        <f>R183</f>
        <v>4333.0724449165627</v>
      </c>
      <c r="W183" s="657">
        <f t="shared" si="134"/>
        <v>17837.96294627164</v>
      </c>
    </row>
    <row r="184" spans="2:23">
      <c r="B184" s="636" t="s">
        <v>494</v>
      </c>
      <c r="C184" s="1090">
        <v>1240.8686000221367</v>
      </c>
      <c r="D184" s="1091">
        <v>1158.2740779792132</v>
      </c>
      <c r="E184" s="1095">
        <v>1235.2111339130099</v>
      </c>
      <c r="F184" s="654">
        <f t="shared" ref="F184:F192" si="135">SUM(C184:E184)</f>
        <v>3634.3538119143595</v>
      </c>
      <c r="G184" s="1090">
        <v>1238.7049082816261</v>
      </c>
      <c r="H184" s="1091">
        <v>1380.8257098961883</v>
      </c>
      <c r="I184" s="1095">
        <v>1434.2320015592472</v>
      </c>
      <c r="J184" s="654">
        <f t="shared" ref="J184:J192" si="136">SUM(G184:I184)</f>
        <v>4053.7626197370614</v>
      </c>
      <c r="K184" s="1090">
        <v>1480.9308469092734</v>
      </c>
      <c r="L184" s="1091">
        <v>1479.4408766246625</v>
      </c>
      <c r="M184" s="1095">
        <v>1430.2875613506601</v>
      </c>
      <c r="N184" s="654">
        <f t="shared" ref="N184:N192" si="137">SUM(K184:M184)</f>
        <v>4390.6592848845958</v>
      </c>
      <c r="O184" s="1090">
        <v>1500.0033859903676</v>
      </c>
      <c r="P184" s="1091">
        <v>1133.8087926435612</v>
      </c>
      <c r="Q184" s="1095">
        <v>1195.3532852187816</v>
      </c>
      <c r="R184" s="654">
        <f t="shared" ref="R184:R192" si="138">SUM(O184:Q184)</f>
        <v>3829.1654638527107</v>
      </c>
      <c r="S184" s="658">
        <f>F184</f>
        <v>3634.3538119143595</v>
      </c>
      <c r="T184" s="659">
        <f>J184</f>
        <v>4053.7626197370614</v>
      </c>
      <c r="U184" s="659">
        <f>N184</f>
        <v>4390.6592848845958</v>
      </c>
      <c r="V184" s="659">
        <f>R184</f>
        <v>3829.1654638527107</v>
      </c>
      <c r="W184" s="657">
        <f t="shared" si="134"/>
        <v>15907.941180388727</v>
      </c>
    </row>
    <row r="185" spans="2:23">
      <c r="B185" s="915" t="s">
        <v>492</v>
      </c>
      <c r="C185" s="796">
        <f>'корпоративный баланс энергии'!J1601</f>
        <v>0.84728896617889404</v>
      </c>
      <c r="D185" s="797">
        <f>'корпоративный баланс энергии'!M1601</f>
        <v>0.6110347509386429</v>
      </c>
      <c r="E185" s="798">
        <f>'корпоративный баланс энергии'!P1601</f>
        <v>0.67935812473274382</v>
      </c>
      <c r="F185" s="663">
        <f t="shared" si="59"/>
        <v>2.1376818418502808</v>
      </c>
      <c r="G185" s="796">
        <f>'корпоративный баланс энергии'!S1601</f>
        <v>1.1809306144714355</v>
      </c>
      <c r="H185" s="797">
        <f>'корпоративный баланс энергии'!V1601</f>
        <v>2.5655944347381592</v>
      </c>
      <c r="I185" s="798">
        <f>'корпоративный баланс энергии'!Y1601</f>
        <v>2.4967784881594071</v>
      </c>
      <c r="J185" s="663">
        <f t="shared" si="136"/>
        <v>6.2433035373690018</v>
      </c>
      <c r="K185" s="796">
        <f>'корпоративный баланс энергии'!AB1601</f>
        <v>2.0464322566986084</v>
      </c>
      <c r="L185" s="797">
        <f>'корпоративный баланс энергии'!AE1601</f>
        <v>1.7124042510986328</v>
      </c>
      <c r="M185" s="798">
        <f>'корпоративный баланс энергии'!AH1601</f>
        <v>1.510947585105896</v>
      </c>
      <c r="N185" s="663">
        <f t="shared" si="137"/>
        <v>5.2697840929031372</v>
      </c>
      <c r="O185" s="796">
        <f>'корпоративный баланс энергии'!AK1601</f>
        <v>1.8432074785232544</v>
      </c>
      <c r="P185" s="797">
        <f>'корпоративный баланс энергии'!AN1601</f>
        <v>1.4271677732469925</v>
      </c>
      <c r="Q185" s="798">
        <f>'корпоративный баланс энергии'!AQ1601</f>
        <v>1.1219967603685745</v>
      </c>
      <c r="R185" s="663">
        <f t="shared" si="138"/>
        <v>4.3923720121388214</v>
      </c>
      <c r="S185" s="664">
        <f>F185</f>
        <v>2.1376818418502808</v>
      </c>
      <c r="T185" s="665">
        <f>J185</f>
        <v>6.2433035373690018</v>
      </c>
      <c r="U185" s="665">
        <f>N185</f>
        <v>5.2697840929031372</v>
      </c>
      <c r="V185" s="665">
        <f>R185</f>
        <v>4.3923720121388214</v>
      </c>
      <c r="W185" s="666">
        <f>SUM(S185:V185)</f>
        <v>18.043141484261241</v>
      </c>
    </row>
    <row r="186" spans="2:23">
      <c r="B186" s="786" t="s">
        <v>68</v>
      </c>
      <c r="C186" s="743">
        <f>C187</f>
        <v>75.669166564941406</v>
      </c>
      <c r="D186" s="743">
        <f>D187</f>
        <v>71.144966125488281</v>
      </c>
      <c r="E186" s="744">
        <f>E187</f>
        <v>86.4801025390625</v>
      </c>
      <c r="F186" s="745">
        <f t="shared" si="135"/>
        <v>233.29423522949219</v>
      </c>
      <c r="G186" s="743">
        <f>G187</f>
        <v>154.84638977050781</v>
      </c>
      <c r="H186" s="743">
        <f>H187</f>
        <v>274.687255859375</v>
      </c>
      <c r="I186" s="743">
        <f>I187</f>
        <v>286.09576416015625</v>
      </c>
      <c r="J186" s="745">
        <f t="shared" si="136"/>
        <v>715.62940979003906</v>
      </c>
      <c r="K186" s="743">
        <f>K187</f>
        <v>265.40811157226563</v>
      </c>
      <c r="L186" s="743">
        <f>L187</f>
        <v>213.59634399414063</v>
      </c>
      <c r="M186" s="744">
        <f>M187</f>
        <v>163.5960693359375</v>
      </c>
      <c r="N186" s="745">
        <f t="shared" si="137"/>
        <v>642.60052490234375</v>
      </c>
      <c r="O186" s="743">
        <f>O187</f>
        <v>151.49461364746094</v>
      </c>
      <c r="P186" s="743">
        <f>P187</f>
        <v>111.05888366699219</v>
      </c>
      <c r="Q186" s="744">
        <f>Q187</f>
        <v>73.509437561035156</v>
      </c>
      <c r="R186" s="745">
        <f t="shared" si="138"/>
        <v>336.06293487548828</v>
      </c>
      <c r="S186" s="746">
        <f>S187</f>
        <v>233.29423522949219</v>
      </c>
      <c r="T186" s="744">
        <f>T187</f>
        <v>715.62940979003906</v>
      </c>
      <c r="U186" s="744">
        <f>U187</f>
        <v>642.60052490234375</v>
      </c>
      <c r="V186" s="744">
        <f>V187</f>
        <v>336.06293487548828</v>
      </c>
      <c r="W186" s="747">
        <f t="shared" si="134"/>
        <v>1927.5871047973633</v>
      </c>
    </row>
    <row r="187" spans="2:23">
      <c r="B187" s="776" t="s">
        <v>725</v>
      </c>
      <c r="C187" s="1082">
        <v>75.669166564941406</v>
      </c>
      <c r="D187" s="1083">
        <v>71.144966125488281</v>
      </c>
      <c r="E187" s="1084">
        <v>86.4801025390625</v>
      </c>
      <c r="F187" s="661">
        <f t="shared" si="135"/>
        <v>233.29423522949219</v>
      </c>
      <c r="G187" s="1082">
        <v>154.84638977050781</v>
      </c>
      <c r="H187" s="1083">
        <v>274.687255859375</v>
      </c>
      <c r="I187" s="1084">
        <v>286.09576416015625</v>
      </c>
      <c r="J187" s="661">
        <f t="shared" si="136"/>
        <v>715.62940979003906</v>
      </c>
      <c r="K187" s="1082">
        <v>265.40811157226563</v>
      </c>
      <c r="L187" s="1083">
        <v>213.59634399414063</v>
      </c>
      <c r="M187" s="1084">
        <v>163.5960693359375</v>
      </c>
      <c r="N187" s="661">
        <f t="shared" si="137"/>
        <v>642.60052490234375</v>
      </c>
      <c r="O187" s="1082">
        <v>151.49461364746094</v>
      </c>
      <c r="P187" s="1083">
        <v>111.05888366699219</v>
      </c>
      <c r="Q187" s="1084">
        <v>73.509437561035156</v>
      </c>
      <c r="R187" s="661">
        <f t="shared" si="138"/>
        <v>336.06293487548828</v>
      </c>
      <c r="S187" s="673">
        <f>F187</f>
        <v>233.29423522949219</v>
      </c>
      <c r="T187" s="674">
        <f>J187</f>
        <v>715.62940979003906</v>
      </c>
      <c r="U187" s="674">
        <f>N187</f>
        <v>642.60052490234375</v>
      </c>
      <c r="V187" s="674">
        <f>R187</f>
        <v>336.06293487548828</v>
      </c>
      <c r="W187" s="662">
        <f t="shared" si="134"/>
        <v>1927.5871047973633</v>
      </c>
    </row>
    <row r="188" spans="2:23">
      <c r="B188" s="786" t="s">
        <v>71</v>
      </c>
      <c r="C188" s="743">
        <f>SUM(C189:C190)</f>
        <v>1879.0199822998047</v>
      </c>
      <c r="D188" s="743">
        <f>SUM(D189:D190)</f>
        <v>1611.0150439453125</v>
      </c>
      <c r="E188" s="744">
        <f>SUM(E189:E190)</f>
        <v>1883.0653866577147</v>
      </c>
      <c r="F188" s="745">
        <f t="shared" si="135"/>
        <v>5373.1004129028324</v>
      </c>
      <c r="G188" s="743">
        <f>SUM(G189:G190)</f>
        <v>1712.4614666748046</v>
      </c>
      <c r="H188" s="743">
        <f>SUM(H189:H190)</f>
        <v>1878.0900076293944</v>
      </c>
      <c r="I188" s="743">
        <f>SUM(I189:I190)</f>
        <v>2094.6899087524412</v>
      </c>
      <c r="J188" s="745">
        <f t="shared" si="136"/>
        <v>5685.2413830566402</v>
      </c>
      <c r="K188" s="743">
        <f>SUM(K189:K190)</f>
        <v>2024.8055258178711</v>
      </c>
      <c r="L188" s="743">
        <f>SUM(L189:L190)</f>
        <v>2253.2423734664917</v>
      </c>
      <c r="M188" s="744">
        <f>SUM(M189:M190)</f>
        <v>2310.6240526835122</v>
      </c>
      <c r="N188" s="745">
        <f t="shared" si="137"/>
        <v>6588.6719519678754</v>
      </c>
      <c r="O188" s="743">
        <f>SUM(O189:O190)</f>
        <v>2043.949798266093</v>
      </c>
      <c r="P188" s="743">
        <f>SUM(P189:P190)</f>
        <v>1843.1175842285156</v>
      </c>
      <c r="Q188" s="744">
        <f>SUM(Q189:Q190)</f>
        <v>1917.365383605957</v>
      </c>
      <c r="R188" s="745">
        <f t="shared" si="138"/>
        <v>5804.4327661005664</v>
      </c>
      <c r="S188" s="746">
        <f>SUM(S189:S190)</f>
        <v>5373.1004129028324</v>
      </c>
      <c r="T188" s="744">
        <f>SUM(T189:T190)</f>
        <v>5685.2413830566402</v>
      </c>
      <c r="U188" s="744">
        <f>SUM(U189:U190)</f>
        <v>6588.6719519678754</v>
      </c>
      <c r="V188" s="744">
        <f>SUM(V189:V190)</f>
        <v>5804.4327661005655</v>
      </c>
      <c r="W188" s="747">
        <f t="shared" si="134"/>
        <v>23451.446514027914</v>
      </c>
    </row>
    <row r="189" spans="2:23">
      <c r="B189" s="636" t="s">
        <v>731</v>
      </c>
      <c r="C189" s="1088">
        <v>1759.538798828125</v>
      </c>
      <c r="D189" s="1089">
        <v>1505.2984375000001</v>
      </c>
      <c r="E189" s="1094">
        <v>1763.254345703125</v>
      </c>
      <c r="F189" s="654">
        <f t="shared" si="135"/>
        <v>5028.0915820312503</v>
      </c>
      <c r="G189" s="1088">
        <v>1607.1372216796874</v>
      </c>
      <c r="H189" s="1089">
        <v>1761.0704589843749</v>
      </c>
      <c r="I189" s="1094">
        <v>1971.2193408203125</v>
      </c>
      <c r="J189" s="654">
        <f t="shared" si="136"/>
        <v>5339.4270214843746</v>
      </c>
      <c r="K189" s="1088">
        <v>1905.5572998046875</v>
      </c>
      <c r="L189" s="1089">
        <v>2128.6350606282554</v>
      </c>
      <c r="M189" s="1094">
        <v>2187.2565765380859</v>
      </c>
      <c r="N189" s="654">
        <f t="shared" si="137"/>
        <v>6221.4489369710291</v>
      </c>
      <c r="O189" s="1088">
        <v>1928.7057189941406</v>
      </c>
      <c r="P189" s="1089">
        <v>1732.3737436930339</v>
      </c>
      <c r="Q189" s="1094">
        <v>1796.9219189453124</v>
      </c>
      <c r="R189" s="654">
        <f t="shared" si="138"/>
        <v>5458.0013816324872</v>
      </c>
      <c r="S189" s="658">
        <f>F189</f>
        <v>5028.0915820312503</v>
      </c>
      <c r="T189" s="659">
        <f>J189</f>
        <v>5339.4270214843746</v>
      </c>
      <c r="U189" s="659">
        <f>N189</f>
        <v>6221.4489369710291</v>
      </c>
      <c r="V189" s="659">
        <f>R189</f>
        <v>5458.0013816324872</v>
      </c>
      <c r="W189" s="657">
        <f t="shared" si="134"/>
        <v>22046.96892211914</v>
      </c>
    </row>
    <row r="190" spans="2:23" ht="13.5" thickBot="1">
      <c r="B190" s="637" t="s">
        <v>732</v>
      </c>
      <c r="C190" s="1097">
        <v>119.48118347167969</v>
      </c>
      <c r="D190" s="1098">
        <v>105.71660644531249</v>
      </c>
      <c r="E190" s="1099">
        <v>119.81104095458984</v>
      </c>
      <c r="F190" s="675">
        <f t="shared" si="135"/>
        <v>345.00883087158201</v>
      </c>
      <c r="G190" s="1097">
        <v>105.32424499511718</v>
      </c>
      <c r="H190" s="1098">
        <v>117.01954864501953</v>
      </c>
      <c r="I190" s="1099">
        <v>123.4705679321289</v>
      </c>
      <c r="J190" s="675">
        <f t="shared" si="136"/>
        <v>345.81436157226563</v>
      </c>
      <c r="K190" s="1097">
        <v>119.2482260131836</v>
      </c>
      <c r="L190" s="1098">
        <v>124.6073128382365</v>
      </c>
      <c r="M190" s="1099">
        <v>123.36747614542644</v>
      </c>
      <c r="N190" s="675">
        <f t="shared" si="137"/>
        <v>367.22301499684653</v>
      </c>
      <c r="O190" s="1097">
        <v>115.24407927195232</v>
      </c>
      <c r="P190" s="1098">
        <v>110.74384053548177</v>
      </c>
      <c r="Q190" s="1099">
        <v>120.44346466064454</v>
      </c>
      <c r="R190" s="675">
        <f t="shared" si="138"/>
        <v>346.43138446807859</v>
      </c>
      <c r="S190" s="676">
        <f>F190</f>
        <v>345.00883087158201</v>
      </c>
      <c r="T190" s="677">
        <f>J190</f>
        <v>345.81436157226563</v>
      </c>
      <c r="U190" s="677">
        <f>N190</f>
        <v>367.22301499684653</v>
      </c>
      <c r="V190" s="677">
        <f>R190</f>
        <v>346.43138446807859</v>
      </c>
      <c r="W190" s="678">
        <f t="shared" si="134"/>
        <v>1404.4775919087729</v>
      </c>
    </row>
    <row r="191" spans="2:23" ht="4.5" customHeight="1" thickBot="1">
      <c r="B191" s="635"/>
      <c r="C191" s="640"/>
      <c r="D191" s="640"/>
      <c r="E191" s="641"/>
      <c r="F191" s="642"/>
      <c r="G191" s="640"/>
      <c r="H191" s="640"/>
      <c r="I191" s="640"/>
      <c r="J191" s="642"/>
      <c r="K191" s="640"/>
      <c r="L191" s="640"/>
      <c r="M191" s="641"/>
      <c r="N191" s="642"/>
      <c r="O191" s="640"/>
      <c r="P191" s="640"/>
      <c r="Q191" s="641"/>
      <c r="R191" s="642"/>
      <c r="S191" s="643"/>
      <c r="T191" s="641"/>
      <c r="U191" s="641"/>
      <c r="V191" s="644"/>
      <c r="W191" s="645"/>
    </row>
    <row r="192" spans="2:23" ht="15" thickBot="1">
      <c r="B192" s="785" t="s">
        <v>832</v>
      </c>
      <c r="C192" s="763">
        <f>SUM(C178,C179,C180,C184,C183,C189,C190)</f>
        <v>7565.6899294034674</v>
      </c>
      <c r="D192" s="763">
        <f>SUM(D178,D179,D180,D184,D183,D189,D190)</f>
        <v>6813.0363713314673</v>
      </c>
      <c r="E192" s="764">
        <f>SUM(E178,E179,E180,E184,E183,E189,E190)</f>
        <v>7415.6338522608912</v>
      </c>
      <c r="F192" s="765">
        <f t="shared" si="135"/>
        <v>21794.360152995825</v>
      </c>
      <c r="G192" s="763">
        <f>SUM(G178,G179,G180,G184,G183,G189,G190)</f>
        <v>7066.2948788146768</v>
      </c>
      <c r="H192" s="763">
        <f>SUM(H178,H179,H180,H184,H183,H189,H190)</f>
        <v>8305.7458963673562</v>
      </c>
      <c r="I192" s="763">
        <f>SUM(I178,I179,I180,I184,I183,I189,I190)</f>
        <v>8610.7107070095681</v>
      </c>
      <c r="J192" s="765">
        <f t="shared" si="136"/>
        <v>23982.751482191601</v>
      </c>
      <c r="K192" s="763">
        <f>SUM(K178,K179,K180,K184,K183,K189,K190)</f>
        <v>9051.2974068614203</v>
      </c>
      <c r="L192" s="763">
        <f>SUM(L178,L179,L180,L184,L183,L189,L190)</f>
        <v>9357.4121028074005</v>
      </c>
      <c r="M192" s="764">
        <f>SUM(M178,M179,M180,M184,M183,M189,M190)</f>
        <v>9303.4419851151451</v>
      </c>
      <c r="N192" s="765">
        <f t="shared" si="137"/>
        <v>27712.151494783968</v>
      </c>
      <c r="O192" s="763">
        <f>SUM(O178,O179,O180,O184,O183,O189,O190)</f>
        <v>9213.3555640570285</v>
      </c>
      <c r="P192" s="763">
        <f>SUM(P178,P179,P180,P184,P183,P189,P190)</f>
        <v>7461.1426128584444</v>
      </c>
      <c r="Q192" s="764">
        <f>SUM(Q178,Q179,Q180,Q184,Q183,Q189,Q190)</f>
        <v>7601.5354461723118</v>
      </c>
      <c r="R192" s="765">
        <f t="shared" si="138"/>
        <v>24276.033623087784</v>
      </c>
      <c r="S192" s="766">
        <f>SUM(S178,S179,S180,S184,S183,S189,S190)</f>
        <v>21794.360152995825</v>
      </c>
      <c r="T192" s="764">
        <f>SUM(T178,T179,T180,T184,T183,T189,T190)</f>
        <v>23982.751482191601</v>
      </c>
      <c r="U192" s="764">
        <f>SUM(U178,U179,U180,U184,U183,U189,U190)</f>
        <v>27712.151494783968</v>
      </c>
      <c r="V192" s="764">
        <f>SUM(V178,V179,V180,V184,V183,V189,V190)</f>
        <v>24276.033623087787</v>
      </c>
      <c r="W192" s="767">
        <f t="shared" si="134"/>
        <v>97765.296753059185</v>
      </c>
    </row>
    <row r="193" spans="2:23" ht="4.5" customHeight="1" thickBot="1">
      <c r="B193" s="635"/>
      <c r="C193" s="640"/>
      <c r="D193" s="640"/>
      <c r="E193" s="641"/>
      <c r="F193" s="642"/>
      <c r="G193" s="640"/>
      <c r="H193" s="640"/>
      <c r="I193" s="640"/>
      <c r="J193" s="642"/>
      <c r="K193" s="640"/>
      <c r="L193" s="640"/>
      <c r="M193" s="641"/>
      <c r="N193" s="642"/>
      <c r="O193" s="640"/>
      <c r="P193" s="640"/>
      <c r="Q193" s="641"/>
      <c r="R193" s="642"/>
      <c r="S193" s="643"/>
      <c r="T193" s="641"/>
      <c r="U193" s="641"/>
      <c r="V193" s="644"/>
      <c r="W193" s="645"/>
    </row>
    <row r="194" spans="2:23" ht="15" thickBot="1">
      <c r="B194" s="768" t="s">
        <v>237</v>
      </c>
      <c r="C194" s="769">
        <f>SUM(C195,C199)</f>
        <v>1453.12</v>
      </c>
      <c r="D194" s="769">
        <f>SUM(D195,D199)</f>
        <v>1314.4</v>
      </c>
      <c r="E194" s="770">
        <f>SUM(E195,E199)</f>
        <v>1364.37</v>
      </c>
      <c r="F194" s="771">
        <f t="shared" ref="F194:F201" si="139">SUM(C194:E194)</f>
        <v>4131.8899999999994</v>
      </c>
      <c r="G194" s="769">
        <f>SUM(G195,G199)</f>
        <v>1218.1399999999999</v>
      </c>
      <c r="H194" s="769">
        <f>SUM(H195,H199)</f>
        <v>1185.1200000000001</v>
      </c>
      <c r="I194" s="770">
        <f>SUM(I195,I199)</f>
        <v>1225.1599999999999</v>
      </c>
      <c r="J194" s="771">
        <f t="shared" ref="J194:J201" si="140">SUM(G194:I194)</f>
        <v>3628.42</v>
      </c>
      <c r="K194" s="769">
        <f>SUM(K195,K199)</f>
        <v>1240.8600000000001</v>
      </c>
      <c r="L194" s="769">
        <f>SUM(L195,L199)</f>
        <v>1379.6100000000001</v>
      </c>
      <c r="M194" s="770">
        <f>SUM(M195,M199)</f>
        <v>1398.7800000000002</v>
      </c>
      <c r="N194" s="771">
        <f t="shared" ref="N194:N201" si="141">SUM(K194:M194)</f>
        <v>4019.2500000000005</v>
      </c>
      <c r="O194" s="769">
        <f>SUM(O195,O199)</f>
        <v>1465.0499999999997</v>
      </c>
      <c r="P194" s="769">
        <f>SUM(P195,P199)</f>
        <v>1427.02</v>
      </c>
      <c r="Q194" s="770">
        <f>SUM(Q195,Q199)</f>
        <v>1465.25</v>
      </c>
      <c r="R194" s="771">
        <f t="shared" ref="R194:R201" si="142">SUM(O194:Q194)</f>
        <v>4357.32</v>
      </c>
      <c r="S194" s="769">
        <f>SUM(S195,S199)</f>
        <v>4131.8900000000003</v>
      </c>
      <c r="T194" s="769">
        <f t="shared" ref="T194:V194" si="143">SUM(T195,T199)</f>
        <v>3628.42</v>
      </c>
      <c r="U194" s="769">
        <f t="shared" si="143"/>
        <v>4019.25</v>
      </c>
      <c r="V194" s="769">
        <f t="shared" si="143"/>
        <v>4357.32</v>
      </c>
      <c r="W194" s="773">
        <f t="shared" si="134"/>
        <v>16136.880000000001</v>
      </c>
    </row>
    <row r="195" spans="2:23">
      <c r="B195" s="782" t="s">
        <v>96</v>
      </c>
      <c r="C195" s="743">
        <f>SUM(C196:C198)</f>
        <v>1029.97</v>
      </c>
      <c r="D195" s="743">
        <f>SUM(D196:D198)</f>
        <v>926.34</v>
      </c>
      <c r="E195" s="744">
        <f>SUM(E196:E198)</f>
        <v>1006.1099999999999</v>
      </c>
      <c r="F195" s="745">
        <f t="shared" si="139"/>
        <v>2962.42</v>
      </c>
      <c r="G195" s="743">
        <f>SUM(G196:G198)</f>
        <v>926.67</v>
      </c>
      <c r="H195" s="743">
        <f>SUM(H196:H198)</f>
        <v>927.94</v>
      </c>
      <c r="I195" s="744">
        <f>SUM(I196:I198)</f>
        <v>1039.78</v>
      </c>
      <c r="J195" s="745">
        <f t="shared" si="140"/>
        <v>2894.3900000000003</v>
      </c>
      <c r="K195" s="743">
        <f>SUM(K196:K198)</f>
        <v>1063.98</v>
      </c>
      <c r="L195" s="743">
        <f>SUM(L196:L198)</f>
        <v>1194.3300000000002</v>
      </c>
      <c r="M195" s="744">
        <f>SUM(M196:M198)</f>
        <v>1176.9000000000001</v>
      </c>
      <c r="N195" s="745">
        <f t="shared" si="141"/>
        <v>3435.2100000000005</v>
      </c>
      <c r="O195" s="743">
        <f>SUM(O196:O198)</f>
        <v>1164.1799999999998</v>
      </c>
      <c r="P195" s="743">
        <f>SUM(P196:P198)</f>
        <v>1043.76</v>
      </c>
      <c r="Q195" s="744">
        <f>SUM(Q196:Q198)</f>
        <v>1042.9000000000001</v>
      </c>
      <c r="R195" s="745">
        <f t="shared" si="142"/>
        <v>3250.8399999999997</v>
      </c>
      <c r="S195" s="746">
        <f>SUM(S196:S198)</f>
        <v>2962.42</v>
      </c>
      <c r="T195" s="744">
        <f>SUM(T196:T198)</f>
        <v>2894.3900000000003</v>
      </c>
      <c r="U195" s="744">
        <f>SUM(U196:U198)</f>
        <v>3435.21</v>
      </c>
      <c r="V195" s="744">
        <f>SUM(V196:V198)</f>
        <v>3250.84</v>
      </c>
      <c r="W195" s="747">
        <f t="shared" si="134"/>
        <v>12542.86</v>
      </c>
    </row>
    <row r="196" spans="2:23">
      <c r="B196" s="636" t="s">
        <v>733</v>
      </c>
      <c r="C196" s="1088">
        <v>409</v>
      </c>
      <c r="D196" s="1089">
        <v>365.4</v>
      </c>
      <c r="E196" s="1094">
        <v>409</v>
      </c>
      <c r="F196" s="654">
        <f t="shared" si="139"/>
        <v>1183.4000000000001</v>
      </c>
      <c r="G196" s="1088">
        <v>372.87</v>
      </c>
      <c r="H196" s="1089">
        <v>377.97</v>
      </c>
      <c r="I196" s="1094">
        <v>450</v>
      </c>
      <c r="J196" s="654">
        <f t="shared" si="140"/>
        <v>1200.8400000000001</v>
      </c>
      <c r="K196" s="1088">
        <v>430</v>
      </c>
      <c r="L196" s="1089">
        <v>396.81</v>
      </c>
      <c r="M196" s="1094">
        <v>445</v>
      </c>
      <c r="N196" s="654">
        <f t="shared" si="141"/>
        <v>1271.81</v>
      </c>
      <c r="O196" s="1088">
        <v>413.85</v>
      </c>
      <c r="P196" s="1089">
        <v>395</v>
      </c>
      <c r="Q196" s="1094">
        <v>409</v>
      </c>
      <c r="R196" s="654">
        <f t="shared" si="142"/>
        <v>1217.8499999999999</v>
      </c>
      <c r="S196" s="658">
        <f>F196</f>
        <v>1183.4000000000001</v>
      </c>
      <c r="T196" s="659">
        <f>J196</f>
        <v>1200.8400000000001</v>
      </c>
      <c r="U196" s="659">
        <f>N196</f>
        <v>1271.81</v>
      </c>
      <c r="V196" s="659">
        <f>R196</f>
        <v>1217.8499999999999</v>
      </c>
      <c r="W196" s="657">
        <f t="shared" si="134"/>
        <v>4873.8999999999996</v>
      </c>
    </row>
    <row r="197" spans="2:23">
      <c r="B197" s="636" t="s">
        <v>734</v>
      </c>
      <c r="C197" s="1090">
        <v>487.67</v>
      </c>
      <c r="D197" s="1091">
        <v>440.54</v>
      </c>
      <c r="E197" s="1095">
        <v>466.31</v>
      </c>
      <c r="F197" s="654">
        <f t="shared" si="139"/>
        <v>1394.52</v>
      </c>
      <c r="G197" s="1090">
        <v>432.5</v>
      </c>
      <c r="H197" s="1091">
        <v>431.87</v>
      </c>
      <c r="I197" s="1095">
        <v>463.18</v>
      </c>
      <c r="J197" s="654">
        <f t="shared" si="140"/>
        <v>1327.55</v>
      </c>
      <c r="K197" s="1090">
        <v>499.28</v>
      </c>
      <c r="L197" s="1091">
        <v>649.32000000000005</v>
      </c>
      <c r="M197" s="1095">
        <v>581.9</v>
      </c>
      <c r="N197" s="654">
        <f t="shared" si="141"/>
        <v>1730.5</v>
      </c>
      <c r="O197" s="1090">
        <v>600.32999999999993</v>
      </c>
      <c r="P197" s="1091">
        <v>510.96</v>
      </c>
      <c r="Q197" s="1095">
        <v>499.2</v>
      </c>
      <c r="R197" s="654">
        <f t="shared" si="142"/>
        <v>1610.49</v>
      </c>
      <c r="S197" s="658">
        <f>F197</f>
        <v>1394.52</v>
      </c>
      <c r="T197" s="659">
        <f>J197</f>
        <v>1327.55</v>
      </c>
      <c r="U197" s="659">
        <f>N197</f>
        <v>1730.5</v>
      </c>
      <c r="V197" s="659">
        <f>R197</f>
        <v>1610.49</v>
      </c>
      <c r="W197" s="657">
        <f t="shared" si="134"/>
        <v>6063.0599999999995</v>
      </c>
    </row>
    <row r="198" spans="2:23">
      <c r="B198" s="776" t="s">
        <v>883</v>
      </c>
      <c r="C198" s="1092">
        <v>133.30000000000001</v>
      </c>
      <c r="D198" s="1093">
        <v>120.4</v>
      </c>
      <c r="E198" s="1096">
        <v>130.80000000000001</v>
      </c>
      <c r="F198" s="661">
        <f t="shared" si="139"/>
        <v>384.5</v>
      </c>
      <c r="G198" s="1092">
        <v>121.3</v>
      </c>
      <c r="H198" s="1093">
        <v>118.1</v>
      </c>
      <c r="I198" s="1096">
        <v>126.6</v>
      </c>
      <c r="J198" s="661">
        <f t="shared" si="140"/>
        <v>366</v>
      </c>
      <c r="K198" s="1092">
        <v>134.69999999999999</v>
      </c>
      <c r="L198" s="1093">
        <v>148.19999999999999</v>
      </c>
      <c r="M198" s="1096">
        <v>150</v>
      </c>
      <c r="N198" s="661">
        <f t="shared" si="141"/>
        <v>432.9</v>
      </c>
      <c r="O198" s="1092">
        <v>150</v>
      </c>
      <c r="P198" s="1093">
        <v>137.80000000000001</v>
      </c>
      <c r="Q198" s="1096">
        <v>134.69999999999999</v>
      </c>
      <c r="R198" s="661">
        <f t="shared" si="142"/>
        <v>422.5</v>
      </c>
      <c r="S198" s="673">
        <f>F198</f>
        <v>384.5</v>
      </c>
      <c r="T198" s="674">
        <f>J198</f>
        <v>366</v>
      </c>
      <c r="U198" s="674">
        <f>N198</f>
        <v>432.9</v>
      </c>
      <c r="V198" s="674">
        <f>R198</f>
        <v>422.5</v>
      </c>
      <c r="W198" s="662">
        <f>SUM(S198:V198)</f>
        <v>1605.9</v>
      </c>
    </row>
    <row r="199" spans="2:23">
      <c r="B199" s="786" t="s">
        <v>886</v>
      </c>
      <c r="C199" s="746">
        <f>SUM(C200:C201)</f>
        <v>423.15</v>
      </c>
      <c r="D199" s="743">
        <f>SUM(D200:D201)</f>
        <v>388.05999999999995</v>
      </c>
      <c r="E199" s="744">
        <f>SUM(E200:E201)</f>
        <v>358.26</v>
      </c>
      <c r="F199" s="745">
        <f t="shared" si="139"/>
        <v>1169.4699999999998</v>
      </c>
      <c r="G199" s="746">
        <f>SUM(G200:G201)</f>
        <v>291.47000000000003</v>
      </c>
      <c r="H199" s="743">
        <f>SUM(H200:H201)</f>
        <v>257.18</v>
      </c>
      <c r="I199" s="744">
        <f>SUM(I200:I201)</f>
        <v>185.38</v>
      </c>
      <c r="J199" s="745">
        <f t="shared" si="140"/>
        <v>734.03000000000009</v>
      </c>
      <c r="K199" s="746">
        <f>SUM(K200:K201)</f>
        <v>176.88</v>
      </c>
      <c r="L199" s="743">
        <f>SUM(L200:L201)</f>
        <v>185.27999999999997</v>
      </c>
      <c r="M199" s="744">
        <f>SUM(M200:M201)</f>
        <v>221.88</v>
      </c>
      <c r="N199" s="745">
        <f t="shared" si="141"/>
        <v>584.04</v>
      </c>
      <c r="O199" s="746">
        <f>SUM(O200:O201)</f>
        <v>300.87</v>
      </c>
      <c r="P199" s="743">
        <f>SUM(P200:P201)</f>
        <v>383.26</v>
      </c>
      <c r="Q199" s="744">
        <f>SUM(Q200:Q201)</f>
        <v>422.34999999999997</v>
      </c>
      <c r="R199" s="745">
        <f t="shared" si="142"/>
        <v>1106.48</v>
      </c>
      <c r="S199" s="746">
        <f>SUM(S200:S201)</f>
        <v>1169.47</v>
      </c>
      <c r="T199" s="744">
        <f>SUM(T200:T201)</f>
        <v>734.03</v>
      </c>
      <c r="U199" s="744">
        <f>SUM(U200:U201)</f>
        <v>584.04</v>
      </c>
      <c r="V199" s="744">
        <f>SUM(V200:V201)</f>
        <v>1106.48</v>
      </c>
      <c r="W199" s="747">
        <f>SUM(S199:V199)</f>
        <v>3594.02</v>
      </c>
    </row>
    <row r="200" spans="2:23">
      <c r="B200" s="636" t="s">
        <v>887</v>
      </c>
      <c r="C200" s="1088">
        <v>313.45</v>
      </c>
      <c r="D200" s="1089">
        <v>286.20999999999998</v>
      </c>
      <c r="E200" s="1094">
        <v>262.01</v>
      </c>
      <c r="F200" s="654">
        <f t="shared" si="139"/>
        <v>861.67</v>
      </c>
      <c r="G200" s="1088">
        <v>212.69</v>
      </c>
      <c r="H200" s="1089">
        <v>187.67</v>
      </c>
      <c r="I200" s="1094">
        <v>135.28</v>
      </c>
      <c r="J200" s="654">
        <f t="shared" si="140"/>
        <v>535.64</v>
      </c>
      <c r="K200" s="1088">
        <v>129.07</v>
      </c>
      <c r="L200" s="1089">
        <v>135.19999999999999</v>
      </c>
      <c r="M200" s="1094">
        <v>158.28</v>
      </c>
      <c r="N200" s="654">
        <f t="shared" si="141"/>
        <v>422.54999999999995</v>
      </c>
      <c r="O200" s="1088">
        <v>219.55</v>
      </c>
      <c r="P200" s="1089">
        <v>281.77</v>
      </c>
      <c r="Q200" s="1094">
        <v>314.64999999999998</v>
      </c>
      <c r="R200" s="654">
        <f t="shared" si="142"/>
        <v>815.97</v>
      </c>
      <c r="S200" s="658">
        <f>F200</f>
        <v>861.67</v>
      </c>
      <c r="T200" s="659">
        <f>J200</f>
        <v>535.64</v>
      </c>
      <c r="U200" s="659">
        <f>N200</f>
        <v>422.54999999999995</v>
      </c>
      <c r="V200" s="659">
        <f>R200</f>
        <v>815.97</v>
      </c>
      <c r="W200" s="657">
        <f>SUM(S200:V200)</f>
        <v>2635.83</v>
      </c>
    </row>
    <row r="201" spans="2:23" ht="13.5" thickBot="1">
      <c r="B201" s="637" t="s">
        <v>888</v>
      </c>
      <c r="C201" s="1097">
        <v>109.7</v>
      </c>
      <c r="D201" s="1098">
        <v>101.85</v>
      </c>
      <c r="E201" s="1099">
        <v>96.25</v>
      </c>
      <c r="F201" s="803">
        <f t="shared" si="139"/>
        <v>307.8</v>
      </c>
      <c r="G201" s="1097">
        <v>78.78</v>
      </c>
      <c r="H201" s="1098">
        <v>69.510000000000005</v>
      </c>
      <c r="I201" s="1099">
        <v>50.1</v>
      </c>
      <c r="J201" s="803">
        <f t="shared" si="140"/>
        <v>198.39000000000001</v>
      </c>
      <c r="K201" s="1097">
        <v>47.81</v>
      </c>
      <c r="L201" s="1098">
        <v>50.08</v>
      </c>
      <c r="M201" s="1099">
        <v>63.6</v>
      </c>
      <c r="N201" s="803">
        <f t="shared" si="141"/>
        <v>161.49</v>
      </c>
      <c r="O201" s="1097">
        <v>81.319999999999993</v>
      </c>
      <c r="P201" s="1098">
        <v>101.49</v>
      </c>
      <c r="Q201" s="1099">
        <v>107.7</v>
      </c>
      <c r="R201" s="803">
        <f t="shared" si="142"/>
        <v>290.51</v>
      </c>
      <c r="S201" s="676">
        <f>F201</f>
        <v>307.8</v>
      </c>
      <c r="T201" s="677">
        <f>J201</f>
        <v>198.39000000000001</v>
      </c>
      <c r="U201" s="677">
        <f>N201</f>
        <v>161.49</v>
      </c>
      <c r="V201" s="677">
        <f>R201</f>
        <v>290.51</v>
      </c>
      <c r="W201" s="678">
        <f>SUM(S201:V201)</f>
        <v>958.19</v>
      </c>
    </row>
  </sheetData>
  <mergeCells count="19">
    <mergeCell ref="B2:W2"/>
    <mergeCell ref="G4:G5"/>
    <mergeCell ref="H4:H5"/>
    <mergeCell ref="I4:I5"/>
    <mergeCell ref="J4:J5"/>
    <mergeCell ref="K4:K5"/>
    <mergeCell ref="L4:L5"/>
    <mergeCell ref="S4:W4"/>
    <mergeCell ref="M4:M5"/>
    <mergeCell ref="N4:N5"/>
    <mergeCell ref="O4:O5"/>
    <mergeCell ref="P4:P5"/>
    <mergeCell ref="Q4:Q5"/>
    <mergeCell ref="R4:R5"/>
    <mergeCell ref="B4:B5"/>
    <mergeCell ref="C4:C5"/>
    <mergeCell ref="D4:D5"/>
    <mergeCell ref="E4:E5"/>
    <mergeCell ref="F4:F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"/>
  <dimension ref="A1:BG1740"/>
  <sheetViews>
    <sheetView tabSelected="1" view="pageBreakPreview" topLeftCell="G1" zoomScale="70" zoomScaleNormal="80" zoomScaleSheetLayoutView="70" workbookViewId="0">
      <selection activeCell="AS7" sqref="AS7"/>
    </sheetView>
  </sheetViews>
  <sheetFormatPr defaultRowHeight="15.75" outlineLevelRow="1" outlineLevelCol="1"/>
  <cols>
    <col min="1" max="1" width="13.33203125" style="179" hidden="1" customWidth="1" outlineLevel="1"/>
    <col min="2" max="2" width="13.5" style="6" hidden="1" customWidth="1" outlineLevel="1"/>
    <col min="3" max="3" width="13.33203125" style="6" hidden="1" customWidth="1" outlineLevel="1"/>
    <col min="4" max="4" width="13.83203125" style="6" hidden="1" customWidth="1" outlineLevel="1"/>
    <col min="5" max="5" width="13.33203125" style="6" hidden="1" customWidth="1" outlineLevel="1"/>
    <col min="6" max="6" width="14.1640625" style="6" hidden="1" customWidth="1" outlineLevel="1"/>
    <col min="7" max="7" width="10.83203125" style="6" customWidth="1" collapsed="1"/>
    <col min="8" max="8" width="135.6640625" style="120" customWidth="1"/>
    <col min="9" max="9" width="7.1640625" style="120" customWidth="1"/>
    <col min="10" max="10" width="15.1640625" style="2" customWidth="1"/>
    <col min="11" max="11" width="11.6640625" customWidth="1"/>
    <col min="12" max="12" width="12.6640625" customWidth="1"/>
    <col min="13" max="13" width="14.5" customWidth="1"/>
    <col min="14" max="14" width="11.33203125" customWidth="1"/>
    <col min="15" max="15" width="12.1640625" customWidth="1"/>
    <col min="16" max="16" width="14.83203125" customWidth="1"/>
    <col min="17" max="17" width="12" customWidth="1"/>
    <col min="18" max="18" width="13.83203125" customWidth="1"/>
    <col min="19" max="19" width="14.6640625" customWidth="1"/>
    <col min="20" max="20" width="11.83203125" customWidth="1"/>
    <col min="21" max="21" width="12" customWidth="1"/>
    <col min="22" max="22" width="14.83203125" customWidth="1"/>
    <col min="23" max="23" width="11.33203125" customWidth="1"/>
    <col min="24" max="24" width="12.33203125" customWidth="1"/>
    <col min="25" max="25" width="15.33203125" customWidth="1"/>
    <col min="26" max="26" width="11.1640625" customWidth="1"/>
    <col min="27" max="27" width="12.5" customWidth="1"/>
    <col min="28" max="28" width="15.1640625" customWidth="1"/>
    <col min="29" max="29" width="11.6640625" customWidth="1"/>
    <col min="30" max="30" width="12.33203125" customWidth="1"/>
    <col min="31" max="31" width="14.6640625" customWidth="1"/>
    <col min="32" max="32" width="11.6640625" customWidth="1"/>
    <col min="33" max="33" width="13" customWidth="1"/>
    <col min="34" max="34" width="15" customWidth="1"/>
    <col min="35" max="35" width="11.6640625" customWidth="1"/>
    <col min="36" max="36" width="12.6640625" customWidth="1"/>
    <col min="37" max="37" width="14.5" customWidth="1"/>
    <col min="38" max="38" width="12.33203125" customWidth="1"/>
    <col min="39" max="39" width="12.1640625" customWidth="1"/>
    <col min="40" max="40" width="14.5" customWidth="1"/>
    <col min="41" max="41" width="11.6640625" customWidth="1"/>
    <col min="42" max="42" width="12.6640625" customWidth="1"/>
    <col min="43" max="43" width="15" customWidth="1"/>
    <col min="44" max="44" width="13.83203125" customWidth="1"/>
    <col min="45" max="45" width="15.1640625" customWidth="1"/>
    <col min="46" max="46" width="14.33203125" customWidth="1"/>
    <col min="47" max="47" width="14" customWidth="1"/>
    <col min="48" max="48" width="14.1640625" customWidth="1"/>
    <col min="49" max="49" width="1.6640625" customWidth="1"/>
    <col min="50" max="50" width="15.33203125" customWidth="1"/>
    <col min="51" max="51" width="15.5" customWidth="1"/>
    <col min="52" max="52" width="2.6640625" customWidth="1"/>
    <col min="53" max="53" width="18.6640625" customWidth="1"/>
    <col min="54" max="54" width="12.6640625" customWidth="1"/>
    <col min="55" max="55" width="14.1640625" customWidth="1"/>
    <col min="56" max="56" width="13.5" customWidth="1"/>
  </cols>
  <sheetData>
    <row r="1" spans="1:55" s="6" customFormat="1" ht="23.25" customHeight="1" outlineLevel="1">
      <c r="A1" s="177" t="s">
        <v>285</v>
      </c>
      <c r="B1" s="178"/>
      <c r="C1" s="178"/>
      <c r="D1" s="178"/>
      <c r="E1" s="178"/>
      <c r="F1" s="178"/>
      <c r="G1" s="178"/>
      <c r="H1" s="179"/>
      <c r="I1" s="179"/>
      <c r="J1" s="185" t="s">
        <v>286</v>
      </c>
      <c r="K1" s="185"/>
      <c r="L1" s="185" t="s">
        <v>287</v>
      </c>
      <c r="M1" s="185" t="s">
        <v>286</v>
      </c>
      <c r="N1" s="185"/>
      <c r="O1" s="185" t="s">
        <v>287</v>
      </c>
      <c r="P1" s="185" t="s">
        <v>286</v>
      </c>
      <c r="Q1" s="185"/>
      <c r="R1" s="185" t="s">
        <v>287</v>
      </c>
      <c r="S1" s="185" t="s">
        <v>286</v>
      </c>
      <c r="T1" s="185"/>
      <c r="U1" s="185" t="s">
        <v>287</v>
      </c>
      <c r="V1" s="185" t="s">
        <v>286</v>
      </c>
      <c r="W1" s="185"/>
      <c r="X1" s="185" t="s">
        <v>287</v>
      </c>
      <c r="Y1" s="185" t="s">
        <v>286</v>
      </c>
      <c r="Z1" s="185"/>
      <c r="AA1" s="185" t="s">
        <v>287</v>
      </c>
      <c r="AB1" s="185" t="s">
        <v>286</v>
      </c>
      <c r="AC1" s="185"/>
      <c r="AD1" s="185" t="s">
        <v>287</v>
      </c>
      <c r="AE1" s="185" t="s">
        <v>286</v>
      </c>
      <c r="AF1" s="185"/>
      <c r="AG1" s="185" t="s">
        <v>287</v>
      </c>
      <c r="AH1" s="185" t="s">
        <v>286</v>
      </c>
      <c r="AI1" s="185"/>
      <c r="AJ1" s="185" t="s">
        <v>287</v>
      </c>
      <c r="AK1" s="185" t="s">
        <v>286</v>
      </c>
      <c r="AL1" s="185"/>
      <c r="AM1" s="185" t="s">
        <v>287</v>
      </c>
      <c r="AN1" s="185" t="s">
        <v>286</v>
      </c>
      <c r="AO1" s="185"/>
      <c r="AP1" s="185" t="s">
        <v>287</v>
      </c>
      <c r="AQ1" s="185" t="s">
        <v>286</v>
      </c>
      <c r="AR1" s="185"/>
      <c r="AS1" s="185" t="s">
        <v>287</v>
      </c>
      <c r="AT1" s="179"/>
      <c r="AU1" s="179"/>
      <c r="AV1" s="179"/>
      <c r="AW1" s="179"/>
      <c r="AX1" s="179"/>
      <c r="AY1" s="179"/>
    </row>
    <row r="2" spans="1:55" s="6" customFormat="1" ht="24.75" customHeight="1" outlineLevel="1">
      <c r="A2" s="178"/>
      <c r="B2" s="177" t="s">
        <v>290</v>
      </c>
      <c r="C2" s="178"/>
      <c r="D2" s="178"/>
      <c r="E2" s="178"/>
      <c r="F2" s="178"/>
      <c r="G2" s="178"/>
      <c r="H2" s="179"/>
      <c r="I2" s="179"/>
      <c r="J2" s="183" t="s">
        <v>291</v>
      </c>
      <c r="K2" s="184"/>
      <c r="L2" s="183" t="s">
        <v>291</v>
      </c>
      <c r="M2" s="183" t="s">
        <v>291</v>
      </c>
      <c r="N2" s="184"/>
      <c r="O2" s="183" t="s">
        <v>291</v>
      </c>
      <c r="P2" s="183" t="s">
        <v>291</v>
      </c>
      <c r="Q2" s="184"/>
      <c r="R2" s="183" t="s">
        <v>291</v>
      </c>
      <c r="S2" s="183" t="s">
        <v>291</v>
      </c>
      <c r="T2" s="184"/>
      <c r="U2" s="183" t="s">
        <v>291</v>
      </c>
      <c r="V2" s="183" t="s">
        <v>291</v>
      </c>
      <c r="W2" s="184"/>
      <c r="X2" s="183" t="s">
        <v>291</v>
      </c>
      <c r="Y2" s="183" t="s">
        <v>291</v>
      </c>
      <c r="Z2" s="184"/>
      <c r="AA2" s="183" t="s">
        <v>291</v>
      </c>
      <c r="AB2" s="183" t="s">
        <v>291</v>
      </c>
      <c r="AC2" s="184"/>
      <c r="AD2" s="183" t="s">
        <v>291</v>
      </c>
      <c r="AE2" s="183" t="s">
        <v>291</v>
      </c>
      <c r="AF2" s="184"/>
      <c r="AG2" s="183" t="s">
        <v>291</v>
      </c>
      <c r="AH2" s="183" t="s">
        <v>291</v>
      </c>
      <c r="AI2" s="184"/>
      <c r="AJ2" s="183" t="s">
        <v>291</v>
      </c>
      <c r="AK2" s="183" t="s">
        <v>291</v>
      </c>
      <c r="AL2" s="184"/>
      <c r="AM2" s="183" t="s">
        <v>291</v>
      </c>
      <c r="AN2" s="183" t="s">
        <v>291</v>
      </c>
      <c r="AO2" s="184"/>
      <c r="AP2" s="183" t="s">
        <v>291</v>
      </c>
      <c r="AQ2" s="183" t="s">
        <v>291</v>
      </c>
      <c r="AR2" s="184"/>
      <c r="AS2" s="183" t="s">
        <v>291</v>
      </c>
      <c r="AT2" s="179"/>
      <c r="AU2" s="179"/>
      <c r="AV2" s="179"/>
      <c r="AW2" s="179"/>
      <c r="AX2" s="179"/>
      <c r="AY2" s="179"/>
    </row>
    <row r="3" spans="1:55" s="6" customFormat="1" ht="24.75" customHeight="1" outlineLevel="1">
      <c r="A3" s="178"/>
      <c r="B3" s="178"/>
      <c r="C3" s="177" t="s">
        <v>292</v>
      </c>
      <c r="D3" s="177" t="s">
        <v>293</v>
      </c>
      <c r="E3" s="177"/>
      <c r="F3" s="177"/>
      <c r="G3" s="177"/>
      <c r="H3" s="182" t="s">
        <v>294</v>
      </c>
      <c r="I3" s="182"/>
      <c r="J3" s="186" t="s">
        <v>296</v>
      </c>
      <c r="K3" s="182"/>
      <c r="L3" s="186" t="s">
        <v>296</v>
      </c>
      <c r="M3" s="186" t="s">
        <v>297</v>
      </c>
      <c r="N3" s="182"/>
      <c r="O3" s="186" t="s">
        <v>297</v>
      </c>
      <c r="P3" s="186" t="s">
        <v>298</v>
      </c>
      <c r="Q3" s="182"/>
      <c r="R3" s="186" t="s">
        <v>298</v>
      </c>
      <c r="S3" s="186" t="s">
        <v>299</v>
      </c>
      <c r="T3" s="182"/>
      <c r="U3" s="186" t="s">
        <v>299</v>
      </c>
      <c r="V3" s="186" t="s">
        <v>300</v>
      </c>
      <c r="W3" s="182"/>
      <c r="X3" s="186" t="s">
        <v>300</v>
      </c>
      <c r="Y3" s="186" t="s">
        <v>301</v>
      </c>
      <c r="Z3" s="182"/>
      <c r="AA3" s="186" t="s">
        <v>301</v>
      </c>
      <c r="AB3" s="186" t="s">
        <v>302</v>
      </c>
      <c r="AC3" s="182"/>
      <c r="AD3" s="186" t="s">
        <v>302</v>
      </c>
      <c r="AE3" s="186" t="s">
        <v>303</v>
      </c>
      <c r="AF3" s="182"/>
      <c r="AG3" s="186" t="s">
        <v>303</v>
      </c>
      <c r="AH3" s="186" t="s">
        <v>304</v>
      </c>
      <c r="AI3" s="182"/>
      <c r="AJ3" s="186" t="s">
        <v>304</v>
      </c>
      <c r="AK3" s="186" t="s">
        <v>305</v>
      </c>
      <c r="AL3" s="182"/>
      <c r="AM3" s="186" t="s">
        <v>305</v>
      </c>
      <c r="AN3" s="186" t="s">
        <v>306</v>
      </c>
      <c r="AO3" s="182"/>
      <c r="AP3" s="186" t="s">
        <v>306</v>
      </c>
      <c r="AQ3" s="186" t="s">
        <v>307</v>
      </c>
      <c r="AR3" s="182"/>
      <c r="AS3" s="186" t="s">
        <v>307</v>
      </c>
      <c r="AT3" s="179"/>
      <c r="AU3" s="179"/>
      <c r="AV3" s="179"/>
      <c r="AW3" s="179"/>
      <c r="AX3" s="179"/>
    </row>
    <row r="4" spans="1:55" s="6" customFormat="1" ht="23.25" customHeight="1" outlineLevel="1">
      <c r="A4" s="178"/>
      <c r="B4" s="178"/>
      <c r="C4" s="178"/>
      <c r="D4" s="178"/>
      <c r="E4" s="178"/>
      <c r="F4" s="178"/>
      <c r="G4" s="178"/>
      <c r="H4" s="182" t="s">
        <v>295</v>
      </c>
      <c r="I4" s="182"/>
      <c r="J4" s="186"/>
      <c r="K4" s="186" t="s">
        <v>296</v>
      </c>
      <c r="L4" s="184"/>
      <c r="M4" s="186"/>
      <c r="N4" s="186" t="s">
        <v>297</v>
      </c>
      <c r="O4" s="184"/>
      <c r="P4" s="186"/>
      <c r="Q4" s="186" t="s">
        <v>298</v>
      </c>
      <c r="R4" s="184"/>
      <c r="S4" s="186"/>
      <c r="T4" s="186" t="s">
        <v>299</v>
      </c>
      <c r="U4" s="184"/>
      <c r="V4" s="186"/>
      <c r="W4" s="186" t="s">
        <v>300</v>
      </c>
      <c r="X4" s="184"/>
      <c r="Y4" s="186"/>
      <c r="Z4" s="186" t="s">
        <v>301</v>
      </c>
      <c r="AA4" s="184"/>
      <c r="AB4" s="186"/>
      <c r="AC4" s="186" t="s">
        <v>302</v>
      </c>
      <c r="AD4" s="184"/>
      <c r="AE4" s="186"/>
      <c r="AF4" s="186" t="s">
        <v>303</v>
      </c>
      <c r="AG4" s="184"/>
      <c r="AH4" s="186"/>
      <c r="AI4" s="186" t="s">
        <v>304</v>
      </c>
      <c r="AJ4" s="184"/>
      <c r="AK4" s="186"/>
      <c r="AL4" s="186" t="s">
        <v>305</v>
      </c>
      <c r="AM4" s="184"/>
      <c r="AN4" s="186"/>
      <c r="AO4" s="186" t="s">
        <v>306</v>
      </c>
      <c r="AP4" s="184"/>
      <c r="AQ4" s="186"/>
      <c r="AR4" s="186" t="s">
        <v>307</v>
      </c>
      <c r="AS4" s="184"/>
      <c r="AT4" s="179"/>
      <c r="AU4" s="179"/>
      <c r="AV4" s="179"/>
      <c r="AW4" s="179"/>
      <c r="AX4" s="179"/>
    </row>
    <row r="5" spans="1:55" s="6" customFormat="1" ht="22.5" customHeight="1" outlineLevel="1">
      <c r="A5" s="178"/>
      <c r="B5" s="178"/>
      <c r="C5" s="178"/>
      <c r="D5" s="178"/>
      <c r="E5" s="848" t="s">
        <v>1063</v>
      </c>
      <c r="F5" s="848" t="s">
        <v>1064</v>
      </c>
      <c r="G5" s="849" t="s">
        <v>1065</v>
      </c>
      <c r="H5" s="179"/>
      <c r="I5" s="179"/>
      <c r="J5" s="1215" t="s">
        <v>1066</v>
      </c>
      <c r="K5" s="1215"/>
      <c r="L5" s="1215" t="s">
        <v>1067</v>
      </c>
      <c r="M5" s="1215" t="s">
        <v>1066</v>
      </c>
      <c r="N5" s="1215"/>
      <c r="O5" s="1215" t="s">
        <v>1067</v>
      </c>
      <c r="P5" s="1215" t="s">
        <v>1066</v>
      </c>
      <c r="Q5" s="1215"/>
      <c r="R5" s="1215" t="s">
        <v>1067</v>
      </c>
      <c r="S5" s="1215" t="s">
        <v>1066</v>
      </c>
      <c r="T5" s="1215"/>
      <c r="U5" s="1215" t="s">
        <v>1067</v>
      </c>
      <c r="V5" s="1215" t="s">
        <v>1066</v>
      </c>
      <c r="W5" s="1215"/>
      <c r="X5" s="1215" t="s">
        <v>1067</v>
      </c>
      <c r="Y5" s="1215" t="s">
        <v>1066</v>
      </c>
      <c r="Z5" s="1215"/>
      <c r="AA5" s="1215" t="s">
        <v>1067</v>
      </c>
      <c r="AB5" s="1215" t="s">
        <v>1066</v>
      </c>
      <c r="AC5" s="1215"/>
      <c r="AD5" s="1215" t="s">
        <v>1067</v>
      </c>
      <c r="AE5" s="1215" t="s">
        <v>1066</v>
      </c>
      <c r="AF5" s="1215"/>
      <c r="AG5" s="1215" t="s">
        <v>1067</v>
      </c>
      <c r="AH5" s="1215" t="s">
        <v>1066</v>
      </c>
      <c r="AI5" s="1215"/>
      <c r="AJ5" s="1215" t="s">
        <v>1067</v>
      </c>
      <c r="AK5" s="1215" t="s">
        <v>1066</v>
      </c>
      <c r="AL5" s="1215"/>
      <c r="AM5" s="1215" t="s">
        <v>1067</v>
      </c>
      <c r="AN5" s="1215" t="s">
        <v>1066</v>
      </c>
      <c r="AO5" s="1215"/>
      <c r="AP5" s="1215" t="s">
        <v>1067</v>
      </c>
      <c r="AQ5" s="1215" t="s">
        <v>1066</v>
      </c>
      <c r="AR5" s="1215"/>
      <c r="AS5" s="1215" t="s">
        <v>1067</v>
      </c>
      <c r="AT5" s="179"/>
      <c r="AU5" s="179"/>
      <c r="AV5" s="179"/>
      <c r="AW5" s="179"/>
      <c r="AX5" s="179"/>
    </row>
    <row r="6" spans="1:55" s="6" customFormat="1" ht="21.75" customHeight="1" outlineLevel="1">
      <c r="A6" s="178"/>
      <c r="B6" s="178"/>
      <c r="C6" s="178"/>
      <c r="D6" s="178"/>
      <c r="E6" s="178"/>
      <c r="F6" s="178"/>
      <c r="G6" s="177"/>
      <c r="H6" s="182"/>
      <c r="I6" s="182"/>
      <c r="J6" s="1210">
        <v>2021</v>
      </c>
      <c r="K6" s="1210"/>
      <c r="L6" s="1210">
        <v>2021</v>
      </c>
      <c r="M6" s="1210">
        <v>2021</v>
      </c>
      <c r="N6" s="1210"/>
      <c r="O6" s="1210">
        <v>2021</v>
      </c>
      <c r="P6" s="1210">
        <v>2021</v>
      </c>
      <c r="Q6" s="1210"/>
      <c r="R6" s="1210">
        <v>2021</v>
      </c>
      <c r="S6" s="1210">
        <v>2021</v>
      </c>
      <c r="T6" s="1210"/>
      <c r="U6" s="1210">
        <v>2021</v>
      </c>
      <c r="V6" s="1210">
        <v>2021</v>
      </c>
      <c r="W6" s="1210"/>
      <c r="X6" s="1210">
        <v>2021</v>
      </c>
      <c r="Y6" s="1210">
        <v>2021</v>
      </c>
      <c r="Z6" s="1210"/>
      <c r="AA6" s="1210">
        <v>2021</v>
      </c>
      <c r="AB6" s="1210">
        <v>2021</v>
      </c>
      <c r="AC6" s="1210"/>
      <c r="AD6" s="1210">
        <v>2021</v>
      </c>
      <c r="AE6" s="1210">
        <v>2021</v>
      </c>
      <c r="AF6" s="1210"/>
      <c r="AG6" s="1210">
        <v>2021</v>
      </c>
      <c r="AH6" s="1210">
        <v>2021</v>
      </c>
      <c r="AI6" s="1210"/>
      <c r="AJ6" s="1210">
        <v>2021</v>
      </c>
      <c r="AK6" s="1210">
        <v>2021</v>
      </c>
      <c r="AL6" s="1210"/>
      <c r="AM6" s="1210">
        <v>2021</v>
      </c>
      <c r="AN6" s="1210">
        <v>2021</v>
      </c>
      <c r="AO6" s="1210"/>
      <c r="AP6" s="1210">
        <v>2021</v>
      </c>
      <c r="AQ6" s="1210">
        <v>2021</v>
      </c>
      <c r="AR6" s="1210"/>
      <c r="AS6" s="1210">
        <v>2021</v>
      </c>
      <c r="AT6" s="179"/>
      <c r="AU6" s="179"/>
      <c r="AV6" s="179"/>
      <c r="AW6" s="179"/>
      <c r="AX6" s="179"/>
    </row>
    <row r="7" spans="1:55" s="6" customFormat="1" ht="22.5" customHeight="1" outlineLevel="1">
      <c r="A7" s="178"/>
      <c r="B7" s="178"/>
      <c r="C7" s="178"/>
      <c r="D7" s="178"/>
      <c r="E7" s="178"/>
      <c r="F7" s="178"/>
      <c r="G7" s="178"/>
      <c r="H7" s="182"/>
      <c r="I7" s="182"/>
      <c r="J7" s="1210">
        <v>1</v>
      </c>
      <c r="K7" s="1210"/>
      <c r="L7" s="1210">
        <v>1</v>
      </c>
      <c r="M7" s="1210">
        <v>2</v>
      </c>
      <c r="N7" s="1210"/>
      <c r="O7" s="1210">
        <v>2</v>
      </c>
      <c r="P7" s="1210">
        <v>3</v>
      </c>
      <c r="Q7" s="1210"/>
      <c r="R7" s="1210">
        <v>3</v>
      </c>
      <c r="S7" s="1210">
        <v>4</v>
      </c>
      <c r="T7" s="1210"/>
      <c r="U7" s="1210">
        <v>4</v>
      </c>
      <c r="V7" s="1210">
        <v>5</v>
      </c>
      <c r="W7" s="1210"/>
      <c r="X7" s="1210">
        <v>5</v>
      </c>
      <c r="Y7" s="1210">
        <v>6</v>
      </c>
      <c r="Z7" s="1210"/>
      <c r="AA7" s="1210">
        <v>6</v>
      </c>
      <c r="AB7" s="1210">
        <v>7</v>
      </c>
      <c r="AC7" s="1210"/>
      <c r="AD7" s="1210">
        <v>7</v>
      </c>
      <c r="AE7" s="1210">
        <v>8</v>
      </c>
      <c r="AF7" s="1210"/>
      <c r="AG7" s="1210">
        <v>8</v>
      </c>
      <c r="AH7" s="1210">
        <v>9</v>
      </c>
      <c r="AI7" s="1210"/>
      <c r="AJ7" s="1210">
        <v>9</v>
      </c>
      <c r="AK7" s="1210">
        <v>10</v>
      </c>
      <c r="AL7" s="1210"/>
      <c r="AM7" s="1210">
        <v>10</v>
      </c>
      <c r="AN7" s="1210">
        <v>11</v>
      </c>
      <c r="AO7" s="1210"/>
      <c r="AP7" s="1210">
        <v>11</v>
      </c>
      <c r="AQ7" s="1210">
        <v>12</v>
      </c>
      <c r="AR7" s="1210"/>
      <c r="AS7" s="1210">
        <v>12</v>
      </c>
      <c r="AT7" s="179"/>
      <c r="AU7" s="179"/>
      <c r="AV7" s="179"/>
      <c r="AW7" s="179"/>
      <c r="AX7" s="179"/>
    </row>
    <row r="8" spans="1:55" ht="20.25">
      <c r="A8" s="178"/>
      <c r="B8" s="179"/>
      <c r="C8" s="179"/>
      <c r="D8" s="179"/>
      <c r="E8" s="179"/>
      <c r="F8" s="179"/>
      <c r="G8" s="179" t="s">
        <v>1065</v>
      </c>
      <c r="H8" s="1209"/>
      <c r="I8" s="1209"/>
      <c r="J8" s="1209"/>
      <c r="K8" s="1209"/>
      <c r="L8" s="1209"/>
      <c r="M8" s="1209"/>
      <c r="N8" s="1209"/>
      <c r="O8" s="1209"/>
      <c r="P8" s="1209"/>
      <c r="Q8" s="1209"/>
      <c r="R8" s="1209"/>
      <c r="S8" s="1209"/>
      <c r="T8" s="1209"/>
      <c r="U8" s="1209"/>
      <c r="V8" s="1209"/>
      <c r="W8" s="1209"/>
      <c r="X8" s="1209"/>
      <c r="Y8" s="1209"/>
      <c r="Z8" s="1209"/>
      <c r="AA8" s="1209"/>
      <c r="AB8" s="1209"/>
      <c r="AC8" s="1209"/>
      <c r="AD8" s="1209"/>
      <c r="AE8" s="1209"/>
      <c r="AF8" s="1209"/>
      <c r="AG8" s="1209"/>
      <c r="AH8" s="1209"/>
      <c r="AI8" s="1209"/>
      <c r="AJ8" s="1209"/>
      <c r="AK8" s="1209"/>
      <c r="AL8" s="1209"/>
      <c r="AM8" s="1209"/>
      <c r="AN8" s="1209"/>
      <c r="AO8" s="1209"/>
      <c r="AP8" s="1209"/>
      <c r="AQ8" s="1209"/>
      <c r="AR8" s="1209"/>
      <c r="AS8" s="1209"/>
      <c r="AT8" s="1209"/>
      <c r="AU8" s="1209"/>
      <c r="AV8" s="1209"/>
    </row>
    <row r="9" spans="1:55" ht="20.25">
      <c r="A9" s="178"/>
      <c r="B9" s="179"/>
      <c r="C9" s="179"/>
      <c r="D9" s="179"/>
      <c r="E9" s="179"/>
      <c r="F9" s="179"/>
      <c r="G9" s="179"/>
      <c r="H9" s="1209"/>
      <c r="I9" s="1209"/>
      <c r="J9" s="1210"/>
      <c r="K9" s="1210"/>
      <c r="L9" s="1210"/>
      <c r="M9" s="1210"/>
      <c r="N9" s="1210"/>
      <c r="O9" s="1210"/>
      <c r="P9" s="1210"/>
      <c r="Q9" s="1210"/>
      <c r="R9" s="1210"/>
      <c r="S9" s="1210"/>
      <c r="T9" s="1210"/>
      <c r="U9" s="1210"/>
      <c r="V9" s="1210"/>
      <c r="W9" s="1210"/>
      <c r="X9" s="1210"/>
      <c r="Y9" s="1210"/>
      <c r="Z9" s="1210"/>
      <c r="AA9" s="1210"/>
      <c r="AB9" s="1210"/>
      <c r="AC9" s="1210"/>
      <c r="AD9" s="1210"/>
      <c r="AE9" s="1210"/>
      <c r="AF9" s="1210"/>
      <c r="AG9" s="1210"/>
      <c r="AH9" s="1210"/>
      <c r="AI9" s="1210"/>
      <c r="AJ9" s="1210"/>
      <c r="AK9" s="1210"/>
      <c r="AL9" s="1210"/>
      <c r="AM9" s="1210"/>
      <c r="AN9" s="1210"/>
      <c r="AO9" s="1210"/>
      <c r="AP9" s="1210"/>
      <c r="AQ9" s="1210"/>
      <c r="AR9" s="1210"/>
      <c r="AS9" s="1210"/>
      <c r="AT9" s="1210"/>
      <c r="AU9" s="1210"/>
      <c r="AV9" s="1210"/>
    </row>
    <row r="10" spans="1:55" ht="21" thickBot="1">
      <c r="A10" s="178"/>
      <c r="B10" s="179"/>
      <c r="C10" s="178"/>
      <c r="D10" s="178"/>
      <c r="E10" s="178"/>
      <c r="F10" s="178"/>
      <c r="G10" s="178"/>
      <c r="J10" s="1210"/>
      <c r="K10" s="1210"/>
      <c r="L10" s="1210"/>
      <c r="M10" s="1210"/>
      <c r="N10" s="1210"/>
      <c r="O10" s="1210"/>
      <c r="P10" s="1210"/>
      <c r="Q10" s="1210"/>
      <c r="R10" s="1210"/>
      <c r="S10" s="1210"/>
      <c r="T10" s="1210"/>
      <c r="U10" s="1210"/>
      <c r="V10" s="1210"/>
      <c r="W10" s="1210"/>
      <c r="X10" s="1210"/>
      <c r="Y10" s="1210"/>
      <c r="Z10" s="1210"/>
      <c r="AA10" s="1210"/>
      <c r="AB10" s="1210"/>
      <c r="AC10" s="1210"/>
      <c r="AD10" s="1210"/>
      <c r="AE10" s="1210"/>
      <c r="AF10" s="1210"/>
      <c r="AG10" s="1210"/>
      <c r="AH10" s="1210"/>
      <c r="AI10" s="1210"/>
      <c r="AJ10" s="1210"/>
      <c r="AK10" s="1210"/>
      <c r="AL10" s="1210"/>
      <c r="AM10" s="1210"/>
      <c r="AN10" s="1210"/>
      <c r="AO10" s="1210"/>
      <c r="AP10" s="1210"/>
      <c r="AQ10" s="1210"/>
      <c r="AR10" s="1210"/>
      <c r="AS10" s="1210"/>
      <c r="AT10" s="1210"/>
      <c r="AU10" s="1210"/>
      <c r="AV10" s="1210"/>
      <c r="AW10" s="1"/>
    </row>
    <row r="11" spans="1:55" ht="19.5" thickBot="1">
      <c r="A11" s="178"/>
      <c r="B11" s="179"/>
      <c r="C11" s="178"/>
      <c r="D11" s="178"/>
      <c r="E11" s="178"/>
      <c r="F11" s="178"/>
      <c r="G11" s="178"/>
      <c r="H11" s="1239" t="s">
        <v>344</v>
      </c>
      <c r="I11" s="817"/>
      <c r="J11" s="1241" t="s">
        <v>19</v>
      </c>
      <c r="K11" s="1241"/>
      <c r="L11" s="1242"/>
      <c r="M11" s="1241" t="s">
        <v>20</v>
      </c>
      <c r="N11" s="1241"/>
      <c r="O11" s="1242"/>
      <c r="P11" s="1241" t="s">
        <v>0</v>
      </c>
      <c r="Q11" s="1241"/>
      <c r="R11" s="1242"/>
      <c r="S11" s="1241" t="s">
        <v>21</v>
      </c>
      <c r="T11" s="1243"/>
      <c r="U11" s="1244"/>
      <c r="V11" s="1241" t="s">
        <v>1</v>
      </c>
      <c r="W11" s="1243"/>
      <c r="X11" s="1244"/>
      <c r="Y11" s="1241" t="s">
        <v>2</v>
      </c>
      <c r="Z11" s="1243"/>
      <c r="AA11" s="1244"/>
      <c r="AB11" s="1241" t="s">
        <v>3</v>
      </c>
      <c r="AC11" s="1243"/>
      <c r="AD11" s="1244"/>
      <c r="AE11" s="1241" t="s">
        <v>22</v>
      </c>
      <c r="AF11" s="1243"/>
      <c r="AG11" s="1244"/>
      <c r="AH11" s="1241" t="s">
        <v>23</v>
      </c>
      <c r="AI11" s="1243"/>
      <c r="AJ11" s="1244"/>
      <c r="AK11" s="1241" t="s">
        <v>24</v>
      </c>
      <c r="AL11" s="1243"/>
      <c r="AM11" s="1244"/>
      <c r="AN11" s="1241" t="s">
        <v>25</v>
      </c>
      <c r="AO11" s="1243"/>
      <c r="AP11" s="1244"/>
      <c r="AQ11" s="1241" t="s">
        <v>26</v>
      </c>
      <c r="AR11" s="1241"/>
      <c r="AS11" s="1244"/>
      <c r="AT11" s="1248">
        <v>2020</v>
      </c>
      <c r="AU11" s="1243"/>
      <c r="AV11" s="1243"/>
      <c r="AW11" s="169"/>
      <c r="AX11" s="166" t="s">
        <v>1522</v>
      </c>
      <c r="AY11" s="167" t="s">
        <v>1522</v>
      </c>
    </row>
    <row r="12" spans="1:55" s="4" customFormat="1" ht="15" customHeight="1" thickBot="1">
      <c r="A12" s="179"/>
      <c r="B12" s="179"/>
      <c r="C12" s="838"/>
      <c r="D12" s="838"/>
      <c r="E12" s="838"/>
      <c r="F12" s="838"/>
      <c r="G12" s="838"/>
      <c r="H12" s="1240"/>
      <c r="I12" s="818"/>
      <c r="J12" s="93" t="s">
        <v>29</v>
      </c>
      <c r="K12" s="93" t="s">
        <v>30</v>
      </c>
      <c r="L12" s="94" t="s">
        <v>31</v>
      </c>
      <c r="M12" s="93" t="s">
        <v>29</v>
      </c>
      <c r="N12" s="93" t="s">
        <v>30</v>
      </c>
      <c r="O12" s="94" t="s">
        <v>31</v>
      </c>
      <c r="P12" s="93" t="s">
        <v>29</v>
      </c>
      <c r="Q12" s="93" t="s">
        <v>30</v>
      </c>
      <c r="R12" s="94" t="s">
        <v>31</v>
      </c>
      <c r="S12" s="93" t="s">
        <v>29</v>
      </c>
      <c r="T12" s="93" t="s">
        <v>30</v>
      </c>
      <c r="U12" s="94" t="s">
        <v>31</v>
      </c>
      <c r="V12" s="93" t="s">
        <v>29</v>
      </c>
      <c r="W12" s="93" t="s">
        <v>30</v>
      </c>
      <c r="X12" s="94" t="s">
        <v>31</v>
      </c>
      <c r="Y12" s="93" t="s">
        <v>29</v>
      </c>
      <c r="Z12" s="93" t="s">
        <v>30</v>
      </c>
      <c r="AA12" s="94" t="s">
        <v>31</v>
      </c>
      <c r="AB12" s="93" t="s">
        <v>29</v>
      </c>
      <c r="AC12" s="93" t="s">
        <v>30</v>
      </c>
      <c r="AD12" s="94" t="s">
        <v>31</v>
      </c>
      <c r="AE12" s="93" t="s">
        <v>29</v>
      </c>
      <c r="AF12" s="93" t="s">
        <v>30</v>
      </c>
      <c r="AG12" s="94" t="s">
        <v>31</v>
      </c>
      <c r="AH12" s="93" t="s">
        <v>29</v>
      </c>
      <c r="AI12" s="93" t="s">
        <v>30</v>
      </c>
      <c r="AJ12" s="94" t="s">
        <v>31</v>
      </c>
      <c r="AK12" s="93" t="s">
        <v>29</v>
      </c>
      <c r="AL12" s="93" t="s">
        <v>30</v>
      </c>
      <c r="AM12" s="94" t="s">
        <v>31</v>
      </c>
      <c r="AN12" s="93" t="s">
        <v>29</v>
      </c>
      <c r="AO12" s="93" t="s">
        <v>30</v>
      </c>
      <c r="AP12" s="94" t="s">
        <v>31</v>
      </c>
      <c r="AQ12" s="93" t="s">
        <v>29</v>
      </c>
      <c r="AR12" s="93" t="s">
        <v>30</v>
      </c>
      <c r="AS12" s="94" t="s">
        <v>31</v>
      </c>
      <c r="AT12" s="93" t="s">
        <v>29</v>
      </c>
      <c r="AU12" s="93" t="s">
        <v>30</v>
      </c>
      <c r="AV12" s="168" t="s">
        <v>31</v>
      </c>
      <c r="AW12" s="170"/>
      <c r="AX12" s="95" t="s">
        <v>31</v>
      </c>
      <c r="AY12" s="96" t="s">
        <v>29</v>
      </c>
    </row>
    <row r="13" spans="1:55" s="4" customFormat="1" ht="15" customHeight="1">
      <c r="A13" s="179"/>
      <c r="B13" s="179"/>
      <c r="C13" s="838"/>
      <c r="D13" s="838"/>
      <c r="E13" s="838"/>
      <c r="F13" s="838"/>
      <c r="G13" s="838"/>
      <c r="H13" s="466" t="s">
        <v>32</v>
      </c>
      <c r="I13" s="466"/>
      <c r="J13" s="263">
        <f>J82+J370+J538+J849+J1082+J1454+J1674</f>
        <v>100113.57564187478</v>
      </c>
      <c r="K13" s="223">
        <f>L13-J13</f>
        <v>3502.5803556988685</v>
      </c>
      <c r="L13" s="224">
        <f>L82+L370+L538+L849+L1082+L1454+L1674</f>
        <v>103616.15599757365</v>
      </c>
      <c r="M13" s="263">
        <f>M82+M370+M538+M849+M1082+M1454+M1674</f>
        <v>97658.870222343918</v>
      </c>
      <c r="N13" s="223">
        <f>O13-M13</f>
        <v>-844.99687341599201</v>
      </c>
      <c r="O13" s="224">
        <f>O82+O370+O538+O849+O1082+O1454+O1674</f>
        <v>96813.873348927926</v>
      </c>
      <c r="P13" s="263">
        <f>P82+P370+P538+P849+P1082+P1454+P1674</f>
        <v>98647.063629720898</v>
      </c>
      <c r="Q13" s="223">
        <f>R13-P13</f>
        <v>-1192.4933310566557</v>
      </c>
      <c r="R13" s="224">
        <f>R82+R370+R538+R849+R1082+R1454+R1674</f>
        <v>97454.570298664243</v>
      </c>
      <c r="S13" s="263">
        <f>S82+S370+S538+S849+S1082+S1454+S1674</f>
        <v>87526.108832568745</v>
      </c>
      <c r="T13" s="223">
        <f>U13-S13</f>
        <v>-519.51196266220359</v>
      </c>
      <c r="U13" s="224">
        <f>U82+U370+U538+U849+U1082+U1454+U1674</f>
        <v>87006.596869906542</v>
      </c>
      <c r="V13" s="263">
        <f>V82+V370+V538+V849+V1082+V1454+V1674</f>
        <v>82706.176184333133</v>
      </c>
      <c r="W13" s="223">
        <f>X13-V13</f>
        <v>-803.511111991902</v>
      </c>
      <c r="X13" s="224">
        <f>X82+X370+X538+X849+X1082+X1454+X1674</f>
        <v>81902.665072341231</v>
      </c>
      <c r="Y13" s="263">
        <f>Y82+Y370+Y538+Y849+Y1082+Y1454+Y1674</f>
        <v>78700.334871954983</v>
      </c>
      <c r="Z13" s="223">
        <f>AA13-Y13</f>
        <v>-965.48970417027886</v>
      </c>
      <c r="AA13" s="224">
        <f>AA82+AA370+AA538+AA849+AA1082+AA1454+AA1674</f>
        <v>77734.845167784704</v>
      </c>
      <c r="AB13" s="263">
        <f>AB82+AB370+AB538+AB849+AB1082+AB1454+AB1674</f>
        <v>81407.302352915314</v>
      </c>
      <c r="AC13" s="223">
        <f>AD13-AB13</f>
        <v>-1314.5125676858588</v>
      </c>
      <c r="AD13" s="224">
        <f>AD82+AD370+AD538+AD849+AD1082+AD1454+AD1674</f>
        <v>80092.789785229455</v>
      </c>
      <c r="AE13" s="263">
        <f>AE82+AE370+AE538+AE849+AE1082+AE1454+AE1674</f>
        <v>83075.420034248775</v>
      </c>
      <c r="AF13" s="223">
        <f>AG13-AE13</f>
        <v>-1726.5020167292096</v>
      </c>
      <c r="AG13" s="224">
        <f>AG82+AG370+AG538+AG849+AG1082+AG1454+AG1674</f>
        <v>81348.918017519565</v>
      </c>
      <c r="AH13" s="263">
        <f>AH82+AH370+AH538+AH849+AH1082+AH1454+AH1674</f>
        <v>83772.921181997648</v>
      </c>
      <c r="AI13" s="223">
        <f>AJ13-AH13</f>
        <v>-2099.4948029469233</v>
      </c>
      <c r="AJ13" s="224">
        <f>AJ82+AJ370+AJ538+AJ849+AJ1082+AJ1454+AJ1674</f>
        <v>81673.426379050725</v>
      </c>
      <c r="AK13" s="263">
        <f>AK82+AK370+AK538+AK849+AK1082+AK1454+AK1674</f>
        <v>93991.388304373773</v>
      </c>
      <c r="AL13" s="223">
        <f>AM13-AK13</f>
        <v>-1730.5025581707305</v>
      </c>
      <c r="AM13" s="224">
        <f>AM82+AM370+AM538+AM849+AM1082+AM1454+AM1674</f>
        <v>92260.885746203043</v>
      </c>
      <c r="AN13" s="263">
        <f>AN82+AN370+AN538+AN849+AN1082+AN1454+AN1674</f>
        <v>98912.447236223175</v>
      </c>
      <c r="AO13" s="223">
        <f>AP13-AN13</f>
        <v>-1814.0068444962526</v>
      </c>
      <c r="AP13" s="224">
        <f>AP82+AP370+AP538+AP849+AP1082+AP1454+AP1674</f>
        <v>97098.440391726923</v>
      </c>
      <c r="AQ13" s="263">
        <f>AQ82+AQ370+AQ538+AQ849+AQ1082+AQ1454+AQ1674</f>
        <v>108070.61511203861</v>
      </c>
      <c r="AR13" s="223">
        <f>AS13-AQ13</f>
        <v>-1960.0061688136047</v>
      </c>
      <c r="AS13" s="224">
        <f>AS82+AS370+AS538+AS849+AS1082+AS1454+AS1674</f>
        <v>106110.608943225</v>
      </c>
      <c r="AT13" s="263">
        <f>AT82+AT370+AT538+AT849+AT1082+AT1454+AT1674</f>
        <v>1094582.2236045937</v>
      </c>
      <c r="AU13" s="223">
        <f>AV13-AT13</f>
        <v>-11468.447586440714</v>
      </c>
      <c r="AV13" s="224">
        <f>AV82+AV370+AV538+AV849+AV1082+AV1454+AV1674</f>
        <v>1083113.7760181529</v>
      </c>
      <c r="AW13" s="226"/>
      <c r="AX13" s="227">
        <f>AX82+AX370+AX538+AX849+AX1082+AX1454+AX1674</f>
        <v>1055558.7307736999</v>
      </c>
      <c r="AY13" s="227">
        <f>AY82+AY370+AY538+AY849+AY1082+AY1454+AY1674</f>
        <v>1070922.1599212</v>
      </c>
      <c r="AZ13" s="228"/>
      <c r="BA13" s="228">
        <f>AX13-AY13</f>
        <v>-15363.429147500079</v>
      </c>
      <c r="BB13" s="228"/>
      <c r="BC13" s="228"/>
    </row>
    <row r="14" spans="1:55" s="4" customFormat="1" ht="15" customHeight="1">
      <c r="A14" s="179"/>
      <c r="B14" s="179"/>
      <c r="C14" s="838"/>
      <c r="D14" s="838"/>
      <c r="E14" s="838"/>
      <c r="F14" s="838"/>
      <c r="G14" s="838"/>
      <c r="H14" s="467" t="s">
        <v>56</v>
      </c>
      <c r="I14" s="467"/>
      <c r="J14" s="223">
        <f>J83+J371+J539+J850+J1083+J1455+J1679</f>
        <v>62583.499866710117</v>
      </c>
      <c r="K14" s="223"/>
      <c r="L14" s="224"/>
      <c r="M14" s="223">
        <f>M83+M371+M539+M850+M1083+M1455+M1679</f>
        <v>63075.724542549011</v>
      </c>
      <c r="N14" s="223"/>
      <c r="O14" s="224"/>
      <c r="P14" s="223">
        <f>P83+P371+P539+P850+P1083+P1455+P1679</f>
        <v>60971.790605935283</v>
      </c>
      <c r="Q14" s="223"/>
      <c r="R14" s="224"/>
      <c r="S14" s="223">
        <f>S83+S371+S539+S850+S1083+S1455+S1679</f>
        <v>50784.917814519482</v>
      </c>
      <c r="T14" s="223"/>
      <c r="U14" s="224"/>
      <c r="V14" s="223">
        <f>V83+V371+V539+V850+V1083+V1455+V1679</f>
        <v>43476.055218815447</v>
      </c>
      <c r="W14" s="223"/>
      <c r="X14" s="224"/>
      <c r="Y14" s="223">
        <f>Y83+Y371+Y539+Y850+Y1083+Y1455+Y1679</f>
        <v>39643.083019609898</v>
      </c>
      <c r="Z14" s="223"/>
      <c r="AA14" s="224"/>
      <c r="AB14" s="223">
        <f>AB83+AB371+AB539+AB850+AB1083+AB1455+AB1679</f>
        <v>43134.880075993096</v>
      </c>
      <c r="AC14" s="223"/>
      <c r="AD14" s="224"/>
      <c r="AE14" s="223">
        <f>AE83+AE371+AE539+AE850+AE1083+AE1455+AE1679</f>
        <v>45575.373478496957</v>
      </c>
      <c r="AF14" s="223"/>
      <c r="AG14" s="224"/>
      <c r="AH14" s="223">
        <f>AH83+AH371+AH539+AH850+AH1083+AH1455+AH1679</f>
        <v>46077.129768754392</v>
      </c>
      <c r="AI14" s="223"/>
      <c r="AJ14" s="224"/>
      <c r="AK14" s="223">
        <f>AK83+AK371+AK539+AK850+AK1083+AK1455+AK1679</f>
        <v>52086.967289004446</v>
      </c>
      <c r="AL14" s="223"/>
      <c r="AM14" s="224"/>
      <c r="AN14" s="223">
        <f>AN83+AN371+AN539+AN850+AN1083+AN1455+AN1679</f>
        <v>61228.808452566504</v>
      </c>
      <c r="AO14" s="223"/>
      <c r="AP14" s="224"/>
      <c r="AQ14" s="223">
        <f>AQ83+AQ371+AQ539+AQ850+AQ1083+AQ1455+AQ1679</f>
        <v>68218.055022018976</v>
      </c>
      <c r="AR14" s="223"/>
      <c r="AS14" s="224"/>
      <c r="AT14" s="223">
        <f>AT83+AT371+AT539+AT850+AT1083+AT1455+AT1679</f>
        <v>636856.28515497362</v>
      </c>
      <c r="AU14" s="223"/>
      <c r="AV14" s="224"/>
      <c r="AW14" s="226"/>
      <c r="AX14" s="230"/>
      <c r="AY14" s="231">
        <f>AY83+AY371+AY539+AY850+AY1083+AY1455+AY1679</f>
        <v>620110.48094009992</v>
      </c>
      <c r="AZ14" s="228"/>
      <c r="BA14" s="228"/>
      <c r="BB14" s="228"/>
      <c r="BC14" s="228"/>
    </row>
    <row r="15" spans="1:55" s="4" customFormat="1" ht="15" customHeight="1">
      <c r="A15" s="179"/>
      <c r="B15" s="179"/>
      <c r="C15" s="180"/>
      <c r="D15" s="180"/>
      <c r="E15" s="180"/>
      <c r="F15" s="180"/>
      <c r="G15" s="180"/>
      <c r="H15" s="467" t="s">
        <v>55</v>
      </c>
      <c r="I15" s="467"/>
      <c r="J15" s="223">
        <f>J84+J372+J540+J851+J1084+J1456+J1680</f>
        <v>12255.175905876315</v>
      </c>
      <c r="K15" s="223"/>
      <c r="L15" s="224"/>
      <c r="M15" s="223">
        <f>M84+M372+M540+M851+M1084+M1456+M1680</f>
        <v>12415.06711739188</v>
      </c>
      <c r="N15" s="223"/>
      <c r="O15" s="224"/>
      <c r="P15" s="223">
        <f>P84+P372+P540+P851+P1084+P1456+P1680</f>
        <v>13493.989258826674</v>
      </c>
      <c r="Q15" s="223"/>
      <c r="R15" s="224"/>
      <c r="S15" s="223">
        <f>S84+S372+S540+S851+S1084+S1456+S1680</f>
        <v>14146.086550826831</v>
      </c>
      <c r="T15" s="223"/>
      <c r="U15" s="224"/>
      <c r="V15" s="223">
        <f>V84+V372+V540+V851+V1084+V1456+V1680</f>
        <v>17654.915811186376</v>
      </c>
      <c r="W15" s="223"/>
      <c r="X15" s="224"/>
      <c r="Y15" s="223">
        <f>Y84+Y372+Y540+Y851+Y1084+Y1456+Y1680</f>
        <v>17196.139635109539</v>
      </c>
      <c r="Z15" s="223"/>
      <c r="AA15" s="224"/>
      <c r="AB15" s="223">
        <f>AB84+AB372+AB540+AB851+AB1084+AB1456+AB1680</f>
        <v>16729.348267056364</v>
      </c>
      <c r="AC15" s="223"/>
      <c r="AD15" s="224"/>
      <c r="AE15" s="223">
        <f>AE84+AE372+AE540+AE851+AE1084+AE1456+AE1680</f>
        <v>16419.168572600483</v>
      </c>
      <c r="AF15" s="223"/>
      <c r="AG15" s="224"/>
      <c r="AH15" s="223">
        <f>AH84+AH372+AH540+AH851+AH1084+AH1456+AH1680</f>
        <v>15813.703840641794</v>
      </c>
      <c r="AI15" s="223"/>
      <c r="AJ15" s="224"/>
      <c r="AK15" s="223">
        <f>AK84+AK372+AK540+AK851+AK1084+AK1456+AK1680</f>
        <v>15726.758194976192</v>
      </c>
      <c r="AL15" s="223"/>
      <c r="AM15" s="224"/>
      <c r="AN15" s="223">
        <f>AN84+AN372+AN540+AN851+AN1084+AN1456+AN1680</f>
        <v>13841.890616600998</v>
      </c>
      <c r="AO15" s="223"/>
      <c r="AP15" s="224"/>
      <c r="AQ15" s="223">
        <f>AQ84+AQ372+AQ540+AQ851+AQ1084+AQ1456+AQ1680</f>
        <v>14027.144960770016</v>
      </c>
      <c r="AR15" s="223"/>
      <c r="AS15" s="224"/>
      <c r="AT15" s="223">
        <f>AT84+AT372+AT540+AT851+AT1084+AT1456+AT1680</f>
        <v>179719.3887318635</v>
      </c>
      <c r="AU15" s="223"/>
      <c r="AV15" s="224"/>
      <c r="AW15" s="226"/>
      <c r="AX15" s="230"/>
      <c r="AY15" s="231">
        <f>AY84+AY372+AY540+AY851+AY1084+AY1456+AY1680</f>
        <v>183759.78299100001</v>
      </c>
      <c r="AZ15" s="228"/>
      <c r="BA15" s="228"/>
      <c r="BB15" s="228"/>
      <c r="BC15" s="228"/>
    </row>
    <row r="16" spans="1:55" s="4" customFormat="1" ht="15" customHeight="1">
      <c r="A16" s="179"/>
      <c r="B16" s="179"/>
      <c r="C16" s="180"/>
      <c r="D16" s="180"/>
      <c r="E16" s="180"/>
      <c r="F16" s="180"/>
      <c r="G16" s="180"/>
      <c r="H16" s="467" t="s">
        <v>98</v>
      </c>
      <c r="I16" s="467"/>
      <c r="J16" s="223">
        <f>J85+J373+J541+J852+J1085</f>
        <v>18863.43</v>
      </c>
      <c r="K16" s="223"/>
      <c r="L16" s="224"/>
      <c r="M16" s="223">
        <f>M85+M373+M541+M852+M1085</f>
        <v>16273.06</v>
      </c>
      <c r="N16" s="223"/>
      <c r="O16" s="224"/>
      <c r="P16" s="223">
        <f>P85+P373+P541+P852+P1085</f>
        <v>17853.440000000002</v>
      </c>
      <c r="Q16" s="223"/>
      <c r="R16" s="224"/>
      <c r="S16" s="223">
        <f>S85+S373+S541+S852+S1085</f>
        <v>16671.7</v>
      </c>
      <c r="T16" s="223"/>
      <c r="U16" s="224"/>
      <c r="V16" s="223">
        <f>V85+V373+V541+V852+V1085</f>
        <v>16001.57</v>
      </c>
      <c r="W16" s="223"/>
      <c r="X16" s="224"/>
      <c r="Y16" s="223">
        <f>Y85+Y373+Y541+Y852+Y1085</f>
        <v>16639.57</v>
      </c>
      <c r="Z16" s="223"/>
      <c r="AA16" s="224"/>
      <c r="AB16" s="223">
        <f>AB85+AB373+AB541+AB852+AB1085</f>
        <v>16230.19</v>
      </c>
      <c r="AC16" s="223"/>
      <c r="AD16" s="224"/>
      <c r="AE16" s="223">
        <f>AE85+AE373+AE541+AE852+AE1085</f>
        <v>15511.82</v>
      </c>
      <c r="AF16" s="223"/>
      <c r="AG16" s="224"/>
      <c r="AH16" s="223">
        <f>AH85+AH373+AH541+AH852+AH1085</f>
        <v>16198.39</v>
      </c>
      <c r="AI16" s="223"/>
      <c r="AJ16" s="224"/>
      <c r="AK16" s="223">
        <f>AK85+AK373+AK541+AK852+AK1085</f>
        <v>19880.650000000001</v>
      </c>
      <c r="AL16" s="223"/>
      <c r="AM16" s="224"/>
      <c r="AN16" s="223">
        <f>AN85+AN373+AN541+AN852+AN1085</f>
        <v>17479.72</v>
      </c>
      <c r="AO16" s="223"/>
      <c r="AP16" s="224"/>
      <c r="AQ16" s="223">
        <f>AQ85+AQ373+AQ541+AQ852+AQ1085</f>
        <v>19215.46</v>
      </c>
      <c r="AR16" s="223"/>
      <c r="AS16" s="224"/>
      <c r="AT16" s="223">
        <f>AT85+AT373+AT541+AT852+AT1085</f>
        <v>206819</v>
      </c>
      <c r="AU16" s="223"/>
      <c r="AV16" s="224"/>
      <c r="AW16" s="226"/>
      <c r="AX16" s="230"/>
      <c r="AY16" s="231">
        <f>AY85+AY373+AY541+AY852+AY1085</f>
        <v>204062.58179499998</v>
      </c>
      <c r="AZ16" s="228"/>
      <c r="BA16" s="228"/>
      <c r="BB16" s="228"/>
      <c r="BC16" s="228"/>
    </row>
    <row r="17" spans="1:55" s="4" customFormat="1" ht="15" customHeight="1">
      <c r="A17" s="179"/>
      <c r="B17" s="179"/>
      <c r="C17" s="180"/>
      <c r="D17" s="180"/>
      <c r="E17" s="180"/>
      <c r="F17" s="180"/>
      <c r="G17" s="180"/>
      <c r="H17" s="467" t="s">
        <v>346</v>
      </c>
      <c r="I17" s="467"/>
      <c r="J17" s="223">
        <f>J374+J542+J853+J1086</f>
        <v>166.00651199999999</v>
      </c>
      <c r="K17" s="223"/>
      <c r="L17" s="224"/>
      <c r="M17" s="223">
        <f>M374+M542+M853+M1086</f>
        <v>131.95329099999998</v>
      </c>
      <c r="N17" s="223"/>
      <c r="O17" s="224"/>
      <c r="P17" s="223">
        <f>P374+P542+P853+P1086</f>
        <v>173.54316666666668</v>
      </c>
      <c r="Q17" s="223"/>
      <c r="R17" s="224"/>
      <c r="S17" s="223">
        <f>S374+S542+S853+S1086</f>
        <v>192.480074</v>
      </c>
      <c r="T17" s="223"/>
      <c r="U17" s="224"/>
      <c r="V17" s="223">
        <f>V374+V542+V853+V1086</f>
        <v>179.74158666666665</v>
      </c>
      <c r="W17" s="223"/>
      <c r="X17" s="224"/>
      <c r="Y17" s="223">
        <f>Y374+Y542+Y853+Y1086</f>
        <v>166.26926933333334</v>
      </c>
      <c r="Z17" s="223"/>
      <c r="AA17" s="224"/>
      <c r="AB17" s="223">
        <f>AB374+AB542+AB853+AB1086</f>
        <v>140.19044533333334</v>
      </c>
      <c r="AC17" s="223"/>
      <c r="AD17" s="224"/>
      <c r="AE17" s="223">
        <f>AE374+AE542+AE853+AE1086</f>
        <v>138.07476799999998</v>
      </c>
      <c r="AF17" s="223"/>
      <c r="AG17" s="224"/>
      <c r="AH17" s="223">
        <f>AH374+AH542+AH853+AH1086</f>
        <v>139.58954933333334</v>
      </c>
      <c r="AI17" s="223"/>
      <c r="AJ17" s="224"/>
      <c r="AK17" s="223">
        <f>AK374+AK542+AK853+AK1086</f>
        <v>144.90778133333333</v>
      </c>
      <c r="AL17" s="223"/>
      <c r="AM17" s="224"/>
      <c r="AN17" s="223">
        <f>AN374+AN542+AN853+AN1086</f>
        <v>158.21193199999999</v>
      </c>
      <c r="AO17" s="223"/>
      <c r="AP17" s="224"/>
      <c r="AQ17" s="223">
        <f>AQ374+AQ542+AQ853+AQ1086</f>
        <v>247.86081199999998</v>
      </c>
      <c r="AR17" s="223"/>
      <c r="AS17" s="224"/>
      <c r="AT17" s="223">
        <f>AT374+AT542+AT853+AT1086</f>
        <v>1978.8291876666663</v>
      </c>
      <c r="AU17" s="223"/>
      <c r="AV17" s="224"/>
      <c r="AW17" s="226"/>
      <c r="AX17" s="230"/>
      <c r="AY17" s="231">
        <f>AY374+AY542+AY853+AY1086</f>
        <v>217.799767</v>
      </c>
      <c r="AZ17" s="228"/>
      <c r="BA17" s="228"/>
      <c r="BB17" s="228"/>
      <c r="BC17" s="228"/>
    </row>
    <row r="18" spans="1:55" s="4" customFormat="1" ht="15" customHeight="1">
      <c r="A18" s="179"/>
      <c r="B18" s="179"/>
      <c r="C18" s="180"/>
      <c r="D18" s="180"/>
      <c r="E18" s="180"/>
      <c r="F18" s="180"/>
      <c r="G18" s="180"/>
      <c r="H18" s="467" t="s">
        <v>347</v>
      </c>
      <c r="I18" s="467"/>
      <c r="J18" s="223">
        <f>J375+J543+J1087+J1457</f>
        <v>62.209065600000002</v>
      </c>
      <c r="K18" s="223"/>
      <c r="L18" s="224"/>
      <c r="M18" s="223">
        <f>M375+M543+M1087+M1457</f>
        <v>99.865142875000004</v>
      </c>
      <c r="N18" s="223"/>
      <c r="O18" s="224"/>
      <c r="P18" s="223">
        <f>P375+P543+P1087+P1457</f>
        <v>167.21525263333331</v>
      </c>
      <c r="Q18" s="223"/>
      <c r="R18" s="224"/>
      <c r="S18" s="223">
        <f>S375+S543+S1087+S1457</f>
        <v>209.41124566666667</v>
      </c>
      <c r="T18" s="223"/>
      <c r="U18" s="224"/>
      <c r="V18" s="223">
        <f>V375+V543+V1087+V1457</f>
        <v>253.5794217594333</v>
      </c>
      <c r="W18" s="223"/>
      <c r="X18" s="224"/>
      <c r="Y18" s="223">
        <f>Y375+Y543+Y1087+Y1457</f>
        <v>248.96175070599998</v>
      </c>
      <c r="Z18" s="223"/>
      <c r="AA18" s="224"/>
      <c r="AB18" s="223">
        <f>AB375+AB543+AB1087+AB1457</f>
        <v>255.00584311666665</v>
      </c>
      <c r="AC18" s="223"/>
      <c r="AD18" s="224"/>
      <c r="AE18" s="223">
        <f>AE375+AE543+AE1087+AE1457</f>
        <v>254.81180712369999</v>
      </c>
      <c r="AF18" s="223"/>
      <c r="AG18" s="224"/>
      <c r="AH18" s="223">
        <f>AH375+AH543+AH1087+AH1457</f>
        <v>206.24317509999997</v>
      </c>
      <c r="AI18" s="223"/>
      <c r="AJ18" s="224"/>
      <c r="AK18" s="223">
        <f>AK375+AK543+AK1087+AK1457</f>
        <v>108.56913666666667</v>
      </c>
      <c r="AL18" s="223"/>
      <c r="AM18" s="224"/>
      <c r="AN18" s="223">
        <f>AN375+AN543+AN1087+AN1457</f>
        <v>84.340927002496656</v>
      </c>
      <c r="AO18" s="223"/>
      <c r="AP18" s="224"/>
      <c r="AQ18" s="223">
        <f>AQ375+AQ543+AQ1087+AQ1457</f>
        <v>53.771628227881727</v>
      </c>
      <c r="AR18" s="223"/>
      <c r="AS18" s="224"/>
      <c r="AT18" s="223">
        <f>AT375+AT543+AT1087+AT1457</f>
        <v>2003.9843964778452</v>
      </c>
      <c r="AU18" s="223"/>
      <c r="AV18" s="224"/>
      <c r="AW18" s="226"/>
      <c r="AX18" s="230"/>
      <c r="AY18" s="231">
        <f>AY375+AY543+AY1087+AY1457</f>
        <v>758.43031199999996</v>
      </c>
      <c r="AZ18" s="228"/>
      <c r="BA18" s="228"/>
      <c r="BB18" s="228"/>
      <c r="BC18" s="228"/>
    </row>
    <row r="19" spans="1:55" s="4" customFormat="1" ht="15" customHeight="1" thickBot="1">
      <c r="A19" s="179"/>
      <c r="B19" s="179"/>
      <c r="C19" s="180"/>
      <c r="D19" s="838"/>
      <c r="E19" s="838"/>
      <c r="F19" s="838"/>
      <c r="G19" s="838"/>
      <c r="H19" s="468" t="s">
        <v>99</v>
      </c>
      <c r="I19" s="468"/>
      <c r="J19" s="232">
        <f>J86+J376+J544+J854+J1088+J1458</f>
        <v>6183.2542916883376</v>
      </c>
      <c r="K19" s="232"/>
      <c r="L19" s="233"/>
      <c r="M19" s="232">
        <f>M86+M376+M544+M854+M1088+M1458</f>
        <v>5663.2001285280321</v>
      </c>
      <c r="N19" s="232"/>
      <c r="O19" s="233"/>
      <c r="P19" s="232">
        <f>P86+P376+P544+P854+P1088+P1458</f>
        <v>5987.0853456589575</v>
      </c>
      <c r="Q19" s="232"/>
      <c r="R19" s="233"/>
      <c r="S19" s="232">
        <f>S86+S376+S544+S854+S1088+S1458</f>
        <v>5521.5131475557719</v>
      </c>
      <c r="T19" s="232"/>
      <c r="U19" s="233"/>
      <c r="V19" s="232">
        <f>V86+V376+V544+V854+V1088+V1458</f>
        <v>5140.3141459051931</v>
      </c>
      <c r="W19" s="232"/>
      <c r="X19" s="233"/>
      <c r="Y19" s="232">
        <f>Y86+Y376+Y544+Y854+Y1088+Y1458</f>
        <v>4806.3111971962117</v>
      </c>
      <c r="Z19" s="232"/>
      <c r="AA19" s="233"/>
      <c r="AB19" s="232">
        <f>AB86+AB376+AB544+AB854+AB1088+AB1458</f>
        <v>4917.6877214158467</v>
      </c>
      <c r="AC19" s="232"/>
      <c r="AD19" s="233"/>
      <c r="AE19" s="232">
        <f>AE86+AE376+AE544+AE854+AE1088+AE1458</f>
        <v>5176.1714080276388</v>
      </c>
      <c r="AF19" s="232"/>
      <c r="AG19" s="233"/>
      <c r="AH19" s="232">
        <f>AH86+AH376+AH544+AH854+AH1088+AH1458</f>
        <v>5337.8648481681412</v>
      </c>
      <c r="AI19" s="232"/>
      <c r="AJ19" s="233"/>
      <c r="AK19" s="232">
        <f>AK86+AK376+AK544+AK854+AK1088+AK1458</f>
        <v>6043.5359023931378</v>
      </c>
      <c r="AL19" s="232"/>
      <c r="AM19" s="233"/>
      <c r="AN19" s="232">
        <f>AN86+AN376+AN544+AN854+AN1088+AN1458</f>
        <v>6119.4753080531764</v>
      </c>
      <c r="AO19" s="232"/>
      <c r="AP19" s="233"/>
      <c r="AQ19" s="232">
        <f>AQ86+AQ376+AQ544+AQ854+AQ1088+AQ1458</f>
        <v>6308.3226890217447</v>
      </c>
      <c r="AR19" s="232"/>
      <c r="AS19" s="233"/>
      <c r="AT19" s="232">
        <f>AT86+AT376+AT544+AT854+AT1088+AT1458</f>
        <v>67204.736133612183</v>
      </c>
      <c r="AU19" s="232"/>
      <c r="AV19" s="233"/>
      <c r="AW19" s="235"/>
      <c r="AX19" s="236"/>
      <c r="AY19" s="237">
        <f>AY86+AY376+AY544+AY854+AY1088+AY1458</f>
        <v>62013.084116100006</v>
      </c>
      <c r="AZ19" s="228"/>
      <c r="BA19" s="228"/>
      <c r="BB19" s="228"/>
      <c r="BC19" s="228"/>
    </row>
    <row r="20" spans="1:55" s="4" customFormat="1" ht="15" customHeight="1">
      <c r="A20" s="179"/>
      <c r="B20" s="179"/>
      <c r="C20" s="180"/>
      <c r="D20" s="838"/>
      <c r="E20" s="838"/>
      <c r="F20" s="838"/>
      <c r="G20" s="838"/>
      <c r="H20" s="8" t="s">
        <v>36</v>
      </c>
      <c r="I20" s="8"/>
      <c r="J20" s="238"/>
      <c r="K20" s="238">
        <f>K13-K21</f>
        <v>4698.5803556988685</v>
      </c>
      <c r="L20" s="239"/>
      <c r="M20" s="238"/>
      <c r="N20" s="238">
        <f>N13-N21</f>
        <v>3.1265840079868212E-3</v>
      </c>
      <c r="O20" s="239"/>
      <c r="P20" s="238"/>
      <c r="Q20" s="238">
        <f>Q13-Q21</f>
        <v>6.6689433442661539E-3</v>
      </c>
      <c r="R20" s="239"/>
      <c r="S20" s="238"/>
      <c r="T20" s="238">
        <f>T13-T21</f>
        <v>-1.196266220358666E-2</v>
      </c>
      <c r="U20" s="239"/>
      <c r="V20" s="238"/>
      <c r="W20" s="238">
        <f>W13-W21</f>
        <v>-1.1111991901998408E-2</v>
      </c>
      <c r="X20" s="239"/>
      <c r="Y20" s="238"/>
      <c r="Z20" s="238">
        <f>Z13-Z21</f>
        <v>1.0295829721144401E-2</v>
      </c>
      <c r="AA20" s="239"/>
      <c r="AB20" s="238"/>
      <c r="AC20" s="238">
        <f>AC13-AC21</f>
        <v>-1.2567685858812183E-2</v>
      </c>
      <c r="AD20" s="239"/>
      <c r="AE20" s="238"/>
      <c r="AF20" s="238">
        <f>AF13-AF21</f>
        <v>-2.0167292095720768E-3</v>
      </c>
      <c r="AG20" s="239"/>
      <c r="AH20" s="238"/>
      <c r="AI20" s="238">
        <f>AI13-AI21</f>
        <v>5.1970530766993761E-3</v>
      </c>
      <c r="AJ20" s="239"/>
      <c r="AK20" s="238"/>
      <c r="AL20" s="238">
        <f>AL13-AL21</f>
        <v>-2.5581707304809242E-3</v>
      </c>
      <c r="AM20" s="239"/>
      <c r="AN20" s="238"/>
      <c r="AO20" s="238">
        <f>AO13-AO21</f>
        <v>-6.8444962525973096E-3</v>
      </c>
      <c r="AP20" s="239"/>
      <c r="AQ20" s="238"/>
      <c r="AR20" s="238">
        <f>AR13-AR21</f>
        <v>-6.1688136047450826E-3</v>
      </c>
      <c r="AS20" s="239"/>
      <c r="AT20" s="238"/>
      <c r="AU20" s="238">
        <f>AU13-AU21</f>
        <v>4698.5524135592859</v>
      </c>
      <c r="AV20" s="240"/>
      <c r="AW20" s="241"/>
      <c r="AX20" s="242"/>
      <c r="AY20" s="243"/>
      <c r="AZ20" s="228"/>
      <c r="BA20" s="228"/>
      <c r="BB20" s="228"/>
      <c r="BC20" s="228"/>
    </row>
    <row r="21" spans="1:55" s="4" customFormat="1" ht="15" customHeight="1">
      <c r="A21" s="179"/>
      <c r="B21" s="179"/>
      <c r="C21" s="180"/>
      <c r="D21" s="838"/>
      <c r="E21" s="838"/>
      <c r="F21" s="838"/>
      <c r="G21" s="838"/>
      <c r="H21" s="459" t="s">
        <v>33</v>
      </c>
      <c r="I21" s="459"/>
      <c r="J21" s="238"/>
      <c r="K21" s="238">
        <f>K22+K58</f>
        <v>-1196</v>
      </c>
      <c r="L21" s="239"/>
      <c r="M21" s="238"/>
      <c r="N21" s="238">
        <f>N22+N58</f>
        <v>-845</v>
      </c>
      <c r="O21" s="239"/>
      <c r="P21" s="238"/>
      <c r="Q21" s="238">
        <f>Q22+Q58</f>
        <v>-1192.5</v>
      </c>
      <c r="R21" s="239"/>
      <c r="S21" s="238"/>
      <c r="T21" s="238">
        <f>T22+T58</f>
        <v>-519.5</v>
      </c>
      <c r="U21" s="239"/>
      <c r="V21" s="238"/>
      <c r="W21" s="238">
        <f>W22+W58</f>
        <v>-803.5</v>
      </c>
      <c r="X21" s="239"/>
      <c r="Y21" s="238"/>
      <c r="Z21" s="238">
        <f>Z22+Z58</f>
        <v>-965.5</v>
      </c>
      <c r="AA21" s="239"/>
      <c r="AB21" s="238"/>
      <c r="AC21" s="238">
        <f>AC22+AC58</f>
        <v>-1314.5</v>
      </c>
      <c r="AD21" s="239"/>
      <c r="AE21" s="238"/>
      <c r="AF21" s="238">
        <f>AF22+AF58</f>
        <v>-1726.5</v>
      </c>
      <c r="AG21" s="239"/>
      <c r="AH21" s="238"/>
      <c r="AI21" s="238">
        <f>AI22+AI58</f>
        <v>-2099.5</v>
      </c>
      <c r="AJ21" s="239"/>
      <c r="AK21" s="238"/>
      <c r="AL21" s="238">
        <f>AL22+AL58</f>
        <v>-1730.5</v>
      </c>
      <c r="AM21" s="239"/>
      <c r="AN21" s="238"/>
      <c r="AO21" s="238">
        <f>AO22+AO58</f>
        <v>-1814</v>
      </c>
      <c r="AP21" s="239"/>
      <c r="AQ21" s="238"/>
      <c r="AR21" s="238">
        <f>AR22+AR58</f>
        <v>-1960</v>
      </c>
      <c r="AS21" s="239"/>
      <c r="AT21" s="238"/>
      <c r="AU21" s="238">
        <f>AU22+AU58</f>
        <v>-16167</v>
      </c>
      <c r="AV21" s="240"/>
      <c r="AW21" s="241"/>
      <c r="AX21" s="242"/>
      <c r="AY21" s="243">
        <f>AY22+AY58</f>
        <v>-15526.097769500004</v>
      </c>
      <c r="AZ21" s="228"/>
      <c r="BA21" s="228"/>
      <c r="BB21" s="228"/>
      <c r="BC21" s="228"/>
    </row>
    <row r="22" spans="1:55" s="4" customFormat="1" ht="15" customHeight="1">
      <c r="A22" s="179"/>
      <c r="B22" s="179"/>
      <c r="C22" s="180"/>
      <c r="D22" s="838"/>
      <c r="E22" s="838"/>
      <c r="F22" s="838"/>
      <c r="G22" s="838"/>
      <c r="H22" s="460" t="s">
        <v>1255</v>
      </c>
      <c r="I22" s="460"/>
      <c r="J22" s="238"/>
      <c r="K22" s="238">
        <f>SUM(K23:K56)</f>
        <v>-2551</v>
      </c>
      <c r="L22" s="239"/>
      <c r="M22" s="238"/>
      <c r="N22" s="238">
        <f>SUM(N23:N56)</f>
        <v>-2091</v>
      </c>
      <c r="O22" s="239"/>
      <c r="P22" s="238"/>
      <c r="Q22" s="238">
        <f>SUM(Q23:Q56)</f>
        <v>-2343.5</v>
      </c>
      <c r="R22" s="239"/>
      <c r="S22" s="238"/>
      <c r="T22" s="238">
        <f>SUM(T23:T56)</f>
        <v>-1760.5</v>
      </c>
      <c r="U22" s="239"/>
      <c r="V22" s="238"/>
      <c r="W22" s="238">
        <f>SUM(W23:W56)</f>
        <v>-1819.5</v>
      </c>
      <c r="X22" s="239"/>
      <c r="Y22" s="238"/>
      <c r="Z22" s="238">
        <f>SUM(Z23:Z56)</f>
        <v>-2016.5</v>
      </c>
      <c r="AA22" s="239"/>
      <c r="AB22" s="238"/>
      <c r="AC22" s="238">
        <f>SUM(AC23:AC56)</f>
        <v>-2230.5</v>
      </c>
      <c r="AD22" s="239"/>
      <c r="AE22" s="238"/>
      <c r="AF22" s="238">
        <f>SUM(AF23:AF56)</f>
        <v>-2627.5</v>
      </c>
      <c r="AG22" s="239"/>
      <c r="AH22" s="238"/>
      <c r="AI22" s="238">
        <f>SUM(AI23:AI56)</f>
        <v>-2890.5</v>
      </c>
      <c r="AJ22" s="239"/>
      <c r="AK22" s="238"/>
      <c r="AL22" s="238">
        <f>SUM(AL23:AL56)</f>
        <v>-2616.5</v>
      </c>
      <c r="AM22" s="239"/>
      <c r="AN22" s="238"/>
      <c r="AO22" s="238">
        <f>SUM(AO23:AO56)</f>
        <v>-2565</v>
      </c>
      <c r="AP22" s="239"/>
      <c r="AQ22" s="238"/>
      <c r="AR22" s="238">
        <f>SUM(AR23:AR56)</f>
        <v>-2900</v>
      </c>
      <c r="AS22" s="239"/>
      <c r="AT22" s="238"/>
      <c r="AU22" s="238">
        <f>SUM(AU23:AU56)</f>
        <v>-28412</v>
      </c>
      <c r="AV22" s="240"/>
      <c r="AW22" s="241"/>
      <c r="AX22" s="242"/>
      <c r="AY22" s="243">
        <f>SUM(AY23:AY56)</f>
        <v>-28051.215944100004</v>
      </c>
      <c r="AZ22" s="228"/>
      <c r="BA22" s="228"/>
      <c r="BB22" s="228"/>
      <c r="BC22" s="228"/>
    </row>
    <row r="23" spans="1:55" s="4" customFormat="1" ht="15" customHeight="1">
      <c r="A23" s="179" t="s">
        <v>288</v>
      </c>
      <c r="B23" s="179" t="s">
        <v>291</v>
      </c>
      <c r="C23" s="176">
        <v>300285</v>
      </c>
      <c r="D23" s="838"/>
      <c r="E23" s="838"/>
      <c r="F23" s="838"/>
      <c r="G23" s="838"/>
      <c r="H23" s="458" t="s">
        <v>1611</v>
      </c>
      <c r="I23" s="458"/>
      <c r="J23" s="244"/>
      <c r="K23" s="305">
        <v>-760</v>
      </c>
      <c r="L23" s="245"/>
      <c r="M23" s="244"/>
      <c r="N23" s="305">
        <v>-600</v>
      </c>
      <c r="O23" s="245"/>
      <c r="P23" s="244"/>
      <c r="Q23" s="305">
        <v>-640</v>
      </c>
      <c r="R23" s="245"/>
      <c r="S23" s="244"/>
      <c r="T23" s="305">
        <v>-465</v>
      </c>
      <c r="U23" s="245"/>
      <c r="V23" s="244"/>
      <c r="W23" s="305">
        <v>-405</v>
      </c>
      <c r="X23" s="245"/>
      <c r="Y23" s="244"/>
      <c r="Z23" s="305">
        <v>-380</v>
      </c>
      <c r="AA23" s="245"/>
      <c r="AB23" s="244"/>
      <c r="AC23" s="305">
        <v>-380</v>
      </c>
      <c r="AD23" s="245"/>
      <c r="AE23" s="244"/>
      <c r="AF23" s="305">
        <v>-585</v>
      </c>
      <c r="AG23" s="245"/>
      <c r="AH23" s="244"/>
      <c r="AI23" s="305">
        <v>-620</v>
      </c>
      <c r="AJ23" s="245"/>
      <c r="AK23" s="244"/>
      <c r="AL23" s="305">
        <v>-640</v>
      </c>
      <c r="AM23" s="245"/>
      <c r="AN23" s="244"/>
      <c r="AO23" s="305">
        <v>-700</v>
      </c>
      <c r="AP23" s="245"/>
      <c r="AQ23" s="244"/>
      <c r="AR23" s="305">
        <v>-730</v>
      </c>
      <c r="AS23" s="245"/>
      <c r="AT23" s="244"/>
      <c r="AU23" s="397">
        <f t="shared" ref="AU23:AU56" si="0">AR23+AO23+AL23+AI23+AF23+AC23+Z23+W23+T23+Q23+N23+K23</f>
        <v>-6905</v>
      </c>
      <c r="AV23" s="247"/>
      <c r="AW23" s="248"/>
      <c r="AX23" s="249"/>
      <c r="AY23" s="438">
        <v>-6903.0377230000004</v>
      </c>
      <c r="AZ23" s="228"/>
      <c r="BA23" s="228"/>
      <c r="BB23" s="228"/>
      <c r="BC23" s="228"/>
    </row>
    <row r="24" spans="1:55" s="4" customFormat="1" ht="15" customHeight="1">
      <c r="A24" s="179" t="s">
        <v>288</v>
      </c>
      <c r="B24" s="179" t="s">
        <v>291</v>
      </c>
      <c r="C24" s="176"/>
      <c r="D24" s="838"/>
      <c r="E24" s="838"/>
      <c r="F24" s="838"/>
      <c r="G24" s="838"/>
      <c r="H24" s="461" t="s">
        <v>1612</v>
      </c>
      <c r="I24" s="461"/>
      <c r="J24" s="250"/>
      <c r="K24" s="445">
        <v>-50</v>
      </c>
      <c r="L24" s="251"/>
      <c r="M24" s="250"/>
      <c r="N24" s="445">
        <v>-30</v>
      </c>
      <c r="O24" s="251"/>
      <c r="P24" s="250"/>
      <c r="Q24" s="445">
        <v>-40</v>
      </c>
      <c r="R24" s="251"/>
      <c r="S24" s="250"/>
      <c r="T24" s="445">
        <v>-30</v>
      </c>
      <c r="U24" s="251"/>
      <c r="V24" s="250"/>
      <c r="W24" s="445">
        <v>-20</v>
      </c>
      <c r="X24" s="251"/>
      <c r="Y24" s="250"/>
      <c r="Z24" s="445">
        <v>-20</v>
      </c>
      <c r="AA24" s="251"/>
      <c r="AB24" s="250"/>
      <c r="AC24" s="445">
        <v>-30</v>
      </c>
      <c r="AD24" s="251"/>
      <c r="AE24" s="250"/>
      <c r="AF24" s="445">
        <v>-30</v>
      </c>
      <c r="AG24" s="251"/>
      <c r="AH24" s="250"/>
      <c r="AI24" s="445">
        <v>-40</v>
      </c>
      <c r="AJ24" s="251"/>
      <c r="AK24" s="250"/>
      <c r="AL24" s="445">
        <v>-45</v>
      </c>
      <c r="AM24" s="251"/>
      <c r="AN24" s="250"/>
      <c r="AO24" s="445">
        <v>-30</v>
      </c>
      <c r="AP24" s="251"/>
      <c r="AQ24" s="250"/>
      <c r="AR24" s="445">
        <v>-50</v>
      </c>
      <c r="AS24" s="251"/>
      <c r="AT24" s="250"/>
      <c r="AU24" s="1051">
        <f t="shared" si="0"/>
        <v>-415</v>
      </c>
      <c r="AV24" s="252"/>
      <c r="AW24" s="248"/>
      <c r="AX24" s="851"/>
      <c r="AY24" s="1064">
        <v>-414.583707</v>
      </c>
      <c r="AZ24" s="228"/>
      <c r="BA24" s="228"/>
      <c r="BB24" s="228"/>
      <c r="BC24" s="228"/>
    </row>
    <row r="25" spans="1:55" s="4" customFormat="1" ht="15" customHeight="1">
      <c r="A25" s="179" t="s">
        <v>288</v>
      </c>
      <c r="B25" s="179" t="s">
        <v>291</v>
      </c>
      <c r="C25" s="176">
        <v>300286</v>
      </c>
      <c r="D25" s="838"/>
      <c r="E25" s="838"/>
      <c r="F25" s="838"/>
      <c r="G25" s="838"/>
      <c r="H25" s="461" t="s">
        <v>1523</v>
      </c>
      <c r="I25" s="461"/>
      <c r="J25" s="250"/>
      <c r="K25" s="445">
        <v>-55</v>
      </c>
      <c r="L25" s="251"/>
      <c r="M25" s="250"/>
      <c r="N25" s="445">
        <v>-50</v>
      </c>
      <c r="O25" s="251"/>
      <c r="P25" s="250"/>
      <c r="Q25" s="445">
        <v>-55</v>
      </c>
      <c r="R25" s="251"/>
      <c r="S25" s="250"/>
      <c r="T25" s="445">
        <v>-45</v>
      </c>
      <c r="U25" s="251"/>
      <c r="V25" s="250"/>
      <c r="W25" s="445">
        <v>-40</v>
      </c>
      <c r="X25" s="251"/>
      <c r="Y25" s="250"/>
      <c r="Z25" s="445">
        <v>-35</v>
      </c>
      <c r="AA25" s="251"/>
      <c r="AB25" s="250"/>
      <c r="AC25" s="445">
        <v>-45</v>
      </c>
      <c r="AD25" s="251"/>
      <c r="AE25" s="250"/>
      <c r="AF25" s="445">
        <v>-45</v>
      </c>
      <c r="AG25" s="251"/>
      <c r="AH25" s="250"/>
      <c r="AI25" s="445">
        <v>-45</v>
      </c>
      <c r="AJ25" s="251"/>
      <c r="AK25" s="250"/>
      <c r="AL25" s="445">
        <v>-45</v>
      </c>
      <c r="AM25" s="251"/>
      <c r="AN25" s="250"/>
      <c r="AO25" s="445">
        <v>-45</v>
      </c>
      <c r="AP25" s="251"/>
      <c r="AQ25" s="250"/>
      <c r="AR25" s="445">
        <v>-55</v>
      </c>
      <c r="AS25" s="251"/>
      <c r="AT25" s="250"/>
      <c r="AU25" s="1051">
        <f t="shared" si="0"/>
        <v>-560</v>
      </c>
      <c r="AV25" s="252"/>
      <c r="AW25" s="248"/>
      <c r="AX25" s="851"/>
      <c r="AY25" s="1065">
        <v>-563.25279999999998</v>
      </c>
      <c r="AZ25" s="228"/>
      <c r="BA25" s="228"/>
      <c r="BB25" s="228"/>
      <c r="BC25" s="228"/>
    </row>
    <row r="26" spans="1:55" s="4" customFormat="1" ht="15" customHeight="1">
      <c r="A26" s="179" t="s">
        <v>288</v>
      </c>
      <c r="B26" s="179" t="s">
        <v>291</v>
      </c>
      <c r="C26" s="176">
        <v>300287</v>
      </c>
      <c r="D26" s="838"/>
      <c r="E26" s="838"/>
      <c r="F26" s="838"/>
      <c r="G26" s="838"/>
      <c r="H26" s="461" t="s">
        <v>1524</v>
      </c>
      <c r="I26" s="461"/>
      <c r="J26" s="250"/>
      <c r="K26" s="445">
        <v>-2</v>
      </c>
      <c r="L26" s="251"/>
      <c r="M26" s="250"/>
      <c r="N26" s="445">
        <v>-2</v>
      </c>
      <c r="O26" s="251"/>
      <c r="P26" s="250"/>
      <c r="Q26" s="445">
        <v>-1.5</v>
      </c>
      <c r="R26" s="251"/>
      <c r="S26" s="250"/>
      <c r="T26" s="445">
        <v>-1.5</v>
      </c>
      <c r="U26" s="251"/>
      <c r="V26" s="250"/>
      <c r="W26" s="445">
        <v>-1.5</v>
      </c>
      <c r="X26" s="251"/>
      <c r="Y26" s="250"/>
      <c r="Z26" s="445">
        <v>-1.5</v>
      </c>
      <c r="AA26" s="251"/>
      <c r="AB26" s="250"/>
      <c r="AC26" s="445">
        <v>-1.5</v>
      </c>
      <c r="AD26" s="251"/>
      <c r="AE26" s="250"/>
      <c r="AF26" s="445">
        <v>-1.5</v>
      </c>
      <c r="AG26" s="251"/>
      <c r="AH26" s="250"/>
      <c r="AI26" s="445">
        <v>-1.5</v>
      </c>
      <c r="AJ26" s="251"/>
      <c r="AK26" s="250"/>
      <c r="AL26" s="445">
        <v>-1.5</v>
      </c>
      <c r="AM26" s="251"/>
      <c r="AN26" s="250"/>
      <c r="AO26" s="445">
        <v>-2</v>
      </c>
      <c r="AP26" s="251"/>
      <c r="AQ26" s="250"/>
      <c r="AR26" s="445">
        <v>-2</v>
      </c>
      <c r="AS26" s="251"/>
      <c r="AT26" s="250"/>
      <c r="AU26" s="1051">
        <f t="shared" si="0"/>
        <v>-20</v>
      </c>
      <c r="AV26" s="252"/>
      <c r="AW26" s="248"/>
      <c r="AX26" s="851"/>
      <c r="AY26" s="1065">
        <v>-20.138031999999999</v>
      </c>
      <c r="AZ26" s="228"/>
      <c r="BA26" s="228"/>
      <c r="BB26" s="228"/>
      <c r="BC26" s="228"/>
    </row>
    <row r="27" spans="1:55" s="4" customFormat="1" ht="15" customHeight="1">
      <c r="A27" s="179" t="s">
        <v>288</v>
      </c>
      <c r="B27" s="179" t="s">
        <v>291</v>
      </c>
      <c r="C27" s="176">
        <v>300288</v>
      </c>
      <c r="D27" s="838"/>
      <c r="E27" s="838"/>
      <c r="F27" s="838"/>
      <c r="G27" s="838"/>
      <c r="H27" s="458" t="s">
        <v>1525</v>
      </c>
      <c r="I27" s="458"/>
      <c r="J27" s="244"/>
      <c r="K27" s="305">
        <v>-15</v>
      </c>
      <c r="L27" s="245"/>
      <c r="M27" s="244"/>
      <c r="N27" s="305">
        <v>-15</v>
      </c>
      <c r="O27" s="245"/>
      <c r="P27" s="244"/>
      <c r="Q27" s="305">
        <v>-15</v>
      </c>
      <c r="R27" s="245"/>
      <c r="S27" s="244"/>
      <c r="T27" s="305">
        <v>-15</v>
      </c>
      <c r="U27" s="245"/>
      <c r="V27" s="244"/>
      <c r="W27" s="305">
        <v>-30</v>
      </c>
      <c r="X27" s="245"/>
      <c r="Y27" s="244"/>
      <c r="Z27" s="305">
        <v>-30</v>
      </c>
      <c r="AA27" s="245"/>
      <c r="AB27" s="244"/>
      <c r="AC27" s="305">
        <v>-25</v>
      </c>
      <c r="AD27" s="245"/>
      <c r="AE27" s="244"/>
      <c r="AF27" s="305">
        <v>-40</v>
      </c>
      <c r="AG27" s="245"/>
      <c r="AH27" s="244"/>
      <c r="AI27" s="305">
        <v>-35</v>
      </c>
      <c r="AJ27" s="245"/>
      <c r="AK27" s="244"/>
      <c r="AL27" s="305">
        <v>-20</v>
      </c>
      <c r="AM27" s="245"/>
      <c r="AN27" s="244"/>
      <c r="AO27" s="305">
        <v>-20</v>
      </c>
      <c r="AP27" s="245"/>
      <c r="AQ27" s="244"/>
      <c r="AR27" s="305">
        <v>-20</v>
      </c>
      <c r="AS27" s="245"/>
      <c r="AT27" s="244"/>
      <c r="AU27" s="397">
        <f t="shared" si="0"/>
        <v>-280</v>
      </c>
      <c r="AV27" s="247"/>
      <c r="AW27" s="248"/>
      <c r="AX27" s="249"/>
      <c r="AY27" s="441">
        <v>-277.84639199999998</v>
      </c>
      <c r="AZ27" s="228"/>
      <c r="BA27" s="228"/>
      <c r="BB27" s="228"/>
      <c r="BC27" s="228"/>
    </row>
    <row r="28" spans="1:55" s="4" customFormat="1" ht="15" customHeight="1">
      <c r="A28" s="179"/>
      <c r="B28" s="179"/>
      <c r="C28" s="176"/>
      <c r="D28" s="838"/>
      <c r="E28" s="838"/>
      <c r="F28" s="838"/>
      <c r="G28" s="838"/>
      <c r="H28" s="458" t="s">
        <v>1526</v>
      </c>
      <c r="I28" s="458"/>
      <c r="J28" s="244"/>
      <c r="K28" s="305">
        <v>-10</v>
      </c>
      <c r="L28" s="245"/>
      <c r="M28" s="244"/>
      <c r="N28" s="305">
        <v>-8</v>
      </c>
      <c r="O28" s="245"/>
      <c r="P28" s="244"/>
      <c r="Q28" s="305">
        <v>-10</v>
      </c>
      <c r="R28" s="245"/>
      <c r="S28" s="244"/>
      <c r="T28" s="305">
        <v>-9</v>
      </c>
      <c r="U28" s="245"/>
      <c r="V28" s="244"/>
      <c r="W28" s="305">
        <v>-9</v>
      </c>
      <c r="X28" s="245"/>
      <c r="Y28" s="244"/>
      <c r="Z28" s="305">
        <v>-8</v>
      </c>
      <c r="AA28" s="245"/>
      <c r="AB28" s="244"/>
      <c r="AC28" s="305">
        <v>-8</v>
      </c>
      <c r="AD28" s="245"/>
      <c r="AE28" s="244"/>
      <c r="AF28" s="305">
        <v>-8</v>
      </c>
      <c r="AG28" s="245"/>
      <c r="AH28" s="244"/>
      <c r="AI28" s="305">
        <v>-10</v>
      </c>
      <c r="AJ28" s="245"/>
      <c r="AK28" s="244"/>
      <c r="AL28" s="305">
        <v>-10</v>
      </c>
      <c r="AM28" s="245"/>
      <c r="AN28" s="244"/>
      <c r="AO28" s="305">
        <v>-10</v>
      </c>
      <c r="AP28" s="245"/>
      <c r="AQ28" s="244"/>
      <c r="AR28" s="305">
        <v>-10</v>
      </c>
      <c r="AS28" s="245"/>
      <c r="AT28" s="244"/>
      <c r="AU28" s="397">
        <f t="shared" si="0"/>
        <v>-110</v>
      </c>
      <c r="AV28" s="247"/>
      <c r="AW28" s="248"/>
      <c r="AX28" s="249"/>
      <c r="AY28" s="441">
        <v>-110.098084</v>
      </c>
      <c r="AZ28" s="228"/>
      <c r="BA28" s="228"/>
      <c r="BB28" s="228"/>
      <c r="BC28" s="228"/>
    </row>
    <row r="29" spans="1:55" s="4" customFormat="1" ht="15" customHeight="1">
      <c r="A29" s="179" t="s">
        <v>288</v>
      </c>
      <c r="B29" s="179" t="s">
        <v>291</v>
      </c>
      <c r="C29" s="176"/>
      <c r="D29" s="838"/>
      <c r="E29" s="838"/>
      <c r="F29" s="838"/>
      <c r="G29" s="838"/>
      <c r="H29" s="458" t="s">
        <v>1529</v>
      </c>
      <c r="I29" s="458"/>
      <c r="J29" s="244"/>
      <c r="K29" s="305">
        <v>-210</v>
      </c>
      <c r="L29" s="691"/>
      <c r="M29" s="262"/>
      <c r="N29" s="305">
        <v>-100</v>
      </c>
      <c r="O29" s="691"/>
      <c r="P29" s="262"/>
      <c r="Q29" s="305">
        <v>-240</v>
      </c>
      <c r="R29" s="691"/>
      <c r="S29" s="262"/>
      <c r="T29" s="305">
        <v>-200</v>
      </c>
      <c r="U29" s="691"/>
      <c r="V29" s="262"/>
      <c r="W29" s="305">
        <v>-280</v>
      </c>
      <c r="X29" s="691"/>
      <c r="Y29" s="262"/>
      <c r="Z29" s="305">
        <v>-310</v>
      </c>
      <c r="AA29" s="691"/>
      <c r="AB29" s="262"/>
      <c r="AC29" s="305">
        <v>-350</v>
      </c>
      <c r="AD29" s="691"/>
      <c r="AE29" s="262"/>
      <c r="AF29" s="305">
        <v>-400</v>
      </c>
      <c r="AG29" s="691"/>
      <c r="AH29" s="262"/>
      <c r="AI29" s="305">
        <v>-320</v>
      </c>
      <c r="AJ29" s="691"/>
      <c r="AK29" s="262"/>
      <c r="AL29" s="305">
        <v>-300</v>
      </c>
      <c r="AM29" s="691"/>
      <c r="AN29" s="262"/>
      <c r="AO29" s="305">
        <v>-290</v>
      </c>
      <c r="AP29" s="691"/>
      <c r="AQ29" s="262"/>
      <c r="AR29" s="305">
        <v>-300</v>
      </c>
      <c r="AS29" s="245"/>
      <c r="AT29" s="244"/>
      <c r="AU29" s="397">
        <f>AR29+AO29+AL29+AI29+AF29+AC29+Z29+W29+T29+Q29+N29+K29</f>
        <v>-3300</v>
      </c>
      <c r="AV29" s="247"/>
      <c r="AW29" s="248"/>
      <c r="AX29" s="249"/>
      <c r="AY29" s="441">
        <v>-3108.9209209999999</v>
      </c>
      <c r="AZ29" s="228"/>
      <c r="BA29" s="228"/>
      <c r="BB29" s="228"/>
      <c r="BC29" s="228"/>
    </row>
    <row r="30" spans="1:55" s="4" customFormat="1" ht="15" customHeight="1">
      <c r="A30" s="179" t="s">
        <v>288</v>
      </c>
      <c r="B30" s="179" t="s">
        <v>291</v>
      </c>
      <c r="C30" s="175">
        <v>300261</v>
      </c>
      <c r="D30" s="838"/>
      <c r="E30" s="838"/>
      <c r="F30" s="838"/>
      <c r="G30" s="838"/>
      <c r="H30" s="458" t="s">
        <v>1530</v>
      </c>
      <c r="I30" s="458"/>
      <c r="J30" s="244"/>
      <c r="K30" s="305">
        <v>-100</v>
      </c>
      <c r="L30" s="245"/>
      <c r="M30" s="244"/>
      <c r="N30" s="305">
        <v>-60</v>
      </c>
      <c r="O30" s="245"/>
      <c r="P30" s="244"/>
      <c r="Q30" s="305">
        <v>-80</v>
      </c>
      <c r="R30" s="245"/>
      <c r="S30" s="244"/>
      <c r="T30" s="305">
        <v>-70</v>
      </c>
      <c r="U30" s="245"/>
      <c r="V30" s="244"/>
      <c r="W30" s="305">
        <v>-100</v>
      </c>
      <c r="X30" s="245"/>
      <c r="Y30" s="244"/>
      <c r="Z30" s="305">
        <v>-90</v>
      </c>
      <c r="AA30" s="245"/>
      <c r="AB30" s="244"/>
      <c r="AC30" s="305">
        <v>-110</v>
      </c>
      <c r="AD30" s="245"/>
      <c r="AE30" s="244"/>
      <c r="AF30" s="305">
        <v>-120</v>
      </c>
      <c r="AG30" s="245"/>
      <c r="AH30" s="244"/>
      <c r="AI30" s="305">
        <v>-100</v>
      </c>
      <c r="AJ30" s="245"/>
      <c r="AK30" s="244"/>
      <c r="AL30" s="305">
        <v>-130</v>
      </c>
      <c r="AM30" s="245"/>
      <c r="AN30" s="244"/>
      <c r="AO30" s="305">
        <v>-120</v>
      </c>
      <c r="AP30" s="245"/>
      <c r="AQ30" s="244"/>
      <c r="AR30" s="305">
        <v>-120</v>
      </c>
      <c r="AS30" s="245"/>
      <c r="AT30" s="244"/>
      <c r="AU30" s="397">
        <f t="shared" si="0"/>
        <v>-1200</v>
      </c>
      <c r="AV30" s="247"/>
      <c r="AW30" s="248"/>
      <c r="AX30" s="249"/>
      <c r="AY30" s="441">
        <v>-1199.884213</v>
      </c>
      <c r="AZ30" s="228"/>
      <c r="BA30" s="228"/>
      <c r="BB30" s="228"/>
      <c r="BC30" s="228"/>
    </row>
    <row r="31" spans="1:55" s="4" customFormat="1" ht="15" customHeight="1">
      <c r="A31" s="179"/>
      <c r="B31" s="179"/>
      <c r="C31" s="175"/>
      <c r="D31" s="838"/>
      <c r="E31" s="838"/>
      <c r="F31" s="838"/>
      <c r="G31" s="838"/>
      <c r="H31" s="458" t="s">
        <v>1528</v>
      </c>
      <c r="I31" s="458"/>
      <c r="J31" s="244"/>
      <c r="K31" s="305">
        <v>0</v>
      </c>
      <c r="L31" s="245"/>
      <c r="M31" s="244"/>
      <c r="N31" s="305">
        <v>0</v>
      </c>
      <c r="O31" s="245"/>
      <c r="P31" s="244"/>
      <c r="Q31" s="305">
        <v>0</v>
      </c>
      <c r="R31" s="245"/>
      <c r="S31" s="244"/>
      <c r="T31" s="305">
        <v>0</v>
      </c>
      <c r="U31" s="245"/>
      <c r="V31" s="244"/>
      <c r="W31" s="305">
        <v>0</v>
      </c>
      <c r="X31" s="245"/>
      <c r="Y31" s="244"/>
      <c r="Z31" s="305">
        <v>0</v>
      </c>
      <c r="AA31" s="245"/>
      <c r="AB31" s="244"/>
      <c r="AC31" s="305">
        <v>0</v>
      </c>
      <c r="AD31" s="245"/>
      <c r="AE31" s="244"/>
      <c r="AF31" s="305">
        <v>0</v>
      </c>
      <c r="AG31" s="245"/>
      <c r="AH31" s="244"/>
      <c r="AI31" s="305">
        <v>0</v>
      </c>
      <c r="AJ31" s="245"/>
      <c r="AK31" s="244"/>
      <c r="AL31" s="305">
        <v>0</v>
      </c>
      <c r="AM31" s="245"/>
      <c r="AN31" s="244"/>
      <c r="AO31" s="305">
        <v>0</v>
      </c>
      <c r="AP31" s="245"/>
      <c r="AQ31" s="244"/>
      <c r="AR31" s="305">
        <v>0</v>
      </c>
      <c r="AS31" s="245"/>
      <c r="AT31" s="244"/>
      <c r="AU31" s="397">
        <f t="shared" si="0"/>
        <v>0</v>
      </c>
      <c r="AV31" s="247"/>
      <c r="AW31" s="248"/>
      <c r="AX31" s="249"/>
      <c r="AY31" s="441">
        <v>0</v>
      </c>
      <c r="AZ31" s="228"/>
      <c r="BA31" s="228"/>
      <c r="BB31" s="228"/>
      <c r="BC31" s="228"/>
    </row>
    <row r="32" spans="1:55" s="4" customFormat="1" ht="15" customHeight="1">
      <c r="A32" s="179"/>
      <c r="B32" s="179"/>
      <c r="C32" s="175"/>
      <c r="D32" s="838"/>
      <c r="E32" s="838"/>
      <c r="F32" s="838"/>
      <c r="G32" s="838"/>
      <c r="H32" s="458" t="s">
        <v>1613</v>
      </c>
      <c r="I32" s="458"/>
      <c r="J32" s="244"/>
      <c r="K32" s="305">
        <v>-20</v>
      </c>
      <c r="L32" s="245"/>
      <c r="M32" s="244"/>
      <c r="N32" s="305">
        <v>-40</v>
      </c>
      <c r="O32" s="245"/>
      <c r="P32" s="244"/>
      <c r="Q32" s="305">
        <v>-130</v>
      </c>
      <c r="R32" s="245"/>
      <c r="S32" s="244"/>
      <c r="T32" s="305">
        <v>-30</v>
      </c>
      <c r="U32" s="245"/>
      <c r="V32" s="244"/>
      <c r="W32" s="305">
        <v>0</v>
      </c>
      <c r="X32" s="245"/>
      <c r="Y32" s="244"/>
      <c r="Z32" s="305">
        <v>0</v>
      </c>
      <c r="AA32" s="245"/>
      <c r="AB32" s="244"/>
      <c r="AC32" s="305">
        <v>-80</v>
      </c>
      <c r="AD32" s="245"/>
      <c r="AE32" s="244"/>
      <c r="AF32" s="305">
        <v>-35</v>
      </c>
      <c r="AG32" s="245"/>
      <c r="AH32" s="244"/>
      <c r="AI32" s="305">
        <v>0</v>
      </c>
      <c r="AJ32" s="245"/>
      <c r="AK32" s="244"/>
      <c r="AL32" s="305">
        <v>0</v>
      </c>
      <c r="AM32" s="245"/>
      <c r="AN32" s="244"/>
      <c r="AO32" s="305">
        <v>-15</v>
      </c>
      <c r="AP32" s="245"/>
      <c r="AQ32" s="244"/>
      <c r="AR32" s="305">
        <v>-90</v>
      </c>
      <c r="AS32" s="245"/>
      <c r="AT32" s="244"/>
      <c r="AU32" s="397">
        <f t="shared" si="0"/>
        <v>-440</v>
      </c>
      <c r="AV32" s="247"/>
      <c r="AW32" s="248"/>
      <c r="AX32" s="249"/>
      <c r="AY32" s="441">
        <v>-434.11397399999998</v>
      </c>
      <c r="AZ32" s="228"/>
      <c r="BA32" s="228"/>
      <c r="BB32" s="228"/>
      <c r="BC32" s="228"/>
    </row>
    <row r="33" spans="1:55" s="4" customFormat="1" ht="15" customHeight="1">
      <c r="A33" s="179"/>
      <c r="B33" s="179"/>
      <c r="C33" s="175"/>
      <c r="D33" s="838"/>
      <c r="E33" s="838"/>
      <c r="F33" s="838"/>
      <c r="G33" s="838"/>
      <c r="H33" s="958" t="s">
        <v>1531</v>
      </c>
      <c r="I33" s="958" t="s">
        <v>1468</v>
      </c>
      <c r="J33" s="959"/>
      <c r="K33" s="1100">
        <v>-250</v>
      </c>
      <c r="L33" s="960"/>
      <c r="M33" s="959"/>
      <c r="N33" s="1100">
        <v>-200</v>
      </c>
      <c r="O33" s="960"/>
      <c r="P33" s="959"/>
      <c r="Q33" s="1100">
        <v>-200</v>
      </c>
      <c r="R33" s="960"/>
      <c r="S33" s="959"/>
      <c r="T33" s="1100">
        <v>-150</v>
      </c>
      <c r="U33" s="960"/>
      <c r="V33" s="959"/>
      <c r="W33" s="1100">
        <v>-150</v>
      </c>
      <c r="X33" s="960"/>
      <c r="Y33" s="959"/>
      <c r="Z33" s="1100">
        <v>-300</v>
      </c>
      <c r="AA33" s="960"/>
      <c r="AB33" s="959"/>
      <c r="AC33" s="1100">
        <v>-300</v>
      </c>
      <c r="AD33" s="960"/>
      <c r="AE33" s="959"/>
      <c r="AF33" s="1100">
        <v>-300</v>
      </c>
      <c r="AG33" s="960"/>
      <c r="AH33" s="959"/>
      <c r="AI33" s="1100">
        <v>-300</v>
      </c>
      <c r="AJ33" s="960"/>
      <c r="AK33" s="959"/>
      <c r="AL33" s="1100">
        <v>-300</v>
      </c>
      <c r="AM33" s="960"/>
      <c r="AN33" s="959"/>
      <c r="AO33" s="1100">
        <v>-240</v>
      </c>
      <c r="AP33" s="960"/>
      <c r="AQ33" s="959"/>
      <c r="AR33" s="1100">
        <v>-250</v>
      </c>
      <c r="AS33" s="960"/>
      <c r="AT33" s="959"/>
      <c r="AU33" s="1101">
        <f t="shared" ref="AU33:AU45" si="1">AR33+AO33+AL33+AI33+AF33+AC33+Z33+W33+T33+Q33+N33+K33</f>
        <v>-2940</v>
      </c>
      <c r="AV33" s="961"/>
      <c r="AW33" s="248"/>
      <c r="AX33" s="249"/>
      <c r="AY33" s="441">
        <v>-2944.8597300000001</v>
      </c>
      <c r="AZ33" s="228"/>
      <c r="BA33" s="228"/>
      <c r="BB33" s="228"/>
      <c r="BC33" s="228"/>
    </row>
    <row r="34" spans="1:55" s="4" customFormat="1" ht="15" customHeight="1">
      <c r="A34" s="179"/>
      <c r="B34" s="179"/>
      <c r="C34" s="175"/>
      <c r="D34" s="838"/>
      <c r="E34" s="838"/>
      <c r="F34" s="838"/>
      <c r="G34" s="838"/>
      <c r="H34" s="458" t="s">
        <v>1533</v>
      </c>
      <c r="I34" s="458"/>
      <c r="J34" s="244"/>
      <c r="K34" s="305">
        <v>-40</v>
      </c>
      <c r="L34" s="245"/>
      <c r="M34" s="244"/>
      <c r="N34" s="305">
        <v>-10</v>
      </c>
      <c r="O34" s="245"/>
      <c r="P34" s="244"/>
      <c r="Q34" s="305">
        <v>0</v>
      </c>
      <c r="R34" s="245"/>
      <c r="S34" s="244"/>
      <c r="T34" s="305">
        <v>0</v>
      </c>
      <c r="U34" s="245"/>
      <c r="V34" s="244"/>
      <c r="W34" s="305">
        <v>0</v>
      </c>
      <c r="X34" s="245"/>
      <c r="Y34" s="244"/>
      <c r="Z34" s="305">
        <v>0</v>
      </c>
      <c r="AA34" s="245"/>
      <c r="AB34" s="244"/>
      <c r="AC34" s="305">
        <v>0</v>
      </c>
      <c r="AD34" s="245"/>
      <c r="AE34" s="244"/>
      <c r="AF34" s="305">
        <v>0</v>
      </c>
      <c r="AG34" s="245"/>
      <c r="AH34" s="244"/>
      <c r="AI34" s="305">
        <v>-20</v>
      </c>
      <c r="AJ34" s="245"/>
      <c r="AK34" s="244"/>
      <c r="AL34" s="305">
        <v>-40</v>
      </c>
      <c r="AM34" s="245"/>
      <c r="AN34" s="244"/>
      <c r="AO34" s="305">
        <v>-45</v>
      </c>
      <c r="AP34" s="245"/>
      <c r="AQ34" s="244"/>
      <c r="AR34" s="305">
        <v>-20</v>
      </c>
      <c r="AS34" s="245"/>
      <c r="AT34" s="244"/>
      <c r="AU34" s="397">
        <f t="shared" si="1"/>
        <v>-175</v>
      </c>
      <c r="AV34" s="247"/>
      <c r="AW34" s="248"/>
      <c r="AX34" s="249"/>
      <c r="AY34" s="441">
        <v>-177.56261900000001</v>
      </c>
      <c r="AZ34" s="228"/>
      <c r="BA34" s="852"/>
      <c r="BB34" s="228"/>
      <c r="BC34" s="228"/>
    </row>
    <row r="35" spans="1:55" s="4" customFormat="1" ht="15" customHeight="1">
      <c r="A35" s="179"/>
      <c r="B35" s="179"/>
      <c r="C35" s="175"/>
      <c r="D35" s="838"/>
      <c r="E35" s="838"/>
      <c r="F35" s="838"/>
      <c r="G35" s="838"/>
      <c r="H35" s="458" t="s">
        <v>1535</v>
      </c>
      <c r="I35" s="458"/>
      <c r="J35" s="244"/>
      <c r="K35" s="305">
        <v>0</v>
      </c>
      <c r="L35" s="245"/>
      <c r="M35" s="244"/>
      <c r="N35" s="305">
        <v>0</v>
      </c>
      <c r="O35" s="245"/>
      <c r="P35" s="244"/>
      <c r="Q35" s="305">
        <v>0</v>
      </c>
      <c r="R35" s="245"/>
      <c r="S35" s="244"/>
      <c r="T35" s="305">
        <v>0</v>
      </c>
      <c r="U35" s="245"/>
      <c r="V35" s="244"/>
      <c r="W35" s="305">
        <v>0</v>
      </c>
      <c r="X35" s="245"/>
      <c r="Y35" s="244"/>
      <c r="Z35" s="305">
        <v>0</v>
      </c>
      <c r="AA35" s="245"/>
      <c r="AB35" s="244"/>
      <c r="AC35" s="305">
        <v>0</v>
      </c>
      <c r="AD35" s="245"/>
      <c r="AE35" s="244"/>
      <c r="AF35" s="305">
        <v>0</v>
      </c>
      <c r="AG35" s="245"/>
      <c r="AH35" s="244"/>
      <c r="AI35" s="305">
        <v>0</v>
      </c>
      <c r="AJ35" s="245"/>
      <c r="AK35" s="244"/>
      <c r="AL35" s="305">
        <v>0</v>
      </c>
      <c r="AM35" s="245"/>
      <c r="AN35" s="244"/>
      <c r="AO35" s="305">
        <v>0</v>
      </c>
      <c r="AP35" s="245"/>
      <c r="AQ35" s="244"/>
      <c r="AR35" s="305">
        <v>0</v>
      </c>
      <c r="AS35" s="245"/>
      <c r="AT35" s="244"/>
      <c r="AU35" s="397">
        <f t="shared" si="1"/>
        <v>0</v>
      </c>
      <c r="AV35" s="247"/>
      <c r="AW35" s="248"/>
      <c r="AX35" s="249"/>
      <c r="AY35" s="441">
        <v>0</v>
      </c>
      <c r="AZ35" s="228"/>
      <c r="BA35" s="228"/>
      <c r="BB35" s="228"/>
      <c r="BC35" s="228"/>
    </row>
    <row r="36" spans="1:55" s="4" customFormat="1" ht="15" customHeight="1" thickBot="1">
      <c r="A36" s="179"/>
      <c r="B36" s="179"/>
      <c r="C36" s="175"/>
      <c r="D36" s="838"/>
      <c r="E36" s="838"/>
      <c r="F36" s="838"/>
      <c r="G36" s="838"/>
      <c r="H36" s="458" t="s">
        <v>1537</v>
      </c>
      <c r="I36" s="458"/>
      <c r="J36" s="244"/>
      <c r="K36" s="305">
        <v>-160</v>
      </c>
      <c r="L36" s="245"/>
      <c r="M36" s="244"/>
      <c r="N36" s="305">
        <v>-160</v>
      </c>
      <c r="O36" s="245"/>
      <c r="P36" s="244"/>
      <c r="Q36" s="305">
        <v>-100</v>
      </c>
      <c r="R36" s="245"/>
      <c r="S36" s="244"/>
      <c r="T36" s="305">
        <v>-90</v>
      </c>
      <c r="U36" s="245"/>
      <c r="V36" s="244"/>
      <c r="W36" s="305">
        <v>-70</v>
      </c>
      <c r="X36" s="245"/>
      <c r="Y36" s="244"/>
      <c r="Z36" s="305">
        <v>0</v>
      </c>
      <c r="AA36" s="245"/>
      <c r="AB36" s="244"/>
      <c r="AC36" s="305">
        <v>0</v>
      </c>
      <c r="AD36" s="245"/>
      <c r="AE36" s="244"/>
      <c r="AF36" s="305">
        <v>0</v>
      </c>
      <c r="AG36" s="245"/>
      <c r="AH36" s="244"/>
      <c r="AI36" s="305">
        <v>-70</v>
      </c>
      <c r="AJ36" s="245"/>
      <c r="AK36" s="244"/>
      <c r="AL36" s="305">
        <v>-80</v>
      </c>
      <c r="AM36" s="245"/>
      <c r="AN36" s="244"/>
      <c r="AO36" s="305">
        <v>-50</v>
      </c>
      <c r="AP36" s="245"/>
      <c r="AQ36" s="244"/>
      <c r="AR36" s="305">
        <v>-10</v>
      </c>
      <c r="AS36" s="245"/>
      <c r="AT36" s="244"/>
      <c r="AU36" s="397">
        <f t="shared" si="1"/>
        <v>-790</v>
      </c>
      <c r="AV36" s="247"/>
      <c r="AW36" s="248"/>
      <c r="AX36" s="249"/>
      <c r="AY36" s="441">
        <v>-791.43943200000001</v>
      </c>
      <c r="AZ36" s="228"/>
      <c r="BA36" s="228"/>
      <c r="BB36" s="228"/>
      <c r="BC36" s="228"/>
    </row>
    <row r="37" spans="1:55" s="4" customFormat="1" ht="15" customHeight="1">
      <c r="A37" s="179"/>
      <c r="B37" s="179"/>
      <c r="C37" s="175"/>
      <c r="D37" s="838"/>
      <c r="E37" s="838"/>
      <c r="F37" s="838"/>
      <c r="G37" s="838"/>
      <c r="H37" s="578" t="s">
        <v>1538</v>
      </c>
      <c r="I37" s="458"/>
      <c r="J37" s="253"/>
      <c r="K37" s="450">
        <v>0</v>
      </c>
      <c r="L37" s="446"/>
      <c r="M37" s="253"/>
      <c r="N37" s="450">
        <v>0</v>
      </c>
      <c r="O37" s="446"/>
      <c r="P37" s="253"/>
      <c r="Q37" s="450">
        <v>0</v>
      </c>
      <c r="R37" s="446"/>
      <c r="S37" s="253"/>
      <c r="T37" s="450">
        <v>0</v>
      </c>
      <c r="U37" s="446"/>
      <c r="V37" s="253"/>
      <c r="W37" s="450">
        <v>0</v>
      </c>
      <c r="X37" s="446"/>
      <c r="Y37" s="253"/>
      <c r="Z37" s="450">
        <v>0</v>
      </c>
      <c r="AA37" s="446"/>
      <c r="AB37" s="253"/>
      <c r="AC37" s="450">
        <v>0</v>
      </c>
      <c r="AD37" s="446"/>
      <c r="AE37" s="253"/>
      <c r="AF37" s="450">
        <v>0</v>
      </c>
      <c r="AG37" s="446"/>
      <c r="AH37" s="253"/>
      <c r="AI37" s="450">
        <v>0</v>
      </c>
      <c r="AJ37" s="446"/>
      <c r="AK37" s="253"/>
      <c r="AL37" s="450">
        <v>0</v>
      </c>
      <c r="AM37" s="446"/>
      <c r="AN37" s="253"/>
      <c r="AO37" s="450">
        <v>0</v>
      </c>
      <c r="AP37" s="446"/>
      <c r="AQ37" s="253"/>
      <c r="AR37" s="450">
        <v>0</v>
      </c>
      <c r="AS37" s="446"/>
      <c r="AT37" s="253"/>
      <c r="AU37" s="450">
        <f t="shared" si="1"/>
        <v>0</v>
      </c>
      <c r="AV37" s="447"/>
      <c r="AW37" s="248"/>
      <c r="AX37" s="249"/>
      <c r="AY37" s="441">
        <v>0</v>
      </c>
      <c r="AZ37" s="228"/>
      <c r="BA37" s="228"/>
      <c r="BB37" s="228"/>
      <c r="BC37" s="228"/>
    </row>
    <row r="38" spans="1:55" s="4" customFormat="1" ht="15" customHeight="1" thickBot="1">
      <c r="A38" s="179"/>
      <c r="B38" s="179"/>
      <c r="C38" s="175"/>
      <c r="D38" s="838"/>
      <c r="E38" s="838"/>
      <c r="F38" s="838"/>
      <c r="G38" s="838"/>
      <c r="H38" s="458" t="s">
        <v>1540</v>
      </c>
      <c r="I38" s="458"/>
      <c r="J38" s="253"/>
      <c r="K38" s="451">
        <v>0</v>
      </c>
      <c r="L38" s="446"/>
      <c r="M38" s="253"/>
      <c r="N38" s="451">
        <v>0</v>
      </c>
      <c r="O38" s="446"/>
      <c r="P38" s="253"/>
      <c r="Q38" s="451">
        <v>0</v>
      </c>
      <c r="R38" s="446"/>
      <c r="S38" s="253"/>
      <c r="T38" s="451">
        <v>0</v>
      </c>
      <c r="U38" s="446"/>
      <c r="V38" s="253"/>
      <c r="W38" s="451">
        <v>0</v>
      </c>
      <c r="X38" s="446"/>
      <c r="Y38" s="253"/>
      <c r="Z38" s="451">
        <v>0</v>
      </c>
      <c r="AA38" s="446"/>
      <c r="AB38" s="253"/>
      <c r="AC38" s="451">
        <v>0</v>
      </c>
      <c r="AD38" s="446"/>
      <c r="AE38" s="253"/>
      <c r="AF38" s="451">
        <v>0</v>
      </c>
      <c r="AG38" s="446"/>
      <c r="AH38" s="253"/>
      <c r="AI38" s="451">
        <v>0</v>
      </c>
      <c r="AJ38" s="446"/>
      <c r="AK38" s="253"/>
      <c r="AL38" s="451">
        <v>0</v>
      </c>
      <c r="AM38" s="446"/>
      <c r="AN38" s="253"/>
      <c r="AO38" s="451">
        <v>0</v>
      </c>
      <c r="AP38" s="446"/>
      <c r="AQ38" s="253"/>
      <c r="AR38" s="451">
        <v>0</v>
      </c>
      <c r="AS38" s="446"/>
      <c r="AT38" s="253"/>
      <c r="AU38" s="451">
        <f t="shared" si="1"/>
        <v>0</v>
      </c>
      <c r="AV38" s="447"/>
      <c r="AW38" s="248"/>
      <c r="AX38" s="249"/>
      <c r="AY38" s="441">
        <v>0</v>
      </c>
      <c r="AZ38" s="228"/>
      <c r="BA38" s="228"/>
      <c r="BB38" s="228"/>
      <c r="BC38" s="228"/>
    </row>
    <row r="39" spans="1:55" s="4" customFormat="1" ht="15" customHeight="1" thickBot="1">
      <c r="A39" s="179"/>
      <c r="B39" s="179"/>
      <c r="C39" s="175"/>
      <c r="D39" s="838"/>
      <c r="E39" s="838"/>
      <c r="F39" s="838"/>
      <c r="G39" s="838"/>
      <c r="H39" s="578" t="s">
        <v>1542</v>
      </c>
      <c r="I39" s="458"/>
      <c r="J39" s="253"/>
      <c r="K39" s="451">
        <v>-440</v>
      </c>
      <c r="L39" s="853">
        <f>SUM(K37:K41)</f>
        <v>-690</v>
      </c>
      <c r="M39" s="253"/>
      <c r="N39" s="451">
        <v>-370</v>
      </c>
      <c r="O39" s="853">
        <f>SUM(N37:N41)</f>
        <v>-590</v>
      </c>
      <c r="P39" s="253"/>
      <c r="Q39" s="451">
        <v>-320</v>
      </c>
      <c r="R39" s="853">
        <f>SUM(Q37:Q41)</f>
        <v>-630</v>
      </c>
      <c r="S39" s="253"/>
      <c r="T39" s="451">
        <v>-310</v>
      </c>
      <c r="U39" s="853">
        <f>SUM(T37:T41)</f>
        <v>-510</v>
      </c>
      <c r="V39" s="253"/>
      <c r="W39" s="451">
        <v>-340</v>
      </c>
      <c r="X39" s="853">
        <f>SUM(W37:W41)</f>
        <v>-520</v>
      </c>
      <c r="Y39" s="253"/>
      <c r="Z39" s="451">
        <v>-410</v>
      </c>
      <c r="AA39" s="853">
        <f>SUM(Z37:Z41)</f>
        <v>-640</v>
      </c>
      <c r="AB39" s="253"/>
      <c r="AC39" s="451">
        <v>-330</v>
      </c>
      <c r="AD39" s="853">
        <f>SUM(AC37:AC41)</f>
        <v>-540</v>
      </c>
      <c r="AE39" s="253"/>
      <c r="AF39" s="451">
        <v>-440</v>
      </c>
      <c r="AG39" s="853">
        <f>SUM(AF37:AF41)</f>
        <v>-670</v>
      </c>
      <c r="AH39" s="253"/>
      <c r="AI39" s="451">
        <v>-400</v>
      </c>
      <c r="AJ39" s="853">
        <f>SUM(AI37:AI41)</f>
        <v>-660</v>
      </c>
      <c r="AK39" s="253"/>
      <c r="AL39" s="451">
        <v>-410</v>
      </c>
      <c r="AM39" s="853">
        <f>SUM(AL37:AL41)</f>
        <v>-660</v>
      </c>
      <c r="AN39" s="253"/>
      <c r="AO39" s="451">
        <v>-400</v>
      </c>
      <c r="AP39" s="853">
        <f>SUM(AO37:AO41)</f>
        <v>-670</v>
      </c>
      <c r="AQ39" s="253"/>
      <c r="AR39" s="451">
        <v>-500</v>
      </c>
      <c r="AS39" s="853">
        <f>SUM(AR37:AR41)</f>
        <v>-830</v>
      </c>
      <c r="AT39" s="253"/>
      <c r="AU39" s="451">
        <f t="shared" si="1"/>
        <v>-4670</v>
      </c>
      <c r="AV39" s="853">
        <f>SUM(AU37:AU41)</f>
        <v>-7610</v>
      </c>
      <c r="AW39" s="248"/>
      <c r="AX39" s="249"/>
      <c r="AY39" s="441">
        <v>-4665.1870639999997</v>
      </c>
      <c r="AZ39" s="228"/>
      <c r="BA39" s="228"/>
      <c r="BB39" s="228"/>
      <c r="BC39" s="228"/>
    </row>
    <row r="40" spans="1:55" s="4" customFormat="1" ht="15" customHeight="1">
      <c r="A40" s="179"/>
      <c r="B40" s="179"/>
      <c r="C40" s="175"/>
      <c r="D40" s="838"/>
      <c r="E40" s="838"/>
      <c r="F40" s="838"/>
      <c r="G40" s="838"/>
      <c r="H40" s="458" t="s">
        <v>1544</v>
      </c>
      <c r="I40" s="458"/>
      <c r="J40" s="253"/>
      <c r="K40" s="451">
        <v>0</v>
      </c>
      <c r="L40" s="446"/>
      <c r="M40" s="253"/>
      <c r="N40" s="451">
        <v>0</v>
      </c>
      <c r="O40" s="446"/>
      <c r="P40" s="253"/>
      <c r="Q40" s="451">
        <v>0</v>
      </c>
      <c r="R40" s="446"/>
      <c r="S40" s="253"/>
      <c r="T40" s="451">
        <v>0</v>
      </c>
      <c r="U40" s="446"/>
      <c r="V40" s="253"/>
      <c r="W40" s="451">
        <v>0</v>
      </c>
      <c r="X40" s="446"/>
      <c r="Y40" s="253"/>
      <c r="Z40" s="451">
        <v>0</v>
      </c>
      <c r="AA40" s="446"/>
      <c r="AB40" s="253"/>
      <c r="AC40" s="451">
        <v>0</v>
      </c>
      <c r="AD40" s="446"/>
      <c r="AE40" s="253"/>
      <c r="AF40" s="451">
        <v>0</v>
      </c>
      <c r="AG40" s="446"/>
      <c r="AH40" s="253"/>
      <c r="AI40" s="451">
        <v>0</v>
      </c>
      <c r="AJ40" s="446"/>
      <c r="AK40" s="253"/>
      <c r="AL40" s="451">
        <v>0</v>
      </c>
      <c r="AM40" s="446"/>
      <c r="AN40" s="253"/>
      <c r="AO40" s="451">
        <v>0</v>
      </c>
      <c r="AP40" s="446"/>
      <c r="AQ40" s="253"/>
      <c r="AR40" s="451">
        <v>0</v>
      </c>
      <c r="AS40" s="446"/>
      <c r="AT40" s="253"/>
      <c r="AU40" s="451">
        <f t="shared" si="1"/>
        <v>0</v>
      </c>
      <c r="AV40" s="446"/>
      <c r="AW40" s="248"/>
      <c r="AX40" s="249"/>
      <c r="AY40" s="441">
        <v>0</v>
      </c>
      <c r="AZ40" s="228"/>
      <c r="BA40" s="228"/>
      <c r="BB40" s="228"/>
      <c r="BC40" s="228"/>
    </row>
    <row r="41" spans="1:55" s="4" customFormat="1" ht="15" customHeight="1" thickBot="1">
      <c r="A41" s="179"/>
      <c r="B41" s="179"/>
      <c r="C41" s="175"/>
      <c r="D41" s="838"/>
      <c r="E41" s="838"/>
      <c r="F41" s="838"/>
      <c r="G41" s="838"/>
      <c r="H41" s="577" t="s">
        <v>1545</v>
      </c>
      <c r="I41" s="458"/>
      <c r="J41" s="253"/>
      <c r="K41" s="452">
        <v>-250</v>
      </c>
      <c r="L41" s="446"/>
      <c r="M41" s="253"/>
      <c r="N41" s="452">
        <v>-220</v>
      </c>
      <c r="O41" s="446"/>
      <c r="P41" s="253"/>
      <c r="Q41" s="452">
        <v>-310</v>
      </c>
      <c r="R41" s="446"/>
      <c r="S41" s="253"/>
      <c r="T41" s="452">
        <v>-200</v>
      </c>
      <c r="U41" s="446"/>
      <c r="V41" s="253"/>
      <c r="W41" s="452">
        <v>-180</v>
      </c>
      <c r="X41" s="446"/>
      <c r="Y41" s="253"/>
      <c r="Z41" s="452">
        <v>-230</v>
      </c>
      <c r="AA41" s="446"/>
      <c r="AB41" s="253"/>
      <c r="AC41" s="452">
        <v>-210</v>
      </c>
      <c r="AD41" s="446"/>
      <c r="AE41" s="253"/>
      <c r="AF41" s="452">
        <v>-230</v>
      </c>
      <c r="AG41" s="446"/>
      <c r="AH41" s="253"/>
      <c r="AI41" s="452">
        <v>-260</v>
      </c>
      <c r="AJ41" s="446"/>
      <c r="AK41" s="253"/>
      <c r="AL41" s="452">
        <v>-250</v>
      </c>
      <c r="AM41" s="446"/>
      <c r="AN41" s="253"/>
      <c r="AO41" s="452">
        <v>-270</v>
      </c>
      <c r="AP41" s="446"/>
      <c r="AQ41" s="253"/>
      <c r="AR41" s="452">
        <v>-330</v>
      </c>
      <c r="AS41" s="446"/>
      <c r="AT41" s="253"/>
      <c r="AU41" s="452">
        <f t="shared" si="1"/>
        <v>-2940</v>
      </c>
      <c r="AV41" s="446"/>
      <c r="AW41" s="248"/>
      <c r="AX41" s="249"/>
      <c r="AY41" s="441">
        <v>-2942.1279909999998</v>
      </c>
      <c r="AZ41" s="228"/>
      <c r="BA41" s="228"/>
      <c r="BB41" s="228"/>
      <c r="BC41" s="228"/>
    </row>
    <row r="42" spans="1:55" s="4" customFormat="1" ht="15" customHeight="1">
      <c r="A42" s="179"/>
      <c r="B42" s="179"/>
      <c r="C42" s="175"/>
      <c r="D42" s="838"/>
      <c r="E42" s="838"/>
      <c r="F42" s="838"/>
      <c r="G42" s="838"/>
      <c r="H42" s="458" t="s">
        <v>1547</v>
      </c>
      <c r="I42" s="458"/>
      <c r="J42" s="244"/>
      <c r="K42" s="305">
        <v>-18</v>
      </c>
      <c r="L42" s="245"/>
      <c r="M42" s="244"/>
      <c r="N42" s="305">
        <v>-15</v>
      </c>
      <c r="O42" s="245"/>
      <c r="P42" s="244"/>
      <c r="Q42" s="305">
        <v>-15</v>
      </c>
      <c r="R42" s="245"/>
      <c r="S42" s="244"/>
      <c r="T42" s="305">
        <v>-10</v>
      </c>
      <c r="U42" s="245"/>
      <c r="V42" s="244"/>
      <c r="W42" s="305">
        <v>-10</v>
      </c>
      <c r="X42" s="245"/>
      <c r="Y42" s="244"/>
      <c r="Z42" s="305">
        <v>-10</v>
      </c>
      <c r="AA42" s="245"/>
      <c r="AB42" s="244"/>
      <c r="AC42" s="305">
        <v>-8</v>
      </c>
      <c r="AD42" s="245"/>
      <c r="AE42" s="244"/>
      <c r="AF42" s="305">
        <v>-8</v>
      </c>
      <c r="AG42" s="245"/>
      <c r="AH42" s="244"/>
      <c r="AI42" s="305">
        <v>-8</v>
      </c>
      <c r="AJ42" s="245"/>
      <c r="AK42" s="244"/>
      <c r="AL42" s="305">
        <v>-10</v>
      </c>
      <c r="AM42" s="245"/>
      <c r="AN42" s="244"/>
      <c r="AO42" s="305">
        <v>-15</v>
      </c>
      <c r="AP42" s="245"/>
      <c r="AQ42" s="244"/>
      <c r="AR42" s="305">
        <v>-18</v>
      </c>
      <c r="AS42" s="245"/>
      <c r="AT42" s="244"/>
      <c r="AU42" s="397">
        <f t="shared" si="1"/>
        <v>-145</v>
      </c>
      <c r="AV42" s="245"/>
      <c r="AW42" s="248"/>
      <c r="AX42" s="249"/>
      <c r="AY42" s="441">
        <v>-145.27546340000001</v>
      </c>
      <c r="AZ42" s="228"/>
      <c r="BA42" s="228"/>
      <c r="BB42" s="228"/>
      <c r="BC42" s="228"/>
    </row>
    <row r="43" spans="1:55" s="4" customFormat="1" ht="15" customHeight="1">
      <c r="A43" s="179"/>
      <c r="B43" s="179"/>
      <c r="C43" s="175"/>
      <c r="D43" s="838"/>
      <c r="E43" s="838"/>
      <c r="F43" s="838"/>
      <c r="G43" s="838"/>
      <c r="H43" s="958" t="s">
        <v>1548</v>
      </c>
      <c r="I43" s="958" t="s">
        <v>1468</v>
      </c>
      <c r="J43" s="959"/>
      <c r="K43" s="1100">
        <v>0</v>
      </c>
      <c r="L43" s="960"/>
      <c r="M43" s="959"/>
      <c r="N43" s="1100">
        <v>0</v>
      </c>
      <c r="O43" s="960"/>
      <c r="P43" s="959"/>
      <c r="Q43" s="1100">
        <v>0</v>
      </c>
      <c r="R43" s="960"/>
      <c r="S43" s="959"/>
      <c r="T43" s="1100">
        <v>0</v>
      </c>
      <c r="U43" s="960"/>
      <c r="V43" s="959"/>
      <c r="W43" s="1100">
        <v>0</v>
      </c>
      <c r="X43" s="960"/>
      <c r="Y43" s="959"/>
      <c r="Z43" s="1100">
        <v>0</v>
      </c>
      <c r="AA43" s="960"/>
      <c r="AB43" s="959"/>
      <c r="AC43" s="1100">
        <v>0</v>
      </c>
      <c r="AD43" s="960"/>
      <c r="AE43" s="959"/>
      <c r="AF43" s="1100">
        <v>0</v>
      </c>
      <c r="AG43" s="960"/>
      <c r="AH43" s="959"/>
      <c r="AI43" s="1100">
        <v>0</v>
      </c>
      <c r="AJ43" s="960"/>
      <c r="AK43" s="959"/>
      <c r="AL43" s="1100">
        <v>0</v>
      </c>
      <c r="AM43" s="960"/>
      <c r="AN43" s="959"/>
      <c r="AO43" s="1100">
        <v>0</v>
      </c>
      <c r="AP43" s="960"/>
      <c r="AQ43" s="959"/>
      <c r="AR43" s="1100">
        <v>0</v>
      </c>
      <c r="AS43" s="960"/>
      <c r="AT43" s="959"/>
      <c r="AU43" s="1101">
        <f t="shared" si="1"/>
        <v>0</v>
      </c>
      <c r="AV43" s="960"/>
      <c r="AW43" s="248"/>
      <c r="AX43" s="249"/>
      <c r="AY43" s="441">
        <v>-14.911458</v>
      </c>
      <c r="AZ43" s="228"/>
      <c r="BA43" s="228"/>
      <c r="BB43" s="228"/>
      <c r="BC43" s="228"/>
    </row>
    <row r="44" spans="1:55" s="4" customFormat="1" ht="15" customHeight="1">
      <c r="A44" s="179"/>
      <c r="B44" s="179"/>
      <c r="C44" s="175"/>
      <c r="D44" s="838"/>
      <c r="E44" s="838"/>
      <c r="F44" s="838"/>
      <c r="G44" s="838"/>
      <c r="H44" s="458" t="s">
        <v>1614</v>
      </c>
      <c r="I44" s="458"/>
      <c r="J44" s="244"/>
      <c r="K44" s="305">
        <v>0</v>
      </c>
      <c r="L44" s="245"/>
      <c r="M44" s="244"/>
      <c r="N44" s="305">
        <v>0</v>
      </c>
      <c r="O44" s="245"/>
      <c r="P44" s="244"/>
      <c r="Q44" s="305">
        <v>0</v>
      </c>
      <c r="R44" s="245"/>
      <c r="S44" s="244"/>
      <c r="T44" s="305">
        <v>0</v>
      </c>
      <c r="U44" s="245"/>
      <c r="V44" s="244"/>
      <c r="W44" s="305">
        <v>0</v>
      </c>
      <c r="X44" s="245"/>
      <c r="Y44" s="244"/>
      <c r="Z44" s="305">
        <v>0</v>
      </c>
      <c r="AA44" s="245"/>
      <c r="AB44" s="244"/>
      <c r="AC44" s="305">
        <v>0</v>
      </c>
      <c r="AD44" s="245"/>
      <c r="AE44" s="244"/>
      <c r="AF44" s="305">
        <v>-30</v>
      </c>
      <c r="AG44" s="245"/>
      <c r="AH44" s="244"/>
      <c r="AI44" s="305">
        <v>-140</v>
      </c>
      <c r="AJ44" s="245"/>
      <c r="AK44" s="244"/>
      <c r="AL44" s="305">
        <v>0</v>
      </c>
      <c r="AM44" s="245"/>
      <c r="AN44" s="244"/>
      <c r="AO44" s="305">
        <v>0</v>
      </c>
      <c r="AP44" s="245"/>
      <c r="AQ44" s="244"/>
      <c r="AR44" s="305">
        <v>0</v>
      </c>
      <c r="AS44" s="245"/>
      <c r="AT44" s="244"/>
      <c r="AU44" s="397">
        <f t="shared" si="1"/>
        <v>-170</v>
      </c>
      <c r="AV44" s="245"/>
      <c r="AW44" s="248"/>
      <c r="AX44" s="249"/>
      <c r="AY44" s="441">
        <v>-170.91800000000001</v>
      </c>
      <c r="AZ44" s="228"/>
      <c r="BA44" s="228"/>
      <c r="BB44" s="228"/>
      <c r="BC44" s="228"/>
    </row>
    <row r="45" spans="1:55" s="4" customFormat="1" ht="15" customHeight="1" thickBot="1">
      <c r="A45" s="179"/>
      <c r="B45" s="179"/>
      <c r="C45" s="175"/>
      <c r="D45" s="838"/>
      <c r="E45" s="838"/>
      <c r="F45" s="838"/>
      <c r="G45" s="838"/>
      <c r="H45" s="458" t="s">
        <v>1615</v>
      </c>
      <c r="I45" s="458"/>
      <c r="J45" s="244"/>
      <c r="K45" s="305">
        <v>-8</v>
      </c>
      <c r="L45" s="245"/>
      <c r="M45" s="244"/>
      <c r="N45" s="305">
        <v>0</v>
      </c>
      <c r="O45" s="245"/>
      <c r="P45" s="244"/>
      <c r="Q45" s="305">
        <v>0</v>
      </c>
      <c r="R45" s="245"/>
      <c r="S45" s="244"/>
      <c r="T45" s="305">
        <v>0</v>
      </c>
      <c r="U45" s="245"/>
      <c r="V45" s="244"/>
      <c r="W45" s="305">
        <v>-13</v>
      </c>
      <c r="X45" s="245"/>
      <c r="Y45" s="244"/>
      <c r="Z45" s="305">
        <v>0</v>
      </c>
      <c r="AA45" s="245"/>
      <c r="AB45" s="244"/>
      <c r="AC45" s="305">
        <v>0</v>
      </c>
      <c r="AD45" s="245"/>
      <c r="AE45" s="244"/>
      <c r="AF45" s="305">
        <v>0</v>
      </c>
      <c r="AG45" s="245"/>
      <c r="AH45" s="244"/>
      <c r="AI45" s="305">
        <v>-1</v>
      </c>
      <c r="AJ45" s="245"/>
      <c r="AK45" s="244"/>
      <c r="AL45" s="305">
        <v>0</v>
      </c>
      <c r="AM45" s="245"/>
      <c r="AN45" s="244"/>
      <c r="AO45" s="305">
        <v>-3</v>
      </c>
      <c r="AP45" s="245"/>
      <c r="AQ45" s="244"/>
      <c r="AR45" s="305">
        <v>-3</v>
      </c>
      <c r="AS45" s="245"/>
      <c r="AT45" s="244"/>
      <c r="AU45" s="397">
        <f t="shared" si="1"/>
        <v>-28</v>
      </c>
      <c r="AV45" s="245"/>
      <c r="AW45" s="248"/>
      <c r="AX45" s="249"/>
      <c r="AY45" s="441">
        <v>-28.178259999999998</v>
      </c>
      <c r="AZ45" s="228"/>
      <c r="BA45" s="228"/>
      <c r="BB45" s="228"/>
      <c r="BC45" s="228"/>
    </row>
    <row r="46" spans="1:55" s="4" customFormat="1" ht="15" customHeight="1">
      <c r="A46" s="179"/>
      <c r="B46" s="179"/>
      <c r="C46" s="175"/>
      <c r="D46" s="838"/>
      <c r="E46" s="838"/>
      <c r="F46" s="838"/>
      <c r="G46" s="838"/>
      <c r="H46" s="458" t="s">
        <v>1550</v>
      </c>
      <c r="I46" s="458"/>
      <c r="J46" s="253"/>
      <c r="K46" s="454">
        <v>0</v>
      </c>
      <c r="L46" s="446"/>
      <c r="M46" s="253"/>
      <c r="N46" s="454">
        <v>0</v>
      </c>
      <c r="O46" s="446"/>
      <c r="P46" s="253"/>
      <c r="Q46" s="454">
        <v>0</v>
      </c>
      <c r="R46" s="446"/>
      <c r="S46" s="253"/>
      <c r="T46" s="454">
        <v>0</v>
      </c>
      <c r="U46" s="446"/>
      <c r="V46" s="253"/>
      <c r="W46" s="454">
        <v>0</v>
      </c>
      <c r="X46" s="446"/>
      <c r="Y46" s="253"/>
      <c r="Z46" s="454">
        <v>0</v>
      </c>
      <c r="AA46" s="446"/>
      <c r="AB46" s="253"/>
      <c r="AC46" s="454">
        <v>0</v>
      </c>
      <c r="AD46" s="446"/>
      <c r="AE46" s="253"/>
      <c r="AF46" s="454">
        <v>0</v>
      </c>
      <c r="AG46" s="446"/>
      <c r="AH46" s="253"/>
      <c r="AI46" s="454">
        <v>0</v>
      </c>
      <c r="AJ46" s="446"/>
      <c r="AK46" s="253"/>
      <c r="AL46" s="454">
        <v>0</v>
      </c>
      <c r="AM46" s="446"/>
      <c r="AN46" s="253"/>
      <c r="AO46" s="454">
        <v>0</v>
      </c>
      <c r="AP46" s="446"/>
      <c r="AQ46" s="253"/>
      <c r="AR46" s="454">
        <v>0</v>
      </c>
      <c r="AS46" s="446"/>
      <c r="AT46" s="253"/>
      <c r="AU46" s="454">
        <f t="shared" si="0"/>
        <v>0</v>
      </c>
      <c r="AV46" s="446"/>
      <c r="AW46" s="248"/>
      <c r="AX46" s="249"/>
      <c r="AY46" s="441">
        <v>0</v>
      </c>
      <c r="AZ46" s="228"/>
      <c r="BA46" s="228"/>
      <c r="BB46" s="228"/>
      <c r="BC46" s="228"/>
    </row>
    <row r="47" spans="1:55" s="4" customFormat="1" ht="15" customHeight="1">
      <c r="A47" s="179" t="s">
        <v>288</v>
      </c>
      <c r="B47" s="179" t="s">
        <v>291</v>
      </c>
      <c r="C47" s="175">
        <v>300249</v>
      </c>
      <c r="D47" s="838"/>
      <c r="E47" s="838"/>
      <c r="F47" s="838"/>
      <c r="G47" s="838"/>
      <c r="H47" s="458" t="s">
        <v>1552</v>
      </c>
      <c r="I47" s="458"/>
      <c r="J47" s="253"/>
      <c r="K47" s="455">
        <v>-75</v>
      </c>
      <c r="L47" s="446"/>
      <c r="M47" s="253"/>
      <c r="N47" s="455">
        <v>-84</v>
      </c>
      <c r="O47" s="446"/>
      <c r="P47" s="253"/>
      <c r="Q47" s="455">
        <v>-84</v>
      </c>
      <c r="R47" s="446"/>
      <c r="S47" s="253"/>
      <c r="T47" s="455">
        <v>-94</v>
      </c>
      <c r="U47" s="446"/>
      <c r="V47" s="253"/>
      <c r="W47" s="455">
        <v>-84</v>
      </c>
      <c r="X47" s="446"/>
      <c r="Y47" s="253"/>
      <c r="Z47" s="455">
        <v>-74</v>
      </c>
      <c r="AA47" s="446"/>
      <c r="AB47" s="253"/>
      <c r="AC47" s="455">
        <v>-84</v>
      </c>
      <c r="AD47" s="446"/>
      <c r="AE47" s="253"/>
      <c r="AF47" s="455">
        <v>-64</v>
      </c>
      <c r="AG47" s="446"/>
      <c r="AH47" s="253"/>
      <c r="AI47" s="455">
        <v>-74</v>
      </c>
      <c r="AJ47" s="446"/>
      <c r="AK47" s="253"/>
      <c r="AL47" s="455">
        <v>-84</v>
      </c>
      <c r="AM47" s="446"/>
      <c r="AN47" s="253"/>
      <c r="AO47" s="455">
        <v>-74</v>
      </c>
      <c r="AP47" s="446"/>
      <c r="AQ47" s="253"/>
      <c r="AR47" s="455">
        <v>-85</v>
      </c>
      <c r="AS47" s="446"/>
      <c r="AT47" s="253"/>
      <c r="AU47" s="455">
        <f t="shared" si="0"/>
        <v>-960</v>
      </c>
      <c r="AV47" s="446"/>
      <c r="AW47" s="248"/>
      <c r="AX47" s="249"/>
      <c r="AY47" s="441">
        <v>-960.30133679999994</v>
      </c>
      <c r="AZ47" s="228"/>
      <c r="BA47" s="228"/>
      <c r="BB47" s="228"/>
      <c r="BC47" s="228"/>
    </row>
    <row r="48" spans="1:55" s="4" customFormat="1" ht="15" customHeight="1">
      <c r="A48" s="179"/>
      <c r="B48" s="179"/>
      <c r="C48" s="175"/>
      <c r="D48" s="838"/>
      <c r="E48" s="838"/>
      <c r="F48" s="838"/>
      <c r="G48" s="838"/>
      <c r="H48" s="458" t="s">
        <v>1553</v>
      </c>
      <c r="I48" s="458"/>
      <c r="J48" s="253"/>
      <c r="K48" s="455">
        <v>0</v>
      </c>
      <c r="L48" s="446"/>
      <c r="M48" s="253"/>
      <c r="N48" s="455">
        <v>0</v>
      </c>
      <c r="O48" s="446"/>
      <c r="P48" s="253"/>
      <c r="Q48" s="455">
        <v>0</v>
      </c>
      <c r="R48" s="446"/>
      <c r="S48" s="253"/>
      <c r="T48" s="455">
        <v>0</v>
      </c>
      <c r="U48" s="446"/>
      <c r="V48" s="253"/>
      <c r="W48" s="455">
        <v>0</v>
      </c>
      <c r="X48" s="446"/>
      <c r="Y48" s="253"/>
      <c r="Z48" s="455">
        <v>0</v>
      </c>
      <c r="AA48" s="446"/>
      <c r="AB48" s="253"/>
      <c r="AC48" s="455">
        <v>-80</v>
      </c>
      <c r="AD48" s="446"/>
      <c r="AE48" s="253"/>
      <c r="AF48" s="455">
        <v>0</v>
      </c>
      <c r="AG48" s="446"/>
      <c r="AH48" s="253"/>
      <c r="AI48" s="455">
        <v>0</v>
      </c>
      <c r="AJ48" s="446"/>
      <c r="AK48" s="253"/>
      <c r="AL48" s="455">
        <v>0</v>
      </c>
      <c r="AM48" s="446"/>
      <c r="AN48" s="253"/>
      <c r="AO48" s="455">
        <v>0</v>
      </c>
      <c r="AP48" s="446"/>
      <c r="AQ48" s="253"/>
      <c r="AR48" s="455">
        <v>0</v>
      </c>
      <c r="AS48" s="446"/>
      <c r="AT48" s="253"/>
      <c r="AU48" s="455">
        <f>AR48+AO48+AL48+AI48+AF48+AC48+Z48+W48+T48+Q48+N48+K48</f>
        <v>-80</v>
      </c>
      <c r="AV48" s="446"/>
      <c r="AW48" s="248"/>
      <c r="AX48" s="249"/>
      <c r="AY48" s="441">
        <v>-81.396626999999995</v>
      </c>
      <c r="AZ48" s="228"/>
      <c r="BA48" s="228"/>
      <c r="BB48" s="228"/>
      <c r="BC48" s="228"/>
    </row>
    <row r="49" spans="1:55" s="4" customFormat="1" ht="15" customHeight="1">
      <c r="A49" s="179"/>
      <c r="B49" s="179"/>
      <c r="C49" s="175"/>
      <c r="D49" s="838"/>
      <c r="E49" s="838"/>
      <c r="F49" s="838"/>
      <c r="G49" s="838"/>
      <c r="H49" s="458" t="s">
        <v>1555</v>
      </c>
      <c r="I49" s="458"/>
      <c r="J49" s="228"/>
      <c r="K49" s="455">
        <v>-7</v>
      </c>
      <c r="L49" s="446"/>
      <c r="M49" s="228"/>
      <c r="N49" s="455">
        <v>-6</v>
      </c>
      <c r="O49" s="446"/>
      <c r="P49" s="228"/>
      <c r="Q49" s="455">
        <v>-5</v>
      </c>
      <c r="R49" s="446"/>
      <c r="S49" s="228"/>
      <c r="T49" s="455">
        <v>-5</v>
      </c>
      <c r="U49" s="446"/>
      <c r="V49" s="228"/>
      <c r="W49" s="455">
        <v>-6</v>
      </c>
      <c r="X49" s="446"/>
      <c r="Y49" s="228"/>
      <c r="Z49" s="455">
        <v>-7</v>
      </c>
      <c r="AA49" s="446"/>
      <c r="AB49" s="228"/>
      <c r="AC49" s="455">
        <v>-13</v>
      </c>
      <c r="AD49" s="446"/>
      <c r="AE49" s="228"/>
      <c r="AF49" s="455">
        <v>-7</v>
      </c>
      <c r="AG49" s="446"/>
      <c r="AH49" s="228"/>
      <c r="AI49" s="455">
        <v>-5</v>
      </c>
      <c r="AJ49" s="446"/>
      <c r="AK49" s="228"/>
      <c r="AL49" s="455">
        <v>-5</v>
      </c>
      <c r="AM49" s="446"/>
      <c r="AN49" s="228"/>
      <c r="AO49" s="455">
        <v>-5</v>
      </c>
      <c r="AP49" s="446"/>
      <c r="AQ49" s="228"/>
      <c r="AR49" s="455">
        <v>-6</v>
      </c>
      <c r="AS49" s="446"/>
      <c r="AT49" s="228"/>
      <c r="AU49" s="455">
        <f>AR49+AO49+AL49+AI49+AF49+AC49+Z49+W49+T49+Q49+N49+K49</f>
        <v>-77</v>
      </c>
      <c r="AV49" s="446"/>
      <c r="AW49" s="248"/>
      <c r="AX49" s="249"/>
      <c r="AY49" s="441">
        <v>-76.741010000000003</v>
      </c>
      <c r="AZ49" s="228"/>
      <c r="BA49" s="228"/>
      <c r="BB49" s="228"/>
      <c r="BC49" s="228"/>
    </row>
    <row r="50" spans="1:55" s="4" customFormat="1" ht="15" customHeight="1">
      <c r="A50" s="179"/>
      <c r="B50" s="179"/>
      <c r="C50" s="175"/>
      <c r="D50" s="838"/>
      <c r="E50" s="838"/>
      <c r="F50" s="838"/>
      <c r="G50" s="838"/>
      <c r="H50" s="458" t="s">
        <v>1556</v>
      </c>
      <c r="I50" s="458"/>
      <c r="J50" s="228"/>
      <c r="K50" s="455">
        <v>-1</v>
      </c>
      <c r="L50" s="446"/>
      <c r="M50" s="228"/>
      <c r="N50" s="455">
        <v>-1</v>
      </c>
      <c r="O50" s="446"/>
      <c r="P50" s="228"/>
      <c r="Q50" s="455">
        <v>-1</v>
      </c>
      <c r="R50" s="446"/>
      <c r="S50" s="228"/>
      <c r="T50" s="455">
        <v>-1</v>
      </c>
      <c r="U50" s="446"/>
      <c r="V50" s="228"/>
      <c r="W50" s="455">
        <v>-1</v>
      </c>
      <c r="X50" s="446"/>
      <c r="Y50" s="228"/>
      <c r="Z50" s="455">
        <v>-1</v>
      </c>
      <c r="AA50" s="446"/>
      <c r="AB50" s="228"/>
      <c r="AC50" s="455">
        <v>-1</v>
      </c>
      <c r="AD50" s="446"/>
      <c r="AE50" s="228"/>
      <c r="AF50" s="455">
        <v>-1</v>
      </c>
      <c r="AG50" s="446"/>
      <c r="AH50" s="228"/>
      <c r="AI50" s="455">
        <v>-1</v>
      </c>
      <c r="AJ50" s="446"/>
      <c r="AK50" s="228"/>
      <c r="AL50" s="455">
        <v>-1</v>
      </c>
      <c r="AM50" s="446"/>
      <c r="AN50" s="228"/>
      <c r="AO50" s="455">
        <v>-1</v>
      </c>
      <c r="AP50" s="446"/>
      <c r="AQ50" s="228"/>
      <c r="AR50" s="455">
        <v>-1</v>
      </c>
      <c r="AS50" s="446"/>
      <c r="AT50" s="228"/>
      <c r="AU50" s="455">
        <f>AR50+AO50+AL50+AI50+AF50+AC50+Z50+W50+T50+Q50+N50+K50</f>
        <v>-12</v>
      </c>
      <c r="AV50" s="446"/>
      <c r="AW50" s="248"/>
      <c r="AX50" s="249"/>
      <c r="AY50" s="441">
        <v>-12.772214999999999</v>
      </c>
      <c r="AZ50" s="228"/>
      <c r="BA50" s="228"/>
      <c r="BB50" s="228"/>
      <c r="BC50" s="228"/>
    </row>
    <row r="51" spans="1:55" s="4" customFormat="1" ht="15" customHeight="1" thickBot="1">
      <c r="A51" s="179"/>
      <c r="B51" s="179"/>
      <c r="C51" s="175"/>
      <c r="D51" s="838"/>
      <c r="E51" s="838"/>
      <c r="F51" s="838"/>
      <c r="G51" s="838"/>
      <c r="H51" s="962" t="s">
        <v>1557</v>
      </c>
      <c r="I51" s="458"/>
      <c r="J51" s="253"/>
      <c r="K51" s="455">
        <v>0</v>
      </c>
      <c r="L51" s="446"/>
      <c r="M51" s="253"/>
      <c r="N51" s="455">
        <v>-5</v>
      </c>
      <c r="O51" s="446"/>
      <c r="P51" s="253"/>
      <c r="Q51" s="455">
        <v>-2</v>
      </c>
      <c r="R51" s="446"/>
      <c r="S51" s="253"/>
      <c r="T51" s="455">
        <v>0</v>
      </c>
      <c r="U51" s="446"/>
      <c r="V51" s="253"/>
      <c r="W51" s="455">
        <v>0</v>
      </c>
      <c r="X51" s="446"/>
      <c r="Y51" s="253"/>
      <c r="Z51" s="455">
        <v>0</v>
      </c>
      <c r="AA51" s="446"/>
      <c r="AB51" s="253"/>
      <c r="AC51" s="455">
        <v>-5</v>
      </c>
      <c r="AD51" s="446"/>
      <c r="AE51" s="253"/>
      <c r="AF51" s="455">
        <v>-3</v>
      </c>
      <c r="AG51" s="446"/>
      <c r="AH51" s="253"/>
      <c r="AI51" s="455">
        <v>0</v>
      </c>
      <c r="AJ51" s="446"/>
      <c r="AK51" s="253"/>
      <c r="AL51" s="455">
        <v>-15</v>
      </c>
      <c r="AM51" s="446"/>
      <c r="AN51" s="253"/>
      <c r="AO51" s="455">
        <v>0</v>
      </c>
      <c r="AP51" s="446"/>
      <c r="AQ51" s="253"/>
      <c r="AR51" s="455">
        <v>-45</v>
      </c>
      <c r="AS51" s="446"/>
      <c r="AT51" s="253"/>
      <c r="AU51" s="455">
        <f t="shared" si="0"/>
        <v>-75</v>
      </c>
      <c r="AV51" s="446"/>
      <c r="AW51" s="248"/>
      <c r="AX51" s="249"/>
      <c r="AY51" s="441">
        <v>-74.919567000000001</v>
      </c>
      <c r="AZ51" s="228"/>
      <c r="BA51" s="228"/>
      <c r="BB51" s="228"/>
      <c r="BC51" s="228"/>
    </row>
    <row r="52" spans="1:55" s="4" customFormat="1" ht="15" customHeight="1" thickBot="1">
      <c r="A52" s="179" t="s">
        <v>288</v>
      </c>
      <c r="B52" s="179" t="s">
        <v>291</v>
      </c>
      <c r="C52" s="176">
        <v>300256</v>
      </c>
      <c r="D52" s="838"/>
      <c r="E52" s="838"/>
      <c r="F52" s="838"/>
      <c r="G52" s="838"/>
      <c r="H52" s="962" t="s">
        <v>1559</v>
      </c>
      <c r="I52" s="458"/>
      <c r="J52" s="854">
        <f>SUM(K46:K56)</f>
        <v>-163</v>
      </c>
      <c r="K52" s="455">
        <v>-30</v>
      </c>
      <c r="L52" s="446"/>
      <c r="M52" s="855">
        <f>SUM(N46:N56)</f>
        <v>-211</v>
      </c>
      <c r="N52" s="455">
        <v>-60</v>
      </c>
      <c r="O52" s="446"/>
      <c r="P52" s="855">
        <f>SUM(Q46:Q56)</f>
        <v>-187</v>
      </c>
      <c r="Q52" s="455">
        <v>-40</v>
      </c>
      <c r="R52" s="446"/>
      <c r="S52" s="855">
        <f>SUM(T46:T56)</f>
        <v>-135</v>
      </c>
      <c r="T52" s="455">
        <v>0</v>
      </c>
      <c r="U52" s="446"/>
      <c r="V52" s="855">
        <f>SUM(W46:W56)</f>
        <v>-171</v>
      </c>
      <c r="W52" s="455">
        <v>-60</v>
      </c>
      <c r="X52" s="446"/>
      <c r="Y52" s="855">
        <f>SUM(Z46:Z56)</f>
        <v>-192</v>
      </c>
      <c r="Z52" s="455">
        <v>-40</v>
      </c>
      <c r="AA52" s="446"/>
      <c r="AB52" s="855">
        <f>SUM(AC46:AC56)</f>
        <v>-353</v>
      </c>
      <c r="AC52" s="455">
        <v>-40</v>
      </c>
      <c r="AD52" s="446"/>
      <c r="AE52" s="855">
        <f>SUM(AF46:AF56)</f>
        <v>-355</v>
      </c>
      <c r="AF52" s="455">
        <v>-90</v>
      </c>
      <c r="AG52" s="446"/>
      <c r="AH52" s="855">
        <f>SUM(AI46:AI56)</f>
        <v>-520</v>
      </c>
      <c r="AI52" s="455">
        <v>-230</v>
      </c>
      <c r="AJ52" s="446"/>
      <c r="AK52" s="855">
        <f>SUM(AL46:AL56)</f>
        <v>-335</v>
      </c>
      <c r="AL52" s="455">
        <v>-60</v>
      </c>
      <c r="AM52" s="446"/>
      <c r="AN52" s="855">
        <f>SUM(AO46:AO56)</f>
        <v>-310</v>
      </c>
      <c r="AO52" s="455">
        <v>-100</v>
      </c>
      <c r="AP52" s="446"/>
      <c r="AQ52" s="855">
        <f>SUM(AR46:AR56)</f>
        <v>-392</v>
      </c>
      <c r="AR52" s="455">
        <v>-160</v>
      </c>
      <c r="AS52" s="446"/>
      <c r="AT52" s="855">
        <f>SUM(AU46:AU56)</f>
        <v>-3324</v>
      </c>
      <c r="AU52" s="455">
        <f t="shared" si="0"/>
        <v>-910</v>
      </c>
      <c r="AV52" s="446"/>
      <c r="AW52" s="248"/>
      <c r="AX52" s="249"/>
      <c r="AY52" s="441">
        <v>-913.43023589999996</v>
      </c>
      <c r="AZ52" s="228"/>
      <c r="BA52" s="228"/>
      <c r="BB52" s="228"/>
      <c r="BC52" s="228"/>
    </row>
    <row r="53" spans="1:55" s="4" customFormat="1" ht="15" customHeight="1">
      <c r="A53" s="179" t="s">
        <v>288</v>
      </c>
      <c r="B53" s="179" t="s">
        <v>291</v>
      </c>
      <c r="C53" s="176">
        <v>300269</v>
      </c>
      <c r="D53" s="838"/>
      <c r="E53" s="838"/>
      <c r="F53" s="838"/>
      <c r="G53" s="838"/>
      <c r="H53" s="958" t="s">
        <v>1616</v>
      </c>
      <c r="I53" s="958" t="s">
        <v>1468</v>
      </c>
      <c r="J53" s="253"/>
      <c r="K53" s="455">
        <v>-50</v>
      </c>
      <c r="L53" s="1102">
        <v>-15</v>
      </c>
      <c r="M53" s="253"/>
      <c r="N53" s="455">
        <v>-55</v>
      </c>
      <c r="O53" s="1102">
        <v>-14</v>
      </c>
      <c r="P53" s="253"/>
      <c r="Q53" s="455">
        <v>-55</v>
      </c>
      <c r="R53" s="1102">
        <v>-14</v>
      </c>
      <c r="S53" s="253"/>
      <c r="T53" s="455">
        <v>-35</v>
      </c>
      <c r="U53" s="1102">
        <v>-14</v>
      </c>
      <c r="V53" s="253"/>
      <c r="W53" s="455">
        <v>-20</v>
      </c>
      <c r="X53" s="1102">
        <v>-14</v>
      </c>
      <c r="Y53" s="253"/>
      <c r="Z53" s="455">
        <v>-20</v>
      </c>
      <c r="AA53" s="1102">
        <v>-14</v>
      </c>
      <c r="AB53" s="253"/>
      <c r="AC53" s="455">
        <v>-30</v>
      </c>
      <c r="AD53" s="1102">
        <v>-14</v>
      </c>
      <c r="AE53" s="253"/>
      <c r="AF53" s="455">
        <v>-20</v>
      </c>
      <c r="AG53" s="1102">
        <v>-14</v>
      </c>
      <c r="AH53" s="253"/>
      <c r="AI53" s="455">
        <v>-40</v>
      </c>
      <c r="AJ53" s="1102">
        <v>-14</v>
      </c>
      <c r="AK53" s="253"/>
      <c r="AL53" s="455">
        <v>-20</v>
      </c>
      <c r="AM53" s="1102">
        <v>-14</v>
      </c>
      <c r="AN53" s="253"/>
      <c r="AO53" s="455">
        <v>-30</v>
      </c>
      <c r="AP53" s="1102">
        <v>-14</v>
      </c>
      <c r="AQ53" s="253"/>
      <c r="AR53" s="455">
        <v>-45</v>
      </c>
      <c r="AS53" s="1102">
        <v>-15</v>
      </c>
      <c r="AT53" s="253"/>
      <c r="AU53" s="455">
        <f>AR53+AO53+AL53+AI53+AF53+AC53+Z53+W53+T53+Q53+N53+K53</f>
        <v>-420</v>
      </c>
      <c r="AV53" s="1102">
        <f>L53+O53+R53+U53+X53+AA53+AD53+AG53+AJ53+AM53+AP53+AS53</f>
        <v>-170</v>
      </c>
      <c r="AW53" s="248"/>
      <c r="AX53" s="249"/>
      <c r="AY53" s="949"/>
      <c r="AZ53" s="228"/>
      <c r="BA53" s="228"/>
      <c r="BB53" s="228"/>
      <c r="BC53" s="228"/>
    </row>
    <row r="54" spans="1:55" s="4" customFormat="1" ht="15" customHeight="1">
      <c r="A54" s="179" t="s">
        <v>288</v>
      </c>
      <c r="B54" s="179" t="s">
        <v>291</v>
      </c>
      <c r="C54" s="176">
        <v>300223</v>
      </c>
      <c r="D54" s="838"/>
      <c r="E54" s="838"/>
      <c r="F54" s="838"/>
      <c r="G54" s="838"/>
      <c r="H54" s="882" t="s">
        <v>1562</v>
      </c>
      <c r="I54" s="458"/>
      <c r="J54" s="228"/>
      <c r="K54" s="455">
        <v>0</v>
      </c>
      <c r="L54" s="446"/>
      <c r="M54" s="228"/>
      <c r="N54" s="455">
        <v>0</v>
      </c>
      <c r="O54" s="446"/>
      <c r="P54" s="228"/>
      <c r="Q54" s="455">
        <v>0</v>
      </c>
      <c r="R54" s="446"/>
      <c r="S54" s="228"/>
      <c r="T54" s="455">
        <v>0</v>
      </c>
      <c r="U54" s="446"/>
      <c r="V54" s="228"/>
      <c r="W54" s="455">
        <v>0</v>
      </c>
      <c r="X54" s="446"/>
      <c r="Y54" s="228"/>
      <c r="Z54" s="455">
        <v>-50</v>
      </c>
      <c r="AA54" s="446"/>
      <c r="AB54" s="228"/>
      <c r="AC54" s="455">
        <v>-100</v>
      </c>
      <c r="AD54" s="446"/>
      <c r="AE54" s="228"/>
      <c r="AF54" s="455">
        <v>-170</v>
      </c>
      <c r="AG54" s="446"/>
      <c r="AH54" s="228"/>
      <c r="AI54" s="455">
        <v>-170</v>
      </c>
      <c r="AJ54" s="446"/>
      <c r="AK54" s="228"/>
      <c r="AL54" s="455">
        <v>-150</v>
      </c>
      <c r="AM54" s="446"/>
      <c r="AN54" s="228"/>
      <c r="AO54" s="455">
        <v>-100</v>
      </c>
      <c r="AP54" s="446"/>
      <c r="AQ54" s="228"/>
      <c r="AR54" s="455">
        <v>-50</v>
      </c>
      <c r="AS54" s="446"/>
      <c r="AT54" s="228"/>
      <c r="AU54" s="455">
        <f t="shared" si="0"/>
        <v>-790</v>
      </c>
      <c r="AV54" s="446"/>
      <c r="AW54" s="248"/>
      <c r="AX54" s="249"/>
      <c r="AY54" s="441">
        <v>-1019.3190890000001</v>
      </c>
      <c r="AZ54" s="228"/>
      <c r="BA54" s="228"/>
      <c r="BB54" s="228"/>
      <c r="BC54" s="228"/>
    </row>
    <row r="55" spans="1:55" s="4" customFormat="1" ht="15" customHeight="1">
      <c r="A55" s="179" t="s">
        <v>288</v>
      </c>
      <c r="B55" s="179" t="s">
        <v>291</v>
      </c>
      <c r="C55" s="176">
        <v>300230</v>
      </c>
      <c r="D55" s="838"/>
      <c r="E55" s="838"/>
      <c r="F55" s="838"/>
      <c r="G55" s="838"/>
      <c r="H55" s="882" t="s">
        <v>1564</v>
      </c>
      <c r="I55" s="458"/>
      <c r="J55" s="253"/>
      <c r="K55" s="455">
        <v>0</v>
      </c>
      <c r="L55" s="446"/>
      <c r="M55" s="253"/>
      <c r="N55" s="455">
        <v>0</v>
      </c>
      <c r="O55" s="446"/>
      <c r="P55" s="253"/>
      <c r="Q55" s="455">
        <v>0</v>
      </c>
      <c r="R55" s="446"/>
      <c r="S55" s="253"/>
      <c r="T55" s="455">
        <v>0</v>
      </c>
      <c r="U55" s="446"/>
      <c r="V55" s="253"/>
      <c r="W55" s="455">
        <v>0</v>
      </c>
      <c r="X55" s="446"/>
      <c r="Y55" s="253"/>
      <c r="Z55" s="455">
        <v>0</v>
      </c>
      <c r="AA55" s="446"/>
      <c r="AB55" s="253"/>
      <c r="AC55" s="455">
        <v>0</v>
      </c>
      <c r="AD55" s="446"/>
      <c r="AE55" s="253"/>
      <c r="AF55" s="455">
        <v>0</v>
      </c>
      <c r="AG55" s="446"/>
      <c r="AH55" s="253"/>
      <c r="AI55" s="455">
        <v>0</v>
      </c>
      <c r="AJ55" s="446"/>
      <c r="AK55" s="253"/>
      <c r="AL55" s="455">
        <v>0</v>
      </c>
      <c r="AM55" s="446"/>
      <c r="AN55" s="253"/>
      <c r="AO55" s="455">
        <v>0</v>
      </c>
      <c r="AP55" s="446"/>
      <c r="AQ55" s="253"/>
      <c r="AR55" s="455">
        <v>0</v>
      </c>
      <c r="AS55" s="446"/>
      <c r="AT55" s="253"/>
      <c r="AU55" s="455">
        <f t="shared" si="0"/>
        <v>0</v>
      </c>
      <c r="AV55" s="446"/>
      <c r="AW55" s="248"/>
      <c r="AX55" s="249"/>
      <c r="AY55" s="441">
        <v>0</v>
      </c>
      <c r="AZ55" s="228"/>
      <c r="BA55" s="228"/>
      <c r="BB55" s="228"/>
      <c r="BC55" s="228"/>
    </row>
    <row r="56" spans="1:55" s="4" customFormat="1" ht="15" customHeight="1" thickBot="1">
      <c r="A56" s="179" t="s">
        <v>288</v>
      </c>
      <c r="B56" s="179" t="s">
        <v>291</v>
      </c>
      <c r="C56" s="176">
        <v>300268</v>
      </c>
      <c r="D56" s="838"/>
      <c r="E56" s="838"/>
      <c r="F56" s="838"/>
      <c r="G56" s="838"/>
      <c r="H56" s="882" t="s">
        <v>1566</v>
      </c>
      <c r="I56" s="458"/>
      <c r="J56" s="228"/>
      <c r="K56" s="456">
        <v>0</v>
      </c>
      <c r="L56" s="446"/>
      <c r="M56" s="228"/>
      <c r="N56" s="456">
        <v>0</v>
      </c>
      <c r="O56" s="446"/>
      <c r="P56" s="228"/>
      <c r="Q56" s="456">
        <v>0</v>
      </c>
      <c r="R56" s="446"/>
      <c r="S56" s="228"/>
      <c r="T56" s="456">
        <v>0</v>
      </c>
      <c r="U56" s="446"/>
      <c r="V56" s="228"/>
      <c r="W56" s="456">
        <v>0</v>
      </c>
      <c r="X56" s="446"/>
      <c r="Y56" s="228"/>
      <c r="Z56" s="456">
        <v>0</v>
      </c>
      <c r="AA56" s="446"/>
      <c r="AB56" s="228"/>
      <c r="AC56" s="456">
        <v>0</v>
      </c>
      <c r="AD56" s="446"/>
      <c r="AE56" s="228"/>
      <c r="AF56" s="456">
        <v>0</v>
      </c>
      <c r="AG56" s="446"/>
      <c r="AH56" s="228"/>
      <c r="AI56" s="456">
        <v>0</v>
      </c>
      <c r="AJ56" s="446"/>
      <c r="AK56" s="228"/>
      <c r="AL56" s="456">
        <v>0</v>
      </c>
      <c r="AM56" s="446"/>
      <c r="AN56" s="228"/>
      <c r="AO56" s="456">
        <v>0</v>
      </c>
      <c r="AP56" s="446"/>
      <c r="AQ56" s="228"/>
      <c r="AR56" s="456">
        <v>0</v>
      </c>
      <c r="AS56" s="446"/>
      <c r="AT56" s="228"/>
      <c r="AU56" s="456">
        <f t="shared" si="0"/>
        <v>0</v>
      </c>
      <c r="AV56" s="446"/>
      <c r="AW56" s="248"/>
      <c r="AX56" s="249"/>
      <c r="AY56" s="441">
        <v>0</v>
      </c>
      <c r="AZ56" s="228"/>
      <c r="BA56" s="228"/>
      <c r="BB56" s="228"/>
      <c r="BC56" s="228"/>
    </row>
    <row r="57" spans="1:55" s="4" customFormat="1" ht="15" customHeight="1" thickBot="1">
      <c r="A57" s="179"/>
      <c r="B57" s="179"/>
      <c r="C57" s="176"/>
      <c r="D57" s="838"/>
      <c r="E57" s="838"/>
      <c r="F57" s="838"/>
      <c r="G57" s="838"/>
      <c r="H57" s="458"/>
      <c r="I57" s="458"/>
      <c r="J57" s="856">
        <f>J52+J77</f>
        <v>492</v>
      </c>
      <c r="K57" s="253"/>
      <c r="L57" s="453">
        <f>L39+L67</f>
        <v>-90</v>
      </c>
      <c r="M57" s="857">
        <f>M52+M77</f>
        <v>480</v>
      </c>
      <c r="N57" s="244"/>
      <c r="O57" s="453">
        <f>O39+O67</f>
        <v>-90</v>
      </c>
      <c r="P57" s="857">
        <f>P52+P77</f>
        <v>434</v>
      </c>
      <c r="Q57" s="244"/>
      <c r="R57" s="453">
        <f>R39+R67</f>
        <v>-240</v>
      </c>
      <c r="S57" s="857">
        <f>S52+S77</f>
        <v>636</v>
      </c>
      <c r="T57" s="244"/>
      <c r="U57" s="453">
        <f>U39+U67</f>
        <v>-110</v>
      </c>
      <c r="V57" s="857">
        <f>V52+V77</f>
        <v>365</v>
      </c>
      <c r="W57" s="244"/>
      <c r="X57" s="453">
        <f>X39+X67</f>
        <v>-190</v>
      </c>
      <c r="Y57" s="857">
        <f>Y52+Y77</f>
        <v>344</v>
      </c>
      <c r="Z57" s="244"/>
      <c r="AA57" s="453">
        <f>AA39+AA67</f>
        <v>-290</v>
      </c>
      <c r="AB57" s="857">
        <f>AB52+AB77</f>
        <v>93</v>
      </c>
      <c r="AC57" s="244"/>
      <c r="AD57" s="453">
        <f>AD39+AD67</f>
        <v>-160</v>
      </c>
      <c r="AE57" s="857">
        <f>AE52+AE77</f>
        <v>81</v>
      </c>
      <c r="AF57" s="244"/>
      <c r="AG57" s="453">
        <f>AG39+AG67</f>
        <v>-270</v>
      </c>
      <c r="AH57" s="857">
        <f>AH52+AH77</f>
        <v>-119</v>
      </c>
      <c r="AI57" s="244"/>
      <c r="AJ57" s="453">
        <f>AJ39+AJ67</f>
        <v>-330</v>
      </c>
      <c r="AK57" s="857">
        <f>AK52+AK77</f>
        <v>61</v>
      </c>
      <c r="AL57" s="244"/>
      <c r="AM57" s="453">
        <f>AM39+AM67</f>
        <v>-310</v>
      </c>
      <c r="AN57" s="857">
        <f>AN52+AN77</f>
        <v>81</v>
      </c>
      <c r="AO57" s="244"/>
      <c r="AP57" s="453">
        <f>AP39+AP67</f>
        <v>-390</v>
      </c>
      <c r="AQ57" s="857">
        <f>AQ52+AQ77</f>
        <v>78</v>
      </c>
      <c r="AR57" s="244"/>
      <c r="AS57" s="453">
        <f>AS39+AS67</f>
        <v>-410</v>
      </c>
      <c r="AT57" s="857">
        <f>AT52+AT77</f>
        <v>3026</v>
      </c>
      <c r="AU57" s="254"/>
      <c r="AV57" s="453">
        <f>AV39+AV67</f>
        <v>-2880</v>
      </c>
      <c r="AW57" s="248"/>
      <c r="AX57" s="249"/>
      <c r="AY57" s="249"/>
      <c r="AZ57" s="228"/>
      <c r="BA57" s="228"/>
      <c r="BB57" s="228"/>
      <c r="BC57" s="228"/>
    </row>
    <row r="58" spans="1:55" s="4" customFormat="1" ht="15" customHeight="1">
      <c r="A58" s="179"/>
      <c r="B58" s="179"/>
      <c r="C58" s="176"/>
      <c r="D58" s="838"/>
      <c r="E58" s="838"/>
      <c r="F58" s="838"/>
      <c r="G58" s="838"/>
      <c r="H58" s="462" t="s">
        <v>1256</v>
      </c>
      <c r="I58" s="462"/>
      <c r="J58" s="255"/>
      <c r="K58" s="256">
        <f>SUM(K59:K80)</f>
        <v>1355</v>
      </c>
      <c r="L58" s="257"/>
      <c r="M58" s="255"/>
      <c r="N58" s="256">
        <f>SUM(N59:N80)</f>
        <v>1246</v>
      </c>
      <c r="O58" s="257"/>
      <c r="P58" s="255"/>
      <c r="Q58" s="256">
        <f>SUM(Q59:Q80)</f>
        <v>1151</v>
      </c>
      <c r="R58" s="257"/>
      <c r="S58" s="255"/>
      <c r="T58" s="256">
        <f>SUM(T59:T80)</f>
        <v>1241</v>
      </c>
      <c r="U58" s="257"/>
      <c r="V58" s="255"/>
      <c r="W58" s="256">
        <f>SUM(W59:W80)</f>
        <v>1016</v>
      </c>
      <c r="X58" s="257"/>
      <c r="Y58" s="255"/>
      <c r="Z58" s="256">
        <f>SUM(Z59:Z80)</f>
        <v>1051</v>
      </c>
      <c r="AA58" s="257"/>
      <c r="AB58" s="255"/>
      <c r="AC58" s="256">
        <f>SUM(AC59:AC80)</f>
        <v>916</v>
      </c>
      <c r="AD58" s="257"/>
      <c r="AE58" s="255"/>
      <c r="AF58" s="256">
        <f>SUM(AF59:AF80)</f>
        <v>901</v>
      </c>
      <c r="AG58" s="257"/>
      <c r="AH58" s="255"/>
      <c r="AI58" s="256">
        <f>SUM(AI59:AI80)</f>
        <v>791</v>
      </c>
      <c r="AJ58" s="257"/>
      <c r="AK58" s="255"/>
      <c r="AL58" s="256">
        <f>SUM(AL59:AL80)</f>
        <v>886</v>
      </c>
      <c r="AM58" s="257"/>
      <c r="AN58" s="255"/>
      <c r="AO58" s="256">
        <f>SUM(AO59:AO80)</f>
        <v>751</v>
      </c>
      <c r="AP58" s="257"/>
      <c r="AQ58" s="255"/>
      <c r="AR58" s="256">
        <f>SUM(AR59:AR80)</f>
        <v>940</v>
      </c>
      <c r="AS58" s="257"/>
      <c r="AT58" s="255"/>
      <c r="AU58" s="256">
        <f>SUM(AU59:AU80)</f>
        <v>12245</v>
      </c>
      <c r="AV58" s="257"/>
      <c r="AW58" s="241"/>
      <c r="AX58" s="242"/>
      <c r="AY58" s="243">
        <f>SUM(AY59:AY80)</f>
        <v>12525.1181746</v>
      </c>
      <c r="AZ58" s="228"/>
      <c r="BA58" s="228"/>
      <c r="BB58" s="228"/>
      <c r="BC58" s="228"/>
    </row>
    <row r="59" spans="1:55" s="4" customFormat="1" ht="15" customHeight="1">
      <c r="A59" s="179"/>
      <c r="B59" s="179"/>
      <c r="C59" s="176"/>
      <c r="D59" s="838"/>
      <c r="E59" s="838"/>
      <c r="F59" s="838"/>
      <c r="G59" s="838"/>
      <c r="H59" s="463" t="s">
        <v>1617</v>
      </c>
      <c r="I59" s="463"/>
      <c r="J59" s="258"/>
      <c r="K59" s="1052">
        <v>0</v>
      </c>
      <c r="L59" s="259"/>
      <c r="M59" s="258"/>
      <c r="N59" s="1052">
        <v>0</v>
      </c>
      <c r="O59" s="259"/>
      <c r="P59" s="258"/>
      <c r="Q59" s="1052">
        <v>0</v>
      </c>
      <c r="R59" s="259"/>
      <c r="S59" s="258"/>
      <c r="T59" s="1052">
        <v>0</v>
      </c>
      <c r="U59" s="259"/>
      <c r="V59" s="258"/>
      <c r="W59" s="1052">
        <v>0</v>
      </c>
      <c r="X59" s="259"/>
      <c r="Y59" s="258"/>
      <c r="Z59" s="1052">
        <v>0</v>
      </c>
      <c r="AA59" s="259"/>
      <c r="AB59" s="258"/>
      <c r="AC59" s="1052">
        <v>0</v>
      </c>
      <c r="AD59" s="259"/>
      <c r="AE59" s="258"/>
      <c r="AF59" s="1052">
        <v>0</v>
      </c>
      <c r="AG59" s="259"/>
      <c r="AH59" s="258"/>
      <c r="AI59" s="1052">
        <v>0</v>
      </c>
      <c r="AJ59" s="259"/>
      <c r="AK59" s="258"/>
      <c r="AL59" s="1052">
        <v>0</v>
      </c>
      <c r="AM59" s="259"/>
      <c r="AN59" s="258"/>
      <c r="AO59" s="1052">
        <v>0</v>
      </c>
      <c r="AP59" s="259"/>
      <c r="AQ59" s="258"/>
      <c r="AR59" s="1052">
        <v>0</v>
      </c>
      <c r="AS59" s="259"/>
      <c r="AT59" s="258"/>
      <c r="AU59" s="397">
        <f t="shared" ref="AU59:AU80" si="2">AR59+AO59+AL59+AI59+AF59+AC59+Z59+W59+T59+Q59+N59+K59</f>
        <v>0</v>
      </c>
      <c r="AV59" s="259"/>
      <c r="AW59" s="241"/>
      <c r="AX59" s="242"/>
      <c r="AY59" s="434">
        <v>0</v>
      </c>
      <c r="AZ59" s="228"/>
      <c r="BA59" s="228"/>
      <c r="BB59" s="228"/>
      <c r="BC59" s="228"/>
    </row>
    <row r="60" spans="1:55" s="4" customFormat="1" ht="15" customHeight="1">
      <c r="A60" s="179"/>
      <c r="B60" s="179"/>
      <c r="C60" s="176"/>
      <c r="D60" s="838"/>
      <c r="E60" s="838"/>
      <c r="F60" s="838"/>
      <c r="G60" s="838"/>
      <c r="H60" s="463" t="s">
        <v>1561</v>
      </c>
      <c r="I60" s="463"/>
      <c r="J60" s="258"/>
      <c r="K60" s="1052">
        <v>0</v>
      </c>
      <c r="L60" s="259"/>
      <c r="M60" s="258"/>
      <c r="N60" s="1052">
        <v>0</v>
      </c>
      <c r="O60" s="259"/>
      <c r="P60" s="258"/>
      <c r="Q60" s="1052">
        <v>0</v>
      </c>
      <c r="R60" s="259"/>
      <c r="S60" s="258"/>
      <c r="T60" s="1052">
        <v>0</v>
      </c>
      <c r="U60" s="259"/>
      <c r="V60" s="258"/>
      <c r="W60" s="1052">
        <v>0</v>
      </c>
      <c r="X60" s="259"/>
      <c r="Y60" s="258"/>
      <c r="Z60" s="1052">
        <v>0</v>
      </c>
      <c r="AA60" s="259"/>
      <c r="AB60" s="258"/>
      <c r="AC60" s="1052">
        <v>0</v>
      </c>
      <c r="AD60" s="259"/>
      <c r="AE60" s="258"/>
      <c r="AF60" s="1052">
        <v>0</v>
      </c>
      <c r="AG60" s="259"/>
      <c r="AH60" s="258"/>
      <c r="AI60" s="1052">
        <v>0</v>
      </c>
      <c r="AJ60" s="259"/>
      <c r="AK60" s="258"/>
      <c r="AL60" s="1052">
        <v>0</v>
      </c>
      <c r="AM60" s="259"/>
      <c r="AN60" s="258"/>
      <c r="AO60" s="1052">
        <v>0</v>
      </c>
      <c r="AP60" s="259"/>
      <c r="AQ60" s="258"/>
      <c r="AR60" s="1052">
        <v>0</v>
      </c>
      <c r="AS60" s="259"/>
      <c r="AT60" s="258"/>
      <c r="AU60" s="397">
        <f t="shared" si="2"/>
        <v>0</v>
      </c>
      <c r="AV60" s="259"/>
      <c r="AW60" s="241"/>
      <c r="AX60" s="242"/>
      <c r="AY60" s="434">
        <v>0</v>
      </c>
      <c r="AZ60" s="228"/>
      <c r="BA60" s="228"/>
      <c r="BB60" s="228"/>
      <c r="BC60" s="228"/>
    </row>
    <row r="61" spans="1:55" s="4" customFormat="1" ht="15" customHeight="1">
      <c r="A61" s="179" t="s">
        <v>289</v>
      </c>
      <c r="B61" s="179" t="s">
        <v>291</v>
      </c>
      <c r="C61" s="176">
        <v>300264</v>
      </c>
      <c r="D61" s="838"/>
      <c r="E61" s="838"/>
      <c r="F61" s="838"/>
      <c r="G61" s="838"/>
      <c r="H61" s="958" t="s">
        <v>1532</v>
      </c>
      <c r="I61" s="958" t="s">
        <v>1468</v>
      </c>
      <c r="J61" s="959"/>
      <c r="K61" s="1100">
        <v>0</v>
      </c>
      <c r="L61" s="960"/>
      <c r="M61" s="959"/>
      <c r="N61" s="1100">
        <v>0</v>
      </c>
      <c r="O61" s="960"/>
      <c r="P61" s="959"/>
      <c r="Q61" s="1100">
        <v>0</v>
      </c>
      <c r="R61" s="960"/>
      <c r="S61" s="959"/>
      <c r="T61" s="1100">
        <v>0</v>
      </c>
      <c r="U61" s="960"/>
      <c r="V61" s="959"/>
      <c r="W61" s="1100">
        <v>0</v>
      </c>
      <c r="X61" s="960"/>
      <c r="Y61" s="959"/>
      <c r="Z61" s="1100">
        <v>0</v>
      </c>
      <c r="AA61" s="960"/>
      <c r="AB61" s="959"/>
      <c r="AC61" s="1100">
        <v>0</v>
      </c>
      <c r="AD61" s="960"/>
      <c r="AE61" s="959"/>
      <c r="AF61" s="1100">
        <v>0</v>
      </c>
      <c r="AG61" s="960"/>
      <c r="AH61" s="959"/>
      <c r="AI61" s="1100">
        <v>0</v>
      </c>
      <c r="AJ61" s="960"/>
      <c r="AK61" s="959"/>
      <c r="AL61" s="1100">
        <v>0</v>
      </c>
      <c r="AM61" s="960"/>
      <c r="AN61" s="959"/>
      <c r="AO61" s="1100">
        <v>0</v>
      </c>
      <c r="AP61" s="960"/>
      <c r="AQ61" s="959"/>
      <c r="AR61" s="1100">
        <v>0</v>
      </c>
      <c r="AS61" s="960"/>
      <c r="AT61" s="959"/>
      <c r="AU61" s="1101">
        <f t="shared" si="2"/>
        <v>0</v>
      </c>
      <c r="AV61" s="960"/>
      <c r="AW61" s="248"/>
      <c r="AX61" s="260"/>
      <c r="AY61" s="434">
        <v>0</v>
      </c>
      <c r="AZ61" s="228"/>
      <c r="BA61" s="228"/>
      <c r="BB61" s="228"/>
      <c r="BC61" s="228"/>
    </row>
    <row r="62" spans="1:55" s="4" customFormat="1" ht="15" customHeight="1">
      <c r="A62" s="179"/>
      <c r="B62" s="179"/>
      <c r="C62" s="176"/>
      <c r="D62" s="838"/>
      <c r="E62" s="838"/>
      <c r="F62" s="838"/>
      <c r="G62" s="838"/>
      <c r="H62" s="463" t="s">
        <v>1618</v>
      </c>
      <c r="I62" s="463"/>
      <c r="J62" s="258"/>
      <c r="K62" s="1052">
        <v>0</v>
      </c>
      <c r="L62" s="259"/>
      <c r="M62" s="258"/>
      <c r="N62" s="1052">
        <v>0</v>
      </c>
      <c r="O62" s="259"/>
      <c r="P62" s="258"/>
      <c r="Q62" s="1052">
        <v>0</v>
      </c>
      <c r="R62" s="259"/>
      <c r="S62" s="258"/>
      <c r="T62" s="1052">
        <v>0</v>
      </c>
      <c r="U62" s="259"/>
      <c r="V62" s="258"/>
      <c r="W62" s="1052">
        <v>60</v>
      </c>
      <c r="X62" s="259"/>
      <c r="Y62" s="258"/>
      <c r="Z62" s="1052">
        <v>20</v>
      </c>
      <c r="AA62" s="259"/>
      <c r="AB62" s="258"/>
      <c r="AC62" s="1052">
        <v>0</v>
      </c>
      <c r="AD62" s="259"/>
      <c r="AE62" s="258"/>
      <c r="AF62" s="1052">
        <v>0</v>
      </c>
      <c r="AG62" s="259"/>
      <c r="AH62" s="258"/>
      <c r="AI62" s="1052">
        <v>25</v>
      </c>
      <c r="AJ62" s="259"/>
      <c r="AK62" s="258"/>
      <c r="AL62" s="1052">
        <v>65</v>
      </c>
      <c r="AM62" s="259"/>
      <c r="AN62" s="258"/>
      <c r="AO62" s="1052">
        <v>0</v>
      </c>
      <c r="AP62" s="259"/>
      <c r="AQ62" s="258"/>
      <c r="AR62" s="1052">
        <v>0</v>
      </c>
      <c r="AS62" s="259"/>
      <c r="AT62" s="258"/>
      <c r="AU62" s="397">
        <f t="shared" si="2"/>
        <v>170</v>
      </c>
      <c r="AV62" s="259"/>
      <c r="AW62" s="248"/>
      <c r="AX62" s="260"/>
      <c r="AY62" s="434">
        <v>165.36309199999999</v>
      </c>
      <c r="AZ62" s="228"/>
      <c r="BA62" s="852"/>
      <c r="BB62" s="228"/>
      <c r="BC62" s="228"/>
    </row>
    <row r="63" spans="1:55" s="4" customFormat="1" ht="15" customHeight="1">
      <c r="A63" s="179"/>
      <c r="B63" s="179"/>
      <c r="C63" s="176"/>
      <c r="D63" s="838"/>
      <c r="E63" s="838"/>
      <c r="F63" s="838"/>
      <c r="G63" s="838"/>
      <c r="H63" s="463" t="s">
        <v>1527</v>
      </c>
      <c r="I63" s="463"/>
      <c r="J63" s="258"/>
      <c r="K63" s="1052">
        <v>70</v>
      </c>
      <c r="L63" s="259"/>
      <c r="M63" s="258"/>
      <c r="N63" s="1052">
        <v>20</v>
      </c>
      <c r="O63" s="259"/>
      <c r="P63" s="258"/>
      <c r="Q63" s="1052">
        <v>90</v>
      </c>
      <c r="R63" s="259"/>
      <c r="S63" s="258"/>
      <c r="T63" s="1052">
        <v>20</v>
      </c>
      <c r="U63" s="259"/>
      <c r="V63" s="258"/>
      <c r="W63" s="1052">
        <v>40</v>
      </c>
      <c r="X63" s="259"/>
      <c r="Y63" s="258"/>
      <c r="Z63" s="1052">
        <v>50</v>
      </c>
      <c r="AA63" s="259"/>
      <c r="AB63" s="258"/>
      <c r="AC63" s="1052">
        <v>20</v>
      </c>
      <c r="AD63" s="259"/>
      <c r="AE63" s="258"/>
      <c r="AF63" s="1052">
        <v>10</v>
      </c>
      <c r="AG63" s="259"/>
      <c r="AH63" s="258"/>
      <c r="AI63" s="1052">
        <v>10</v>
      </c>
      <c r="AJ63" s="259"/>
      <c r="AK63" s="258"/>
      <c r="AL63" s="1052">
        <v>50</v>
      </c>
      <c r="AM63" s="259"/>
      <c r="AN63" s="258"/>
      <c r="AO63" s="1052">
        <v>50</v>
      </c>
      <c r="AP63" s="259"/>
      <c r="AQ63" s="258"/>
      <c r="AR63" s="1052">
        <v>20</v>
      </c>
      <c r="AS63" s="259"/>
      <c r="AT63" s="258"/>
      <c r="AU63" s="397">
        <f t="shared" si="2"/>
        <v>450</v>
      </c>
      <c r="AV63" s="259"/>
      <c r="AW63" s="248"/>
      <c r="AX63" s="260"/>
      <c r="AY63" s="434">
        <v>447.13112000000001</v>
      </c>
      <c r="AZ63" s="228"/>
      <c r="BA63" s="228"/>
      <c r="BB63" s="228"/>
      <c r="BC63" s="228"/>
    </row>
    <row r="64" spans="1:55" s="4" customFormat="1" ht="15" customHeight="1">
      <c r="A64" s="179"/>
      <c r="B64" s="179"/>
      <c r="C64" s="176"/>
      <c r="D64" s="838"/>
      <c r="E64" s="838"/>
      <c r="F64" s="838"/>
      <c r="G64" s="838"/>
      <c r="H64" s="458" t="s">
        <v>1534</v>
      </c>
      <c r="I64" s="463"/>
      <c r="J64" s="258"/>
      <c r="K64" s="1052">
        <v>0</v>
      </c>
      <c r="L64" s="259"/>
      <c r="M64" s="258"/>
      <c r="N64" s="1052">
        <v>0</v>
      </c>
      <c r="O64" s="259"/>
      <c r="P64" s="258"/>
      <c r="Q64" s="1052">
        <v>20</v>
      </c>
      <c r="R64" s="259"/>
      <c r="S64" s="258"/>
      <c r="T64" s="1052">
        <v>10</v>
      </c>
      <c r="U64" s="259"/>
      <c r="V64" s="258"/>
      <c r="W64" s="1052">
        <v>25</v>
      </c>
      <c r="X64" s="259"/>
      <c r="Y64" s="258"/>
      <c r="Z64" s="1052">
        <v>30</v>
      </c>
      <c r="AA64" s="259"/>
      <c r="AB64" s="258"/>
      <c r="AC64" s="1052">
        <v>0</v>
      </c>
      <c r="AD64" s="259"/>
      <c r="AE64" s="258"/>
      <c r="AF64" s="1052">
        <v>30</v>
      </c>
      <c r="AG64" s="259"/>
      <c r="AH64" s="258"/>
      <c r="AI64" s="1052">
        <v>0</v>
      </c>
      <c r="AJ64" s="259"/>
      <c r="AK64" s="258"/>
      <c r="AL64" s="1052">
        <v>0</v>
      </c>
      <c r="AM64" s="259"/>
      <c r="AN64" s="258"/>
      <c r="AO64" s="1052">
        <v>0</v>
      </c>
      <c r="AP64" s="259"/>
      <c r="AQ64" s="258"/>
      <c r="AR64" s="1052">
        <v>0</v>
      </c>
      <c r="AS64" s="259"/>
      <c r="AT64" s="258"/>
      <c r="AU64" s="397">
        <f t="shared" si="2"/>
        <v>115</v>
      </c>
      <c r="AV64" s="259"/>
      <c r="AW64" s="248"/>
      <c r="AX64" s="260"/>
      <c r="AY64" s="434">
        <v>116.379717</v>
      </c>
      <c r="AZ64" s="228"/>
      <c r="BA64" s="228"/>
      <c r="BB64" s="228"/>
      <c r="BC64" s="228"/>
    </row>
    <row r="65" spans="1:55" s="4" customFormat="1" ht="15" customHeight="1" thickBot="1">
      <c r="A65" s="179"/>
      <c r="B65" s="179"/>
      <c r="C65" s="176"/>
      <c r="D65" s="838"/>
      <c r="E65" s="838"/>
      <c r="F65" s="838"/>
      <c r="G65" s="838"/>
      <c r="H65" s="463" t="s">
        <v>1536</v>
      </c>
      <c r="I65" s="463"/>
      <c r="J65" s="258"/>
      <c r="K65" s="1052">
        <v>25</v>
      </c>
      <c r="L65" s="259"/>
      <c r="M65" s="258"/>
      <c r="N65" s="1052">
        <v>30</v>
      </c>
      <c r="O65" s="259"/>
      <c r="P65" s="258"/>
      <c r="Q65" s="1052">
        <v>25</v>
      </c>
      <c r="R65" s="259"/>
      <c r="S65" s="258"/>
      <c r="T65" s="1052">
        <v>20</v>
      </c>
      <c r="U65" s="259"/>
      <c r="V65" s="258"/>
      <c r="W65" s="1052">
        <v>20</v>
      </c>
      <c r="X65" s="259"/>
      <c r="Y65" s="258"/>
      <c r="Z65" s="1052">
        <v>30</v>
      </c>
      <c r="AA65" s="259"/>
      <c r="AB65" s="258"/>
      <c r="AC65" s="1052">
        <v>25</v>
      </c>
      <c r="AD65" s="259"/>
      <c r="AE65" s="258"/>
      <c r="AF65" s="1052">
        <v>20</v>
      </c>
      <c r="AG65" s="259"/>
      <c r="AH65" s="258"/>
      <c r="AI65" s="1052">
        <v>20</v>
      </c>
      <c r="AJ65" s="259"/>
      <c r="AK65" s="258"/>
      <c r="AL65" s="1052">
        <v>20</v>
      </c>
      <c r="AM65" s="259"/>
      <c r="AN65" s="258"/>
      <c r="AO65" s="1052">
        <v>25</v>
      </c>
      <c r="AP65" s="259"/>
      <c r="AQ65" s="258"/>
      <c r="AR65" s="1052">
        <v>25</v>
      </c>
      <c r="AS65" s="259"/>
      <c r="AT65" s="258"/>
      <c r="AU65" s="397">
        <f t="shared" si="2"/>
        <v>285</v>
      </c>
      <c r="AV65" s="259"/>
      <c r="AW65" s="248"/>
      <c r="AX65" s="260"/>
      <c r="AY65" s="434">
        <v>284.05401999999998</v>
      </c>
      <c r="AZ65" s="228"/>
      <c r="BA65" s="228"/>
      <c r="BB65" s="228"/>
      <c r="BC65" s="228"/>
    </row>
    <row r="66" spans="1:55" s="4" customFormat="1" ht="15" customHeight="1" thickBot="1">
      <c r="A66" s="179"/>
      <c r="B66" s="179"/>
      <c r="C66" s="176"/>
      <c r="D66" s="838"/>
      <c r="E66" s="838"/>
      <c r="F66" s="838"/>
      <c r="G66" s="838"/>
      <c r="H66" s="463" t="s">
        <v>1539</v>
      </c>
      <c r="I66" s="463"/>
      <c r="J66" s="304"/>
      <c r="K66" s="450">
        <v>150</v>
      </c>
      <c r="L66" s="448"/>
      <c r="M66" s="304"/>
      <c r="N66" s="450">
        <v>100</v>
      </c>
      <c r="O66" s="448"/>
      <c r="P66" s="304"/>
      <c r="Q66" s="450">
        <v>240</v>
      </c>
      <c r="R66" s="448"/>
      <c r="S66" s="304"/>
      <c r="T66" s="450">
        <v>120</v>
      </c>
      <c r="U66" s="448"/>
      <c r="V66" s="304"/>
      <c r="W66" s="450">
        <v>60</v>
      </c>
      <c r="X66" s="448"/>
      <c r="Y66" s="304"/>
      <c r="Z66" s="450">
        <v>70</v>
      </c>
      <c r="AA66" s="448"/>
      <c r="AB66" s="304"/>
      <c r="AC66" s="450">
        <v>100</v>
      </c>
      <c r="AD66" s="448"/>
      <c r="AE66" s="304"/>
      <c r="AF66" s="450">
        <v>80</v>
      </c>
      <c r="AG66" s="448"/>
      <c r="AH66" s="304"/>
      <c r="AI66" s="450">
        <v>0</v>
      </c>
      <c r="AJ66" s="448"/>
      <c r="AK66" s="304"/>
      <c r="AL66" s="450">
        <v>0</v>
      </c>
      <c r="AM66" s="448"/>
      <c r="AN66" s="304"/>
      <c r="AO66" s="450">
        <v>20</v>
      </c>
      <c r="AP66" s="448"/>
      <c r="AQ66" s="304"/>
      <c r="AR66" s="450">
        <v>90</v>
      </c>
      <c r="AS66" s="448"/>
      <c r="AT66" s="304"/>
      <c r="AU66" s="450">
        <f t="shared" si="2"/>
        <v>1030</v>
      </c>
      <c r="AV66" s="448"/>
      <c r="AW66" s="248"/>
      <c r="AX66" s="260"/>
      <c r="AY66" s="441">
        <v>1036.815047</v>
      </c>
      <c r="AZ66" s="228"/>
      <c r="BA66" s="228"/>
      <c r="BB66" s="228"/>
      <c r="BC66" s="228"/>
    </row>
    <row r="67" spans="1:55" s="4" customFormat="1" ht="15" customHeight="1" thickBot="1">
      <c r="A67" s="179"/>
      <c r="B67" s="179"/>
      <c r="C67" s="176"/>
      <c r="D67" s="838"/>
      <c r="E67" s="838"/>
      <c r="F67" s="838"/>
      <c r="G67" s="838"/>
      <c r="H67" s="458" t="s">
        <v>1541</v>
      </c>
      <c r="I67" s="463"/>
      <c r="J67" s="304"/>
      <c r="K67" s="451">
        <v>450</v>
      </c>
      <c r="L67" s="853">
        <f>SUM(K66:K69)</f>
        <v>600</v>
      </c>
      <c r="M67" s="304"/>
      <c r="N67" s="451">
        <v>400</v>
      </c>
      <c r="O67" s="853">
        <f>SUM(N66:N69)</f>
        <v>500</v>
      </c>
      <c r="P67" s="304"/>
      <c r="Q67" s="451">
        <v>150</v>
      </c>
      <c r="R67" s="853">
        <f>SUM(Q66:Q69)</f>
        <v>390</v>
      </c>
      <c r="S67" s="304"/>
      <c r="T67" s="451">
        <v>280</v>
      </c>
      <c r="U67" s="853">
        <f>SUM(T66:T69)</f>
        <v>400</v>
      </c>
      <c r="V67" s="304"/>
      <c r="W67" s="451">
        <v>270</v>
      </c>
      <c r="X67" s="853">
        <f>SUM(W66:W69)</f>
        <v>330</v>
      </c>
      <c r="Y67" s="304"/>
      <c r="Z67" s="451">
        <v>280</v>
      </c>
      <c r="AA67" s="853">
        <f>SUM(Z66:Z69)</f>
        <v>350</v>
      </c>
      <c r="AB67" s="304"/>
      <c r="AC67" s="451">
        <v>280</v>
      </c>
      <c r="AD67" s="853">
        <f>SUM(AC66:AC69)</f>
        <v>380</v>
      </c>
      <c r="AE67" s="304"/>
      <c r="AF67" s="451">
        <v>320</v>
      </c>
      <c r="AG67" s="853">
        <f>SUM(AF66:AF69)</f>
        <v>400</v>
      </c>
      <c r="AH67" s="304"/>
      <c r="AI67" s="451">
        <v>330</v>
      </c>
      <c r="AJ67" s="853">
        <f>SUM(AI66:AI69)</f>
        <v>330</v>
      </c>
      <c r="AK67" s="304"/>
      <c r="AL67" s="451">
        <v>350</v>
      </c>
      <c r="AM67" s="853">
        <f>SUM(AL66:AL69)</f>
        <v>350</v>
      </c>
      <c r="AN67" s="304"/>
      <c r="AO67" s="451">
        <v>260</v>
      </c>
      <c r="AP67" s="853">
        <f>SUM(AO66:AO69)</f>
        <v>280</v>
      </c>
      <c r="AQ67" s="304"/>
      <c r="AR67" s="451">
        <v>330</v>
      </c>
      <c r="AS67" s="853">
        <f>SUM(AR66:AR69)</f>
        <v>420</v>
      </c>
      <c r="AT67" s="304"/>
      <c r="AU67" s="451">
        <f t="shared" si="2"/>
        <v>3700</v>
      </c>
      <c r="AV67" s="853">
        <f>SUM(AU66:AU69)</f>
        <v>4730</v>
      </c>
      <c r="AW67" s="248"/>
      <c r="AX67" s="260"/>
      <c r="AY67" s="434">
        <v>3706.62158</v>
      </c>
      <c r="AZ67" s="228"/>
      <c r="BA67" s="228"/>
      <c r="BB67" s="228"/>
      <c r="BC67" s="228"/>
    </row>
    <row r="68" spans="1:55" s="4" customFormat="1" ht="15" customHeight="1">
      <c r="A68" s="179"/>
      <c r="B68" s="179"/>
      <c r="C68" s="176"/>
      <c r="D68" s="838"/>
      <c r="E68" s="838"/>
      <c r="F68" s="838"/>
      <c r="G68" s="838"/>
      <c r="H68" s="465" t="s">
        <v>1543</v>
      </c>
      <c r="I68" s="463"/>
      <c r="J68" s="304"/>
      <c r="K68" s="451">
        <v>0</v>
      </c>
      <c r="L68" s="448"/>
      <c r="M68" s="304"/>
      <c r="N68" s="451">
        <v>0</v>
      </c>
      <c r="O68" s="448"/>
      <c r="P68" s="304"/>
      <c r="Q68" s="451">
        <v>0</v>
      </c>
      <c r="R68" s="448"/>
      <c r="S68" s="304"/>
      <c r="T68" s="451">
        <v>0</v>
      </c>
      <c r="U68" s="448"/>
      <c r="V68" s="304"/>
      <c r="W68" s="451">
        <v>0</v>
      </c>
      <c r="X68" s="448"/>
      <c r="Y68" s="304"/>
      <c r="Z68" s="451">
        <v>0</v>
      </c>
      <c r="AA68" s="448"/>
      <c r="AB68" s="304"/>
      <c r="AC68" s="451">
        <v>0</v>
      </c>
      <c r="AD68" s="448"/>
      <c r="AE68" s="304"/>
      <c r="AF68" s="451">
        <v>0</v>
      </c>
      <c r="AG68" s="448"/>
      <c r="AH68" s="304"/>
      <c r="AI68" s="451">
        <v>0</v>
      </c>
      <c r="AJ68" s="448"/>
      <c r="AK68" s="304"/>
      <c r="AL68" s="451">
        <v>0</v>
      </c>
      <c r="AM68" s="448"/>
      <c r="AN68" s="304"/>
      <c r="AO68" s="451">
        <v>0</v>
      </c>
      <c r="AP68" s="448"/>
      <c r="AQ68" s="304"/>
      <c r="AR68" s="451">
        <v>0</v>
      </c>
      <c r="AS68" s="448"/>
      <c r="AT68" s="304"/>
      <c r="AU68" s="451">
        <f t="shared" si="2"/>
        <v>0</v>
      </c>
      <c r="AV68" s="449"/>
      <c r="AW68" s="248"/>
      <c r="AX68" s="260"/>
      <c r="AY68" s="434">
        <v>0</v>
      </c>
      <c r="AZ68" s="228"/>
      <c r="BA68" s="228"/>
      <c r="BB68" s="228"/>
      <c r="BC68" s="228"/>
    </row>
    <row r="69" spans="1:55" s="4" customFormat="1" ht="15" customHeight="1" thickBot="1">
      <c r="A69" s="179"/>
      <c r="B69" s="179"/>
      <c r="C69" s="176"/>
      <c r="D69" s="838"/>
      <c r="E69" s="838"/>
      <c r="F69" s="838"/>
      <c r="G69" s="838"/>
      <c r="H69" s="465" t="s">
        <v>1546</v>
      </c>
      <c r="I69" s="463"/>
      <c r="J69" s="304"/>
      <c r="K69" s="452">
        <v>0</v>
      </c>
      <c r="L69" s="448"/>
      <c r="M69" s="304"/>
      <c r="N69" s="452">
        <v>0</v>
      </c>
      <c r="O69" s="448"/>
      <c r="P69" s="304"/>
      <c r="Q69" s="452">
        <v>0</v>
      </c>
      <c r="R69" s="448"/>
      <c r="S69" s="304"/>
      <c r="T69" s="452">
        <v>0</v>
      </c>
      <c r="U69" s="448"/>
      <c r="V69" s="304"/>
      <c r="W69" s="452">
        <v>0</v>
      </c>
      <c r="X69" s="448"/>
      <c r="Y69" s="304"/>
      <c r="Z69" s="452">
        <v>0</v>
      </c>
      <c r="AA69" s="448"/>
      <c r="AB69" s="304"/>
      <c r="AC69" s="452">
        <v>0</v>
      </c>
      <c r="AD69" s="448"/>
      <c r="AE69" s="304"/>
      <c r="AF69" s="452">
        <v>0</v>
      </c>
      <c r="AG69" s="448"/>
      <c r="AH69" s="304"/>
      <c r="AI69" s="452">
        <v>0</v>
      </c>
      <c r="AJ69" s="448"/>
      <c r="AK69" s="304"/>
      <c r="AL69" s="452">
        <v>0</v>
      </c>
      <c r="AM69" s="448"/>
      <c r="AN69" s="304"/>
      <c r="AO69" s="452">
        <v>0</v>
      </c>
      <c r="AP69" s="448"/>
      <c r="AQ69" s="304"/>
      <c r="AR69" s="452">
        <v>0</v>
      </c>
      <c r="AS69" s="448"/>
      <c r="AT69" s="304"/>
      <c r="AU69" s="452">
        <f t="shared" si="2"/>
        <v>0</v>
      </c>
      <c r="AV69" s="449"/>
      <c r="AW69" s="248"/>
      <c r="AX69" s="260"/>
      <c r="AY69" s="434">
        <v>0</v>
      </c>
      <c r="AZ69" s="228"/>
      <c r="BA69" s="228"/>
      <c r="BB69" s="228"/>
      <c r="BC69" s="228"/>
    </row>
    <row r="70" spans="1:55" s="4" customFormat="1" ht="15" customHeight="1" thickBot="1">
      <c r="A70" s="179"/>
      <c r="B70" s="179"/>
      <c r="C70" s="176"/>
      <c r="D70" s="838"/>
      <c r="E70" s="838"/>
      <c r="F70" s="838"/>
      <c r="G70" s="838"/>
      <c r="H70" s="534" t="s">
        <v>484</v>
      </c>
      <c r="I70" s="463"/>
      <c r="J70" s="304"/>
      <c r="K70" s="549">
        <v>0</v>
      </c>
      <c r="L70" s="448"/>
      <c r="M70" s="304"/>
      <c r="N70" s="549">
        <v>0</v>
      </c>
      <c r="O70" s="448"/>
      <c r="P70" s="304"/>
      <c r="Q70" s="549">
        <v>0</v>
      </c>
      <c r="R70" s="448"/>
      <c r="S70" s="304"/>
      <c r="T70" s="549">
        <v>0</v>
      </c>
      <c r="U70" s="448"/>
      <c r="V70" s="304"/>
      <c r="W70" s="549">
        <v>0</v>
      </c>
      <c r="X70" s="448"/>
      <c r="Y70" s="304"/>
      <c r="Z70" s="549">
        <v>0</v>
      </c>
      <c r="AA70" s="448"/>
      <c r="AB70" s="304"/>
      <c r="AC70" s="549">
        <v>0</v>
      </c>
      <c r="AD70" s="448"/>
      <c r="AE70" s="304"/>
      <c r="AF70" s="549">
        <v>0</v>
      </c>
      <c r="AG70" s="448"/>
      <c r="AH70" s="304"/>
      <c r="AI70" s="549">
        <v>0</v>
      </c>
      <c r="AJ70" s="448"/>
      <c r="AK70" s="304"/>
      <c r="AL70" s="549">
        <v>0</v>
      </c>
      <c r="AM70" s="448"/>
      <c r="AN70" s="304"/>
      <c r="AO70" s="549">
        <v>0</v>
      </c>
      <c r="AP70" s="448"/>
      <c r="AQ70" s="304"/>
      <c r="AR70" s="549">
        <v>0</v>
      </c>
      <c r="AS70" s="448"/>
      <c r="AT70" s="304"/>
      <c r="AU70" s="550">
        <f t="shared" si="2"/>
        <v>0</v>
      </c>
      <c r="AV70" s="449"/>
      <c r="AW70" s="248"/>
      <c r="AX70" s="260"/>
      <c r="AY70" s="434">
        <v>0</v>
      </c>
      <c r="AZ70" s="228"/>
      <c r="BA70" s="228"/>
      <c r="BB70" s="228"/>
      <c r="BC70" s="228"/>
    </row>
    <row r="71" spans="1:55" s="4" customFormat="1" ht="15" customHeight="1">
      <c r="A71" s="179"/>
      <c r="B71" s="179"/>
      <c r="C71" s="176"/>
      <c r="D71" s="838"/>
      <c r="E71" s="838"/>
      <c r="F71" s="838"/>
      <c r="G71" s="838"/>
      <c r="H71" s="958" t="s">
        <v>1549</v>
      </c>
      <c r="I71" s="958" t="s">
        <v>1468</v>
      </c>
      <c r="J71" s="959"/>
      <c r="K71" s="1100">
        <v>5</v>
      </c>
      <c r="L71" s="960"/>
      <c r="M71" s="959"/>
      <c r="N71" s="1100">
        <v>5</v>
      </c>
      <c r="O71" s="960"/>
      <c r="P71" s="959"/>
      <c r="Q71" s="1100">
        <v>5</v>
      </c>
      <c r="R71" s="960"/>
      <c r="S71" s="959"/>
      <c r="T71" s="1100">
        <v>5</v>
      </c>
      <c r="U71" s="960"/>
      <c r="V71" s="959"/>
      <c r="W71" s="1100">
        <v>5</v>
      </c>
      <c r="X71" s="960"/>
      <c r="Y71" s="959"/>
      <c r="Z71" s="1100">
        <v>5</v>
      </c>
      <c r="AA71" s="960"/>
      <c r="AB71" s="959"/>
      <c r="AC71" s="1100">
        <v>5</v>
      </c>
      <c r="AD71" s="960"/>
      <c r="AE71" s="959"/>
      <c r="AF71" s="1100">
        <v>5</v>
      </c>
      <c r="AG71" s="960"/>
      <c r="AH71" s="959"/>
      <c r="AI71" s="1100">
        <v>5</v>
      </c>
      <c r="AJ71" s="960"/>
      <c r="AK71" s="959"/>
      <c r="AL71" s="1100">
        <v>5</v>
      </c>
      <c r="AM71" s="960"/>
      <c r="AN71" s="959"/>
      <c r="AO71" s="1100">
        <v>5</v>
      </c>
      <c r="AP71" s="960"/>
      <c r="AQ71" s="959"/>
      <c r="AR71" s="1100">
        <v>5</v>
      </c>
      <c r="AS71" s="960"/>
      <c r="AT71" s="959"/>
      <c r="AU71" s="1101">
        <f>AR71+AO71+AL71+AI71+AF71+AC71+Z71+W71+T71+Q71+N71+K71</f>
        <v>60</v>
      </c>
      <c r="AV71" s="961"/>
      <c r="AW71" s="248"/>
      <c r="AX71" s="260"/>
      <c r="AY71" s="434">
        <v>60.128216999999999</v>
      </c>
      <c r="AZ71" s="228"/>
      <c r="BA71" s="228"/>
      <c r="BB71" s="228"/>
      <c r="BC71" s="228"/>
    </row>
    <row r="72" spans="1:55" s="4" customFormat="1" ht="15" customHeight="1">
      <c r="A72" s="179"/>
      <c r="B72" s="179"/>
      <c r="C72" s="176"/>
      <c r="D72" s="838"/>
      <c r="E72" s="838"/>
      <c r="F72" s="838"/>
      <c r="G72" s="838"/>
      <c r="H72" s="464" t="s">
        <v>1619</v>
      </c>
      <c r="I72" s="464"/>
      <c r="J72" s="244"/>
      <c r="K72" s="305">
        <v>0</v>
      </c>
      <c r="L72" s="245"/>
      <c r="M72" s="244"/>
      <c r="N72" s="305">
        <v>0</v>
      </c>
      <c r="O72" s="245"/>
      <c r="P72" s="244"/>
      <c r="Q72" s="305">
        <v>0</v>
      </c>
      <c r="R72" s="245"/>
      <c r="S72" s="244"/>
      <c r="T72" s="305">
        <v>15</v>
      </c>
      <c r="U72" s="245"/>
      <c r="V72" s="244"/>
      <c r="W72" s="305">
        <v>0</v>
      </c>
      <c r="X72" s="245"/>
      <c r="Y72" s="244"/>
      <c r="Z72" s="305">
        <v>30</v>
      </c>
      <c r="AA72" s="245"/>
      <c r="AB72" s="244"/>
      <c r="AC72" s="305">
        <v>40</v>
      </c>
      <c r="AD72" s="245"/>
      <c r="AE72" s="244"/>
      <c r="AF72" s="305">
        <v>0</v>
      </c>
      <c r="AG72" s="245"/>
      <c r="AH72" s="244"/>
      <c r="AI72" s="305">
        <v>0</v>
      </c>
      <c r="AJ72" s="245"/>
      <c r="AK72" s="244"/>
      <c r="AL72" s="305">
        <v>0</v>
      </c>
      <c r="AM72" s="245"/>
      <c r="AN72" s="244"/>
      <c r="AO72" s="305">
        <v>0</v>
      </c>
      <c r="AP72" s="245"/>
      <c r="AQ72" s="244"/>
      <c r="AR72" s="305">
        <v>0</v>
      </c>
      <c r="AS72" s="245"/>
      <c r="AT72" s="244"/>
      <c r="AU72" s="397">
        <f>AR72+AO72+AL72+AI72+AF72+AC72+Z72+W72+T72+Q72+N72+K72</f>
        <v>85</v>
      </c>
      <c r="AV72" s="247"/>
      <c r="AW72" s="248"/>
      <c r="AX72" s="260"/>
      <c r="AY72" s="434">
        <v>85.376999999999995</v>
      </c>
      <c r="AZ72" s="228"/>
      <c r="BA72" s="228"/>
      <c r="BB72" s="228"/>
      <c r="BC72" s="228"/>
    </row>
    <row r="73" spans="1:55" s="4" customFormat="1" ht="15" customHeight="1" thickBot="1">
      <c r="A73" s="179"/>
      <c r="B73" s="179"/>
      <c r="C73" s="176"/>
      <c r="D73" s="838"/>
      <c r="E73" s="838"/>
      <c r="F73" s="838"/>
      <c r="G73" s="838"/>
      <c r="H73" s="464" t="s">
        <v>1620</v>
      </c>
      <c r="I73" s="464"/>
      <c r="J73" s="244"/>
      <c r="K73" s="305">
        <v>0</v>
      </c>
      <c r="L73" s="245"/>
      <c r="M73" s="244"/>
      <c r="N73" s="305">
        <v>0</v>
      </c>
      <c r="O73" s="245"/>
      <c r="P73" s="244"/>
      <c r="Q73" s="305">
        <v>0</v>
      </c>
      <c r="R73" s="245"/>
      <c r="S73" s="244"/>
      <c r="T73" s="305">
        <v>0</v>
      </c>
      <c r="U73" s="245"/>
      <c r="V73" s="244"/>
      <c r="W73" s="305">
        <v>0</v>
      </c>
      <c r="X73" s="245"/>
      <c r="Y73" s="244"/>
      <c r="Z73" s="305">
        <v>0</v>
      </c>
      <c r="AA73" s="245"/>
      <c r="AB73" s="244"/>
      <c r="AC73" s="305">
        <v>0</v>
      </c>
      <c r="AD73" s="245"/>
      <c r="AE73" s="244"/>
      <c r="AF73" s="305">
        <v>0</v>
      </c>
      <c r="AG73" s="245"/>
      <c r="AH73" s="244"/>
      <c r="AI73" s="305">
        <v>0</v>
      </c>
      <c r="AJ73" s="245"/>
      <c r="AK73" s="244"/>
      <c r="AL73" s="305">
        <v>0</v>
      </c>
      <c r="AM73" s="245"/>
      <c r="AN73" s="244"/>
      <c r="AO73" s="305">
        <v>0</v>
      </c>
      <c r="AP73" s="245"/>
      <c r="AQ73" s="244"/>
      <c r="AR73" s="305">
        <v>0</v>
      </c>
      <c r="AS73" s="245"/>
      <c r="AT73" s="244"/>
      <c r="AU73" s="397">
        <f t="shared" si="2"/>
        <v>0</v>
      </c>
      <c r="AV73" s="247"/>
      <c r="AW73" s="248"/>
      <c r="AX73" s="260"/>
      <c r="AY73" s="434">
        <v>0</v>
      </c>
      <c r="AZ73" s="228"/>
      <c r="BA73" s="228"/>
      <c r="BB73" s="228"/>
      <c r="BC73" s="228"/>
    </row>
    <row r="74" spans="1:55" s="4" customFormat="1" ht="15" customHeight="1">
      <c r="A74" s="179"/>
      <c r="B74" s="179"/>
      <c r="C74" s="176"/>
      <c r="D74" s="838"/>
      <c r="E74" s="838"/>
      <c r="F74" s="838"/>
      <c r="G74" s="838"/>
      <c r="H74" s="464" t="s">
        <v>1551</v>
      </c>
      <c r="I74" s="464"/>
      <c r="J74" s="253"/>
      <c r="K74" s="454">
        <v>70</v>
      </c>
      <c r="L74" s="446"/>
      <c r="M74" s="253"/>
      <c r="N74" s="454">
        <v>80</v>
      </c>
      <c r="O74" s="446"/>
      <c r="P74" s="253"/>
      <c r="Q74" s="454">
        <v>80</v>
      </c>
      <c r="R74" s="446"/>
      <c r="S74" s="253"/>
      <c r="T74" s="454">
        <v>90</v>
      </c>
      <c r="U74" s="446"/>
      <c r="V74" s="253"/>
      <c r="W74" s="454">
        <v>80</v>
      </c>
      <c r="X74" s="446"/>
      <c r="Y74" s="253"/>
      <c r="Z74" s="454">
        <v>70</v>
      </c>
      <c r="AA74" s="446"/>
      <c r="AB74" s="253"/>
      <c r="AC74" s="454">
        <v>80</v>
      </c>
      <c r="AD74" s="446"/>
      <c r="AE74" s="253"/>
      <c r="AF74" s="454">
        <v>60</v>
      </c>
      <c r="AG74" s="446"/>
      <c r="AH74" s="253"/>
      <c r="AI74" s="454">
        <v>70</v>
      </c>
      <c r="AJ74" s="446"/>
      <c r="AK74" s="253"/>
      <c r="AL74" s="454">
        <v>80</v>
      </c>
      <c r="AM74" s="446"/>
      <c r="AN74" s="253"/>
      <c r="AO74" s="454">
        <v>70</v>
      </c>
      <c r="AP74" s="446"/>
      <c r="AQ74" s="253"/>
      <c r="AR74" s="454">
        <v>80</v>
      </c>
      <c r="AS74" s="446"/>
      <c r="AT74" s="253"/>
      <c r="AU74" s="454">
        <f t="shared" si="2"/>
        <v>910</v>
      </c>
      <c r="AV74" s="447"/>
      <c r="AW74" s="248"/>
      <c r="AX74" s="260"/>
      <c r="AY74" s="434">
        <v>925.13933299999997</v>
      </c>
      <c r="AZ74" s="228"/>
      <c r="BA74" s="228"/>
      <c r="BB74" s="228"/>
      <c r="BC74" s="228"/>
    </row>
    <row r="75" spans="1:55" s="4" customFormat="1" ht="15" customHeight="1">
      <c r="A75" s="179"/>
      <c r="B75" s="179"/>
      <c r="C75" s="176"/>
      <c r="D75" s="838"/>
      <c r="E75" s="838"/>
      <c r="F75" s="838"/>
      <c r="G75" s="838"/>
      <c r="H75" s="458" t="s">
        <v>1554</v>
      </c>
      <c r="I75" s="464"/>
      <c r="J75" s="253"/>
      <c r="K75" s="455">
        <v>80</v>
      </c>
      <c r="L75" s="446"/>
      <c r="M75" s="253"/>
      <c r="N75" s="455">
        <v>50</v>
      </c>
      <c r="O75" s="446"/>
      <c r="P75" s="253"/>
      <c r="Q75" s="455">
        <v>60</v>
      </c>
      <c r="R75" s="446"/>
      <c r="S75" s="253"/>
      <c r="T75" s="455">
        <v>80</v>
      </c>
      <c r="U75" s="446"/>
      <c r="V75" s="253"/>
      <c r="W75" s="455">
        <v>70</v>
      </c>
      <c r="X75" s="446"/>
      <c r="Y75" s="253"/>
      <c r="Z75" s="455">
        <v>110</v>
      </c>
      <c r="AA75" s="446"/>
      <c r="AB75" s="253"/>
      <c r="AC75" s="455">
        <v>0</v>
      </c>
      <c r="AD75" s="446"/>
      <c r="AE75" s="253"/>
      <c r="AF75" s="455">
        <v>70</v>
      </c>
      <c r="AG75" s="446"/>
      <c r="AH75" s="253"/>
      <c r="AI75" s="455">
        <v>50</v>
      </c>
      <c r="AJ75" s="446"/>
      <c r="AK75" s="253"/>
      <c r="AL75" s="455">
        <v>50</v>
      </c>
      <c r="AM75" s="446"/>
      <c r="AN75" s="253"/>
      <c r="AO75" s="455">
        <v>20</v>
      </c>
      <c r="AP75" s="446"/>
      <c r="AQ75" s="253"/>
      <c r="AR75" s="455">
        <v>60</v>
      </c>
      <c r="AS75" s="446"/>
      <c r="AT75" s="253"/>
      <c r="AU75" s="455">
        <f t="shared" si="2"/>
        <v>700</v>
      </c>
      <c r="AV75" s="447"/>
      <c r="AW75" s="248"/>
      <c r="AX75" s="260"/>
      <c r="AY75" s="434">
        <v>704.22470600000008</v>
      </c>
      <c r="AZ75" s="228"/>
      <c r="BA75" s="228"/>
      <c r="BB75" s="228"/>
      <c r="BC75" s="228"/>
    </row>
    <row r="76" spans="1:55" s="4" customFormat="1" ht="15" customHeight="1" thickBot="1">
      <c r="A76" s="179"/>
      <c r="B76" s="179"/>
      <c r="C76" s="176"/>
      <c r="D76" s="838"/>
      <c r="E76" s="838"/>
      <c r="F76" s="838"/>
      <c r="G76" s="838"/>
      <c r="H76" s="963" t="s">
        <v>1558</v>
      </c>
      <c r="I76" s="464"/>
      <c r="J76" s="253"/>
      <c r="K76" s="455">
        <v>20</v>
      </c>
      <c r="L76" s="446"/>
      <c r="M76" s="253"/>
      <c r="N76" s="455">
        <v>0</v>
      </c>
      <c r="O76" s="446"/>
      <c r="P76" s="253"/>
      <c r="Q76" s="455">
        <v>0</v>
      </c>
      <c r="R76" s="446"/>
      <c r="S76" s="253"/>
      <c r="T76" s="455">
        <v>130</v>
      </c>
      <c r="U76" s="446"/>
      <c r="V76" s="253"/>
      <c r="W76" s="455">
        <v>30</v>
      </c>
      <c r="X76" s="446"/>
      <c r="Y76" s="253"/>
      <c r="Z76" s="455">
        <v>20</v>
      </c>
      <c r="AA76" s="446"/>
      <c r="AB76" s="253"/>
      <c r="AC76" s="455">
        <v>0</v>
      </c>
      <c r="AD76" s="446"/>
      <c r="AE76" s="253"/>
      <c r="AF76" s="455">
        <v>0</v>
      </c>
      <c r="AG76" s="446"/>
      <c r="AH76" s="253"/>
      <c r="AI76" s="455">
        <v>5</v>
      </c>
      <c r="AJ76" s="446"/>
      <c r="AK76" s="253"/>
      <c r="AL76" s="455">
        <v>0</v>
      </c>
      <c r="AM76" s="446"/>
      <c r="AN76" s="253"/>
      <c r="AO76" s="455">
        <v>15</v>
      </c>
      <c r="AP76" s="446"/>
      <c r="AQ76" s="253"/>
      <c r="AR76" s="455">
        <v>0</v>
      </c>
      <c r="AS76" s="446"/>
      <c r="AT76" s="253"/>
      <c r="AU76" s="455">
        <f t="shared" si="2"/>
        <v>220</v>
      </c>
      <c r="AV76" s="447"/>
      <c r="AW76" s="248"/>
      <c r="AX76" s="260"/>
      <c r="AY76" s="434">
        <v>218.49656400000001</v>
      </c>
      <c r="AZ76" s="228"/>
      <c r="BA76" s="228"/>
      <c r="BB76" s="228"/>
      <c r="BC76" s="228"/>
    </row>
    <row r="77" spans="1:55" s="4" customFormat="1" ht="15" customHeight="1" thickBot="1">
      <c r="A77" s="179" t="s">
        <v>289</v>
      </c>
      <c r="B77" s="179" t="s">
        <v>291</v>
      </c>
      <c r="C77" s="176">
        <v>300256</v>
      </c>
      <c r="D77" s="838"/>
      <c r="E77" s="838"/>
      <c r="F77" s="838"/>
      <c r="G77" s="838"/>
      <c r="H77" s="964" t="s">
        <v>1560</v>
      </c>
      <c r="I77" s="465"/>
      <c r="J77" s="854">
        <f>SUM(K74:K80)</f>
        <v>655</v>
      </c>
      <c r="K77" s="455">
        <v>0</v>
      </c>
      <c r="L77" s="446"/>
      <c r="M77" s="855">
        <f>SUM(N74:N80)</f>
        <v>691</v>
      </c>
      <c r="N77" s="455">
        <v>0</v>
      </c>
      <c r="O77" s="446"/>
      <c r="P77" s="855">
        <f>SUM(Q74:Q80)</f>
        <v>621</v>
      </c>
      <c r="Q77" s="455">
        <v>0</v>
      </c>
      <c r="R77" s="446"/>
      <c r="S77" s="855">
        <f>SUM(T74:T80)</f>
        <v>771</v>
      </c>
      <c r="T77" s="455">
        <v>50</v>
      </c>
      <c r="U77" s="446"/>
      <c r="V77" s="855">
        <f>SUM(W74:W80)</f>
        <v>536</v>
      </c>
      <c r="W77" s="455">
        <v>0</v>
      </c>
      <c r="X77" s="446"/>
      <c r="Y77" s="855">
        <f>SUM(Z74:Z80)</f>
        <v>536</v>
      </c>
      <c r="Z77" s="455">
        <v>0</v>
      </c>
      <c r="AA77" s="446"/>
      <c r="AB77" s="855">
        <f>SUM(AC74:AC80)</f>
        <v>446</v>
      </c>
      <c r="AC77" s="455">
        <v>0</v>
      </c>
      <c r="AD77" s="446"/>
      <c r="AE77" s="855">
        <f>SUM(AF74:AF80)</f>
        <v>436</v>
      </c>
      <c r="AF77" s="455">
        <v>0</v>
      </c>
      <c r="AG77" s="446"/>
      <c r="AH77" s="855">
        <f>SUM(AI74:AI80)</f>
        <v>401</v>
      </c>
      <c r="AI77" s="455">
        <v>0</v>
      </c>
      <c r="AJ77" s="446"/>
      <c r="AK77" s="855">
        <f>SUM(AL74:AL80)</f>
        <v>396</v>
      </c>
      <c r="AL77" s="455">
        <v>0</v>
      </c>
      <c r="AM77" s="446"/>
      <c r="AN77" s="855">
        <f>SUM(AO74:AO80)</f>
        <v>391</v>
      </c>
      <c r="AO77" s="455">
        <v>0</v>
      </c>
      <c r="AP77" s="446"/>
      <c r="AQ77" s="855">
        <f>SUM(AR74:AR80)</f>
        <v>470</v>
      </c>
      <c r="AR77" s="455">
        <v>0</v>
      </c>
      <c r="AS77" s="446"/>
      <c r="AT77" s="855">
        <f>SUM(AU74:AU80)</f>
        <v>6350</v>
      </c>
      <c r="AU77" s="455">
        <f t="shared" si="2"/>
        <v>50</v>
      </c>
      <c r="AV77" s="447"/>
      <c r="AW77" s="248"/>
      <c r="AX77" s="249"/>
      <c r="AY77" s="441">
        <v>55.877000000000002</v>
      </c>
      <c r="AZ77" s="228"/>
      <c r="BA77" s="228"/>
      <c r="BB77" s="228"/>
      <c r="BC77" s="228"/>
    </row>
    <row r="78" spans="1:55" s="4" customFormat="1" ht="15" customHeight="1">
      <c r="A78" s="179" t="s">
        <v>289</v>
      </c>
      <c r="B78" s="179" t="s">
        <v>291</v>
      </c>
      <c r="C78" s="176">
        <v>300288</v>
      </c>
      <c r="D78" s="838"/>
      <c r="E78" s="838"/>
      <c r="F78" s="838"/>
      <c r="G78" s="838"/>
      <c r="H78" s="883" t="s">
        <v>1563</v>
      </c>
      <c r="I78" s="465"/>
      <c r="J78" s="253"/>
      <c r="K78" s="455">
        <v>120</v>
      </c>
      <c r="L78" s="446"/>
      <c r="M78" s="253"/>
      <c r="N78" s="455">
        <v>170</v>
      </c>
      <c r="O78" s="446"/>
      <c r="P78" s="253"/>
      <c r="Q78" s="455">
        <v>50</v>
      </c>
      <c r="R78" s="446"/>
      <c r="S78" s="253"/>
      <c r="T78" s="455">
        <v>100</v>
      </c>
      <c r="U78" s="446"/>
      <c r="V78" s="253"/>
      <c r="W78" s="455">
        <v>50</v>
      </c>
      <c r="X78" s="446"/>
      <c r="Y78" s="253"/>
      <c r="Z78" s="455">
        <v>0</v>
      </c>
      <c r="AA78" s="446"/>
      <c r="AB78" s="253"/>
      <c r="AC78" s="455">
        <v>0</v>
      </c>
      <c r="AD78" s="446"/>
      <c r="AE78" s="253"/>
      <c r="AF78" s="455">
        <v>0</v>
      </c>
      <c r="AG78" s="446"/>
      <c r="AH78" s="253"/>
      <c r="AI78" s="455">
        <v>0</v>
      </c>
      <c r="AJ78" s="446"/>
      <c r="AK78" s="253"/>
      <c r="AL78" s="455">
        <v>0</v>
      </c>
      <c r="AM78" s="446"/>
      <c r="AN78" s="253"/>
      <c r="AO78" s="455">
        <v>0</v>
      </c>
      <c r="AP78" s="446"/>
      <c r="AQ78" s="253"/>
      <c r="AR78" s="455">
        <v>0</v>
      </c>
      <c r="AS78" s="446"/>
      <c r="AT78" s="253"/>
      <c r="AU78" s="455">
        <f t="shared" si="2"/>
        <v>490</v>
      </c>
      <c r="AV78" s="447"/>
      <c r="AW78" s="248"/>
      <c r="AX78" s="249"/>
      <c r="AY78" s="441">
        <v>750.40211199999999</v>
      </c>
      <c r="AZ78" s="228"/>
      <c r="BA78" s="228"/>
      <c r="BB78" s="228"/>
      <c r="BC78" s="228"/>
    </row>
    <row r="79" spans="1:55" s="4" customFormat="1" ht="15" customHeight="1">
      <c r="A79" s="179" t="s">
        <v>289</v>
      </c>
      <c r="B79" s="179" t="s">
        <v>291</v>
      </c>
      <c r="C79" s="176">
        <v>300268</v>
      </c>
      <c r="D79" s="838"/>
      <c r="E79" s="838"/>
      <c r="F79" s="838"/>
      <c r="G79" s="838"/>
      <c r="H79" s="883" t="s">
        <v>1565</v>
      </c>
      <c r="I79" s="465"/>
      <c r="J79" s="253"/>
      <c r="K79" s="981">
        <f>-K53+L53</f>
        <v>35</v>
      </c>
      <c r="L79" s="446"/>
      <c r="M79" s="253"/>
      <c r="N79" s="981">
        <f>-N53+O53</f>
        <v>41</v>
      </c>
      <c r="O79" s="446"/>
      <c r="P79" s="253"/>
      <c r="Q79" s="981">
        <f>-Q53+R53</f>
        <v>41</v>
      </c>
      <c r="R79" s="446"/>
      <c r="S79" s="253"/>
      <c r="T79" s="981">
        <f>-T53+U53</f>
        <v>21</v>
      </c>
      <c r="U79" s="446"/>
      <c r="V79" s="253"/>
      <c r="W79" s="981">
        <f>-W53+X53</f>
        <v>6</v>
      </c>
      <c r="X79" s="446"/>
      <c r="Y79" s="253"/>
      <c r="Z79" s="981">
        <f>-Z53+AA53</f>
        <v>6</v>
      </c>
      <c r="AA79" s="446"/>
      <c r="AB79" s="253"/>
      <c r="AC79" s="981">
        <f>-AC53+AD53</f>
        <v>16</v>
      </c>
      <c r="AD79" s="446"/>
      <c r="AE79" s="253"/>
      <c r="AF79" s="981">
        <f>-AF53+AG53</f>
        <v>6</v>
      </c>
      <c r="AG79" s="446"/>
      <c r="AH79" s="253"/>
      <c r="AI79" s="981">
        <f>-AI53+AJ53</f>
        <v>26</v>
      </c>
      <c r="AJ79" s="446"/>
      <c r="AK79" s="253"/>
      <c r="AL79" s="981">
        <f>-AL53+AM53</f>
        <v>6</v>
      </c>
      <c r="AM79" s="446"/>
      <c r="AN79" s="253"/>
      <c r="AO79" s="981">
        <f>-AO53+AP53</f>
        <v>16</v>
      </c>
      <c r="AP79" s="446"/>
      <c r="AQ79" s="253"/>
      <c r="AR79" s="981">
        <f>-AR53+AS53</f>
        <v>30</v>
      </c>
      <c r="AS79" s="446"/>
      <c r="AT79" s="228"/>
      <c r="AU79" s="981">
        <f t="shared" si="2"/>
        <v>250</v>
      </c>
      <c r="AV79" s="228"/>
      <c r="AW79" s="248"/>
      <c r="AX79" s="249"/>
      <c r="AY79" s="441">
        <v>240.50221400000001</v>
      </c>
      <c r="AZ79" s="228"/>
      <c r="BA79" s="228"/>
      <c r="BB79" s="228"/>
      <c r="BC79" s="228"/>
    </row>
    <row r="80" spans="1:55" ht="16.5" thickBot="1">
      <c r="A80" s="179" t="s">
        <v>289</v>
      </c>
      <c r="B80" s="179" t="s">
        <v>291</v>
      </c>
      <c r="C80" s="176">
        <v>300269</v>
      </c>
      <c r="D80" s="838"/>
      <c r="E80" s="838"/>
      <c r="F80" s="838"/>
      <c r="G80" s="838"/>
      <c r="H80" s="883" t="s">
        <v>1567</v>
      </c>
      <c r="I80" s="465"/>
      <c r="J80" s="253"/>
      <c r="K80" s="457">
        <v>330</v>
      </c>
      <c r="L80" s="446"/>
      <c r="M80" s="253"/>
      <c r="N80" s="457">
        <v>350</v>
      </c>
      <c r="O80" s="446"/>
      <c r="P80" s="253"/>
      <c r="Q80" s="457">
        <v>390</v>
      </c>
      <c r="R80" s="446"/>
      <c r="S80" s="253"/>
      <c r="T80" s="457">
        <v>300</v>
      </c>
      <c r="U80" s="446"/>
      <c r="V80" s="253"/>
      <c r="W80" s="457">
        <v>300</v>
      </c>
      <c r="X80" s="446"/>
      <c r="Y80" s="253"/>
      <c r="Z80" s="457">
        <v>330</v>
      </c>
      <c r="AA80" s="446"/>
      <c r="AB80" s="253"/>
      <c r="AC80" s="457">
        <v>350</v>
      </c>
      <c r="AD80" s="446"/>
      <c r="AE80" s="253"/>
      <c r="AF80" s="457">
        <v>300</v>
      </c>
      <c r="AG80" s="446"/>
      <c r="AH80" s="253"/>
      <c r="AI80" s="457">
        <v>250</v>
      </c>
      <c r="AJ80" s="446"/>
      <c r="AK80" s="253"/>
      <c r="AL80" s="457">
        <v>260</v>
      </c>
      <c r="AM80" s="446"/>
      <c r="AN80" s="253"/>
      <c r="AO80" s="457">
        <v>270</v>
      </c>
      <c r="AP80" s="446"/>
      <c r="AQ80" s="253"/>
      <c r="AR80" s="457">
        <v>300</v>
      </c>
      <c r="AS80" s="446"/>
      <c r="AT80" s="253"/>
      <c r="AU80" s="457">
        <f t="shared" si="2"/>
        <v>3730</v>
      </c>
      <c r="AV80" s="447"/>
      <c r="AW80" s="248"/>
      <c r="AX80" s="249"/>
      <c r="AY80" s="441">
        <v>3728.6064526</v>
      </c>
      <c r="AZ80" s="261"/>
      <c r="BA80" s="261"/>
      <c r="BB80" s="261"/>
      <c r="BC80" s="261"/>
    </row>
    <row r="81" spans="2:55" ht="16.5" thickBot="1">
      <c r="B81" s="179"/>
      <c r="C81" s="179"/>
      <c r="D81" s="838"/>
      <c r="E81" s="838"/>
      <c r="F81" s="838"/>
      <c r="G81" s="838"/>
      <c r="H81" s="459"/>
      <c r="I81" s="459"/>
      <c r="J81" s="238"/>
      <c r="K81" s="238"/>
      <c r="L81" s="239"/>
      <c r="M81" s="238"/>
      <c r="N81" s="238"/>
      <c r="O81" s="239"/>
      <c r="P81" s="238"/>
      <c r="Q81" s="238"/>
      <c r="R81" s="239"/>
      <c r="S81" s="238"/>
      <c r="T81" s="238"/>
      <c r="U81" s="239"/>
      <c r="V81" s="238"/>
      <c r="W81" s="238"/>
      <c r="X81" s="239"/>
      <c r="Y81" s="238"/>
      <c r="Z81" s="238"/>
      <c r="AA81" s="239"/>
      <c r="AB81" s="262"/>
      <c r="AC81" s="238"/>
      <c r="AD81" s="239"/>
      <c r="AE81" s="238"/>
      <c r="AF81" s="238"/>
      <c r="AG81" s="239"/>
      <c r="AH81" s="238"/>
      <c r="AI81" s="238"/>
      <c r="AJ81" s="239"/>
      <c r="AK81" s="238"/>
      <c r="AL81" s="238"/>
      <c r="AM81" s="239"/>
      <c r="AN81" s="238"/>
      <c r="AO81" s="238"/>
      <c r="AP81" s="239"/>
      <c r="AQ81" s="238"/>
      <c r="AR81" s="238"/>
      <c r="AS81" s="239"/>
      <c r="AT81" s="238"/>
      <c r="AU81" s="238"/>
      <c r="AV81" s="240"/>
      <c r="AW81" s="241"/>
      <c r="AX81" s="242"/>
      <c r="AY81" s="242"/>
      <c r="AZ81" s="261"/>
      <c r="BA81" s="261"/>
      <c r="BB81" s="261"/>
      <c r="BC81" s="261"/>
    </row>
    <row r="82" spans="2:55" ht="18.75">
      <c r="B82" s="179"/>
      <c r="C82" s="179"/>
      <c r="D82" s="181">
        <v>530000</v>
      </c>
      <c r="E82" s="181"/>
      <c r="F82" s="181"/>
      <c r="G82" s="181">
        <v>530000</v>
      </c>
      <c r="H82" s="469" t="s">
        <v>345</v>
      </c>
      <c r="I82" s="469"/>
      <c r="J82" s="266">
        <f t="shared" ref="J82:AU82" si="3">J87+J101+J104+J113+J137+J150+J157+J169+J175+J186+J284+J295+J307+J314+J321+J335+J354+J203</f>
        <v>23774.877649094473</v>
      </c>
      <c r="K82" s="264">
        <f t="shared" si="3"/>
        <v>-370.0008336412784</v>
      </c>
      <c r="L82" s="265">
        <f t="shared" si="3"/>
        <v>23404.876815453194</v>
      </c>
      <c r="M82" s="266">
        <f t="shared" si="3"/>
        <v>22806.023241959629</v>
      </c>
      <c r="N82" s="264">
        <f t="shared" si="3"/>
        <v>-690.00917982125884</v>
      </c>
      <c r="O82" s="265">
        <f t="shared" si="3"/>
        <v>22116.014062138369</v>
      </c>
      <c r="P82" s="266">
        <f t="shared" si="3"/>
        <v>22723.438832563137</v>
      </c>
      <c r="Q82" s="264">
        <f t="shared" si="3"/>
        <v>-435.00097931388746</v>
      </c>
      <c r="R82" s="265">
        <f t="shared" si="3"/>
        <v>22288.437853249245</v>
      </c>
      <c r="S82" s="266">
        <f t="shared" si="3"/>
        <v>18746.414515125762</v>
      </c>
      <c r="T82" s="264">
        <f t="shared" si="3"/>
        <v>954.99329143352952</v>
      </c>
      <c r="U82" s="265">
        <f t="shared" si="3"/>
        <v>19701.407806559291</v>
      </c>
      <c r="V82" s="266">
        <f t="shared" si="3"/>
        <v>16648.624470357398</v>
      </c>
      <c r="W82" s="264">
        <f t="shared" si="3"/>
        <v>1580.0046915595335</v>
      </c>
      <c r="X82" s="265">
        <f t="shared" si="3"/>
        <v>18228.629161916928</v>
      </c>
      <c r="Y82" s="266">
        <f t="shared" si="3"/>
        <v>16678.691807060997</v>
      </c>
      <c r="Z82" s="264">
        <f t="shared" si="3"/>
        <v>829.99363501987773</v>
      </c>
      <c r="AA82" s="265">
        <f t="shared" si="3"/>
        <v>17508.685442080874</v>
      </c>
      <c r="AB82" s="266">
        <f t="shared" si="3"/>
        <v>16605.41148998143</v>
      </c>
      <c r="AC82" s="264">
        <f t="shared" si="3"/>
        <v>1204.9967384927768</v>
      </c>
      <c r="AD82" s="265">
        <f t="shared" si="3"/>
        <v>17810.408228474211</v>
      </c>
      <c r="AE82" s="266">
        <f t="shared" si="3"/>
        <v>17456.156901933584</v>
      </c>
      <c r="AF82" s="264">
        <f t="shared" si="3"/>
        <v>740.00251856764726</v>
      </c>
      <c r="AG82" s="265">
        <f t="shared" si="3"/>
        <v>18196.15942050123</v>
      </c>
      <c r="AH82" s="266">
        <f t="shared" si="3"/>
        <v>17970.274864808795</v>
      </c>
      <c r="AI82" s="264">
        <f t="shared" si="3"/>
        <v>699.99291114661673</v>
      </c>
      <c r="AJ82" s="265">
        <f t="shared" si="3"/>
        <v>18670.267775955414</v>
      </c>
      <c r="AK82" s="266">
        <f t="shared" si="3"/>
        <v>21793.534393070277</v>
      </c>
      <c r="AL82" s="264">
        <f t="shared" si="3"/>
        <v>-299.99945012351236</v>
      </c>
      <c r="AM82" s="265">
        <f t="shared" si="3"/>
        <v>21493.534942946761</v>
      </c>
      <c r="AN82" s="266">
        <f t="shared" si="3"/>
        <v>23161.986436003157</v>
      </c>
      <c r="AO82" s="264">
        <f t="shared" si="3"/>
        <v>-735.00179518972436</v>
      </c>
      <c r="AP82" s="265">
        <f t="shared" si="3"/>
        <v>22426.984640813433</v>
      </c>
      <c r="AQ82" s="266">
        <f t="shared" si="3"/>
        <v>25023.97252432297</v>
      </c>
      <c r="AR82" s="264">
        <f t="shared" si="3"/>
        <v>-745.00061113483844</v>
      </c>
      <c r="AS82" s="265">
        <f t="shared" si="3"/>
        <v>24278.971913188136</v>
      </c>
      <c r="AT82" s="266">
        <f t="shared" si="3"/>
        <v>243389.40712628156</v>
      </c>
      <c r="AU82" s="264">
        <f t="shared" si="3"/>
        <v>2734.9709369954944</v>
      </c>
      <c r="AV82" s="267">
        <f>L82+O82+R82+U82+X82+AA82+AD82+AG82+AJ82+AM82+AP82+AS82</f>
        <v>246124.37806327708</v>
      </c>
      <c r="AW82" s="268"/>
      <c r="AX82" s="269">
        <f>AX87+AX101+AX104+AX113+AX137+AX150+AX157+AX169+AX175+AX186+AX284+AX295+AX307+AX314+AX321+AX335+AX354+AX203</f>
        <v>242565.17139879998</v>
      </c>
      <c r="AY82" s="376">
        <f>AY83+AY84+AY85+AY86</f>
        <v>231833.67409279998</v>
      </c>
      <c r="AZ82" s="261"/>
      <c r="BA82" s="261"/>
      <c r="BB82" s="261"/>
      <c r="BC82" s="261"/>
    </row>
    <row r="83" spans="2:55">
      <c r="B83" s="179"/>
      <c r="C83" s="179"/>
      <c r="D83" s="181"/>
      <c r="E83" s="181"/>
      <c r="F83" s="181"/>
      <c r="G83" s="181"/>
      <c r="H83" s="10" t="s">
        <v>173</v>
      </c>
      <c r="I83" s="10"/>
      <c r="J83" s="223">
        <f>J88+J102+J105+J114+J138+J151+J158+J170+J176+J187+J285+J296+J308+J315+J322+J336+J355+J204</f>
        <v>13248.268927652092</v>
      </c>
      <c r="K83" s="271"/>
      <c r="L83" s="224"/>
      <c r="M83" s="223">
        <f>M88+M102+M105+M114+M138+M151+M158+M170+M176+M187+M285+M296+M308+M315+M322+M336+M355+M204</f>
        <v>13398.511645488004</v>
      </c>
      <c r="N83" s="271"/>
      <c r="O83" s="224"/>
      <c r="P83" s="223">
        <f>P88+P102+P105+P114+P138+P151+P158+P170+P176+P187+P285+P296+P308+P315+P322+P336+P355+P204</f>
        <v>12472.544176595771</v>
      </c>
      <c r="Q83" s="271"/>
      <c r="R83" s="224"/>
      <c r="S83" s="223">
        <f>S88+S102+S105+S114+S138+S151+S158+S170+S176+S187+S285+S296+S308+S315+S322+S336+S355+S204</f>
        <v>10140.067160574414</v>
      </c>
      <c r="T83" s="271"/>
      <c r="U83" s="224"/>
      <c r="V83" s="223">
        <f>V88+V102+V105+V114+V138+V151+V158+V170+V176+V187+V285+V296+V308+V315+V322+V336+V355+V204</f>
        <v>8212.5024233132535</v>
      </c>
      <c r="W83" s="271"/>
      <c r="X83" s="224"/>
      <c r="Y83" s="223">
        <f>Y88+Y102+Y105+Y114+Y138+Y151+Y158+Y170+Y176+Y187+Y285+Y296+Y308+Y315+Y322+Y336+Y355+Y204</f>
        <v>7768.4165945112491</v>
      </c>
      <c r="Z83" s="271"/>
      <c r="AA83" s="224"/>
      <c r="AB83" s="223">
        <f>AB88+AB102+AB105+AB114+AB138+AB151+AB158+AB170+AB176+AB187+AB285+AB296+AB308+AB315+AB322+AB336+AB355+AB204</f>
        <v>8769.1102503167822</v>
      </c>
      <c r="AC83" s="271"/>
      <c r="AD83" s="224"/>
      <c r="AE83" s="223">
        <f>AE88+AE102+AE105+AE114+AE138+AE151+AE158+AE170+AE176+AE187+AE285+AE296+AE308+AE315+AE322+AE336+AE355+AE204</f>
        <v>9621.4172374587761</v>
      </c>
      <c r="AF83" s="271"/>
      <c r="AG83" s="224"/>
      <c r="AH83" s="223">
        <f>AH88+AH102+AH105+AH114+AH138+AH151+AH158+AH170+AH176+AH187+AH285+AH296+AH308+AH315+AH322+AH336+AH355+AH204</f>
        <v>9583.0565269436192</v>
      </c>
      <c r="AI83" s="271"/>
      <c r="AJ83" s="224"/>
      <c r="AK83" s="223">
        <f>AK88+AK102+AK105+AK114+AK138+AK151+AK158+AK170+AK176+AK187+AK285+AK296+AK308+AK315+AK322+AK336+AK355+AK204</f>
        <v>10352.198789802016</v>
      </c>
      <c r="AL83" s="271"/>
      <c r="AM83" s="224"/>
      <c r="AN83" s="223">
        <f>AN88+AN102+AN105+AN114+AN138+AN151+AN158+AN170+AN176+AN187+AN285+AN296+AN308+AN315+AN322+AN336+AN355+AN204</f>
        <v>12174.863022701362</v>
      </c>
      <c r="AO83" s="271"/>
      <c r="AP83" s="224"/>
      <c r="AQ83" s="223">
        <f>AQ88+AQ102+AQ105+AQ114+AQ138+AQ151+AQ158+AQ170+AQ176+AQ187+AQ285+AQ296+AQ308+AQ315+AQ322+AQ336+AQ355+AQ204</f>
        <v>13551.427853750512</v>
      </c>
      <c r="AR83" s="271"/>
      <c r="AS83" s="224"/>
      <c r="AT83" s="223">
        <f>AT88+AT102+AT105+AT114+AT138+AT151+AT158+AT170+AT176+AT187+AT285+AT296+AT308+AT315+AT322+AT336+AT355+AT204</f>
        <v>129292.38460910786</v>
      </c>
      <c r="AU83" s="271"/>
      <c r="AV83" s="229"/>
      <c r="AW83" s="226"/>
      <c r="AX83" s="230"/>
      <c r="AY83" s="230">
        <f>AY88+AY102+AY105+AY114+AY138+AY151+AY158+AY170+AY176+AY187+AY204+AY285+AY296+AY308+AY315+AY322+AY336+AY355</f>
        <v>121398.36451809999</v>
      </c>
      <c r="AZ83" s="261"/>
      <c r="BA83" s="261"/>
      <c r="BB83" s="261"/>
      <c r="BC83" s="261"/>
    </row>
    <row r="84" spans="2:55" ht="15" customHeight="1">
      <c r="B84" s="179"/>
      <c r="C84" s="179"/>
      <c r="D84" s="181"/>
      <c r="E84" s="181"/>
      <c r="F84" s="181"/>
      <c r="G84" s="181"/>
      <c r="H84" s="10" t="s">
        <v>55</v>
      </c>
      <c r="I84" s="10"/>
      <c r="J84" s="223">
        <f>J115+J286+J323+J356+J205</f>
        <v>290.51875487988281</v>
      </c>
      <c r="K84" s="271"/>
      <c r="L84" s="224"/>
      <c r="M84" s="223">
        <f>M115+M286+M323+M356+M205</f>
        <v>271.8334577241211</v>
      </c>
      <c r="N84" s="271"/>
      <c r="O84" s="224"/>
      <c r="P84" s="223">
        <f>P115+P286+P323+P356+P205</f>
        <v>290.50785154736326</v>
      </c>
      <c r="Q84" s="271"/>
      <c r="R84" s="224"/>
      <c r="S84" s="223">
        <f>S115+S286+S323+S356+S205</f>
        <v>295.57849900634767</v>
      </c>
      <c r="T84" s="271"/>
      <c r="U84" s="224"/>
      <c r="V84" s="223">
        <f>V115+V286+V323+V356+V205</f>
        <v>292.66919874414066</v>
      </c>
      <c r="W84" s="271"/>
      <c r="X84" s="224"/>
      <c r="Y84" s="223">
        <f>Y115+Y286+Y323+Y356+Y205</f>
        <v>262.11118886474605</v>
      </c>
      <c r="Z84" s="271"/>
      <c r="AA84" s="224"/>
      <c r="AB84" s="223">
        <f>AB115+AB286+AB323+AB356+AB205</f>
        <v>284.55508676464842</v>
      </c>
      <c r="AC84" s="271"/>
      <c r="AD84" s="224"/>
      <c r="AE84" s="223">
        <f>AE115+AE286+AE323+AE356+AE205</f>
        <v>243.82203917480467</v>
      </c>
      <c r="AF84" s="271"/>
      <c r="AG84" s="224"/>
      <c r="AH84" s="223">
        <f>AH115+AH286+AH323+AH356+AH205</f>
        <v>266.8971159301758</v>
      </c>
      <c r="AI84" s="271"/>
      <c r="AJ84" s="224"/>
      <c r="AK84" s="223">
        <f>AK115+AK286+AK323+AK356+AK205</f>
        <v>281.15246371826174</v>
      </c>
      <c r="AL84" s="271"/>
      <c r="AM84" s="224"/>
      <c r="AN84" s="223">
        <f>AN115+AN286+AN323+AN356+AN205</f>
        <v>277.05992846679686</v>
      </c>
      <c r="AO84" s="271"/>
      <c r="AP84" s="224"/>
      <c r="AQ84" s="223">
        <f>AQ115+AQ286+AQ323+AQ356+AQ205</f>
        <v>294.59873977246093</v>
      </c>
      <c r="AR84" s="271"/>
      <c r="AS84" s="224"/>
      <c r="AT84" s="223">
        <f>AT115+AT286+AT323+AT356+AT205</f>
        <v>3351.3043245937497</v>
      </c>
      <c r="AU84" s="271"/>
      <c r="AV84" s="229"/>
      <c r="AW84" s="226"/>
      <c r="AX84" s="230"/>
      <c r="AY84" s="230">
        <f>AY115+AY205+AY286+AY323+AY356</f>
        <v>3788.082433</v>
      </c>
      <c r="AZ84" s="261"/>
      <c r="BA84" s="261"/>
      <c r="BB84" s="261"/>
      <c r="BC84" s="261"/>
    </row>
    <row r="85" spans="2:55">
      <c r="B85" s="179"/>
      <c r="C85" s="179"/>
      <c r="D85" s="181"/>
      <c r="E85" s="181"/>
      <c r="F85" s="181"/>
      <c r="G85" s="181"/>
      <c r="H85" s="10" t="s">
        <v>98</v>
      </c>
      <c r="I85" s="10"/>
      <c r="J85" s="223">
        <f>J139+J177+J309+J324</f>
        <v>9161</v>
      </c>
      <c r="K85" s="271"/>
      <c r="L85" s="224"/>
      <c r="M85" s="223">
        <f>M139+M177+M309+M324</f>
        <v>8170</v>
      </c>
      <c r="N85" s="271"/>
      <c r="O85" s="224"/>
      <c r="P85" s="223">
        <f>P139+P177+P309+P324</f>
        <v>8917</v>
      </c>
      <c r="Q85" s="271"/>
      <c r="R85" s="224"/>
      <c r="S85" s="223">
        <f>S139+S177+S309+S324</f>
        <v>7336</v>
      </c>
      <c r="T85" s="271"/>
      <c r="U85" s="224"/>
      <c r="V85" s="223">
        <f>V139+V177+V309+V324</f>
        <v>7270</v>
      </c>
      <c r="W85" s="271"/>
      <c r="X85" s="224"/>
      <c r="Y85" s="223">
        <f>Y139+Y177+Y309+Y324</f>
        <v>7780</v>
      </c>
      <c r="Z85" s="271"/>
      <c r="AA85" s="224"/>
      <c r="AB85" s="223">
        <f>AB139+AB177+AB309+AB324</f>
        <v>6653</v>
      </c>
      <c r="AC85" s="271"/>
      <c r="AD85" s="224"/>
      <c r="AE85" s="223">
        <f>AE139+AE177+AE309+AE324</f>
        <v>6705</v>
      </c>
      <c r="AF85" s="271"/>
      <c r="AG85" s="224"/>
      <c r="AH85" s="223">
        <f>AH139+AH177+AH309+AH324</f>
        <v>7142</v>
      </c>
      <c r="AI85" s="271"/>
      <c r="AJ85" s="224"/>
      <c r="AK85" s="223">
        <f>AK139+AK177+AK309+AK324</f>
        <v>10091</v>
      </c>
      <c r="AL85" s="271"/>
      <c r="AM85" s="224"/>
      <c r="AN85" s="223">
        <f>AN139+AN177+AN309+AN324</f>
        <v>9651</v>
      </c>
      <c r="AO85" s="271"/>
      <c r="AP85" s="224"/>
      <c r="AQ85" s="223">
        <f>AQ139+AQ177+AQ309+AQ324</f>
        <v>10084</v>
      </c>
      <c r="AR85" s="271"/>
      <c r="AS85" s="224"/>
      <c r="AT85" s="223">
        <f>AT139+AT177+AT309+AT324</f>
        <v>98960</v>
      </c>
      <c r="AU85" s="271"/>
      <c r="AV85" s="229"/>
      <c r="AW85" s="226"/>
      <c r="AX85" s="230"/>
      <c r="AY85" s="230">
        <f>AY139+AY177+AY309+AY324</f>
        <v>94943.773256</v>
      </c>
      <c r="AZ85" s="261"/>
      <c r="BA85" s="261"/>
      <c r="BB85" s="261"/>
      <c r="BC85" s="261"/>
    </row>
    <row r="86" spans="2:55" ht="16.5" thickBot="1">
      <c r="B86" s="179"/>
      <c r="C86" s="179"/>
      <c r="D86" s="181"/>
      <c r="E86" s="181"/>
      <c r="F86" s="181"/>
      <c r="G86" s="850"/>
      <c r="H86" s="121" t="s">
        <v>99</v>
      </c>
      <c r="I86" s="121"/>
      <c r="J86" s="820">
        <f>J89+J106+J116+J159+J178+J188+J287+J316+J337+J357+J206</f>
        <v>1075.0899665625</v>
      </c>
      <c r="K86" s="273"/>
      <c r="L86" s="233"/>
      <c r="M86" s="820">
        <f>M89+M106+M116+M159+M178+M188+M287+M316+M337+M357+M206</f>
        <v>965.67813874750004</v>
      </c>
      <c r="N86" s="273"/>
      <c r="O86" s="233"/>
      <c r="P86" s="820">
        <f>P89+P106+P116+P159+P178+P188+P287+P316+P337+P357+P206</f>
        <v>1043.3868044199999</v>
      </c>
      <c r="Q86" s="273"/>
      <c r="R86" s="233"/>
      <c r="S86" s="820">
        <f>S89+S106+S116+S159+S178+S188+S287+S316+S337+S357+S206</f>
        <v>974.76885554500006</v>
      </c>
      <c r="T86" s="273"/>
      <c r="U86" s="233"/>
      <c r="V86" s="820">
        <f>V89+V106+V116+V159+V178+V188+V287+V316+V337+V357+V206</f>
        <v>873.45284830000014</v>
      </c>
      <c r="W86" s="273"/>
      <c r="X86" s="233"/>
      <c r="Y86" s="820">
        <f>Y89+Y106+Y116+Y159+Y178+Y188+Y287+Y316+Y337+Y357+Y206</f>
        <v>868.16402368499996</v>
      </c>
      <c r="Z86" s="273"/>
      <c r="AA86" s="233"/>
      <c r="AB86" s="820">
        <f>AB89+AB106+AB116+AB159+AB178+AB188+AB287+AB316+AB337+AB357+AB206</f>
        <v>898.74615289999997</v>
      </c>
      <c r="AC86" s="273"/>
      <c r="AD86" s="233"/>
      <c r="AE86" s="820">
        <f>AE89+AE106+AE116+AE159+AE178+AE188+AE287+AE316+AE337+AE357+AE206</f>
        <v>885.91762529999994</v>
      </c>
      <c r="AF86" s="273"/>
      <c r="AG86" s="233"/>
      <c r="AH86" s="820">
        <f>AH89+AH106+AH116+AH159+AH178+AH188+AH287+AH316+AH337+AH357+AH206</f>
        <v>978.32122193500015</v>
      </c>
      <c r="AI86" s="273"/>
      <c r="AJ86" s="233"/>
      <c r="AK86" s="820">
        <f>AK89+AK106+AK116+AK159+AK178+AK188+AK287+AK316+AK337+AK357+AK206</f>
        <v>1069.1831395500001</v>
      </c>
      <c r="AL86" s="273"/>
      <c r="AM86" s="233"/>
      <c r="AN86" s="820">
        <f>AN89+AN106+AN116+AN159+AN178+AN188+AN287+AN316+AN337+AN357+AN206</f>
        <v>1059.0634848349998</v>
      </c>
      <c r="AO86" s="273"/>
      <c r="AP86" s="233"/>
      <c r="AQ86" s="820">
        <f>AQ89+AQ106+AQ116+AQ159+AQ178+AQ188+AQ287+AQ316+AQ337+AQ357+AQ206</f>
        <v>1093.9459307999998</v>
      </c>
      <c r="AR86" s="273"/>
      <c r="AS86" s="233"/>
      <c r="AT86" s="820">
        <f>AT89+AT106+AT116+AT159+AT178+AT188+AT287+AT316+AT337+AT357+AT206</f>
        <v>11785.71819258</v>
      </c>
      <c r="AU86" s="273"/>
      <c r="AV86" s="234"/>
      <c r="AW86" s="235"/>
      <c r="AX86" s="236"/>
      <c r="AY86" s="237">
        <f>AY89+AY106+AY116+AY159+AY178+AY188+AY287+AY316+AY337+AY357+AY206</f>
        <v>11703.453885699999</v>
      </c>
      <c r="AZ86" s="261"/>
      <c r="BA86" s="261"/>
      <c r="BB86" s="261"/>
      <c r="BC86" s="261"/>
    </row>
    <row r="87" spans="2:55" ht="18.75">
      <c r="B87" s="179"/>
      <c r="C87" s="179"/>
      <c r="D87" s="181">
        <v>321400</v>
      </c>
      <c r="E87" s="181"/>
      <c r="F87" s="181"/>
      <c r="G87" s="181">
        <v>321400</v>
      </c>
      <c r="H87" s="470" t="s">
        <v>1568</v>
      </c>
      <c r="I87" s="819"/>
      <c r="J87" s="277">
        <f>J88+J89</f>
        <v>109.66785299999999</v>
      </c>
      <c r="K87" s="275">
        <f>L87-J87</f>
        <v>1339.1866759849643</v>
      </c>
      <c r="L87" s="276">
        <f>Потребление!D9</f>
        <v>1448.8545289849642</v>
      </c>
      <c r="M87" s="274">
        <f>M88+M89</f>
        <v>96.008443999999997</v>
      </c>
      <c r="N87" s="275">
        <f>O87-M87</f>
        <v>1266.713683207533</v>
      </c>
      <c r="O87" s="276">
        <f>Потребление!E9</f>
        <v>1362.722127207533</v>
      </c>
      <c r="P87" s="274">
        <f>P88+P89</f>
        <v>101.66864399999999</v>
      </c>
      <c r="Q87" s="275">
        <f>R87-P87</f>
        <v>1306.7630575298961</v>
      </c>
      <c r="R87" s="276">
        <f>Потребление!F9</f>
        <v>1408.4317015298961</v>
      </c>
      <c r="S87" s="274">
        <f>S88+S89</f>
        <v>73.621780000000001</v>
      </c>
      <c r="T87" s="275">
        <f>U87-S87</f>
        <v>1223.9260861510943</v>
      </c>
      <c r="U87" s="276">
        <f>Потребление!G9</f>
        <v>1297.5478661510942</v>
      </c>
      <c r="V87" s="274">
        <f>V88+V89</f>
        <v>34.897508000000002</v>
      </c>
      <c r="W87" s="275">
        <f>X87-V87</f>
        <v>1233.0018206580569</v>
      </c>
      <c r="X87" s="276">
        <f>Потребление!H9</f>
        <v>1267.8993286580569</v>
      </c>
      <c r="Y87" s="274">
        <f>Y88+Y89</f>
        <v>34.136899999999997</v>
      </c>
      <c r="Z87" s="275">
        <f>AA87-Y87</f>
        <v>1196.5241174433563</v>
      </c>
      <c r="AA87" s="276">
        <f>Потребление!I9</f>
        <v>1230.6610174433563</v>
      </c>
      <c r="AB87" s="274">
        <f>AB88+AB89</f>
        <v>22.449512000000002</v>
      </c>
      <c r="AC87" s="275">
        <f>AD87-AB87</f>
        <v>1239.2457002273084</v>
      </c>
      <c r="AD87" s="276">
        <f>Потребление!J9</f>
        <v>1261.6952122273083</v>
      </c>
      <c r="AE87" s="274">
        <f>AE88+AE89</f>
        <v>40.364393999999997</v>
      </c>
      <c r="AF87" s="275">
        <f>AG87-AE87</f>
        <v>1233.1703982755337</v>
      </c>
      <c r="AG87" s="276">
        <f>Потребление!K9</f>
        <v>1273.5347922755336</v>
      </c>
      <c r="AH87" s="274">
        <f>AH88+AH89</f>
        <v>57.983655999999996</v>
      </c>
      <c r="AI87" s="275">
        <f>AJ87-AH87</f>
        <v>1240.972309703056</v>
      </c>
      <c r="AJ87" s="276">
        <f>Потребление!L9</f>
        <v>1298.9559657030559</v>
      </c>
      <c r="AK87" s="274">
        <f>AK88+AK89</f>
        <v>118.47321800000002</v>
      </c>
      <c r="AL87" s="275">
        <f>AM87-AK87</f>
        <v>1287.9036874233266</v>
      </c>
      <c r="AM87" s="276">
        <f>Потребление!M9</f>
        <v>1406.3769054233267</v>
      </c>
      <c r="AN87" s="274">
        <f>AN88+AN89</f>
        <v>122.993104</v>
      </c>
      <c r="AO87" s="275">
        <f>AP87-AN87</f>
        <v>1297.0042299823774</v>
      </c>
      <c r="AP87" s="276">
        <f>Потребление!N9</f>
        <v>1419.9973339823773</v>
      </c>
      <c r="AQ87" s="274">
        <f>AQ88+AQ89</f>
        <v>118.35039100000002</v>
      </c>
      <c r="AR87" s="275">
        <f>AS87-AQ87</f>
        <v>1388.0028294134963</v>
      </c>
      <c r="AS87" s="276">
        <f>Потребление!O9</f>
        <v>1506.3532204134963</v>
      </c>
      <c r="AT87" s="277">
        <f>AT88+AT89</f>
        <v>930.61540400000013</v>
      </c>
      <c r="AU87" s="275">
        <f>AV87-AT87</f>
        <v>15252.414596000002</v>
      </c>
      <c r="AV87" s="278">
        <f>L87+O87+R87+U87+X87+AA87+AD87+AG87+AJ87+AM87+AP87+AS87</f>
        <v>16183.030000000002</v>
      </c>
      <c r="AW87" s="279"/>
      <c r="AX87" s="1067">
        <v>15906.254051</v>
      </c>
      <c r="AY87" s="280">
        <f>AY88+AY89</f>
        <v>814.700692</v>
      </c>
      <c r="AZ87" s="261"/>
      <c r="BA87" s="261"/>
      <c r="BB87" s="261"/>
      <c r="BC87" s="261"/>
    </row>
    <row r="88" spans="2:55">
      <c r="B88" s="179"/>
      <c r="C88" s="179"/>
      <c r="D88" s="181"/>
      <c r="E88" s="181"/>
      <c r="F88" s="181"/>
      <c r="G88" s="181"/>
      <c r="H88" s="10" t="s">
        <v>173</v>
      </c>
      <c r="I88" s="10"/>
      <c r="J88" s="223">
        <f>SUM(J90:J93)</f>
        <v>108.02418399999999</v>
      </c>
      <c r="K88" s="271"/>
      <c r="L88" s="224"/>
      <c r="M88" s="223">
        <f>SUM(M90:M93)</f>
        <v>95.676444000000004</v>
      </c>
      <c r="N88" s="271"/>
      <c r="O88" s="224"/>
      <c r="P88" s="223">
        <f>SUM(P90:P93)</f>
        <v>101.29684399999999</v>
      </c>
      <c r="Q88" s="271"/>
      <c r="R88" s="224"/>
      <c r="S88" s="223">
        <f>SUM(S90:S93)</f>
        <v>73.263580000000005</v>
      </c>
      <c r="T88" s="271"/>
      <c r="U88" s="224"/>
      <c r="V88" s="223">
        <f>SUM(V90:V93)</f>
        <v>34.524708000000004</v>
      </c>
      <c r="W88" s="271"/>
      <c r="X88" s="224"/>
      <c r="Y88" s="223">
        <f>SUM(Y90:Y93)</f>
        <v>33.854399999999998</v>
      </c>
      <c r="Z88" s="271"/>
      <c r="AA88" s="224"/>
      <c r="AB88" s="223">
        <f>SUM(AB90:AB93)</f>
        <v>22.076712000000001</v>
      </c>
      <c r="AC88" s="271"/>
      <c r="AD88" s="224"/>
      <c r="AE88" s="223">
        <f>SUM(AE90:AE93)</f>
        <v>37.755023999999999</v>
      </c>
      <c r="AF88" s="271"/>
      <c r="AG88" s="224"/>
      <c r="AH88" s="223">
        <f>SUM(AH90:AH93)</f>
        <v>35.018459999999997</v>
      </c>
      <c r="AI88" s="271"/>
      <c r="AJ88" s="224"/>
      <c r="AK88" s="223">
        <f>SUM(AK90:AK93)</f>
        <v>93.143592000000012</v>
      </c>
      <c r="AL88" s="271"/>
      <c r="AM88" s="224"/>
      <c r="AN88" s="223">
        <f>SUM(AN90:AN93)</f>
        <v>100.212</v>
      </c>
      <c r="AO88" s="271"/>
      <c r="AP88" s="224"/>
      <c r="AQ88" s="223">
        <f>SUM(AQ90:AQ93)</f>
        <v>112.15393200000001</v>
      </c>
      <c r="AR88" s="271"/>
      <c r="AS88" s="224"/>
      <c r="AT88" s="223">
        <f>SUM(AT90:AT93)</f>
        <v>846.99988000000008</v>
      </c>
      <c r="AU88" s="271"/>
      <c r="AV88" s="229"/>
      <c r="AW88" s="226"/>
      <c r="AX88" s="230"/>
      <c r="AY88" s="230">
        <f>SUM(AY90:AY93)</f>
        <v>735.28776800000003</v>
      </c>
      <c r="AZ88" s="261"/>
      <c r="BA88" s="261"/>
      <c r="BB88" s="261"/>
      <c r="BC88" s="261"/>
    </row>
    <row r="89" spans="2:55">
      <c r="B89" s="179"/>
      <c r="C89" s="179"/>
      <c r="D89" s="181"/>
      <c r="E89" s="181"/>
      <c r="F89" s="181"/>
      <c r="G89" s="181"/>
      <c r="H89" s="10" t="s">
        <v>99</v>
      </c>
      <c r="I89" s="10"/>
      <c r="J89" s="223">
        <f>J94</f>
        <v>1.643669</v>
      </c>
      <c r="K89" s="271"/>
      <c r="L89" s="224"/>
      <c r="M89" s="223">
        <f>M94</f>
        <v>0.33200000000000002</v>
      </c>
      <c r="N89" s="271"/>
      <c r="O89" s="224"/>
      <c r="P89" s="223">
        <f>P94</f>
        <v>0.37180000000000002</v>
      </c>
      <c r="Q89" s="271"/>
      <c r="R89" s="224"/>
      <c r="S89" s="223">
        <f>S94</f>
        <v>0.35820000000000002</v>
      </c>
      <c r="T89" s="271"/>
      <c r="U89" s="224"/>
      <c r="V89" s="223">
        <f>V94</f>
        <v>0.37280000000000002</v>
      </c>
      <c r="W89" s="271"/>
      <c r="X89" s="224"/>
      <c r="Y89" s="223">
        <f>Y94</f>
        <v>0.28250000000000003</v>
      </c>
      <c r="Z89" s="271"/>
      <c r="AA89" s="224"/>
      <c r="AB89" s="223">
        <f>AB94</f>
        <v>0.37280000000000002</v>
      </c>
      <c r="AC89" s="271"/>
      <c r="AD89" s="224"/>
      <c r="AE89" s="223">
        <f>AE94</f>
        <v>2.6093700000000002</v>
      </c>
      <c r="AF89" s="271"/>
      <c r="AG89" s="224"/>
      <c r="AH89" s="223">
        <f>AH94</f>
        <v>22.965196000000002</v>
      </c>
      <c r="AI89" s="271"/>
      <c r="AJ89" s="224"/>
      <c r="AK89" s="223">
        <f>AK94</f>
        <v>25.329626000000001</v>
      </c>
      <c r="AL89" s="271"/>
      <c r="AM89" s="224"/>
      <c r="AN89" s="223">
        <f>AN94</f>
        <v>22.781104000000003</v>
      </c>
      <c r="AO89" s="271"/>
      <c r="AP89" s="224"/>
      <c r="AQ89" s="223">
        <f>AQ94</f>
        <v>6.1964590000000008</v>
      </c>
      <c r="AR89" s="271"/>
      <c r="AS89" s="224"/>
      <c r="AT89" s="223">
        <f>AT94</f>
        <v>83.615524000000008</v>
      </c>
      <c r="AU89" s="271"/>
      <c r="AV89" s="229"/>
      <c r="AW89" s="226"/>
      <c r="AX89" s="230"/>
      <c r="AY89" s="230">
        <f>SUM(AY94:AY96)</f>
        <v>79.412924000000004</v>
      </c>
      <c r="AZ89" s="261"/>
      <c r="BA89" s="261"/>
      <c r="BB89" s="261"/>
      <c r="BC89" s="261"/>
    </row>
    <row r="90" spans="2:55" ht="15" customHeight="1">
      <c r="B90" s="179"/>
      <c r="C90" s="179"/>
      <c r="D90" s="181">
        <v>321410</v>
      </c>
      <c r="E90" s="181"/>
      <c r="F90" s="181"/>
      <c r="G90" s="1110">
        <v>321410</v>
      </c>
      <c r="H90" s="122" t="s">
        <v>1273</v>
      </c>
      <c r="I90" s="516" t="s">
        <v>364</v>
      </c>
      <c r="J90" s="244">
        <v>43.199615999999999</v>
      </c>
      <c r="K90" s="246"/>
      <c r="L90" s="282"/>
      <c r="M90" s="244">
        <v>32.673311999999996</v>
      </c>
      <c r="N90" s="246"/>
      <c r="O90" s="282"/>
      <c r="P90" s="244">
        <v>43.199615999999999</v>
      </c>
      <c r="Q90" s="246"/>
      <c r="R90" s="282"/>
      <c r="S90" s="244">
        <v>32.077439999999996</v>
      </c>
      <c r="T90" s="246"/>
      <c r="U90" s="282"/>
      <c r="V90" s="244">
        <v>8.9073000000000011</v>
      </c>
      <c r="W90" s="246"/>
      <c r="X90" s="282"/>
      <c r="Y90" s="244">
        <v>11.604239999999999</v>
      </c>
      <c r="Z90" s="246"/>
      <c r="AA90" s="282"/>
      <c r="AB90" s="244">
        <v>13.883040000000001</v>
      </c>
      <c r="AC90" s="246"/>
      <c r="AD90" s="282"/>
      <c r="AE90" s="244">
        <v>13.915775999999999</v>
      </c>
      <c r="AF90" s="246"/>
      <c r="AG90" s="282"/>
      <c r="AH90" s="244">
        <v>8.4393999999999991</v>
      </c>
      <c r="AI90" s="246"/>
      <c r="AJ90" s="282"/>
      <c r="AK90" s="244">
        <v>36.720120000000001</v>
      </c>
      <c r="AL90" s="246"/>
      <c r="AM90" s="282"/>
      <c r="AN90" s="244">
        <v>41.76</v>
      </c>
      <c r="AO90" s="246"/>
      <c r="AP90" s="282"/>
      <c r="AQ90" s="244">
        <v>43.199615999999999</v>
      </c>
      <c r="AR90" s="246"/>
      <c r="AS90" s="282"/>
      <c r="AT90" s="244">
        <f>J90+M90+P90+S90+V90+Y90+AB90+AE90+AH90+AK90+AN90+AQ90</f>
        <v>329.579476</v>
      </c>
      <c r="AU90" s="283"/>
      <c r="AV90" s="284"/>
      <c r="AW90" s="285"/>
      <c r="AX90" s="286"/>
      <c r="AY90" s="434">
        <v>360.29265900000001</v>
      </c>
      <c r="AZ90" s="261"/>
      <c r="BA90" s="261"/>
      <c r="BB90" s="261"/>
      <c r="BC90" s="261"/>
    </row>
    <row r="91" spans="2:55">
      <c r="B91" s="179"/>
      <c r="C91" s="179"/>
      <c r="D91" s="181">
        <v>321426</v>
      </c>
      <c r="E91" s="181"/>
      <c r="F91" s="181"/>
      <c r="G91" s="1110">
        <v>321426</v>
      </c>
      <c r="H91" s="127" t="s">
        <v>1274</v>
      </c>
      <c r="I91" s="516" t="s">
        <v>364</v>
      </c>
      <c r="J91" s="244">
        <v>14.284799999999999</v>
      </c>
      <c r="K91" s="246"/>
      <c r="L91" s="282"/>
      <c r="M91" s="244">
        <v>11.827200000000001</v>
      </c>
      <c r="N91" s="246"/>
      <c r="O91" s="282"/>
      <c r="P91" s="244">
        <v>12.201599999999999</v>
      </c>
      <c r="Q91" s="246"/>
      <c r="R91" s="282"/>
      <c r="S91" s="244">
        <v>7.1042400000000008</v>
      </c>
      <c r="T91" s="246"/>
      <c r="U91" s="282"/>
      <c r="V91" s="244">
        <v>4.0176000000000007</v>
      </c>
      <c r="W91" s="246"/>
      <c r="X91" s="282"/>
      <c r="Y91" s="244">
        <v>1.9965600000000001</v>
      </c>
      <c r="Z91" s="246"/>
      <c r="AA91" s="282"/>
      <c r="AB91" s="244">
        <v>3.8688000000000002</v>
      </c>
      <c r="AC91" s="246"/>
      <c r="AD91" s="282"/>
      <c r="AE91" s="244">
        <v>3.7943999999999996</v>
      </c>
      <c r="AF91" s="246"/>
      <c r="AG91" s="282"/>
      <c r="AH91" s="244">
        <v>4.8959999999999999</v>
      </c>
      <c r="AI91" s="246"/>
      <c r="AJ91" s="282"/>
      <c r="AK91" s="244">
        <v>8.2390559999999997</v>
      </c>
      <c r="AL91" s="246"/>
      <c r="AM91" s="282"/>
      <c r="AN91" s="244">
        <v>10.944000000000001</v>
      </c>
      <c r="AO91" s="246"/>
      <c r="AP91" s="282"/>
      <c r="AQ91" s="244">
        <v>12.648</v>
      </c>
      <c r="AR91" s="246"/>
      <c r="AS91" s="282"/>
      <c r="AT91" s="244">
        <f>J91+M91+P91+S91+V91+Y91+AB91+AE91+AH91+AK91+AN91+AQ91</f>
        <v>95.82225600000001</v>
      </c>
      <c r="AU91" s="283"/>
      <c r="AV91" s="284"/>
      <c r="AW91" s="285"/>
      <c r="AX91" s="286"/>
      <c r="AY91" s="434">
        <v>84.127076000000002</v>
      </c>
      <c r="AZ91" s="261"/>
      <c r="BA91" s="261"/>
      <c r="BB91" s="261"/>
      <c r="BC91" s="261"/>
    </row>
    <row r="92" spans="2:55">
      <c r="B92" s="179"/>
      <c r="C92" s="179"/>
      <c r="D92" s="181">
        <v>321417</v>
      </c>
      <c r="E92" s="181"/>
      <c r="F92" s="181"/>
      <c r="G92" s="1110">
        <v>321417</v>
      </c>
      <c r="H92" s="122" t="s">
        <v>1275</v>
      </c>
      <c r="I92" s="516" t="s">
        <v>364</v>
      </c>
      <c r="J92" s="244">
        <v>37.439568000000001</v>
      </c>
      <c r="K92" s="246"/>
      <c r="L92" s="282"/>
      <c r="M92" s="244">
        <v>38.929631999999998</v>
      </c>
      <c r="N92" s="246"/>
      <c r="O92" s="282"/>
      <c r="P92" s="244">
        <v>35.999927999999997</v>
      </c>
      <c r="Q92" s="246"/>
      <c r="R92" s="282"/>
      <c r="S92" s="244">
        <v>30.96</v>
      </c>
      <c r="T92" s="246"/>
      <c r="U92" s="282"/>
      <c r="V92" s="244">
        <v>21.599807999999999</v>
      </c>
      <c r="W92" s="246"/>
      <c r="X92" s="282"/>
      <c r="Y92" s="244">
        <v>20.253599999999999</v>
      </c>
      <c r="Z92" s="246"/>
      <c r="AA92" s="282"/>
      <c r="AB92" s="244">
        <v>4.3248719999999992</v>
      </c>
      <c r="AC92" s="246"/>
      <c r="AD92" s="282"/>
      <c r="AE92" s="244">
        <v>20.044848000000002</v>
      </c>
      <c r="AF92" s="246"/>
      <c r="AG92" s="282"/>
      <c r="AH92" s="244">
        <v>21.501360000000002</v>
      </c>
      <c r="AI92" s="246"/>
      <c r="AJ92" s="282"/>
      <c r="AK92" s="244">
        <v>43.199615999999999</v>
      </c>
      <c r="AL92" s="246"/>
      <c r="AM92" s="282"/>
      <c r="AN92" s="244">
        <v>38.159999999999997</v>
      </c>
      <c r="AO92" s="246"/>
      <c r="AP92" s="282"/>
      <c r="AQ92" s="244">
        <v>43.199615999999999</v>
      </c>
      <c r="AR92" s="246"/>
      <c r="AS92" s="282"/>
      <c r="AT92" s="244">
        <f>J92+M92+P92+S92+V92+Y92+AB92+AE92+AH92+AK92+AN92+AQ92</f>
        <v>355.61284799999999</v>
      </c>
      <c r="AU92" s="283"/>
      <c r="AV92" s="284"/>
      <c r="AW92" s="285"/>
      <c r="AX92" s="286"/>
      <c r="AY92" s="434">
        <v>206.75046900000001</v>
      </c>
      <c r="AZ92" s="261"/>
      <c r="BA92" s="261"/>
      <c r="BB92" s="261"/>
      <c r="BC92" s="261"/>
    </row>
    <row r="93" spans="2:55">
      <c r="B93" s="179"/>
      <c r="C93" s="179"/>
      <c r="D93" s="181">
        <v>321441</v>
      </c>
      <c r="E93" s="181"/>
      <c r="F93" s="181"/>
      <c r="G93" s="1110">
        <v>321441</v>
      </c>
      <c r="H93" s="122" t="s">
        <v>1276</v>
      </c>
      <c r="I93" s="516" t="s">
        <v>364</v>
      </c>
      <c r="J93" s="244">
        <v>13.100199999999999</v>
      </c>
      <c r="K93" s="246"/>
      <c r="L93" s="282"/>
      <c r="M93" s="244">
        <v>12.2463</v>
      </c>
      <c r="N93" s="246"/>
      <c r="O93" s="282"/>
      <c r="P93" s="244">
        <v>9.8956999999999997</v>
      </c>
      <c r="Q93" s="246"/>
      <c r="R93" s="282"/>
      <c r="S93" s="244">
        <v>3.1219000000000001</v>
      </c>
      <c r="T93" s="246"/>
      <c r="U93" s="282"/>
      <c r="V93" s="244">
        <v>0</v>
      </c>
      <c r="W93" s="246"/>
      <c r="X93" s="282"/>
      <c r="Y93" s="244">
        <v>0</v>
      </c>
      <c r="Z93" s="246"/>
      <c r="AA93" s="282"/>
      <c r="AB93" s="244">
        <v>0</v>
      </c>
      <c r="AC93" s="246"/>
      <c r="AD93" s="282"/>
      <c r="AE93" s="244">
        <v>0</v>
      </c>
      <c r="AF93" s="246"/>
      <c r="AG93" s="282"/>
      <c r="AH93" s="244">
        <v>0.1817</v>
      </c>
      <c r="AI93" s="246"/>
      <c r="AJ93" s="282"/>
      <c r="AK93" s="244">
        <v>4.9847999999999999</v>
      </c>
      <c r="AL93" s="246"/>
      <c r="AM93" s="282"/>
      <c r="AN93" s="244">
        <v>9.3480000000000008</v>
      </c>
      <c r="AO93" s="246"/>
      <c r="AP93" s="282"/>
      <c r="AQ93" s="244">
        <v>13.1067</v>
      </c>
      <c r="AR93" s="246"/>
      <c r="AS93" s="282"/>
      <c r="AT93" s="244">
        <f>J93+M93+P93+S93+V93+Y93+AB93+AE93+AH93+AK93+AN93+AQ93</f>
        <v>65.985299999999995</v>
      </c>
      <c r="AU93" s="283"/>
      <c r="AV93" s="284"/>
      <c r="AW93" s="285"/>
      <c r="AX93" s="286"/>
      <c r="AY93" s="434">
        <v>84.117564000000002</v>
      </c>
      <c r="AZ93" s="261"/>
      <c r="BA93" s="261"/>
      <c r="BB93" s="261"/>
      <c r="BC93" s="261"/>
    </row>
    <row r="94" spans="2:55">
      <c r="B94" s="179"/>
      <c r="C94" s="179"/>
      <c r="D94" s="181"/>
      <c r="E94" s="181"/>
      <c r="F94" s="181"/>
      <c r="G94" s="1110"/>
      <c r="H94" s="138" t="s">
        <v>174</v>
      </c>
      <c r="I94" s="518"/>
      <c r="J94" s="319">
        <f>SUM(J95:J100)</f>
        <v>1.643669</v>
      </c>
      <c r="K94" s="288"/>
      <c r="L94" s="289"/>
      <c r="M94" s="319">
        <f>SUM(M95:M100)</f>
        <v>0.33200000000000002</v>
      </c>
      <c r="N94" s="288"/>
      <c r="O94" s="289"/>
      <c r="P94" s="319">
        <f>SUM(P95:P100)</f>
        <v>0.37180000000000002</v>
      </c>
      <c r="Q94" s="288"/>
      <c r="R94" s="289"/>
      <c r="S94" s="319">
        <f>SUM(S95:S100)</f>
        <v>0.35820000000000002</v>
      </c>
      <c r="T94" s="288"/>
      <c r="U94" s="289"/>
      <c r="V94" s="319">
        <f>SUM(V95:V100)</f>
        <v>0.37280000000000002</v>
      </c>
      <c r="W94" s="288"/>
      <c r="X94" s="289"/>
      <c r="Y94" s="319">
        <f>SUM(Y95:Y100)</f>
        <v>0.28250000000000003</v>
      </c>
      <c r="Z94" s="288"/>
      <c r="AA94" s="289"/>
      <c r="AB94" s="319">
        <f>SUM(AB95:AB100)</f>
        <v>0.37280000000000002</v>
      </c>
      <c r="AC94" s="288"/>
      <c r="AD94" s="289"/>
      <c r="AE94" s="319">
        <f>SUM(AE95:AE100)</f>
        <v>2.6093700000000002</v>
      </c>
      <c r="AF94" s="288"/>
      <c r="AG94" s="289"/>
      <c r="AH94" s="319">
        <f>SUM(AH95:AH100)</f>
        <v>22.965196000000002</v>
      </c>
      <c r="AI94" s="288"/>
      <c r="AJ94" s="289"/>
      <c r="AK94" s="319">
        <f>SUM(AK95:AK100)</f>
        <v>25.329626000000001</v>
      </c>
      <c r="AL94" s="288"/>
      <c r="AM94" s="289"/>
      <c r="AN94" s="319">
        <f>SUM(AN95:AN100)</f>
        <v>22.781104000000003</v>
      </c>
      <c r="AO94" s="288"/>
      <c r="AP94" s="289"/>
      <c r="AQ94" s="319">
        <f>SUM(AQ95:AQ100)</f>
        <v>6.1964590000000008</v>
      </c>
      <c r="AR94" s="288"/>
      <c r="AS94" s="289"/>
      <c r="AT94" s="319">
        <f>SUM(AT95:AT100)</f>
        <v>83.615524000000008</v>
      </c>
      <c r="AU94" s="288"/>
      <c r="AV94" s="290"/>
      <c r="AW94" s="285"/>
      <c r="AX94" s="291"/>
      <c r="AY94" s="1066">
        <v>79.412924000000004</v>
      </c>
      <c r="AZ94" s="261"/>
      <c r="BA94" s="261"/>
      <c r="BB94" s="261"/>
      <c r="BC94" s="261"/>
    </row>
    <row r="95" spans="2:55">
      <c r="B95" s="179"/>
      <c r="C95" s="179"/>
      <c r="D95" s="181">
        <v>321448</v>
      </c>
      <c r="E95" s="181"/>
      <c r="F95" s="181"/>
      <c r="G95" s="1110">
        <v>321448</v>
      </c>
      <c r="H95" s="136" t="s">
        <v>1278</v>
      </c>
      <c r="I95" s="518" t="s">
        <v>365</v>
      </c>
      <c r="J95" s="294">
        <v>0</v>
      </c>
      <c r="K95" s="288"/>
      <c r="L95" s="289"/>
      <c r="M95" s="294">
        <v>0</v>
      </c>
      <c r="N95" s="288"/>
      <c r="O95" s="289"/>
      <c r="P95" s="294">
        <v>0</v>
      </c>
      <c r="Q95" s="288"/>
      <c r="R95" s="289"/>
      <c r="S95" s="294">
        <v>0</v>
      </c>
      <c r="T95" s="288"/>
      <c r="U95" s="289"/>
      <c r="V95" s="294">
        <v>0</v>
      </c>
      <c r="W95" s="288"/>
      <c r="X95" s="289"/>
      <c r="Y95" s="294">
        <v>0</v>
      </c>
      <c r="Z95" s="288"/>
      <c r="AA95" s="289"/>
      <c r="AB95" s="294">
        <v>0</v>
      </c>
      <c r="AC95" s="288"/>
      <c r="AD95" s="289"/>
      <c r="AE95" s="294">
        <v>0</v>
      </c>
      <c r="AF95" s="288"/>
      <c r="AG95" s="289"/>
      <c r="AH95" s="294">
        <v>4.6403530000000002</v>
      </c>
      <c r="AI95" s="288"/>
      <c r="AJ95" s="289"/>
      <c r="AK95" s="294">
        <v>4.8499999999999996</v>
      </c>
      <c r="AL95" s="288"/>
      <c r="AM95" s="289"/>
      <c r="AN95" s="294">
        <v>4.548</v>
      </c>
      <c r="AO95" s="288"/>
      <c r="AP95" s="289"/>
      <c r="AQ95" s="294">
        <v>1.462E-3</v>
      </c>
      <c r="AR95" s="288"/>
      <c r="AS95" s="289"/>
      <c r="AT95" s="294">
        <f t="shared" ref="AT95:AT100" si="4">J95+M95+P95+S95+V95+Y95+AB95+AE95+AH95+AK95+AN95+AQ95</f>
        <v>14.039814999999999</v>
      </c>
      <c r="AU95" s="288"/>
      <c r="AV95" s="290"/>
      <c r="AW95" s="285"/>
      <c r="AX95" s="291"/>
      <c r="AY95" s="295"/>
      <c r="AZ95" s="261"/>
      <c r="BA95" s="261"/>
      <c r="BB95" s="261"/>
      <c r="BC95" s="261"/>
    </row>
    <row r="96" spans="2:55">
      <c r="B96" s="179"/>
      <c r="C96" s="179"/>
      <c r="D96" s="181">
        <v>321449</v>
      </c>
      <c r="E96" s="181"/>
      <c r="F96" s="181"/>
      <c r="G96" s="1110">
        <v>321449</v>
      </c>
      <c r="H96" s="136" t="s">
        <v>1277</v>
      </c>
      <c r="I96" s="518" t="s">
        <v>365</v>
      </c>
      <c r="J96" s="294">
        <v>1.2798689999999999</v>
      </c>
      <c r="K96" s="288"/>
      <c r="L96" s="289"/>
      <c r="M96" s="294">
        <v>0</v>
      </c>
      <c r="N96" s="288"/>
      <c r="O96" s="289"/>
      <c r="P96" s="294">
        <v>0</v>
      </c>
      <c r="Q96" s="288"/>
      <c r="R96" s="289"/>
      <c r="S96" s="294">
        <v>0</v>
      </c>
      <c r="T96" s="288"/>
      <c r="U96" s="289"/>
      <c r="V96" s="294">
        <v>0</v>
      </c>
      <c r="W96" s="288"/>
      <c r="X96" s="289"/>
      <c r="Y96" s="294">
        <v>0</v>
      </c>
      <c r="Z96" s="288"/>
      <c r="AA96" s="289"/>
      <c r="AB96" s="294">
        <v>0</v>
      </c>
      <c r="AC96" s="288"/>
      <c r="AD96" s="289"/>
      <c r="AE96" s="294">
        <v>1.0972500000000001</v>
      </c>
      <c r="AF96" s="288"/>
      <c r="AG96" s="289"/>
      <c r="AH96" s="294">
        <v>5.2089030000000003</v>
      </c>
      <c r="AI96" s="288"/>
      <c r="AJ96" s="289"/>
      <c r="AK96" s="294">
        <v>5.4279919999999997</v>
      </c>
      <c r="AL96" s="288"/>
      <c r="AM96" s="289"/>
      <c r="AN96" s="294">
        <v>5.3571239999999998</v>
      </c>
      <c r="AO96" s="288"/>
      <c r="AP96" s="289"/>
      <c r="AQ96" s="294">
        <v>2.487854</v>
      </c>
      <c r="AR96" s="288"/>
      <c r="AS96" s="289"/>
      <c r="AT96" s="294">
        <f t="shared" si="4"/>
        <v>20.858991999999997</v>
      </c>
      <c r="AU96" s="288"/>
      <c r="AV96" s="290"/>
      <c r="AW96" s="285"/>
      <c r="AX96" s="291"/>
      <c r="AY96" s="295"/>
      <c r="AZ96" s="261"/>
      <c r="BA96" s="261"/>
      <c r="BB96" s="261"/>
      <c r="BC96" s="261"/>
    </row>
    <row r="97" spans="1:55">
      <c r="B97" s="179"/>
      <c r="C97" s="179"/>
      <c r="D97" s="181">
        <v>321459</v>
      </c>
      <c r="E97" s="181"/>
      <c r="F97" s="181"/>
      <c r="G97" s="1110">
        <v>321459</v>
      </c>
      <c r="H97" s="135" t="s">
        <v>1279</v>
      </c>
      <c r="I97" s="518" t="s">
        <v>365</v>
      </c>
      <c r="J97" s="294">
        <v>0</v>
      </c>
      <c r="K97" s="288"/>
      <c r="L97" s="289"/>
      <c r="M97" s="294">
        <v>0</v>
      </c>
      <c r="N97" s="288"/>
      <c r="O97" s="289"/>
      <c r="P97" s="294">
        <v>0</v>
      </c>
      <c r="Q97" s="288"/>
      <c r="R97" s="289"/>
      <c r="S97" s="294">
        <v>0</v>
      </c>
      <c r="T97" s="288"/>
      <c r="U97" s="289"/>
      <c r="V97" s="294">
        <v>0</v>
      </c>
      <c r="W97" s="288"/>
      <c r="X97" s="289"/>
      <c r="Y97" s="294">
        <v>0</v>
      </c>
      <c r="Z97" s="288"/>
      <c r="AA97" s="289"/>
      <c r="AB97" s="294">
        <v>0</v>
      </c>
      <c r="AC97" s="288"/>
      <c r="AD97" s="289"/>
      <c r="AE97" s="294">
        <v>0.20064000000000001</v>
      </c>
      <c r="AF97" s="288"/>
      <c r="AG97" s="289"/>
      <c r="AH97" s="294">
        <v>4.58</v>
      </c>
      <c r="AI97" s="288"/>
      <c r="AJ97" s="289"/>
      <c r="AK97" s="294">
        <v>5.2737340000000001</v>
      </c>
      <c r="AL97" s="288"/>
      <c r="AM97" s="289"/>
      <c r="AN97" s="294">
        <v>3.3110400000000002</v>
      </c>
      <c r="AO97" s="288"/>
      <c r="AP97" s="289"/>
      <c r="AQ97" s="294">
        <v>0.90239999999999998</v>
      </c>
      <c r="AR97" s="288"/>
      <c r="AS97" s="289"/>
      <c r="AT97" s="294">
        <f t="shared" si="4"/>
        <v>14.267814</v>
      </c>
      <c r="AU97" s="288"/>
      <c r="AV97" s="290"/>
      <c r="AW97" s="285"/>
      <c r="AX97" s="296"/>
      <c r="AY97" s="295"/>
      <c r="AZ97" s="261"/>
      <c r="BA97" s="261"/>
      <c r="BB97" s="261"/>
      <c r="BC97" s="261"/>
    </row>
    <row r="98" spans="1:55" s="154" customFormat="1">
      <c r="A98" s="179"/>
      <c r="B98" s="179"/>
      <c r="C98" s="179"/>
      <c r="D98" s="181">
        <v>321457</v>
      </c>
      <c r="E98" s="181"/>
      <c r="F98" s="181"/>
      <c r="G98" s="1110">
        <v>321457</v>
      </c>
      <c r="H98" s="135" t="s">
        <v>1280</v>
      </c>
      <c r="I98" s="518" t="s">
        <v>365</v>
      </c>
      <c r="J98" s="294">
        <v>0</v>
      </c>
      <c r="K98" s="288"/>
      <c r="L98" s="289"/>
      <c r="M98" s="294">
        <v>0</v>
      </c>
      <c r="N98" s="288"/>
      <c r="O98" s="289"/>
      <c r="P98" s="294">
        <v>0</v>
      </c>
      <c r="Q98" s="288"/>
      <c r="R98" s="289"/>
      <c r="S98" s="294">
        <v>0</v>
      </c>
      <c r="T98" s="288"/>
      <c r="U98" s="289"/>
      <c r="V98" s="294">
        <v>0</v>
      </c>
      <c r="W98" s="288"/>
      <c r="X98" s="289"/>
      <c r="Y98" s="294">
        <v>0</v>
      </c>
      <c r="Z98" s="288"/>
      <c r="AA98" s="289"/>
      <c r="AB98" s="294">
        <v>0</v>
      </c>
      <c r="AC98" s="288"/>
      <c r="AD98" s="289"/>
      <c r="AE98" s="294">
        <v>0.95808000000000004</v>
      </c>
      <c r="AF98" s="288"/>
      <c r="AG98" s="289"/>
      <c r="AH98" s="294">
        <v>3.7574399999999999</v>
      </c>
      <c r="AI98" s="288"/>
      <c r="AJ98" s="289"/>
      <c r="AK98" s="294">
        <v>4.1375999999999999</v>
      </c>
      <c r="AL98" s="288"/>
      <c r="AM98" s="289"/>
      <c r="AN98" s="294">
        <v>4.0924800000000001</v>
      </c>
      <c r="AO98" s="288"/>
      <c r="AP98" s="289"/>
      <c r="AQ98" s="294">
        <v>2.4566400000000002</v>
      </c>
      <c r="AR98" s="288"/>
      <c r="AS98" s="289"/>
      <c r="AT98" s="294">
        <f t="shared" si="4"/>
        <v>15.402240000000001</v>
      </c>
      <c r="AU98" s="288"/>
      <c r="AV98" s="290"/>
      <c r="AW98" s="285"/>
      <c r="AX98" s="296"/>
      <c r="AY98" s="295"/>
      <c r="AZ98" s="297"/>
      <c r="BA98" s="297"/>
      <c r="BB98" s="297"/>
      <c r="BC98" s="297"/>
    </row>
    <row r="99" spans="1:55">
      <c r="B99" s="179"/>
      <c r="C99" s="179"/>
      <c r="D99" s="181">
        <v>321468</v>
      </c>
      <c r="E99" s="181"/>
      <c r="F99" s="181"/>
      <c r="G99" s="1110">
        <v>321468</v>
      </c>
      <c r="H99" s="135" t="s">
        <v>1281</v>
      </c>
      <c r="I99" s="518" t="s">
        <v>365</v>
      </c>
      <c r="J99" s="294">
        <v>0</v>
      </c>
      <c r="K99" s="288"/>
      <c r="L99" s="289"/>
      <c r="M99" s="294">
        <v>0</v>
      </c>
      <c r="N99" s="288"/>
      <c r="O99" s="289"/>
      <c r="P99" s="294">
        <v>0</v>
      </c>
      <c r="Q99" s="288"/>
      <c r="R99" s="289"/>
      <c r="S99" s="294">
        <v>0</v>
      </c>
      <c r="T99" s="288"/>
      <c r="U99" s="289"/>
      <c r="V99" s="294">
        <v>0</v>
      </c>
      <c r="W99" s="288"/>
      <c r="X99" s="289"/>
      <c r="Y99" s="294">
        <v>0</v>
      </c>
      <c r="Z99" s="288"/>
      <c r="AA99" s="289"/>
      <c r="AB99" s="294">
        <v>0</v>
      </c>
      <c r="AC99" s="288"/>
      <c r="AD99" s="289"/>
      <c r="AE99" s="294">
        <v>0</v>
      </c>
      <c r="AF99" s="288"/>
      <c r="AG99" s="289"/>
      <c r="AH99" s="294">
        <v>4.4400000000000004</v>
      </c>
      <c r="AI99" s="288"/>
      <c r="AJ99" s="289"/>
      <c r="AK99" s="294">
        <v>5.2735000000000003</v>
      </c>
      <c r="AL99" s="288"/>
      <c r="AM99" s="289"/>
      <c r="AN99" s="294">
        <v>5.1279599999999999</v>
      </c>
      <c r="AO99" s="288"/>
      <c r="AP99" s="289"/>
      <c r="AQ99" s="294">
        <v>2.6029999999999998E-3</v>
      </c>
      <c r="AR99" s="288"/>
      <c r="AS99" s="289"/>
      <c r="AT99" s="294">
        <f t="shared" si="4"/>
        <v>14.844063</v>
      </c>
      <c r="AU99" s="288"/>
      <c r="AV99" s="290"/>
      <c r="AW99" s="285"/>
      <c r="AX99" s="296"/>
      <c r="AY99" s="295"/>
      <c r="AZ99" s="261"/>
      <c r="BA99" s="261"/>
      <c r="BB99" s="261"/>
      <c r="BC99" s="261"/>
    </row>
    <row r="100" spans="1:55">
      <c r="B100" s="179"/>
      <c r="C100" s="179"/>
      <c r="D100" s="181"/>
      <c r="E100" s="181"/>
      <c r="F100" s="181"/>
      <c r="G100" s="1110">
        <v>4001</v>
      </c>
      <c r="H100" s="135" t="s">
        <v>366</v>
      </c>
      <c r="I100" s="518" t="s">
        <v>365</v>
      </c>
      <c r="J100" s="294">
        <v>0.36380000000000001</v>
      </c>
      <c r="K100" s="288"/>
      <c r="L100" s="289"/>
      <c r="M100" s="294">
        <v>0.33200000000000002</v>
      </c>
      <c r="N100" s="288"/>
      <c r="O100" s="289"/>
      <c r="P100" s="294">
        <v>0.37180000000000002</v>
      </c>
      <c r="Q100" s="288"/>
      <c r="R100" s="289"/>
      <c r="S100" s="294">
        <v>0.35820000000000002</v>
      </c>
      <c r="T100" s="288"/>
      <c r="U100" s="289"/>
      <c r="V100" s="294">
        <v>0.37280000000000002</v>
      </c>
      <c r="W100" s="288"/>
      <c r="X100" s="289"/>
      <c r="Y100" s="294">
        <v>0.28250000000000003</v>
      </c>
      <c r="Z100" s="288"/>
      <c r="AA100" s="289"/>
      <c r="AB100" s="294">
        <v>0.37280000000000002</v>
      </c>
      <c r="AC100" s="288"/>
      <c r="AD100" s="289"/>
      <c r="AE100" s="294">
        <v>0.35339999999999999</v>
      </c>
      <c r="AF100" s="288"/>
      <c r="AG100" s="289"/>
      <c r="AH100" s="294">
        <v>0.33850000000000002</v>
      </c>
      <c r="AI100" s="288"/>
      <c r="AJ100" s="289"/>
      <c r="AK100" s="294">
        <v>0.36680000000000001</v>
      </c>
      <c r="AL100" s="288"/>
      <c r="AM100" s="289"/>
      <c r="AN100" s="294">
        <v>0.34450000000000003</v>
      </c>
      <c r="AO100" s="288"/>
      <c r="AP100" s="289"/>
      <c r="AQ100" s="294">
        <v>0.34550000000000003</v>
      </c>
      <c r="AR100" s="288"/>
      <c r="AS100" s="289"/>
      <c r="AT100" s="294">
        <f t="shared" si="4"/>
        <v>4.2026000000000003</v>
      </c>
      <c r="AU100" s="288"/>
      <c r="AV100" s="290"/>
      <c r="AW100" s="285"/>
      <c r="AX100" s="296"/>
      <c r="AY100" s="295"/>
      <c r="AZ100" s="261"/>
      <c r="BA100" s="261"/>
      <c r="BB100" s="261"/>
      <c r="BC100" s="261"/>
    </row>
    <row r="101" spans="1:55" ht="18.75">
      <c r="B101" s="179"/>
      <c r="C101" s="179"/>
      <c r="D101" s="181">
        <v>340900</v>
      </c>
      <c r="E101" s="181"/>
      <c r="F101" s="181"/>
      <c r="G101" s="181">
        <v>340900</v>
      </c>
      <c r="H101" s="470" t="s">
        <v>1569</v>
      </c>
      <c r="I101" s="470"/>
      <c r="J101" s="277">
        <f>J102</f>
        <v>2.1749999999999998</v>
      </c>
      <c r="K101" s="275">
        <f>L101-J101</f>
        <v>420.63487423425948</v>
      </c>
      <c r="L101" s="276">
        <f>Потребление!D10</f>
        <v>422.8098742342595</v>
      </c>
      <c r="M101" s="277">
        <f>M102</f>
        <v>2.415</v>
      </c>
      <c r="N101" s="275">
        <f>O101-M101</f>
        <v>403.22722357293276</v>
      </c>
      <c r="O101" s="276">
        <f>Потребление!E10</f>
        <v>405.64222357293278</v>
      </c>
      <c r="P101" s="277">
        <f>P102</f>
        <v>2.665</v>
      </c>
      <c r="Q101" s="275">
        <f>R101-P101</f>
        <v>403.88251131706744</v>
      </c>
      <c r="R101" s="276">
        <f>Потребление!F10</f>
        <v>406.54751131706746</v>
      </c>
      <c r="S101" s="277">
        <f>S102</f>
        <v>2.56</v>
      </c>
      <c r="T101" s="275">
        <f>U101-S101</f>
        <v>346.80234023121591</v>
      </c>
      <c r="U101" s="276">
        <f>Потребление!G10</f>
        <v>349.36234023121591</v>
      </c>
      <c r="V101" s="277">
        <f>V102</f>
        <v>2.56</v>
      </c>
      <c r="W101" s="275">
        <f>X101-V101</f>
        <v>317.93342858391014</v>
      </c>
      <c r="X101" s="276">
        <f>Потребление!H10</f>
        <v>320.49342858391014</v>
      </c>
      <c r="Y101" s="277">
        <f>Y102</f>
        <v>2.56</v>
      </c>
      <c r="Z101" s="275">
        <f>AA101-Y101</f>
        <v>304.09534518536299</v>
      </c>
      <c r="AA101" s="276">
        <f>Потребление!I10</f>
        <v>306.65534518536299</v>
      </c>
      <c r="AB101" s="277">
        <f>AB102</f>
        <v>2.9</v>
      </c>
      <c r="AC101" s="275">
        <f>AD101-AB101</f>
        <v>312.52513236698087</v>
      </c>
      <c r="AD101" s="276">
        <f>Потребление!J10</f>
        <v>315.42513236698085</v>
      </c>
      <c r="AE101" s="277">
        <f>AE102</f>
        <v>2.6</v>
      </c>
      <c r="AF101" s="275">
        <f>AG101-AE101</f>
        <v>315.99279358421518</v>
      </c>
      <c r="AG101" s="276">
        <f>Потребление!K10</f>
        <v>318.5927935842152</v>
      </c>
      <c r="AH101" s="277">
        <f>AH102</f>
        <v>2.8</v>
      </c>
      <c r="AI101" s="275">
        <f>AJ101-AH101</f>
        <v>327.79446283243135</v>
      </c>
      <c r="AJ101" s="276">
        <f>Потребление!L10</f>
        <v>330.59446283243136</v>
      </c>
      <c r="AK101" s="277">
        <f>AK102</f>
        <v>2.68</v>
      </c>
      <c r="AL101" s="275">
        <f>AM101-AK101</f>
        <v>391.60057399683836</v>
      </c>
      <c r="AM101" s="276">
        <f>Потребление!M10</f>
        <v>394.28057399683837</v>
      </c>
      <c r="AN101" s="277">
        <f>AN102</f>
        <v>2.415</v>
      </c>
      <c r="AO101" s="275">
        <f>AP101-AN101</f>
        <v>401.2603687309911</v>
      </c>
      <c r="AP101" s="276">
        <f>Потребление!N10</f>
        <v>403.67536873099112</v>
      </c>
      <c r="AQ101" s="277">
        <f>AQ102</f>
        <v>2.66</v>
      </c>
      <c r="AR101" s="275">
        <f>AS101-AQ101</f>
        <v>433.17694536379406</v>
      </c>
      <c r="AS101" s="276">
        <f>Потребление!O10</f>
        <v>435.83694536379409</v>
      </c>
      <c r="AT101" s="277">
        <f>AT102</f>
        <v>30.990000000000002</v>
      </c>
      <c r="AU101" s="275">
        <f>AV101-AT101</f>
        <v>4378.9260000000004</v>
      </c>
      <c r="AV101" s="278">
        <f>L101+O101+R101+U101+X101+AA101+AD101+AG101+AJ101+AM101+AP101+AS101</f>
        <v>4409.9160000000002</v>
      </c>
      <c r="AW101" s="279"/>
      <c r="AX101" s="1067">
        <v>4403.8987090000001</v>
      </c>
      <c r="AY101" s="298">
        <f>AY102</f>
        <v>29.383154999999999</v>
      </c>
      <c r="AZ101" s="261"/>
      <c r="BA101" s="261"/>
      <c r="BB101" s="261"/>
      <c r="BC101" s="261"/>
    </row>
    <row r="102" spans="1:55" ht="15" customHeight="1">
      <c r="B102" s="179"/>
      <c r="C102" s="179"/>
      <c r="D102" s="181"/>
      <c r="E102" s="181"/>
      <c r="F102" s="181"/>
      <c r="G102" s="181"/>
      <c r="H102" s="10" t="s">
        <v>173</v>
      </c>
      <c r="I102" s="10"/>
      <c r="J102" s="223">
        <f>J103</f>
        <v>2.1749999999999998</v>
      </c>
      <c r="K102" s="271"/>
      <c r="L102" s="224"/>
      <c r="M102" s="270">
        <f>M103</f>
        <v>2.415</v>
      </c>
      <c r="N102" s="271"/>
      <c r="O102" s="224"/>
      <c r="P102" s="270">
        <f>P103</f>
        <v>2.665</v>
      </c>
      <c r="Q102" s="271"/>
      <c r="R102" s="224"/>
      <c r="S102" s="270">
        <f>S103</f>
        <v>2.56</v>
      </c>
      <c r="T102" s="271"/>
      <c r="U102" s="224"/>
      <c r="V102" s="270">
        <f>V103</f>
        <v>2.56</v>
      </c>
      <c r="W102" s="271"/>
      <c r="X102" s="224"/>
      <c r="Y102" s="270">
        <f>Y103</f>
        <v>2.56</v>
      </c>
      <c r="Z102" s="271"/>
      <c r="AA102" s="224"/>
      <c r="AB102" s="270">
        <f>AB103</f>
        <v>2.9</v>
      </c>
      <c r="AC102" s="271"/>
      <c r="AD102" s="224"/>
      <c r="AE102" s="270">
        <f>AE103</f>
        <v>2.6</v>
      </c>
      <c r="AF102" s="271"/>
      <c r="AG102" s="224"/>
      <c r="AH102" s="270">
        <f>AH103</f>
        <v>2.8</v>
      </c>
      <c r="AI102" s="271"/>
      <c r="AJ102" s="224"/>
      <c r="AK102" s="270">
        <f>AK103</f>
        <v>2.68</v>
      </c>
      <c r="AL102" s="271"/>
      <c r="AM102" s="224"/>
      <c r="AN102" s="270">
        <f>AN103</f>
        <v>2.415</v>
      </c>
      <c r="AO102" s="271"/>
      <c r="AP102" s="224"/>
      <c r="AQ102" s="270">
        <f>AQ103</f>
        <v>2.66</v>
      </c>
      <c r="AR102" s="271"/>
      <c r="AS102" s="224"/>
      <c r="AT102" s="270">
        <f>AT103</f>
        <v>30.990000000000002</v>
      </c>
      <c r="AU102" s="271"/>
      <c r="AV102" s="229"/>
      <c r="AW102" s="226"/>
      <c r="AX102" s="230"/>
      <c r="AY102" s="230">
        <f>AY103</f>
        <v>29.383154999999999</v>
      </c>
      <c r="AZ102" s="261"/>
      <c r="BA102" s="261"/>
      <c r="BB102" s="261"/>
      <c r="BC102" s="261"/>
    </row>
    <row r="103" spans="1:55">
      <c r="B103" s="179"/>
      <c r="C103" s="179"/>
      <c r="D103" s="181">
        <v>340910</v>
      </c>
      <c r="E103" s="181"/>
      <c r="F103" s="181"/>
      <c r="G103" s="1110">
        <v>340910</v>
      </c>
      <c r="H103" s="127" t="s">
        <v>390</v>
      </c>
      <c r="I103" s="516" t="s">
        <v>365</v>
      </c>
      <c r="J103" s="244">
        <v>2.1749999999999998</v>
      </c>
      <c r="K103" s="246"/>
      <c r="L103" s="282"/>
      <c r="M103" s="244">
        <v>2.415</v>
      </c>
      <c r="N103" s="246"/>
      <c r="O103" s="282"/>
      <c r="P103" s="244">
        <v>2.665</v>
      </c>
      <c r="Q103" s="246"/>
      <c r="R103" s="282"/>
      <c r="S103" s="244">
        <v>2.56</v>
      </c>
      <c r="T103" s="246"/>
      <c r="U103" s="282"/>
      <c r="V103" s="244">
        <v>2.56</v>
      </c>
      <c r="W103" s="246"/>
      <c r="X103" s="282"/>
      <c r="Y103" s="244">
        <v>2.56</v>
      </c>
      <c r="Z103" s="246"/>
      <c r="AA103" s="282"/>
      <c r="AB103" s="244">
        <v>2.9</v>
      </c>
      <c r="AC103" s="246"/>
      <c r="AD103" s="282"/>
      <c r="AE103" s="244">
        <v>2.6</v>
      </c>
      <c r="AF103" s="246"/>
      <c r="AG103" s="282"/>
      <c r="AH103" s="244">
        <v>2.8</v>
      </c>
      <c r="AI103" s="246"/>
      <c r="AJ103" s="282"/>
      <c r="AK103" s="244">
        <v>2.68</v>
      </c>
      <c r="AL103" s="246"/>
      <c r="AM103" s="282"/>
      <c r="AN103" s="244">
        <v>2.415</v>
      </c>
      <c r="AO103" s="246"/>
      <c r="AP103" s="282"/>
      <c r="AQ103" s="244">
        <v>2.66</v>
      </c>
      <c r="AR103" s="283"/>
      <c r="AS103" s="299"/>
      <c r="AT103" s="244">
        <f>J103+M103+P103+S103+V103+Y103+AB103+AE103+AH103+AK103+AN103+AQ103</f>
        <v>30.990000000000002</v>
      </c>
      <c r="AU103" s="283"/>
      <c r="AV103" s="284"/>
      <c r="AW103" s="285"/>
      <c r="AX103" s="286"/>
      <c r="AY103" s="435">
        <v>29.383154999999999</v>
      </c>
      <c r="AZ103" s="261"/>
      <c r="BA103" s="261"/>
      <c r="BB103" s="261"/>
      <c r="BC103" s="261"/>
    </row>
    <row r="104" spans="1:55" ht="18.75">
      <c r="B104" s="179"/>
      <c r="C104" s="179"/>
      <c r="D104" s="181">
        <v>311700</v>
      </c>
      <c r="E104" s="181"/>
      <c r="F104" s="181"/>
      <c r="G104" s="181">
        <v>311700</v>
      </c>
      <c r="H104" s="470" t="s">
        <v>1570</v>
      </c>
      <c r="I104" s="470"/>
      <c r="J104" s="277">
        <f>J105+J106</f>
        <v>326.83266299999997</v>
      </c>
      <c r="K104" s="275">
        <f>L104-J104</f>
        <v>366.99856354841364</v>
      </c>
      <c r="L104" s="276">
        <f>Потребление!D11</f>
        <v>693.83122654841361</v>
      </c>
      <c r="M104" s="274">
        <f>M105+M106</f>
        <v>340.57442700000001</v>
      </c>
      <c r="N104" s="275">
        <f>O104-M104</f>
        <v>293.12872021294709</v>
      </c>
      <c r="O104" s="276">
        <f>Потребление!E11</f>
        <v>633.7031472129471</v>
      </c>
      <c r="P104" s="274">
        <f>P105+P106</f>
        <v>290.89035269999999</v>
      </c>
      <c r="Q104" s="275">
        <f>R104-P104</f>
        <v>371.35349374797397</v>
      </c>
      <c r="R104" s="276">
        <f>Потребление!F11</f>
        <v>662.24384644797397</v>
      </c>
      <c r="S104" s="274">
        <f>S105+S106</f>
        <v>190.53000000000003</v>
      </c>
      <c r="T104" s="275">
        <f>U104-S104</f>
        <v>397.69099927292001</v>
      </c>
      <c r="U104" s="276">
        <f>Потребление!G11</f>
        <v>588.22099927292004</v>
      </c>
      <c r="V104" s="274">
        <f>V105+V106</f>
        <v>118.62948400000001</v>
      </c>
      <c r="W104" s="275">
        <f>X104-V104</f>
        <v>404.64964667395321</v>
      </c>
      <c r="X104" s="276">
        <f>Потребление!H11</f>
        <v>523.2791306739532</v>
      </c>
      <c r="Y104" s="274">
        <f>Y105+Y106</f>
        <v>137.30602799999997</v>
      </c>
      <c r="Z104" s="275">
        <f>AA104-Y104</f>
        <v>369.33849468213822</v>
      </c>
      <c r="AA104" s="276">
        <f>Потребление!I11</f>
        <v>506.64452268213819</v>
      </c>
      <c r="AB104" s="274">
        <f>AB105+AB106</f>
        <v>148.06850600000001</v>
      </c>
      <c r="AC104" s="275">
        <f>AD104-AB104</f>
        <v>366.10587237198973</v>
      </c>
      <c r="AD104" s="276">
        <f>Потребление!J11</f>
        <v>514.17437837198975</v>
      </c>
      <c r="AE104" s="274">
        <f>AE105+AE106</f>
        <v>151.28647900000001</v>
      </c>
      <c r="AF104" s="275">
        <f>AG104-AE104</f>
        <v>375.63826102364578</v>
      </c>
      <c r="AG104" s="276">
        <f>Потребление!K11</f>
        <v>526.92474002364577</v>
      </c>
      <c r="AH104" s="274">
        <f>AH105+AH106</f>
        <v>156.0950685</v>
      </c>
      <c r="AI104" s="275">
        <f>AJ104-AH104</f>
        <v>384.97547754507195</v>
      </c>
      <c r="AJ104" s="276">
        <f>Потребление!L11</f>
        <v>541.07054604507198</v>
      </c>
      <c r="AK104" s="274">
        <f>AK105+AK106</f>
        <v>144.74602700000003</v>
      </c>
      <c r="AL104" s="275">
        <f>AM104-AK104</f>
        <v>486.8550387894503</v>
      </c>
      <c r="AM104" s="276">
        <f>Потребление!M11</f>
        <v>631.60106578945033</v>
      </c>
      <c r="AN104" s="274">
        <f>AN105+AN106</f>
        <v>183.67457990000003</v>
      </c>
      <c r="AO104" s="275">
        <f>AP104-AN104</f>
        <v>476.01307252422293</v>
      </c>
      <c r="AP104" s="276">
        <f>Потребление!N11</f>
        <v>659.68765242422296</v>
      </c>
      <c r="AQ104" s="274">
        <f>AQ105+AQ106</f>
        <v>348.39587</v>
      </c>
      <c r="AR104" s="275">
        <f>AS104-AQ104</f>
        <v>364.22287450727282</v>
      </c>
      <c r="AS104" s="276">
        <f>Потребление!O11</f>
        <v>712.61874450727282</v>
      </c>
      <c r="AT104" s="274">
        <f>AT105+AT106</f>
        <v>2537.0294850999999</v>
      </c>
      <c r="AU104" s="275">
        <f>AV104-AT104</f>
        <v>4656.9705148999992</v>
      </c>
      <c r="AV104" s="278">
        <f>L104+O104+R104+U104+X104+AA104+AD104+AG104+AJ104+AM104+AP104+AS104</f>
        <v>7193.9999999999991</v>
      </c>
      <c r="AW104" s="279"/>
      <c r="AX104" s="1067">
        <v>7077.8105444000003</v>
      </c>
      <c r="AY104" s="298">
        <f>AY105+AY106</f>
        <v>1860.4863164000001</v>
      </c>
      <c r="AZ104" s="261"/>
      <c r="BA104" s="261"/>
      <c r="BB104" s="261"/>
      <c r="BC104" s="261"/>
    </row>
    <row r="105" spans="1:55">
      <c r="B105" s="179"/>
      <c r="C105" s="179"/>
      <c r="D105" s="181"/>
      <c r="E105" s="181"/>
      <c r="F105" s="181"/>
      <c r="G105" s="181"/>
      <c r="H105" s="10" t="s">
        <v>173</v>
      </c>
      <c r="I105" s="10"/>
      <c r="J105" s="223">
        <f>J107</f>
        <v>325.19018399999999</v>
      </c>
      <c r="K105" s="271"/>
      <c r="L105" s="224"/>
      <c r="M105" s="223">
        <f>M107</f>
        <v>338.89240000000001</v>
      </c>
      <c r="N105" s="271"/>
      <c r="O105" s="224"/>
      <c r="P105" s="223">
        <f>P107</f>
        <v>288.524832</v>
      </c>
      <c r="Q105" s="271"/>
      <c r="R105" s="224"/>
      <c r="S105" s="223">
        <f>S107</f>
        <v>188.37000000000003</v>
      </c>
      <c r="T105" s="271"/>
      <c r="U105" s="224"/>
      <c r="V105" s="223">
        <f>V107</f>
        <v>117.36</v>
      </c>
      <c r="W105" s="271"/>
      <c r="X105" s="224"/>
      <c r="Y105" s="223">
        <f>Y107</f>
        <v>136.00799999999998</v>
      </c>
      <c r="Z105" s="271"/>
      <c r="AA105" s="224"/>
      <c r="AB105" s="223">
        <f>AB107</f>
        <v>147.19200000000001</v>
      </c>
      <c r="AC105" s="271"/>
      <c r="AD105" s="224"/>
      <c r="AE105" s="223">
        <f>AE107</f>
        <v>150.04000000000002</v>
      </c>
      <c r="AF105" s="271"/>
      <c r="AG105" s="224"/>
      <c r="AH105" s="223">
        <f>AH107</f>
        <v>154.71</v>
      </c>
      <c r="AI105" s="271"/>
      <c r="AJ105" s="224"/>
      <c r="AK105" s="223">
        <f>AK107</f>
        <v>142.84800000000001</v>
      </c>
      <c r="AL105" s="271"/>
      <c r="AM105" s="224"/>
      <c r="AN105" s="223">
        <f>AN107</f>
        <v>181.89655200000001</v>
      </c>
      <c r="AO105" s="271"/>
      <c r="AP105" s="224"/>
      <c r="AQ105" s="223">
        <f>AQ107</f>
        <v>346.5428</v>
      </c>
      <c r="AR105" s="271"/>
      <c r="AS105" s="224"/>
      <c r="AT105" s="223">
        <f>AT107</f>
        <v>2517.5747679999999</v>
      </c>
      <c r="AU105" s="271"/>
      <c r="AV105" s="229"/>
      <c r="AW105" s="226"/>
      <c r="AX105" s="230"/>
      <c r="AY105" s="231">
        <f>AY107</f>
        <v>1841.9788550000001</v>
      </c>
      <c r="AZ105" s="261"/>
      <c r="BA105" s="261"/>
      <c r="BB105" s="261"/>
      <c r="BC105" s="261"/>
    </row>
    <row r="106" spans="1:55">
      <c r="B106" s="179"/>
      <c r="C106" s="179"/>
      <c r="D106" s="181"/>
      <c r="E106" s="181"/>
      <c r="F106" s="181"/>
      <c r="G106" s="181"/>
      <c r="H106" s="10" t="s">
        <v>99</v>
      </c>
      <c r="I106" s="10"/>
      <c r="J106" s="223">
        <f>J110</f>
        <v>1.642479</v>
      </c>
      <c r="K106" s="271"/>
      <c r="L106" s="224"/>
      <c r="M106" s="223">
        <f>M110</f>
        <v>1.6820269999999999</v>
      </c>
      <c r="N106" s="271"/>
      <c r="O106" s="224"/>
      <c r="P106" s="223">
        <f>P110</f>
        <v>2.3655206999999998</v>
      </c>
      <c r="Q106" s="271"/>
      <c r="R106" s="224"/>
      <c r="S106" s="223">
        <f>S110</f>
        <v>2.16</v>
      </c>
      <c r="T106" s="271"/>
      <c r="U106" s="224"/>
      <c r="V106" s="223">
        <f>V110</f>
        <v>1.2694840000000001</v>
      </c>
      <c r="W106" s="271"/>
      <c r="X106" s="224"/>
      <c r="Y106" s="223">
        <f>Y110</f>
        <v>1.298028</v>
      </c>
      <c r="Z106" s="271"/>
      <c r="AA106" s="224"/>
      <c r="AB106" s="223">
        <f>AB110</f>
        <v>0.87650600000000001</v>
      </c>
      <c r="AC106" s="271"/>
      <c r="AD106" s="224"/>
      <c r="AE106" s="223">
        <f>AE110</f>
        <v>1.2464789999999999</v>
      </c>
      <c r="AF106" s="271"/>
      <c r="AG106" s="224"/>
      <c r="AH106" s="223">
        <f>AH110</f>
        <v>1.3850685</v>
      </c>
      <c r="AI106" s="271"/>
      <c r="AJ106" s="224"/>
      <c r="AK106" s="223">
        <f>AK110</f>
        <v>1.8980269999999999</v>
      </c>
      <c r="AL106" s="271"/>
      <c r="AM106" s="224"/>
      <c r="AN106" s="223">
        <f>AN110</f>
        <v>1.7780279000000001</v>
      </c>
      <c r="AO106" s="271"/>
      <c r="AP106" s="224"/>
      <c r="AQ106" s="223">
        <f>AQ110</f>
        <v>1.85307</v>
      </c>
      <c r="AR106" s="271"/>
      <c r="AS106" s="224"/>
      <c r="AT106" s="223">
        <f>AT110</f>
        <v>19.4547171</v>
      </c>
      <c r="AU106" s="271"/>
      <c r="AV106" s="229"/>
      <c r="AW106" s="226"/>
      <c r="AX106" s="230"/>
      <c r="AY106" s="231">
        <f>AY110</f>
        <v>18.5074614</v>
      </c>
      <c r="AZ106" s="261"/>
      <c r="BA106" s="261"/>
      <c r="BB106" s="261"/>
      <c r="BC106" s="261"/>
    </row>
    <row r="107" spans="1:55">
      <c r="B107" s="179"/>
      <c r="C107" s="179"/>
      <c r="D107" s="181">
        <v>311710</v>
      </c>
      <c r="E107" s="181"/>
      <c r="F107" s="181"/>
      <c r="G107" s="1110">
        <v>311710</v>
      </c>
      <c r="H107" s="140" t="s">
        <v>515</v>
      </c>
      <c r="I107" s="516" t="s">
        <v>364</v>
      </c>
      <c r="J107" s="255">
        <f>J108+J109</f>
        <v>325.19018399999999</v>
      </c>
      <c r="K107" s="256"/>
      <c r="L107" s="255"/>
      <c r="M107" s="314">
        <f>M108+M109</f>
        <v>338.89240000000001</v>
      </c>
      <c r="N107" s="256"/>
      <c r="O107" s="238"/>
      <c r="P107" s="314">
        <f>P108+P109</f>
        <v>288.524832</v>
      </c>
      <c r="Q107" s="256"/>
      <c r="R107" s="302"/>
      <c r="S107" s="314">
        <f>S108+S109</f>
        <v>188.37000000000003</v>
      </c>
      <c r="T107" s="256"/>
      <c r="U107" s="238"/>
      <c r="V107" s="314">
        <f>V108+V109</f>
        <v>117.36</v>
      </c>
      <c r="W107" s="256"/>
      <c r="X107" s="238"/>
      <c r="Y107" s="314">
        <f>Y108+Y109</f>
        <v>136.00799999999998</v>
      </c>
      <c r="Z107" s="256"/>
      <c r="AA107" s="238"/>
      <c r="AB107" s="314">
        <f>AB108+AB109</f>
        <v>147.19200000000001</v>
      </c>
      <c r="AC107" s="256"/>
      <c r="AD107" s="238"/>
      <c r="AE107" s="314">
        <f>AE108+AE109</f>
        <v>150.04000000000002</v>
      </c>
      <c r="AF107" s="246"/>
      <c r="AG107" s="238"/>
      <c r="AH107" s="314">
        <f>AH108+AH109</f>
        <v>154.71</v>
      </c>
      <c r="AI107" s="246"/>
      <c r="AJ107" s="238"/>
      <c r="AK107" s="314">
        <f>AK108+AK109</f>
        <v>142.84800000000001</v>
      </c>
      <c r="AL107" s="246"/>
      <c r="AM107" s="238"/>
      <c r="AN107" s="314">
        <f>AN108+AN109</f>
        <v>181.89655200000001</v>
      </c>
      <c r="AO107" s="246"/>
      <c r="AP107" s="238"/>
      <c r="AQ107" s="314">
        <f>AQ108+AQ109</f>
        <v>346.5428</v>
      </c>
      <c r="AR107" s="246"/>
      <c r="AS107" s="238"/>
      <c r="AT107" s="314">
        <f>AT108+AT109</f>
        <v>2517.5747679999999</v>
      </c>
      <c r="AU107" s="246"/>
      <c r="AV107" s="255"/>
      <c r="AW107" s="226"/>
      <c r="AX107" s="238"/>
      <c r="AY107" s="888">
        <v>1841.9788550000001</v>
      </c>
      <c r="AZ107" s="261"/>
      <c r="BA107" s="261"/>
      <c r="BB107" s="261"/>
      <c r="BC107" s="261"/>
    </row>
    <row r="108" spans="1:55">
      <c r="B108" s="179"/>
      <c r="C108" s="179"/>
      <c r="D108" s="181"/>
      <c r="E108" s="181"/>
      <c r="F108" s="181"/>
      <c r="G108" s="1110"/>
      <c r="H108" s="127" t="s">
        <v>516</v>
      </c>
      <c r="I108" s="516"/>
      <c r="J108" s="244">
        <v>229.30079999999998</v>
      </c>
      <c r="K108" s="246"/>
      <c r="L108" s="282"/>
      <c r="M108" s="244">
        <v>196.0224</v>
      </c>
      <c r="N108" s="246"/>
      <c r="O108" s="282"/>
      <c r="P108" s="244">
        <v>198.27600000000001</v>
      </c>
      <c r="Q108" s="246"/>
      <c r="R108" s="282"/>
      <c r="S108" s="244">
        <v>96.360000000000028</v>
      </c>
      <c r="T108" s="246"/>
      <c r="U108" s="282"/>
      <c r="V108" s="244">
        <v>80.16</v>
      </c>
      <c r="W108" s="246"/>
      <c r="X108" s="282"/>
      <c r="Y108" s="244">
        <v>100.008</v>
      </c>
      <c r="Z108" s="246"/>
      <c r="AA108" s="282"/>
      <c r="AB108" s="244">
        <v>109.992</v>
      </c>
      <c r="AC108" s="246"/>
      <c r="AD108" s="282"/>
      <c r="AE108" s="345">
        <f>82.84+20</f>
        <v>102.84</v>
      </c>
      <c r="AF108" s="246"/>
      <c r="AG108" s="282"/>
      <c r="AH108" s="345">
        <f>59.83+40</f>
        <v>99.83</v>
      </c>
      <c r="AI108" s="246"/>
      <c r="AJ108" s="282"/>
      <c r="AK108" s="244">
        <v>142.84800000000001</v>
      </c>
      <c r="AL108" s="246"/>
      <c r="AM108" s="282"/>
      <c r="AN108" s="244">
        <v>176.256</v>
      </c>
      <c r="AO108" s="246"/>
      <c r="AP108" s="282"/>
      <c r="AQ108" s="244">
        <v>198.05279999999999</v>
      </c>
      <c r="AR108" s="246"/>
      <c r="AS108" s="258"/>
      <c r="AT108" s="303">
        <f>J108+M108+P108+S108+V108+Y108+AB108+AE108+AH108+AK108+AN108+AQ108</f>
        <v>1729.9459999999999</v>
      </c>
      <c r="AU108" s="246"/>
      <c r="AV108" s="304"/>
      <c r="AW108" s="285"/>
      <c r="AX108" s="258"/>
      <c r="AY108" s="300"/>
      <c r="AZ108" s="261"/>
      <c r="BA108" s="261"/>
      <c r="BB108" s="261"/>
      <c r="BC108" s="261"/>
    </row>
    <row r="109" spans="1:55">
      <c r="B109" s="179"/>
      <c r="C109" s="179"/>
      <c r="D109" s="181"/>
      <c r="E109" s="181"/>
      <c r="F109" s="181"/>
      <c r="G109" s="1110"/>
      <c r="H109" s="127" t="s">
        <v>517</v>
      </c>
      <c r="I109" s="516"/>
      <c r="J109" s="244">
        <v>95.889384000000007</v>
      </c>
      <c r="K109" s="246"/>
      <c r="L109" s="282"/>
      <c r="M109" s="244">
        <v>142.87</v>
      </c>
      <c r="N109" s="246"/>
      <c r="O109" s="282"/>
      <c r="P109" s="244">
        <v>90.248831999999993</v>
      </c>
      <c r="Q109" s="246"/>
      <c r="R109" s="282"/>
      <c r="S109" s="244">
        <v>92.01</v>
      </c>
      <c r="T109" s="246"/>
      <c r="U109" s="282"/>
      <c r="V109" s="244">
        <v>37.200000000000003</v>
      </c>
      <c r="W109" s="246"/>
      <c r="X109" s="282"/>
      <c r="Y109" s="244">
        <v>36</v>
      </c>
      <c r="Z109" s="246"/>
      <c r="AA109" s="282"/>
      <c r="AB109" s="244">
        <v>37.200000000000003</v>
      </c>
      <c r="AC109" s="246"/>
      <c r="AD109" s="282"/>
      <c r="AE109" s="345">
        <f>37.2+10</f>
        <v>47.2</v>
      </c>
      <c r="AF109" s="246"/>
      <c r="AG109" s="282"/>
      <c r="AH109" s="345">
        <f>44.88+10</f>
        <v>54.88</v>
      </c>
      <c r="AI109" s="246"/>
      <c r="AJ109" s="282"/>
      <c r="AK109" s="244">
        <v>0</v>
      </c>
      <c r="AL109" s="246"/>
      <c r="AM109" s="282"/>
      <c r="AN109" s="244">
        <v>5.6405520000000049</v>
      </c>
      <c r="AO109" s="246"/>
      <c r="AP109" s="282"/>
      <c r="AQ109" s="244">
        <v>148.49</v>
      </c>
      <c r="AR109" s="246"/>
      <c r="AS109" s="282"/>
      <c r="AT109" s="303">
        <f>J109+M109+P109+S109+V109+Y109+AB109+AE109+AH109+AK109+AN109+AQ109</f>
        <v>787.62876800000004</v>
      </c>
      <c r="AU109" s="246"/>
      <c r="AV109" s="304"/>
      <c r="AW109" s="285"/>
      <c r="AX109" s="304"/>
      <c r="AY109" s="300"/>
      <c r="AZ109" s="261"/>
      <c r="BA109" s="261"/>
      <c r="BB109" s="261"/>
      <c r="BC109" s="261"/>
    </row>
    <row r="110" spans="1:55">
      <c r="B110" s="179"/>
      <c r="C110" s="179"/>
      <c r="D110" s="181"/>
      <c r="E110" s="181"/>
      <c r="F110" s="181"/>
      <c r="G110" s="1110"/>
      <c r="H110" s="138" t="s">
        <v>174</v>
      </c>
      <c r="I110" s="138"/>
      <c r="J110" s="319">
        <f>SUM(J111:J112)</f>
        <v>1.642479</v>
      </c>
      <c r="K110" s="307"/>
      <c r="L110" s="308"/>
      <c r="M110" s="319">
        <f>SUM(M111:M112)</f>
        <v>1.6820269999999999</v>
      </c>
      <c r="N110" s="307"/>
      <c r="O110" s="308"/>
      <c r="P110" s="319">
        <f>SUM(P111:P112)</f>
        <v>2.3655206999999998</v>
      </c>
      <c r="Q110" s="307"/>
      <c r="R110" s="308"/>
      <c r="S110" s="319">
        <f>SUM(S111:S112)</f>
        <v>2.16</v>
      </c>
      <c r="T110" s="307"/>
      <c r="U110" s="308"/>
      <c r="V110" s="319">
        <f>SUM(V111:V112)</f>
        <v>1.2694840000000001</v>
      </c>
      <c r="W110" s="307"/>
      <c r="X110" s="308"/>
      <c r="Y110" s="319">
        <f>SUM(Y111:Y112)</f>
        <v>1.298028</v>
      </c>
      <c r="Z110" s="307"/>
      <c r="AA110" s="308"/>
      <c r="AB110" s="319">
        <f>SUM(AB111:AB112)</f>
        <v>0.87650600000000001</v>
      </c>
      <c r="AC110" s="307"/>
      <c r="AD110" s="308"/>
      <c r="AE110" s="319">
        <f>SUM(AE111:AE112)</f>
        <v>1.2464789999999999</v>
      </c>
      <c r="AF110" s="307"/>
      <c r="AG110" s="308"/>
      <c r="AH110" s="319">
        <f>SUM(AH111:AH112)</f>
        <v>1.3850685</v>
      </c>
      <c r="AI110" s="307"/>
      <c r="AJ110" s="308"/>
      <c r="AK110" s="319">
        <f>SUM(AK111:AK112)</f>
        <v>1.8980269999999999</v>
      </c>
      <c r="AL110" s="307"/>
      <c r="AM110" s="308"/>
      <c r="AN110" s="319">
        <f>SUM(AN111:AN112)</f>
        <v>1.7780279000000001</v>
      </c>
      <c r="AO110" s="307"/>
      <c r="AP110" s="308"/>
      <c r="AQ110" s="319">
        <f>SUM(AQ111:AQ112)</f>
        <v>1.85307</v>
      </c>
      <c r="AR110" s="307"/>
      <c r="AS110" s="308"/>
      <c r="AT110" s="319">
        <f>SUM(AT111:AT112)</f>
        <v>19.4547171</v>
      </c>
      <c r="AU110" s="307"/>
      <c r="AV110" s="309"/>
      <c r="AW110" s="226"/>
      <c r="AX110" s="310"/>
      <c r="AY110" s="436">
        <v>18.5074614</v>
      </c>
      <c r="AZ110" s="261"/>
      <c r="BA110" s="261"/>
      <c r="BB110" s="261"/>
      <c r="BC110" s="261"/>
    </row>
    <row r="111" spans="1:55">
      <c r="B111" s="179"/>
      <c r="C111" s="179"/>
      <c r="D111" s="181">
        <v>311715</v>
      </c>
      <c r="E111" s="181"/>
      <c r="F111" s="181"/>
      <c r="G111" s="1110">
        <v>311715</v>
      </c>
      <c r="H111" s="135" t="s">
        <v>1282</v>
      </c>
      <c r="I111" s="518" t="s">
        <v>365</v>
      </c>
      <c r="J111" s="294">
        <v>0</v>
      </c>
      <c r="K111" s="288"/>
      <c r="L111" s="289"/>
      <c r="M111" s="294">
        <v>0</v>
      </c>
      <c r="N111" s="288"/>
      <c r="O111" s="289"/>
      <c r="P111" s="294">
        <v>0</v>
      </c>
      <c r="Q111" s="288"/>
      <c r="R111" s="289"/>
      <c r="S111" s="294">
        <v>0</v>
      </c>
      <c r="T111" s="288"/>
      <c r="U111" s="289"/>
      <c r="V111" s="294">
        <v>0</v>
      </c>
      <c r="W111" s="288"/>
      <c r="X111" s="289"/>
      <c r="Y111" s="294">
        <v>0</v>
      </c>
      <c r="Z111" s="288"/>
      <c r="AA111" s="289"/>
      <c r="AB111" s="294">
        <v>0</v>
      </c>
      <c r="AC111" s="288"/>
      <c r="AD111" s="289"/>
      <c r="AE111" s="294">
        <v>0</v>
      </c>
      <c r="AF111" s="288"/>
      <c r="AG111" s="289"/>
      <c r="AH111" s="294">
        <v>0</v>
      </c>
      <c r="AI111" s="288"/>
      <c r="AJ111" s="289"/>
      <c r="AK111" s="294">
        <v>0</v>
      </c>
      <c r="AL111" s="288"/>
      <c r="AM111" s="289"/>
      <c r="AN111" s="294">
        <v>0</v>
      </c>
      <c r="AO111" s="288"/>
      <c r="AP111" s="289"/>
      <c r="AQ111" s="294">
        <v>0</v>
      </c>
      <c r="AR111" s="288"/>
      <c r="AS111" s="289"/>
      <c r="AT111" s="294">
        <f>J111+M111+P111+S111+V111+Y111+AB111+AE111+AH111+AK111+AN111+AQ111</f>
        <v>0</v>
      </c>
      <c r="AU111" s="288"/>
      <c r="AV111" s="290"/>
      <c r="AW111" s="285"/>
      <c r="AX111" s="312"/>
      <c r="AY111" s="313"/>
      <c r="AZ111" s="261"/>
      <c r="BA111" s="261"/>
      <c r="BB111" s="261"/>
      <c r="BC111" s="261"/>
    </row>
    <row r="112" spans="1:55">
      <c r="B112" s="179"/>
      <c r="C112" s="179"/>
      <c r="D112" s="181"/>
      <c r="E112" s="181"/>
      <c r="F112" s="181"/>
      <c r="G112" s="1110">
        <v>777362</v>
      </c>
      <c r="H112" s="135" t="s">
        <v>1283</v>
      </c>
      <c r="I112" s="518" t="s">
        <v>365</v>
      </c>
      <c r="J112" s="294">
        <v>1.642479</v>
      </c>
      <c r="K112" s="288"/>
      <c r="L112" s="289"/>
      <c r="M112" s="294">
        <v>1.6820269999999999</v>
      </c>
      <c r="N112" s="288"/>
      <c r="O112" s="289"/>
      <c r="P112" s="294">
        <v>2.3655206999999998</v>
      </c>
      <c r="Q112" s="288"/>
      <c r="R112" s="289"/>
      <c r="S112" s="294">
        <v>2.16</v>
      </c>
      <c r="T112" s="288"/>
      <c r="U112" s="289"/>
      <c r="V112" s="294">
        <v>1.2694840000000001</v>
      </c>
      <c r="W112" s="288"/>
      <c r="X112" s="289"/>
      <c r="Y112" s="294">
        <v>1.298028</v>
      </c>
      <c r="Z112" s="288"/>
      <c r="AA112" s="289"/>
      <c r="AB112" s="294">
        <v>0.87650600000000001</v>
      </c>
      <c r="AC112" s="288"/>
      <c r="AD112" s="289"/>
      <c r="AE112" s="294">
        <v>1.2464789999999999</v>
      </c>
      <c r="AF112" s="288"/>
      <c r="AG112" s="289"/>
      <c r="AH112" s="294">
        <v>1.3850685</v>
      </c>
      <c r="AI112" s="288"/>
      <c r="AJ112" s="289"/>
      <c r="AK112" s="294">
        <v>1.8980269999999999</v>
      </c>
      <c r="AL112" s="288"/>
      <c r="AM112" s="289"/>
      <c r="AN112" s="294">
        <v>1.7780279000000001</v>
      </c>
      <c r="AO112" s="288"/>
      <c r="AP112" s="289"/>
      <c r="AQ112" s="294">
        <v>1.85307</v>
      </c>
      <c r="AR112" s="288"/>
      <c r="AS112" s="289"/>
      <c r="AT112" s="294">
        <f>J112+M112+P112+S112+V112+Y112+AB112+AE112+AH112+AK112+AN112+AQ112</f>
        <v>19.4547171</v>
      </c>
      <c r="AU112" s="288"/>
      <c r="AV112" s="290"/>
      <c r="AW112" s="285"/>
      <c r="AX112" s="312"/>
      <c r="AY112" s="313"/>
      <c r="AZ112" s="261"/>
      <c r="BA112" s="261"/>
      <c r="BB112" s="261"/>
      <c r="BC112" s="261"/>
    </row>
    <row r="113" spans="1:55" ht="18.75">
      <c r="B113" s="179"/>
      <c r="C113" s="179"/>
      <c r="D113" s="181">
        <v>341900</v>
      </c>
      <c r="E113" s="181"/>
      <c r="F113" s="181"/>
      <c r="G113" s="181">
        <v>341900</v>
      </c>
      <c r="H113" s="470" t="s">
        <v>1571</v>
      </c>
      <c r="I113" s="470"/>
      <c r="J113" s="277">
        <f>J114+J115+J116</f>
        <v>929.49124499999994</v>
      </c>
      <c r="K113" s="275">
        <f>L113-J113</f>
        <v>390.60875499999997</v>
      </c>
      <c r="L113" s="276">
        <f>Потребление!D12</f>
        <v>1320.1</v>
      </c>
      <c r="M113" s="274">
        <f>M114+M115+M116</f>
        <v>950.44198499999993</v>
      </c>
      <c r="N113" s="275">
        <f>O113-M113</f>
        <v>277.15801499999907</v>
      </c>
      <c r="O113" s="276">
        <f>Потребление!E12</f>
        <v>1227.599999999999</v>
      </c>
      <c r="P113" s="274">
        <f>P114+P115+P116</f>
        <v>983.18839400000002</v>
      </c>
      <c r="Q113" s="275">
        <f>R113-P113</f>
        <v>285.61160599999994</v>
      </c>
      <c r="R113" s="276">
        <f>Потребление!F12</f>
        <v>1268.8</v>
      </c>
      <c r="S113" s="274">
        <f>S114+S115+S116</f>
        <v>848.71412900000007</v>
      </c>
      <c r="T113" s="275">
        <f>U113-S113</f>
        <v>329.48587099999997</v>
      </c>
      <c r="U113" s="276">
        <f>Потребление!G12</f>
        <v>1178.2</v>
      </c>
      <c r="V113" s="274">
        <f>V114+V115+V116</f>
        <v>930.47502499999996</v>
      </c>
      <c r="W113" s="275">
        <f>X113-V113</f>
        <v>208.42497500000013</v>
      </c>
      <c r="X113" s="276">
        <f>Потребление!H12</f>
        <v>1138.9000000000001</v>
      </c>
      <c r="Y113" s="274">
        <f>Y114+Y115+Y116</f>
        <v>888.80950199999995</v>
      </c>
      <c r="Z113" s="275">
        <f>AA113-Y113</f>
        <v>178.09049800000014</v>
      </c>
      <c r="AA113" s="276">
        <f>Потребление!I12</f>
        <v>1066.9000000000001</v>
      </c>
      <c r="AB113" s="274">
        <f>AB114+AB115+AB116</f>
        <v>680.393822</v>
      </c>
      <c r="AC113" s="275">
        <f>AD113-AB113</f>
        <v>425.80617800000005</v>
      </c>
      <c r="AD113" s="276">
        <f>Потребление!J12</f>
        <v>1106.2</v>
      </c>
      <c r="AE113" s="274">
        <f>AE114+AE115+AE116</f>
        <v>866.73112700000001</v>
      </c>
      <c r="AF113" s="275">
        <f>AG113-AE113</f>
        <v>254.56887299999994</v>
      </c>
      <c r="AG113" s="276">
        <f>Потребление!K12</f>
        <v>1121.3</v>
      </c>
      <c r="AH113" s="274">
        <f>AH114+AH115+AH116</f>
        <v>892.27376900000013</v>
      </c>
      <c r="AI113" s="275">
        <f>AJ113-AH113</f>
        <v>242.12623099999996</v>
      </c>
      <c r="AJ113" s="276">
        <f>Потребление!L12</f>
        <v>1134.4000000000001</v>
      </c>
      <c r="AK113" s="274">
        <f>AK114+AK115+AK116</f>
        <v>962.80401299999994</v>
      </c>
      <c r="AL113" s="275">
        <f>AM113-AK113</f>
        <v>244.99598700000001</v>
      </c>
      <c r="AM113" s="276">
        <f>Потребление!M12</f>
        <v>1207.8</v>
      </c>
      <c r="AN113" s="274">
        <f>AN114+AN115+AN116</f>
        <v>979.80172500000003</v>
      </c>
      <c r="AO113" s="275">
        <f>AP113-AN113</f>
        <v>250.79827499999988</v>
      </c>
      <c r="AP113" s="276">
        <f>Потребление!N12</f>
        <v>1230.5999999999999</v>
      </c>
      <c r="AQ113" s="274">
        <f>AQ114+AQ115+AQ116</f>
        <v>1030.8561890000001</v>
      </c>
      <c r="AR113" s="275">
        <f>AS113-AQ113</f>
        <v>317.34381099999996</v>
      </c>
      <c r="AS113" s="276">
        <f>Потребление!O12</f>
        <v>1348.2</v>
      </c>
      <c r="AT113" s="274">
        <f>AT114+AT115+AT116</f>
        <v>10943.980925</v>
      </c>
      <c r="AU113" s="275">
        <f>AV113-AT113</f>
        <v>3405.0190749999983</v>
      </c>
      <c r="AV113" s="278">
        <f>L113+O113+R113+U113+X113+AA113+AD113+AG113+AJ113+AM113+AP113+AS113</f>
        <v>14348.999999999998</v>
      </c>
      <c r="AW113" s="279"/>
      <c r="AX113" s="1067">
        <v>14011.180719</v>
      </c>
      <c r="AY113" s="298">
        <f>AY114+AY115+AY116</f>
        <v>10143.859238000001</v>
      </c>
      <c r="AZ113" s="261"/>
      <c r="BA113" s="261"/>
      <c r="BB113" s="261"/>
      <c r="BC113" s="261"/>
    </row>
    <row r="114" spans="1:55">
      <c r="B114" s="179"/>
      <c r="C114" s="179"/>
      <c r="D114" s="181"/>
      <c r="E114" s="181"/>
      <c r="F114" s="181"/>
      <c r="G114" s="181"/>
      <c r="H114" s="10" t="s">
        <v>173</v>
      </c>
      <c r="I114" s="10"/>
      <c r="J114" s="223">
        <f>J117+J120+J123+J124</f>
        <v>393.7704</v>
      </c>
      <c r="K114" s="271"/>
      <c r="L114" s="224"/>
      <c r="M114" s="270">
        <f>M117+M120+M123+M124</f>
        <v>460.57839999999999</v>
      </c>
      <c r="N114" s="271"/>
      <c r="O114" s="224"/>
      <c r="P114" s="270">
        <f>P117+P120+P123+P124</f>
        <v>452.2824</v>
      </c>
      <c r="Q114" s="271"/>
      <c r="R114" s="224"/>
      <c r="S114" s="270">
        <f>S117+S120+S123+S124</f>
        <v>347.73200000000003</v>
      </c>
      <c r="T114" s="271"/>
      <c r="U114" s="224"/>
      <c r="V114" s="270">
        <f>V117+V120+V123+V124</f>
        <v>444.74</v>
      </c>
      <c r="W114" s="271"/>
      <c r="X114" s="224"/>
      <c r="Y114" s="270">
        <f>Y117+Y120+Y123+Y124</f>
        <v>457.50400000000002</v>
      </c>
      <c r="Z114" s="271"/>
      <c r="AA114" s="224"/>
      <c r="AB114" s="270">
        <f>AB117+AB120+AB123+AB124</f>
        <v>235.23359999999997</v>
      </c>
      <c r="AC114" s="271"/>
      <c r="AD114" s="224"/>
      <c r="AE114" s="270">
        <f>AE117+AE120+AE123+AE124</f>
        <v>451.92</v>
      </c>
      <c r="AF114" s="271"/>
      <c r="AG114" s="224"/>
      <c r="AH114" s="270">
        <f>AH117+AH120+AH123+AH124</f>
        <v>418.86290000000002</v>
      </c>
      <c r="AI114" s="271"/>
      <c r="AJ114" s="224"/>
      <c r="AK114" s="270">
        <f>AK117+AK120+AK123+AK124</f>
        <v>431.23839999999996</v>
      </c>
      <c r="AL114" s="271"/>
      <c r="AM114" s="224"/>
      <c r="AN114" s="270">
        <f>AN117+AN120+AN123+AN124</f>
        <v>471.02240000000006</v>
      </c>
      <c r="AO114" s="271"/>
      <c r="AP114" s="224"/>
      <c r="AQ114" s="270">
        <f>AQ117+AQ120+AQ123+AQ124</f>
        <v>493.7704</v>
      </c>
      <c r="AR114" s="271"/>
      <c r="AS114" s="224"/>
      <c r="AT114" s="270">
        <f>AT117+AT120+AT123+AT124</f>
        <v>5058.6548999999995</v>
      </c>
      <c r="AU114" s="271"/>
      <c r="AV114" s="229"/>
      <c r="AW114" s="226"/>
      <c r="AX114" s="230"/>
      <c r="AY114" s="231">
        <f>SUM(AY117:AY124)</f>
        <v>4184.0813170000001</v>
      </c>
      <c r="AZ114" s="261"/>
      <c r="BA114" s="261"/>
      <c r="BB114" s="261"/>
      <c r="BC114" s="261"/>
    </row>
    <row r="115" spans="1:55">
      <c r="B115" s="179"/>
      <c r="C115" s="179"/>
      <c r="D115" s="181"/>
      <c r="E115" s="181"/>
      <c r="F115" s="181"/>
      <c r="G115" s="181"/>
      <c r="H115" s="10" t="s">
        <v>55</v>
      </c>
      <c r="I115" s="10"/>
      <c r="J115" s="223">
        <f>SUM(J125:J126)</f>
        <v>8.9</v>
      </c>
      <c r="K115" s="271"/>
      <c r="L115" s="224"/>
      <c r="M115" s="270">
        <f>SUM(M125:M126)</f>
        <v>8.8000000000000007</v>
      </c>
      <c r="N115" s="271"/>
      <c r="O115" s="224"/>
      <c r="P115" s="270">
        <f>SUM(P125:P126)</f>
        <v>8.8000000000000007</v>
      </c>
      <c r="Q115" s="271"/>
      <c r="R115" s="224"/>
      <c r="S115" s="270">
        <f>SUM(S125:S126)</f>
        <v>10.9</v>
      </c>
      <c r="T115" s="271"/>
      <c r="U115" s="224"/>
      <c r="V115" s="270">
        <f>SUM(V125:V126)</f>
        <v>18.2</v>
      </c>
      <c r="W115" s="271"/>
      <c r="X115" s="224"/>
      <c r="Y115" s="270">
        <f>SUM(Y125:Y126)</f>
        <v>7.9</v>
      </c>
      <c r="Z115" s="271"/>
      <c r="AA115" s="224"/>
      <c r="AB115" s="270">
        <f>SUM(AB125:AB126)</f>
        <v>1.8</v>
      </c>
      <c r="AC115" s="271"/>
      <c r="AD115" s="224"/>
      <c r="AE115" s="270">
        <f>SUM(AE125:AE126)</f>
        <v>1.8</v>
      </c>
      <c r="AF115" s="271"/>
      <c r="AG115" s="224"/>
      <c r="AH115" s="270">
        <f>SUM(AH125:AH126)</f>
        <v>3.8</v>
      </c>
      <c r="AI115" s="271"/>
      <c r="AJ115" s="224"/>
      <c r="AK115" s="270">
        <f>SUM(AK125:AK126)</f>
        <v>9</v>
      </c>
      <c r="AL115" s="271"/>
      <c r="AM115" s="224"/>
      <c r="AN115" s="270">
        <f>SUM(AN125:AN126)</f>
        <v>7</v>
      </c>
      <c r="AO115" s="271"/>
      <c r="AP115" s="224"/>
      <c r="AQ115" s="270">
        <f>SUM(AQ125:AQ126)</f>
        <v>11.1</v>
      </c>
      <c r="AR115" s="271"/>
      <c r="AS115" s="224"/>
      <c r="AT115" s="270">
        <f>SUM(AT125:AT126)</f>
        <v>98</v>
      </c>
      <c r="AU115" s="271"/>
      <c r="AV115" s="229"/>
      <c r="AW115" s="226"/>
      <c r="AX115" s="230"/>
      <c r="AY115" s="231">
        <f>SUM(AY125:AY126)</f>
        <v>139.51174700000001</v>
      </c>
      <c r="AZ115" s="261"/>
      <c r="BA115" s="261"/>
      <c r="BB115" s="261"/>
      <c r="BC115" s="261"/>
    </row>
    <row r="116" spans="1:55">
      <c r="B116" s="179"/>
      <c r="C116" s="179"/>
      <c r="D116" s="181"/>
      <c r="E116" s="181"/>
      <c r="F116" s="181"/>
      <c r="G116" s="181"/>
      <c r="H116" s="10" t="s">
        <v>99</v>
      </c>
      <c r="I116" s="10"/>
      <c r="J116" s="223">
        <f>J127</f>
        <v>526.82084499999996</v>
      </c>
      <c r="K116" s="271"/>
      <c r="L116" s="224"/>
      <c r="M116" s="270">
        <f>M127</f>
        <v>481.06358499999993</v>
      </c>
      <c r="N116" s="271"/>
      <c r="O116" s="224"/>
      <c r="P116" s="270">
        <f>P127</f>
        <v>522.10599400000001</v>
      </c>
      <c r="Q116" s="271"/>
      <c r="R116" s="224"/>
      <c r="S116" s="270">
        <f>S127</f>
        <v>490.08212900000007</v>
      </c>
      <c r="T116" s="271"/>
      <c r="U116" s="224"/>
      <c r="V116" s="270">
        <f>V127</f>
        <v>467.53502500000002</v>
      </c>
      <c r="W116" s="271"/>
      <c r="X116" s="224"/>
      <c r="Y116" s="270">
        <f>Y127</f>
        <v>423.40550199999996</v>
      </c>
      <c r="Z116" s="271"/>
      <c r="AA116" s="224"/>
      <c r="AB116" s="270">
        <f>AB127</f>
        <v>443.36022199999996</v>
      </c>
      <c r="AC116" s="271"/>
      <c r="AD116" s="224"/>
      <c r="AE116" s="270">
        <f>AE127</f>
        <v>413.01112699999999</v>
      </c>
      <c r="AF116" s="271"/>
      <c r="AG116" s="224"/>
      <c r="AH116" s="270">
        <f>AH127</f>
        <v>469.61086900000004</v>
      </c>
      <c r="AI116" s="271"/>
      <c r="AJ116" s="224"/>
      <c r="AK116" s="270">
        <f>AK127</f>
        <v>522.56561299999998</v>
      </c>
      <c r="AL116" s="271"/>
      <c r="AM116" s="224"/>
      <c r="AN116" s="270">
        <f>AN127</f>
        <v>501.77932499999991</v>
      </c>
      <c r="AO116" s="271"/>
      <c r="AP116" s="224"/>
      <c r="AQ116" s="270">
        <f>AQ127</f>
        <v>525.98578899999995</v>
      </c>
      <c r="AR116" s="271"/>
      <c r="AS116" s="224"/>
      <c r="AT116" s="270">
        <f>AT127</f>
        <v>5787.3260250000003</v>
      </c>
      <c r="AU116" s="271"/>
      <c r="AV116" s="229"/>
      <c r="AW116" s="226"/>
      <c r="AX116" s="230"/>
      <c r="AY116" s="231">
        <f>AY127</f>
        <v>5820.2661740000003</v>
      </c>
      <c r="AZ116" s="261"/>
      <c r="BA116" s="261"/>
      <c r="BB116" s="261"/>
      <c r="BC116" s="261"/>
    </row>
    <row r="117" spans="1:55">
      <c r="B117" s="179"/>
      <c r="C117" s="179"/>
      <c r="D117" s="181">
        <v>341910</v>
      </c>
      <c r="E117" s="181"/>
      <c r="F117" s="181"/>
      <c r="G117" s="1110">
        <v>341910</v>
      </c>
      <c r="H117" s="137" t="s">
        <v>1284</v>
      </c>
      <c r="I117" s="516" t="s">
        <v>364</v>
      </c>
      <c r="J117" s="238">
        <f>J118+J119</f>
        <v>66.080800000000011</v>
      </c>
      <c r="K117" s="256"/>
      <c r="L117" s="302"/>
      <c r="M117" s="262">
        <f>M118+M119</f>
        <v>79.9512</v>
      </c>
      <c r="N117" s="256"/>
      <c r="O117" s="302"/>
      <c r="P117" s="238">
        <f>P118+P119</f>
        <v>84.592799999999997</v>
      </c>
      <c r="Q117" s="256"/>
      <c r="R117" s="302"/>
      <c r="S117" s="238">
        <f>S118+S119</f>
        <v>66.25200000000001</v>
      </c>
      <c r="T117" s="256"/>
      <c r="U117" s="302"/>
      <c r="V117" s="238">
        <f>V118+V119</f>
        <v>68.224800000000002</v>
      </c>
      <c r="W117" s="256"/>
      <c r="X117" s="302"/>
      <c r="Y117" s="238">
        <f>Y118+Y119</f>
        <v>66.024000000000001</v>
      </c>
      <c r="Z117" s="256"/>
      <c r="AA117" s="302"/>
      <c r="AB117" s="238">
        <f>AB118+AB119</f>
        <v>68.224800000000002</v>
      </c>
      <c r="AC117" s="256"/>
      <c r="AD117" s="302"/>
      <c r="AE117" s="238">
        <f>AE118+AE119</f>
        <v>51.095999999999997</v>
      </c>
      <c r="AF117" s="256"/>
      <c r="AG117" s="302"/>
      <c r="AH117" s="238">
        <f>AH118+AH119</f>
        <v>29.7989</v>
      </c>
      <c r="AI117" s="256"/>
      <c r="AJ117" s="302"/>
      <c r="AK117" s="238">
        <f>AK118+AK119</f>
        <v>83.848799999999997</v>
      </c>
      <c r="AL117" s="256"/>
      <c r="AM117" s="302"/>
      <c r="AN117" s="238">
        <f>AN118+AN119</f>
        <v>81.864000000000004</v>
      </c>
      <c r="AO117" s="256"/>
      <c r="AP117" s="302"/>
      <c r="AQ117" s="238">
        <f>AQ118+AQ119</f>
        <v>86.080800000000011</v>
      </c>
      <c r="AR117" s="256"/>
      <c r="AS117" s="302"/>
      <c r="AT117" s="238">
        <f>AT118+AT119</f>
        <v>832.0388999999999</v>
      </c>
      <c r="AU117" s="256"/>
      <c r="AV117" s="315"/>
      <c r="AW117" s="226"/>
      <c r="AX117" s="316"/>
      <c r="AY117" s="888">
        <v>710.93523700000003</v>
      </c>
      <c r="AZ117" s="261"/>
      <c r="BA117" s="261"/>
      <c r="BB117" s="261"/>
      <c r="BC117" s="261"/>
    </row>
    <row r="118" spans="1:55" ht="15" customHeight="1">
      <c r="B118" s="179"/>
      <c r="C118" s="179"/>
      <c r="D118" s="181"/>
      <c r="E118" s="181"/>
      <c r="F118" s="181"/>
      <c r="G118" s="1110"/>
      <c r="H118" s="123" t="s">
        <v>1284</v>
      </c>
      <c r="I118" s="123"/>
      <c r="J118" s="244">
        <v>17.856000000000002</v>
      </c>
      <c r="K118" s="246"/>
      <c r="L118" s="282"/>
      <c r="M118" s="244">
        <v>16.128</v>
      </c>
      <c r="N118" s="246"/>
      <c r="O118" s="282"/>
      <c r="P118" s="244">
        <v>16.367999999999999</v>
      </c>
      <c r="Q118" s="246"/>
      <c r="R118" s="282"/>
      <c r="S118" s="244">
        <v>11.231999999999999</v>
      </c>
      <c r="T118" s="246"/>
      <c r="U118" s="282"/>
      <c r="V118" s="244">
        <v>0</v>
      </c>
      <c r="W118" s="246"/>
      <c r="X118" s="282"/>
      <c r="Y118" s="244">
        <v>0</v>
      </c>
      <c r="Z118" s="246"/>
      <c r="AA118" s="282"/>
      <c r="AB118" s="244">
        <v>0</v>
      </c>
      <c r="AC118" s="246"/>
      <c r="AD118" s="282"/>
      <c r="AE118" s="244">
        <v>2.1576</v>
      </c>
      <c r="AF118" s="246"/>
      <c r="AG118" s="282"/>
      <c r="AH118" s="244">
        <v>7.7909000000000006</v>
      </c>
      <c r="AI118" s="246"/>
      <c r="AJ118" s="282"/>
      <c r="AK118" s="244">
        <v>15.624000000000001</v>
      </c>
      <c r="AL118" s="246"/>
      <c r="AM118" s="282"/>
      <c r="AN118" s="244">
        <v>15.84</v>
      </c>
      <c r="AO118" s="246"/>
      <c r="AP118" s="282"/>
      <c r="AQ118" s="244">
        <v>17.856000000000002</v>
      </c>
      <c r="AR118" s="246"/>
      <c r="AS118" s="282"/>
      <c r="AT118" s="244">
        <f>J118+M118+P118+S118+V118+Y118+AB118+AE118+AH118+AK118+AN118+AQ118</f>
        <v>120.85249999999999</v>
      </c>
      <c r="AU118" s="283"/>
      <c r="AV118" s="284"/>
      <c r="AW118" s="285"/>
      <c r="AX118" s="306"/>
      <c r="AY118" s="300"/>
      <c r="AZ118" s="261"/>
      <c r="BA118" s="261"/>
      <c r="BB118" s="261"/>
      <c r="BC118" s="261"/>
    </row>
    <row r="119" spans="1:55">
      <c r="B119" s="179"/>
      <c r="C119" s="179"/>
      <c r="D119" s="181"/>
      <c r="E119" s="181"/>
      <c r="F119" s="181"/>
      <c r="G119" s="1110"/>
      <c r="H119" s="123" t="s">
        <v>1285</v>
      </c>
      <c r="I119" s="123"/>
      <c r="J119" s="320">
        <f>68.2248-20</f>
        <v>48.224800000000002</v>
      </c>
      <c r="K119" s="246"/>
      <c r="L119" s="282"/>
      <c r="M119" s="244">
        <v>63.823200000000007</v>
      </c>
      <c r="N119" s="246"/>
      <c r="O119" s="282"/>
      <c r="P119" s="244">
        <v>68.224800000000002</v>
      </c>
      <c r="Q119" s="246"/>
      <c r="R119" s="282"/>
      <c r="S119" s="244">
        <v>55.02</v>
      </c>
      <c r="T119" s="246"/>
      <c r="U119" s="282"/>
      <c r="V119" s="244">
        <v>68.224800000000002</v>
      </c>
      <c r="W119" s="246"/>
      <c r="X119" s="282"/>
      <c r="Y119" s="244">
        <v>66.024000000000001</v>
      </c>
      <c r="Z119" s="246"/>
      <c r="AA119" s="282"/>
      <c r="AB119" s="244">
        <v>68.224800000000002</v>
      </c>
      <c r="AC119" s="246"/>
      <c r="AD119" s="282"/>
      <c r="AE119" s="244">
        <v>48.938399999999994</v>
      </c>
      <c r="AF119" s="246"/>
      <c r="AG119" s="282"/>
      <c r="AH119" s="244">
        <v>22.007999999999999</v>
      </c>
      <c r="AI119" s="246"/>
      <c r="AJ119" s="282"/>
      <c r="AK119" s="244">
        <v>68.224800000000002</v>
      </c>
      <c r="AL119" s="246"/>
      <c r="AM119" s="282"/>
      <c r="AN119" s="244">
        <v>66.024000000000001</v>
      </c>
      <c r="AO119" s="246"/>
      <c r="AP119" s="282"/>
      <c r="AQ119" s="244">
        <v>68.224800000000002</v>
      </c>
      <c r="AR119" s="246"/>
      <c r="AS119" s="282"/>
      <c r="AT119" s="244">
        <f>J119+M119+P119+S119+V119+Y119+AB119+AE119+AH119+AK119+AN119+AQ119</f>
        <v>711.18639999999994</v>
      </c>
      <c r="AU119" s="283"/>
      <c r="AV119" s="284"/>
      <c r="AW119" s="285"/>
      <c r="AX119" s="306"/>
      <c r="AY119" s="300"/>
      <c r="AZ119" s="261"/>
      <c r="BA119" s="261"/>
      <c r="BB119" s="261"/>
      <c r="BC119" s="261"/>
    </row>
    <row r="120" spans="1:55">
      <c r="B120" s="179"/>
      <c r="C120" s="179"/>
      <c r="D120" s="181">
        <v>341901</v>
      </c>
      <c r="E120" s="181"/>
      <c r="F120" s="181"/>
      <c r="G120" s="1110">
        <v>341901</v>
      </c>
      <c r="H120" s="137" t="s">
        <v>628</v>
      </c>
      <c r="I120" s="516" t="s">
        <v>364</v>
      </c>
      <c r="J120" s="262">
        <f>J121+J122</f>
        <v>290</v>
      </c>
      <c r="K120" s="246"/>
      <c r="L120" s="282"/>
      <c r="M120" s="317">
        <f>M121+M122</f>
        <v>346</v>
      </c>
      <c r="N120" s="246"/>
      <c r="O120" s="282"/>
      <c r="P120" s="317">
        <f>P121+P122</f>
        <v>330</v>
      </c>
      <c r="Q120" s="246"/>
      <c r="R120" s="282"/>
      <c r="S120" s="317">
        <f>S121+S122</f>
        <v>242</v>
      </c>
      <c r="T120" s="246"/>
      <c r="U120" s="282"/>
      <c r="V120" s="317">
        <f>V121+V122</f>
        <v>341</v>
      </c>
      <c r="W120" s="246"/>
      <c r="X120" s="282"/>
      <c r="Y120" s="317">
        <f>Y121+Y122</f>
        <v>352</v>
      </c>
      <c r="Z120" s="246"/>
      <c r="AA120" s="282"/>
      <c r="AB120" s="317">
        <f>AB121+AB122</f>
        <v>143.36879999999999</v>
      </c>
      <c r="AC120" s="246"/>
      <c r="AD120" s="282"/>
      <c r="AE120" s="317">
        <f>AE121+AE122</f>
        <v>366</v>
      </c>
      <c r="AF120" s="246"/>
      <c r="AG120" s="282"/>
      <c r="AH120" s="317">
        <f>AH121+AH122</f>
        <v>354</v>
      </c>
      <c r="AI120" s="246"/>
      <c r="AJ120" s="282"/>
      <c r="AK120" s="317">
        <f>AK121+AK122</f>
        <v>304</v>
      </c>
      <c r="AL120" s="246"/>
      <c r="AM120" s="282"/>
      <c r="AN120" s="317">
        <f>AN121+AN122</f>
        <v>353</v>
      </c>
      <c r="AO120" s="246"/>
      <c r="AP120" s="282"/>
      <c r="AQ120" s="317">
        <f>AQ121+AQ122</f>
        <v>370</v>
      </c>
      <c r="AR120" s="283"/>
      <c r="AS120" s="299"/>
      <c r="AT120" s="317">
        <f>AT121+AT122</f>
        <v>3791.3688000000002</v>
      </c>
      <c r="AU120" s="283"/>
      <c r="AV120" s="284"/>
      <c r="AW120" s="285"/>
      <c r="AX120" s="306"/>
      <c r="AY120" s="888">
        <v>3124.2332000000001</v>
      </c>
      <c r="AZ120" s="261"/>
      <c r="BA120" s="261"/>
      <c r="BB120" s="261"/>
      <c r="BC120" s="261"/>
    </row>
    <row r="121" spans="1:55">
      <c r="B121" s="179"/>
      <c r="C121" s="179"/>
      <c r="D121" s="181"/>
      <c r="E121" s="181"/>
      <c r="F121" s="181"/>
      <c r="G121" s="1110"/>
      <c r="H121" s="123" t="s">
        <v>629</v>
      </c>
      <c r="I121" s="123"/>
      <c r="J121" s="244">
        <f>123</f>
        <v>123</v>
      </c>
      <c r="K121" s="246"/>
      <c r="L121" s="282"/>
      <c r="M121" s="244">
        <v>115</v>
      </c>
      <c r="N121" s="246"/>
      <c r="O121" s="282"/>
      <c r="P121" s="244">
        <v>93</v>
      </c>
      <c r="Q121" s="246"/>
      <c r="R121" s="282"/>
      <c r="S121" s="244">
        <v>115</v>
      </c>
      <c r="T121" s="246"/>
      <c r="U121" s="282"/>
      <c r="V121" s="244">
        <v>98</v>
      </c>
      <c r="W121" s="246"/>
      <c r="X121" s="282"/>
      <c r="Y121" s="244">
        <v>117</v>
      </c>
      <c r="Z121" s="246"/>
      <c r="AA121" s="282"/>
      <c r="AB121" s="244">
        <v>93</v>
      </c>
      <c r="AC121" s="246"/>
      <c r="AD121" s="282"/>
      <c r="AE121" s="244">
        <v>123</v>
      </c>
      <c r="AF121" s="246"/>
      <c r="AG121" s="282"/>
      <c r="AH121" s="244">
        <v>119</v>
      </c>
      <c r="AI121" s="246"/>
      <c r="AJ121" s="282"/>
      <c r="AK121" s="320">
        <f>107-10</f>
        <v>97</v>
      </c>
      <c r="AL121" s="246"/>
      <c r="AM121" s="282"/>
      <c r="AN121" s="244">
        <v>114</v>
      </c>
      <c r="AO121" s="246"/>
      <c r="AP121" s="282"/>
      <c r="AQ121" s="244">
        <v>123</v>
      </c>
      <c r="AR121" s="246"/>
      <c r="AS121" s="282"/>
      <c r="AT121" s="244">
        <f>J121+M121+P121+S121+V121+Y121+AB121+AE121+AH121+AK121+AN121+AQ121</f>
        <v>1330</v>
      </c>
      <c r="AU121" s="283"/>
      <c r="AV121" s="284"/>
      <c r="AW121" s="285"/>
      <c r="AX121" s="306"/>
      <c r="AY121" s="300"/>
      <c r="AZ121" s="261"/>
      <c r="BA121" s="261"/>
      <c r="BB121" s="261"/>
      <c r="BC121" s="261"/>
    </row>
    <row r="122" spans="1:55">
      <c r="B122" s="179"/>
      <c r="C122" s="179"/>
      <c r="D122" s="181"/>
      <c r="E122" s="181"/>
      <c r="F122" s="181"/>
      <c r="G122" s="1110"/>
      <c r="H122" s="123" t="s">
        <v>518</v>
      </c>
      <c r="I122" s="123"/>
      <c r="J122" s="244">
        <f>247-80</f>
        <v>167</v>
      </c>
      <c r="K122" s="246"/>
      <c r="L122" s="282"/>
      <c r="M122" s="244">
        <v>231</v>
      </c>
      <c r="N122" s="246"/>
      <c r="O122" s="282"/>
      <c r="P122" s="320">
        <f>247-10</f>
        <v>237</v>
      </c>
      <c r="Q122" s="246"/>
      <c r="R122" s="282"/>
      <c r="S122" s="244">
        <v>127</v>
      </c>
      <c r="T122" s="246"/>
      <c r="U122" s="282"/>
      <c r="V122" s="244">
        <v>243</v>
      </c>
      <c r="W122" s="246"/>
      <c r="X122" s="282"/>
      <c r="Y122" s="244">
        <v>235</v>
      </c>
      <c r="Z122" s="246"/>
      <c r="AA122" s="282"/>
      <c r="AB122" s="244">
        <v>50.3688</v>
      </c>
      <c r="AC122" s="246"/>
      <c r="AD122" s="282"/>
      <c r="AE122" s="244">
        <v>243</v>
      </c>
      <c r="AF122" s="246"/>
      <c r="AG122" s="282"/>
      <c r="AH122" s="244">
        <v>235</v>
      </c>
      <c r="AI122" s="246"/>
      <c r="AJ122" s="282"/>
      <c r="AK122" s="320">
        <f>247-20-20</f>
        <v>207</v>
      </c>
      <c r="AL122" s="246"/>
      <c r="AM122" s="282"/>
      <c r="AN122" s="244">
        <v>239</v>
      </c>
      <c r="AO122" s="246"/>
      <c r="AP122" s="282"/>
      <c r="AQ122" s="244">
        <v>247</v>
      </c>
      <c r="AR122" s="246"/>
      <c r="AS122" s="282"/>
      <c r="AT122" s="244">
        <f>J122+M122+P122+S122+V122+Y122+AB122+AE122+AH122+AK122+AN122+AQ122</f>
        <v>2461.3688000000002</v>
      </c>
      <c r="AU122" s="283"/>
      <c r="AV122" s="284"/>
      <c r="AW122" s="285"/>
      <c r="AX122" s="306"/>
      <c r="AY122" s="300"/>
      <c r="AZ122" s="261"/>
      <c r="BA122" s="261"/>
      <c r="BB122" s="261"/>
      <c r="BC122" s="261"/>
    </row>
    <row r="123" spans="1:55" hidden="1">
      <c r="B123" s="179"/>
      <c r="C123" s="179"/>
      <c r="D123" s="181">
        <v>341935</v>
      </c>
      <c r="E123" s="181"/>
      <c r="F123" s="181"/>
      <c r="G123" s="1110">
        <v>341935</v>
      </c>
      <c r="H123" s="123" t="s">
        <v>218</v>
      </c>
      <c r="I123" s="123"/>
      <c r="J123" s="1112"/>
      <c r="K123" s="246"/>
      <c r="L123" s="282"/>
      <c r="M123" s="281"/>
      <c r="N123" s="246"/>
      <c r="O123" s="282"/>
      <c r="P123" s="281"/>
      <c r="Q123" s="246"/>
      <c r="R123" s="282"/>
      <c r="S123" s="281"/>
      <c r="T123" s="246"/>
      <c r="U123" s="282"/>
      <c r="V123" s="281"/>
      <c r="W123" s="246"/>
      <c r="X123" s="282"/>
      <c r="Y123" s="281"/>
      <c r="Z123" s="246"/>
      <c r="AA123" s="282"/>
      <c r="AB123" s="281"/>
      <c r="AC123" s="246"/>
      <c r="AD123" s="282"/>
      <c r="AE123" s="281"/>
      <c r="AF123" s="246"/>
      <c r="AG123" s="282"/>
      <c r="AH123" s="281"/>
      <c r="AI123" s="246"/>
      <c r="AJ123" s="282"/>
      <c r="AK123" s="281"/>
      <c r="AL123" s="246"/>
      <c r="AM123" s="282"/>
      <c r="AN123" s="281"/>
      <c r="AO123" s="246"/>
      <c r="AP123" s="282"/>
      <c r="AQ123" s="244"/>
      <c r="AR123" s="283"/>
      <c r="AS123" s="299"/>
      <c r="AT123" s="244">
        <f t="shared" ref="AT123:AT136" si="5">J123+M123+P123+S123+V123+Y123+AB123+AE123+AH123+AK123+AN123+AQ123</f>
        <v>0</v>
      </c>
      <c r="AU123" s="283"/>
      <c r="AV123" s="284"/>
      <c r="AW123" s="285"/>
      <c r="AX123" s="306"/>
      <c r="AY123" s="300"/>
      <c r="AZ123" s="261"/>
      <c r="BA123" s="261"/>
      <c r="BB123" s="261"/>
      <c r="BC123" s="261"/>
    </row>
    <row r="124" spans="1:55">
      <c r="B124" s="179"/>
      <c r="C124" s="179"/>
      <c r="D124" s="181">
        <v>341939</v>
      </c>
      <c r="E124" s="181"/>
      <c r="F124" s="181"/>
      <c r="G124" s="1110">
        <v>341939</v>
      </c>
      <c r="H124" s="122" t="s">
        <v>1286</v>
      </c>
      <c r="I124" s="516" t="s">
        <v>364</v>
      </c>
      <c r="J124" s="244">
        <v>37.689600000000006</v>
      </c>
      <c r="K124" s="246"/>
      <c r="L124" s="282"/>
      <c r="M124" s="244">
        <v>34.627200000000002</v>
      </c>
      <c r="N124" s="246"/>
      <c r="O124" s="282"/>
      <c r="P124" s="244">
        <v>37.689600000000006</v>
      </c>
      <c r="Q124" s="246"/>
      <c r="R124" s="282"/>
      <c r="S124" s="244">
        <v>39.480000000000004</v>
      </c>
      <c r="T124" s="246"/>
      <c r="U124" s="282"/>
      <c r="V124" s="244">
        <v>35.515200000000007</v>
      </c>
      <c r="W124" s="246"/>
      <c r="X124" s="282"/>
      <c r="Y124" s="244">
        <v>39.479999999999997</v>
      </c>
      <c r="Z124" s="246"/>
      <c r="AA124" s="282"/>
      <c r="AB124" s="244">
        <v>23.64</v>
      </c>
      <c r="AC124" s="246"/>
      <c r="AD124" s="282"/>
      <c r="AE124" s="244">
        <v>34.823999999999998</v>
      </c>
      <c r="AF124" s="246"/>
      <c r="AG124" s="282"/>
      <c r="AH124" s="244">
        <v>35.064</v>
      </c>
      <c r="AI124" s="246"/>
      <c r="AJ124" s="282"/>
      <c r="AK124" s="244">
        <v>43.389600000000002</v>
      </c>
      <c r="AL124" s="246"/>
      <c r="AM124" s="282"/>
      <c r="AN124" s="244">
        <v>36.1584</v>
      </c>
      <c r="AO124" s="246"/>
      <c r="AP124" s="282"/>
      <c r="AQ124" s="244">
        <v>37.689600000000006</v>
      </c>
      <c r="AR124" s="283"/>
      <c r="AS124" s="299"/>
      <c r="AT124" s="244">
        <f t="shared" si="5"/>
        <v>435.24720000000008</v>
      </c>
      <c r="AU124" s="283"/>
      <c r="AV124" s="284"/>
      <c r="AW124" s="285"/>
      <c r="AX124" s="306"/>
      <c r="AY124" s="435">
        <v>348.91287999999997</v>
      </c>
      <c r="AZ124" s="261"/>
      <c r="BA124" s="261"/>
      <c r="BB124" s="261"/>
      <c r="BC124" s="261"/>
    </row>
    <row r="125" spans="1:55">
      <c r="B125" s="179"/>
      <c r="C125" s="179"/>
      <c r="D125" s="181">
        <v>341948</v>
      </c>
      <c r="E125" s="181"/>
      <c r="F125" s="181"/>
      <c r="G125" s="1110">
        <v>341948</v>
      </c>
      <c r="H125" s="123" t="s">
        <v>769</v>
      </c>
      <c r="I125" s="519" t="s">
        <v>365</v>
      </c>
      <c r="J125" s="587">
        <v>0.9</v>
      </c>
      <c r="K125" s="246"/>
      <c r="L125" s="282"/>
      <c r="M125" s="587">
        <v>0.8</v>
      </c>
      <c r="N125" s="246"/>
      <c r="O125" s="282"/>
      <c r="P125" s="587">
        <v>0.8</v>
      </c>
      <c r="Q125" s="246"/>
      <c r="R125" s="282"/>
      <c r="S125" s="587">
        <v>0.9</v>
      </c>
      <c r="T125" s="246"/>
      <c r="U125" s="282"/>
      <c r="V125" s="587">
        <v>1.2</v>
      </c>
      <c r="W125" s="246"/>
      <c r="X125" s="282"/>
      <c r="Y125" s="587">
        <v>0.9</v>
      </c>
      <c r="Z125" s="246"/>
      <c r="AA125" s="282"/>
      <c r="AB125" s="587">
        <v>0.8</v>
      </c>
      <c r="AC125" s="246"/>
      <c r="AD125" s="282"/>
      <c r="AE125" s="587">
        <v>0.8</v>
      </c>
      <c r="AF125" s="246"/>
      <c r="AG125" s="282"/>
      <c r="AH125" s="587">
        <v>0.8</v>
      </c>
      <c r="AI125" s="246"/>
      <c r="AJ125" s="282"/>
      <c r="AK125" s="587">
        <v>1</v>
      </c>
      <c r="AL125" s="246"/>
      <c r="AM125" s="282"/>
      <c r="AN125" s="587">
        <v>1</v>
      </c>
      <c r="AO125" s="246"/>
      <c r="AP125" s="282"/>
      <c r="AQ125" s="587">
        <v>1.1000000000000001</v>
      </c>
      <c r="AR125" s="283"/>
      <c r="AS125" s="299"/>
      <c r="AT125" s="587">
        <f t="shared" si="5"/>
        <v>10.999999999999998</v>
      </c>
      <c r="AU125" s="283"/>
      <c r="AV125" s="284"/>
      <c r="AW125" s="285"/>
      <c r="AX125" s="306"/>
      <c r="AY125" s="435">
        <v>10.778127</v>
      </c>
      <c r="AZ125" s="261"/>
      <c r="BA125" s="261"/>
      <c r="BB125" s="261"/>
      <c r="BC125" s="261"/>
    </row>
    <row r="126" spans="1:55" s="3" customFormat="1">
      <c r="A126" s="179"/>
      <c r="B126" s="179"/>
      <c r="C126" s="179"/>
      <c r="D126" s="181">
        <v>340549</v>
      </c>
      <c r="E126" s="181"/>
      <c r="F126" s="181"/>
      <c r="G126" s="1110">
        <v>340549</v>
      </c>
      <c r="H126" s="123" t="s">
        <v>770</v>
      </c>
      <c r="I126" s="519" t="s">
        <v>365</v>
      </c>
      <c r="J126" s="587">
        <v>8</v>
      </c>
      <c r="K126" s="246"/>
      <c r="L126" s="282"/>
      <c r="M126" s="587">
        <v>8</v>
      </c>
      <c r="N126" s="246"/>
      <c r="O126" s="282"/>
      <c r="P126" s="587">
        <v>8</v>
      </c>
      <c r="Q126" s="246"/>
      <c r="R126" s="282"/>
      <c r="S126" s="587">
        <v>10</v>
      </c>
      <c r="T126" s="246"/>
      <c r="U126" s="282"/>
      <c r="V126" s="587">
        <v>17</v>
      </c>
      <c r="W126" s="246"/>
      <c r="X126" s="282"/>
      <c r="Y126" s="587">
        <v>7</v>
      </c>
      <c r="Z126" s="246"/>
      <c r="AA126" s="282"/>
      <c r="AB126" s="587">
        <v>1</v>
      </c>
      <c r="AC126" s="246"/>
      <c r="AD126" s="282"/>
      <c r="AE126" s="587">
        <v>1</v>
      </c>
      <c r="AF126" s="246"/>
      <c r="AG126" s="282"/>
      <c r="AH126" s="587">
        <v>3</v>
      </c>
      <c r="AI126" s="246"/>
      <c r="AJ126" s="282"/>
      <c r="AK126" s="587">
        <v>8</v>
      </c>
      <c r="AL126" s="246"/>
      <c r="AM126" s="282"/>
      <c r="AN126" s="587">
        <v>6</v>
      </c>
      <c r="AO126" s="246"/>
      <c r="AP126" s="282"/>
      <c r="AQ126" s="587">
        <v>10</v>
      </c>
      <c r="AR126" s="283"/>
      <c r="AS126" s="299"/>
      <c r="AT126" s="587">
        <f t="shared" si="5"/>
        <v>87</v>
      </c>
      <c r="AU126" s="283"/>
      <c r="AV126" s="284"/>
      <c r="AW126" s="285"/>
      <c r="AX126" s="306"/>
      <c r="AY126" s="435">
        <v>128.73362</v>
      </c>
      <c r="AZ126" s="318"/>
      <c r="BA126" s="318"/>
      <c r="BB126" s="318"/>
      <c r="BC126" s="318"/>
    </row>
    <row r="127" spans="1:55">
      <c r="B127" s="179"/>
      <c r="C127" s="179"/>
      <c r="D127" s="181"/>
      <c r="E127" s="181"/>
      <c r="F127" s="181"/>
      <c r="G127" s="1110"/>
      <c r="H127" s="138" t="s">
        <v>174</v>
      </c>
      <c r="I127" s="138"/>
      <c r="J127" s="319">
        <f>SUM(J128:J136)</f>
        <v>526.82084499999996</v>
      </c>
      <c r="K127" s="307"/>
      <c r="L127" s="308"/>
      <c r="M127" s="319">
        <f>SUM(M128:M136)</f>
        <v>481.06358499999993</v>
      </c>
      <c r="N127" s="307"/>
      <c r="O127" s="308"/>
      <c r="P127" s="319">
        <f>SUM(P128:P136)</f>
        <v>522.10599400000001</v>
      </c>
      <c r="Q127" s="307"/>
      <c r="R127" s="308"/>
      <c r="S127" s="319">
        <f>SUM(S128:S136)</f>
        <v>490.08212900000007</v>
      </c>
      <c r="T127" s="307"/>
      <c r="U127" s="308"/>
      <c r="V127" s="319">
        <f>SUM(V128:V136)</f>
        <v>467.53502500000002</v>
      </c>
      <c r="W127" s="307"/>
      <c r="X127" s="308"/>
      <c r="Y127" s="319">
        <f>SUM(Y128:Y136)</f>
        <v>423.40550199999996</v>
      </c>
      <c r="Z127" s="307"/>
      <c r="AA127" s="308"/>
      <c r="AB127" s="319">
        <f>SUM(AB128:AB136)</f>
        <v>443.36022199999996</v>
      </c>
      <c r="AC127" s="307"/>
      <c r="AD127" s="308"/>
      <c r="AE127" s="319">
        <f>SUM(AE128:AE136)</f>
        <v>413.01112699999999</v>
      </c>
      <c r="AF127" s="307"/>
      <c r="AG127" s="308"/>
      <c r="AH127" s="319">
        <f>SUM(AH128:AH136)</f>
        <v>469.61086900000004</v>
      </c>
      <c r="AI127" s="307"/>
      <c r="AJ127" s="308"/>
      <c r="AK127" s="319">
        <f>SUM(AK128:AK136)</f>
        <v>522.56561299999998</v>
      </c>
      <c r="AL127" s="307"/>
      <c r="AM127" s="308"/>
      <c r="AN127" s="319">
        <f>SUM(AN128:AN136)</f>
        <v>501.77932499999991</v>
      </c>
      <c r="AO127" s="307"/>
      <c r="AP127" s="308"/>
      <c r="AQ127" s="319">
        <f>SUM(AQ128:AQ136)</f>
        <v>525.98578899999995</v>
      </c>
      <c r="AR127" s="307"/>
      <c r="AS127" s="308"/>
      <c r="AT127" s="319">
        <f>SUM(AT128:AT136)</f>
        <v>5787.3260250000003</v>
      </c>
      <c r="AU127" s="307"/>
      <c r="AV127" s="309"/>
      <c r="AW127" s="226"/>
      <c r="AX127" s="310"/>
      <c r="AY127" s="436">
        <v>5820.2661740000003</v>
      </c>
      <c r="AZ127" s="261"/>
      <c r="BA127" s="261"/>
      <c r="BB127" s="261"/>
      <c r="BC127" s="261"/>
    </row>
    <row r="128" spans="1:55">
      <c r="B128" s="179"/>
      <c r="C128" s="179"/>
      <c r="D128" s="181">
        <v>341913</v>
      </c>
      <c r="E128" s="181"/>
      <c r="F128" s="181"/>
      <c r="G128" s="1110">
        <v>341913</v>
      </c>
      <c r="H128" s="135" t="s">
        <v>1287</v>
      </c>
      <c r="I128" s="518" t="s">
        <v>365</v>
      </c>
      <c r="J128" s="294">
        <v>40.176000000000002</v>
      </c>
      <c r="K128" s="288"/>
      <c r="L128" s="289"/>
      <c r="M128" s="294">
        <v>36.048000000000002</v>
      </c>
      <c r="N128" s="288"/>
      <c r="O128" s="289"/>
      <c r="P128" s="294">
        <v>40.176000000000002</v>
      </c>
      <c r="Q128" s="288"/>
      <c r="R128" s="289"/>
      <c r="S128" s="294">
        <v>35.423999999999999</v>
      </c>
      <c r="T128" s="288"/>
      <c r="U128" s="289"/>
      <c r="V128" s="294">
        <v>37.944000000000003</v>
      </c>
      <c r="W128" s="288"/>
      <c r="X128" s="289"/>
      <c r="Y128" s="294">
        <v>22.68</v>
      </c>
      <c r="Z128" s="288"/>
      <c r="AA128" s="289"/>
      <c r="AB128" s="294">
        <v>35.448</v>
      </c>
      <c r="AC128" s="288"/>
      <c r="AD128" s="289"/>
      <c r="AE128" s="294">
        <v>35.112000000000002</v>
      </c>
      <c r="AF128" s="288"/>
      <c r="AG128" s="289"/>
      <c r="AH128" s="294">
        <v>36.36</v>
      </c>
      <c r="AI128" s="288"/>
      <c r="AJ128" s="289"/>
      <c r="AK128" s="294">
        <v>38.328000000000003</v>
      </c>
      <c r="AL128" s="288"/>
      <c r="AM128" s="289"/>
      <c r="AN128" s="294">
        <v>38.879999999999995</v>
      </c>
      <c r="AO128" s="288"/>
      <c r="AP128" s="289"/>
      <c r="AQ128" s="294">
        <v>38.64</v>
      </c>
      <c r="AR128" s="288"/>
      <c r="AS128" s="289"/>
      <c r="AT128" s="294">
        <f t="shared" si="5"/>
        <v>435.21600000000001</v>
      </c>
      <c r="AU128" s="288"/>
      <c r="AV128" s="290"/>
      <c r="AW128" s="285"/>
      <c r="AX128" s="312"/>
      <c r="AY128" s="313"/>
      <c r="AZ128" s="261"/>
      <c r="BA128" s="261"/>
      <c r="BB128" s="261"/>
      <c r="BC128" s="261"/>
    </row>
    <row r="129" spans="2:55">
      <c r="B129" s="179"/>
      <c r="C129" s="179"/>
      <c r="D129" s="181">
        <v>340543</v>
      </c>
      <c r="E129" s="181"/>
      <c r="F129" s="181"/>
      <c r="G129" s="1110">
        <v>340543</v>
      </c>
      <c r="H129" s="135" t="s">
        <v>1288</v>
      </c>
      <c r="I129" s="518" t="s">
        <v>365</v>
      </c>
      <c r="J129" s="294">
        <v>65.540000000000006</v>
      </c>
      <c r="K129" s="288"/>
      <c r="L129" s="289"/>
      <c r="M129" s="294">
        <v>59.197000000000003</v>
      </c>
      <c r="N129" s="288"/>
      <c r="O129" s="289"/>
      <c r="P129" s="294">
        <v>62.636000000000003</v>
      </c>
      <c r="Q129" s="288"/>
      <c r="R129" s="289"/>
      <c r="S129" s="294">
        <v>58.53</v>
      </c>
      <c r="T129" s="288"/>
      <c r="U129" s="289"/>
      <c r="V129" s="294">
        <v>65.540000000000006</v>
      </c>
      <c r="W129" s="288"/>
      <c r="X129" s="289"/>
      <c r="Y129" s="294">
        <v>60.89</v>
      </c>
      <c r="Z129" s="288"/>
      <c r="AA129" s="289"/>
      <c r="AB129" s="294">
        <v>57.62</v>
      </c>
      <c r="AC129" s="288"/>
      <c r="AD129" s="289"/>
      <c r="AE129" s="294">
        <v>43.963999999999999</v>
      </c>
      <c r="AF129" s="288"/>
      <c r="AG129" s="289"/>
      <c r="AH129" s="294">
        <v>55.314</v>
      </c>
      <c r="AI129" s="288"/>
      <c r="AJ129" s="289"/>
      <c r="AK129" s="294">
        <v>63.692</v>
      </c>
      <c r="AL129" s="288"/>
      <c r="AM129" s="289"/>
      <c r="AN129" s="294">
        <v>63.426000000000002</v>
      </c>
      <c r="AO129" s="288"/>
      <c r="AP129" s="289"/>
      <c r="AQ129" s="294">
        <v>65.540000000000006</v>
      </c>
      <c r="AR129" s="288"/>
      <c r="AS129" s="289"/>
      <c r="AT129" s="294">
        <f t="shared" si="5"/>
        <v>721.88900000000001</v>
      </c>
      <c r="AU129" s="288"/>
      <c r="AV129" s="290"/>
      <c r="AW129" s="285"/>
      <c r="AX129" s="312"/>
      <c r="AY129" s="313"/>
      <c r="AZ129" s="261"/>
      <c r="BA129" s="261"/>
      <c r="BB129" s="261"/>
      <c r="BC129" s="261"/>
    </row>
    <row r="130" spans="2:55">
      <c r="B130" s="179"/>
      <c r="C130" s="179"/>
      <c r="D130" s="181">
        <v>341911</v>
      </c>
      <c r="E130" s="181"/>
      <c r="F130" s="181"/>
      <c r="G130" s="1110">
        <v>341911</v>
      </c>
      <c r="H130" s="135" t="s">
        <v>1289</v>
      </c>
      <c r="I130" s="518" t="s">
        <v>365</v>
      </c>
      <c r="J130" s="294">
        <v>3.6647499999999997</v>
      </c>
      <c r="K130" s="288"/>
      <c r="L130" s="289"/>
      <c r="M130" s="294">
        <v>3.2071499999999995</v>
      </c>
      <c r="N130" s="288"/>
      <c r="O130" s="289"/>
      <c r="P130" s="294">
        <v>3.6647499999999997</v>
      </c>
      <c r="Q130" s="288"/>
      <c r="R130" s="289"/>
      <c r="S130" s="294">
        <v>3.4359499999999992</v>
      </c>
      <c r="T130" s="288"/>
      <c r="U130" s="289"/>
      <c r="V130" s="294">
        <v>3.4359499999999992</v>
      </c>
      <c r="W130" s="288"/>
      <c r="X130" s="289"/>
      <c r="Y130" s="294">
        <v>2.8489499999999994</v>
      </c>
      <c r="Z130" s="288"/>
      <c r="AA130" s="289"/>
      <c r="AB130" s="294">
        <v>2.8489499999999994</v>
      </c>
      <c r="AC130" s="288"/>
      <c r="AD130" s="289"/>
      <c r="AE130" s="294">
        <v>2.9633499999999993</v>
      </c>
      <c r="AF130" s="288"/>
      <c r="AG130" s="289"/>
      <c r="AH130" s="294">
        <v>3.5503499999999995</v>
      </c>
      <c r="AI130" s="288"/>
      <c r="AJ130" s="289"/>
      <c r="AK130" s="294">
        <v>3.6647499999999997</v>
      </c>
      <c r="AL130" s="288"/>
      <c r="AM130" s="289"/>
      <c r="AN130" s="294">
        <v>3.5503499999999995</v>
      </c>
      <c r="AO130" s="288"/>
      <c r="AP130" s="289"/>
      <c r="AQ130" s="294">
        <v>3.6647499999999997</v>
      </c>
      <c r="AR130" s="288"/>
      <c r="AS130" s="289"/>
      <c r="AT130" s="294">
        <f t="shared" si="5"/>
        <v>40.499999999999986</v>
      </c>
      <c r="AU130" s="288"/>
      <c r="AV130" s="290"/>
      <c r="AW130" s="285"/>
      <c r="AX130" s="312"/>
      <c r="AY130" s="313"/>
      <c r="AZ130" s="261"/>
      <c r="BA130" s="261"/>
      <c r="BB130" s="261"/>
      <c r="BC130" s="261"/>
    </row>
    <row r="131" spans="2:55">
      <c r="B131" s="179"/>
      <c r="C131" s="179"/>
      <c r="D131" s="181">
        <v>777000</v>
      </c>
      <c r="E131" s="181"/>
      <c r="F131" s="181"/>
      <c r="G131" s="1121">
        <v>777000</v>
      </c>
      <c r="H131" s="135" t="s">
        <v>1290</v>
      </c>
      <c r="I131" s="518" t="s">
        <v>365</v>
      </c>
      <c r="J131" s="294">
        <v>2.4062540000000001</v>
      </c>
      <c r="K131" s="288"/>
      <c r="L131" s="289"/>
      <c r="M131" s="294">
        <v>0.91171800000000003</v>
      </c>
      <c r="N131" s="288"/>
      <c r="O131" s="289"/>
      <c r="P131" s="294">
        <v>3.1714609999999999</v>
      </c>
      <c r="Q131" s="288"/>
      <c r="R131" s="289"/>
      <c r="S131" s="294">
        <v>2.7027760000000001</v>
      </c>
      <c r="T131" s="288"/>
      <c r="U131" s="289"/>
      <c r="V131" s="294">
        <v>2.650585</v>
      </c>
      <c r="W131" s="288"/>
      <c r="X131" s="289"/>
      <c r="Y131" s="294">
        <v>3.092959</v>
      </c>
      <c r="Z131" s="288"/>
      <c r="AA131" s="289"/>
      <c r="AB131" s="294">
        <v>2.5990579999999999</v>
      </c>
      <c r="AC131" s="288"/>
      <c r="AD131" s="289"/>
      <c r="AE131" s="294">
        <v>2.7442660000000001</v>
      </c>
      <c r="AF131" s="288"/>
      <c r="AG131" s="289"/>
      <c r="AH131" s="294">
        <v>2.087764</v>
      </c>
      <c r="AI131" s="288"/>
      <c r="AJ131" s="289"/>
      <c r="AK131" s="294">
        <v>1.190812</v>
      </c>
      <c r="AL131" s="288"/>
      <c r="AM131" s="289"/>
      <c r="AN131" s="294">
        <v>0.919215</v>
      </c>
      <c r="AO131" s="288"/>
      <c r="AP131" s="289"/>
      <c r="AQ131" s="294">
        <v>2.6051799999999998</v>
      </c>
      <c r="AR131" s="288"/>
      <c r="AS131" s="289"/>
      <c r="AT131" s="294">
        <f t="shared" si="5"/>
        <v>27.082048000000004</v>
      </c>
      <c r="AU131" s="288"/>
      <c r="AV131" s="290"/>
      <c r="AW131" s="285"/>
      <c r="AX131" s="312"/>
      <c r="AY131" s="313"/>
      <c r="AZ131" s="261"/>
      <c r="BA131" s="261"/>
      <c r="BB131" s="261"/>
      <c r="BC131" s="261"/>
    </row>
    <row r="132" spans="2:55">
      <c r="B132" s="179"/>
      <c r="C132" s="179"/>
      <c r="D132" s="181"/>
      <c r="E132" s="181"/>
      <c r="F132" s="181"/>
      <c r="G132" s="1110">
        <v>777297</v>
      </c>
      <c r="H132" s="135" t="s">
        <v>1291</v>
      </c>
      <c r="I132" s="518" t="s">
        <v>365</v>
      </c>
      <c r="J132" s="294">
        <v>1.511841</v>
      </c>
      <c r="K132" s="288"/>
      <c r="L132" s="289"/>
      <c r="M132" s="294">
        <v>1.5187170000000001</v>
      </c>
      <c r="N132" s="288"/>
      <c r="O132" s="289"/>
      <c r="P132" s="294">
        <v>1.972783</v>
      </c>
      <c r="Q132" s="288"/>
      <c r="R132" s="289"/>
      <c r="S132" s="294">
        <v>1.403403</v>
      </c>
      <c r="T132" s="288"/>
      <c r="U132" s="289"/>
      <c r="V132" s="294">
        <v>1.1374899999999999</v>
      </c>
      <c r="W132" s="288"/>
      <c r="X132" s="289"/>
      <c r="Y132" s="294">
        <v>1.426593</v>
      </c>
      <c r="Z132" s="288"/>
      <c r="AA132" s="289"/>
      <c r="AB132" s="294">
        <v>1.266214</v>
      </c>
      <c r="AC132" s="288"/>
      <c r="AD132" s="289"/>
      <c r="AE132" s="294">
        <v>1.449511</v>
      </c>
      <c r="AF132" s="288"/>
      <c r="AG132" s="289"/>
      <c r="AH132" s="294">
        <v>2.1237550000000001</v>
      </c>
      <c r="AI132" s="288"/>
      <c r="AJ132" s="289"/>
      <c r="AK132" s="294">
        <v>2.2880509999999998</v>
      </c>
      <c r="AL132" s="288"/>
      <c r="AM132" s="289"/>
      <c r="AN132" s="294">
        <v>1.46576</v>
      </c>
      <c r="AO132" s="288"/>
      <c r="AP132" s="289"/>
      <c r="AQ132" s="294">
        <v>1.3658589999999999</v>
      </c>
      <c r="AR132" s="288"/>
      <c r="AS132" s="289"/>
      <c r="AT132" s="294">
        <f t="shared" si="5"/>
        <v>18.929976999999997</v>
      </c>
      <c r="AU132" s="288"/>
      <c r="AV132" s="290"/>
      <c r="AW132" s="285"/>
      <c r="AX132" s="312"/>
      <c r="AY132" s="313"/>
      <c r="AZ132" s="261"/>
      <c r="BA132" s="261"/>
      <c r="BB132" s="261"/>
      <c r="BC132" s="261"/>
    </row>
    <row r="133" spans="2:55">
      <c r="B133" s="179"/>
      <c r="C133" s="179"/>
      <c r="D133" s="181">
        <v>340540</v>
      </c>
      <c r="E133" s="181"/>
      <c r="F133" s="181"/>
      <c r="G133" s="1110">
        <v>340540</v>
      </c>
      <c r="H133" s="135" t="s">
        <v>1292</v>
      </c>
      <c r="I133" s="518" t="s">
        <v>365</v>
      </c>
      <c r="J133" s="294">
        <v>242.376</v>
      </c>
      <c r="K133" s="288"/>
      <c r="L133" s="289"/>
      <c r="M133" s="294">
        <v>220.12799999999999</v>
      </c>
      <c r="N133" s="288"/>
      <c r="O133" s="289"/>
      <c r="P133" s="294">
        <v>239.304</v>
      </c>
      <c r="Q133" s="288"/>
      <c r="R133" s="289"/>
      <c r="S133" s="294">
        <v>228.88800000000001</v>
      </c>
      <c r="T133" s="288"/>
      <c r="U133" s="289"/>
      <c r="V133" s="294">
        <v>213.096</v>
      </c>
      <c r="W133" s="288"/>
      <c r="X133" s="289"/>
      <c r="Y133" s="294">
        <v>175.68</v>
      </c>
      <c r="Z133" s="288"/>
      <c r="AA133" s="289"/>
      <c r="AB133" s="294">
        <v>181.536</v>
      </c>
      <c r="AC133" s="288"/>
      <c r="AD133" s="289"/>
      <c r="AE133" s="294">
        <v>186.33600000000001</v>
      </c>
      <c r="AF133" s="288"/>
      <c r="AG133" s="289"/>
      <c r="AH133" s="294">
        <v>209.85599999999999</v>
      </c>
      <c r="AI133" s="288"/>
      <c r="AJ133" s="289"/>
      <c r="AK133" s="294">
        <v>253.63200000000001</v>
      </c>
      <c r="AL133" s="288"/>
      <c r="AM133" s="289"/>
      <c r="AN133" s="294">
        <v>240.14400000000001</v>
      </c>
      <c r="AO133" s="288"/>
      <c r="AP133" s="289"/>
      <c r="AQ133" s="294">
        <v>243.024</v>
      </c>
      <c r="AR133" s="288"/>
      <c r="AS133" s="289"/>
      <c r="AT133" s="294">
        <f t="shared" si="5"/>
        <v>2633.9999999999995</v>
      </c>
      <c r="AU133" s="288"/>
      <c r="AV133" s="290"/>
      <c r="AW133" s="285"/>
      <c r="AX133" s="312"/>
      <c r="AY133" s="313"/>
      <c r="AZ133" s="261"/>
      <c r="BA133" s="261"/>
      <c r="BB133" s="261"/>
      <c r="BC133" s="261"/>
    </row>
    <row r="134" spans="2:55">
      <c r="B134" s="179"/>
      <c r="C134" s="179"/>
      <c r="D134" s="181">
        <v>341940</v>
      </c>
      <c r="E134" s="181"/>
      <c r="F134" s="181"/>
      <c r="G134" s="1110">
        <v>341940</v>
      </c>
      <c r="H134" s="135" t="s">
        <v>1293</v>
      </c>
      <c r="I134" s="518" t="s">
        <v>365</v>
      </c>
      <c r="J134" s="294">
        <v>143.59200000000001</v>
      </c>
      <c r="K134" s="288"/>
      <c r="L134" s="289"/>
      <c r="M134" s="294">
        <v>134.328</v>
      </c>
      <c r="N134" s="288"/>
      <c r="O134" s="289"/>
      <c r="P134" s="294">
        <v>143.59200000000001</v>
      </c>
      <c r="Q134" s="288"/>
      <c r="R134" s="289"/>
      <c r="S134" s="294">
        <v>138.96</v>
      </c>
      <c r="T134" s="288"/>
      <c r="U134" s="289"/>
      <c r="V134" s="294">
        <v>115.68</v>
      </c>
      <c r="W134" s="288"/>
      <c r="X134" s="289"/>
      <c r="Y134" s="294">
        <v>129.6</v>
      </c>
      <c r="Z134" s="288"/>
      <c r="AA134" s="289"/>
      <c r="AB134" s="294">
        <v>133.91999999999999</v>
      </c>
      <c r="AC134" s="288"/>
      <c r="AD134" s="289"/>
      <c r="AE134" s="294">
        <v>112.32</v>
      </c>
      <c r="AF134" s="288"/>
      <c r="AG134" s="289"/>
      <c r="AH134" s="294">
        <v>133.19999999999999</v>
      </c>
      <c r="AI134" s="288"/>
      <c r="AJ134" s="289"/>
      <c r="AK134" s="294">
        <v>136.03200000000001</v>
      </c>
      <c r="AL134" s="288"/>
      <c r="AM134" s="289"/>
      <c r="AN134" s="294">
        <v>131.4</v>
      </c>
      <c r="AO134" s="288"/>
      <c r="AP134" s="289"/>
      <c r="AQ134" s="294">
        <v>143.59200000000001</v>
      </c>
      <c r="AR134" s="288"/>
      <c r="AS134" s="289"/>
      <c r="AT134" s="294">
        <f t="shared" si="5"/>
        <v>1596.2160000000001</v>
      </c>
      <c r="AU134" s="288"/>
      <c r="AV134" s="290"/>
      <c r="AW134" s="285"/>
      <c r="AX134" s="312"/>
      <c r="AY134" s="313"/>
      <c r="AZ134" s="261"/>
      <c r="BA134" s="261"/>
      <c r="BB134" s="261"/>
      <c r="BC134" s="261"/>
    </row>
    <row r="135" spans="2:55">
      <c r="B135" s="179"/>
      <c r="C135" s="179"/>
      <c r="D135" s="181"/>
      <c r="E135" s="181"/>
      <c r="F135" s="181"/>
      <c r="G135" s="1110">
        <v>340547</v>
      </c>
      <c r="H135" s="135" t="s">
        <v>1294</v>
      </c>
      <c r="I135" s="518" t="s">
        <v>365</v>
      </c>
      <c r="J135" s="294">
        <v>16.765999999999998</v>
      </c>
      <c r="K135" s="288"/>
      <c r="L135" s="289"/>
      <c r="M135" s="294">
        <v>15.632999999999999</v>
      </c>
      <c r="N135" s="288"/>
      <c r="O135" s="289"/>
      <c r="P135" s="294">
        <v>16.801000000000002</v>
      </c>
      <c r="Q135" s="288"/>
      <c r="R135" s="289"/>
      <c r="S135" s="294">
        <v>12.038</v>
      </c>
      <c r="T135" s="288"/>
      <c r="U135" s="289"/>
      <c r="V135" s="294">
        <v>17.262999999999998</v>
      </c>
      <c r="W135" s="288"/>
      <c r="X135" s="289"/>
      <c r="Y135" s="294">
        <v>16.747</v>
      </c>
      <c r="Z135" s="288"/>
      <c r="AA135" s="289"/>
      <c r="AB135" s="294">
        <v>17.334</v>
      </c>
      <c r="AC135" s="288"/>
      <c r="AD135" s="289"/>
      <c r="AE135" s="294">
        <v>17.334</v>
      </c>
      <c r="AF135" s="288"/>
      <c r="AG135" s="289"/>
      <c r="AH135" s="294">
        <v>16.679000000000002</v>
      </c>
      <c r="AI135" s="288"/>
      <c r="AJ135" s="289"/>
      <c r="AK135" s="294">
        <v>12.95</v>
      </c>
      <c r="AL135" s="288"/>
      <c r="AM135" s="289"/>
      <c r="AN135" s="294">
        <v>16.234000000000002</v>
      </c>
      <c r="AO135" s="288"/>
      <c r="AP135" s="289"/>
      <c r="AQ135" s="294">
        <v>16.765999999999998</v>
      </c>
      <c r="AR135" s="288"/>
      <c r="AS135" s="289"/>
      <c r="AT135" s="294">
        <f t="shared" si="5"/>
        <v>192.54499999999999</v>
      </c>
      <c r="AU135" s="288"/>
      <c r="AV135" s="290"/>
      <c r="AW135" s="285"/>
      <c r="AX135" s="312"/>
      <c r="AY135" s="313"/>
      <c r="AZ135" s="261"/>
      <c r="BA135" s="261"/>
      <c r="BB135" s="261"/>
      <c r="BC135" s="261"/>
    </row>
    <row r="136" spans="2:55">
      <c r="B136" s="179"/>
      <c r="C136" s="179"/>
      <c r="D136" s="181"/>
      <c r="E136" s="181"/>
      <c r="F136" s="181"/>
      <c r="G136" s="1110">
        <v>341914</v>
      </c>
      <c r="H136" s="135" t="s">
        <v>1295</v>
      </c>
      <c r="I136" s="518" t="s">
        <v>365</v>
      </c>
      <c r="J136" s="294">
        <v>10.788</v>
      </c>
      <c r="K136" s="288"/>
      <c r="L136" s="289"/>
      <c r="M136" s="294">
        <v>10.092000000000001</v>
      </c>
      <c r="N136" s="288"/>
      <c r="O136" s="289"/>
      <c r="P136" s="294">
        <v>10.788</v>
      </c>
      <c r="Q136" s="288"/>
      <c r="R136" s="289"/>
      <c r="S136" s="294">
        <v>8.6999999999999993</v>
      </c>
      <c r="T136" s="288"/>
      <c r="U136" s="289"/>
      <c r="V136" s="294">
        <v>10.788</v>
      </c>
      <c r="W136" s="288"/>
      <c r="X136" s="289"/>
      <c r="Y136" s="294">
        <v>10.44</v>
      </c>
      <c r="Z136" s="288"/>
      <c r="AA136" s="289"/>
      <c r="AB136" s="294">
        <v>10.788</v>
      </c>
      <c r="AC136" s="288"/>
      <c r="AD136" s="289"/>
      <c r="AE136" s="294">
        <v>10.788</v>
      </c>
      <c r="AF136" s="288"/>
      <c r="AG136" s="289"/>
      <c r="AH136" s="294">
        <v>10.44</v>
      </c>
      <c r="AI136" s="288"/>
      <c r="AJ136" s="289"/>
      <c r="AK136" s="294">
        <v>10.788</v>
      </c>
      <c r="AL136" s="288"/>
      <c r="AM136" s="289"/>
      <c r="AN136" s="294">
        <v>5.76</v>
      </c>
      <c r="AO136" s="288"/>
      <c r="AP136" s="289"/>
      <c r="AQ136" s="294">
        <v>10.788</v>
      </c>
      <c r="AR136" s="288"/>
      <c r="AS136" s="289"/>
      <c r="AT136" s="294">
        <f t="shared" si="5"/>
        <v>120.94799999999999</v>
      </c>
      <c r="AU136" s="288"/>
      <c r="AV136" s="290"/>
      <c r="AW136" s="285"/>
      <c r="AX136" s="312"/>
      <c r="AY136" s="313"/>
      <c r="AZ136" s="261"/>
      <c r="BA136" s="261"/>
      <c r="BB136" s="261"/>
      <c r="BC136" s="261"/>
    </row>
    <row r="137" spans="2:55" ht="18.75">
      <c r="B137" s="179"/>
      <c r="C137" s="179"/>
      <c r="D137" s="181">
        <v>321300</v>
      </c>
      <c r="E137" s="181"/>
      <c r="F137" s="181"/>
      <c r="G137" s="181">
        <v>321300</v>
      </c>
      <c r="H137" s="470" t="s">
        <v>1572</v>
      </c>
      <c r="I137" s="470"/>
      <c r="J137" s="277">
        <f>SUM(J138:J139)</f>
        <v>2989.7226000000001</v>
      </c>
      <c r="K137" s="275">
        <f>L137-J137</f>
        <v>-1806.1617540571776</v>
      </c>
      <c r="L137" s="276">
        <f>Потребление!D13</f>
        <v>1183.5608459428224</v>
      </c>
      <c r="M137" s="274">
        <f>SUM(M138:M139)</f>
        <v>2805.2417999999998</v>
      </c>
      <c r="N137" s="275">
        <f>O137-M137</f>
        <v>-1675.8316558310325</v>
      </c>
      <c r="O137" s="276">
        <f>Потребление!E13</f>
        <v>1129.4101441689672</v>
      </c>
      <c r="P137" s="274">
        <f>SUM(P138:P139)</f>
        <v>2996.5325119999998</v>
      </c>
      <c r="Q137" s="275">
        <f>R137-P137</f>
        <v>-1860.4544245286004</v>
      </c>
      <c r="R137" s="276">
        <f>Потребление!F13</f>
        <v>1136.0780874713994</v>
      </c>
      <c r="S137" s="274">
        <f>SUM(S138:S139)</f>
        <v>2684.79808</v>
      </c>
      <c r="T137" s="275">
        <f>U137-S137</f>
        <v>-1705.2815545124777</v>
      </c>
      <c r="U137" s="276">
        <f>Потребление!G13</f>
        <v>979.51652548752236</v>
      </c>
      <c r="V137" s="274">
        <f>SUM(V138:V139)</f>
        <v>2010.568728</v>
      </c>
      <c r="W137" s="275">
        <f>X137-V137</f>
        <v>-1119.4410269293387</v>
      </c>
      <c r="X137" s="276">
        <f>Потребление!H13</f>
        <v>891.12770107066126</v>
      </c>
      <c r="Y137" s="274">
        <f>SUM(Y138:Y139)</f>
        <v>2354.3690000000001</v>
      </c>
      <c r="Z137" s="275">
        <f>AA137-Y137</f>
        <v>-1465.8537668005367</v>
      </c>
      <c r="AA137" s="276">
        <f>Потребление!I13</f>
        <v>888.51523319946341</v>
      </c>
      <c r="AB137" s="274">
        <f>SUM(AB138:AB139)</f>
        <v>1792.81916</v>
      </c>
      <c r="AC137" s="275">
        <f>AD137-AB137</f>
        <v>-888.3310357929563</v>
      </c>
      <c r="AD137" s="276">
        <f>Потребление!J13</f>
        <v>904.48812420704371</v>
      </c>
      <c r="AE137" s="274">
        <f>SUM(AE138:AE139)</f>
        <v>1634.675248</v>
      </c>
      <c r="AF137" s="275">
        <f>AG137-AE137</f>
        <v>-732.2056567861423</v>
      </c>
      <c r="AG137" s="276">
        <f>Потребление!K13</f>
        <v>902.46959121385771</v>
      </c>
      <c r="AH137" s="274">
        <f>SUM(AH138:AH139)</f>
        <v>1785.5855999999999</v>
      </c>
      <c r="AI137" s="275">
        <f>AJ137-AH137</f>
        <v>-903.98072079125518</v>
      </c>
      <c r="AJ137" s="276">
        <f>Потребление!L13</f>
        <v>881.60487920874471</v>
      </c>
      <c r="AK137" s="274">
        <f>SUM(AK138:AK139)</f>
        <v>2798.5287600000001</v>
      </c>
      <c r="AL137" s="275">
        <f>AM137-AK137</f>
        <v>-1734.5613226499124</v>
      </c>
      <c r="AM137" s="276">
        <f>Потребление!M13</f>
        <v>1063.9674373500877</v>
      </c>
      <c r="AN137" s="274">
        <f>SUM(AN138:AN139)</f>
        <v>2621.1610000000001</v>
      </c>
      <c r="AO137" s="275">
        <f>AP137-AN137</f>
        <v>-1524.7670804893501</v>
      </c>
      <c r="AP137" s="276">
        <f>Потребление!N13</f>
        <v>1096.39391951065</v>
      </c>
      <c r="AQ137" s="274">
        <f>SUM(AQ138:AQ139)</f>
        <v>2746.3317999999999</v>
      </c>
      <c r="AR137" s="275">
        <f>AS137-AQ137</f>
        <v>-1542.5017255541334</v>
      </c>
      <c r="AS137" s="276">
        <f>Потребление!O13</f>
        <v>1203.8300744458666</v>
      </c>
      <c r="AT137" s="274">
        <f>SUM(AT138:AT139)</f>
        <v>29220.334287999998</v>
      </c>
      <c r="AU137" s="275">
        <f>AV137-AT137</f>
        <v>-16959.371724722914</v>
      </c>
      <c r="AV137" s="278">
        <f>L137+O137+R137+U137+X137+AA137+AD137+AG137+AJ137+AM137+AP137+AS137</f>
        <v>12260.962563277086</v>
      </c>
      <c r="AW137" s="279"/>
      <c r="AX137" s="1067">
        <v>11287.7395662</v>
      </c>
      <c r="AY137" s="298">
        <f>SUM(AY138:AY139)</f>
        <v>17313.094398000001</v>
      </c>
      <c r="AZ137" s="261"/>
      <c r="BA137" s="261"/>
      <c r="BB137" s="261"/>
      <c r="BC137" s="261"/>
    </row>
    <row r="138" spans="2:55">
      <c r="B138" s="179"/>
      <c r="C138" s="179"/>
      <c r="D138" s="181"/>
      <c r="E138" s="181"/>
      <c r="F138" s="181"/>
      <c r="G138" s="181"/>
      <c r="H138" s="10" t="s">
        <v>173</v>
      </c>
      <c r="I138" s="10"/>
      <c r="J138" s="223">
        <f>SUM(J145:J147)</f>
        <v>256.7226</v>
      </c>
      <c r="K138" s="271"/>
      <c r="L138" s="224"/>
      <c r="M138" s="270">
        <f>SUM(M145:M147)</f>
        <v>248.24179999999998</v>
      </c>
      <c r="N138" s="271"/>
      <c r="O138" s="224"/>
      <c r="P138" s="270">
        <f>SUM(P145:P147)</f>
        <v>272.532512</v>
      </c>
      <c r="Q138" s="271"/>
      <c r="R138" s="224"/>
      <c r="S138" s="270">
        <f>SUM(S145:S147)</f>
        <v>238.79808000000003</v>
      </c>
      <c r="T138" s="271"/>
      <c r="U138" s="224"/>
      <c r="V138" s="270">
        <f>SUM(V145:V147)</f>
        <v>180.56872799999999</v>
      </c>
      <c r="W138" s="271"/>
      <c r="X138" s="224"/>
      <c r="Y138" s="270">
        <f>SUM(Y145:Y147)</f>
        <v>187.369</v>
      </c>
      <c r="Z138" s="271"/>
      <c r="AA138" s="224"/>
      <c r="AB138" s="270">
        <f>SUM(AB145:AB147)</f>
        <v>209.81916000000001</v>
      </c>
      <c r="AC138" s="271"/>
      <c r="AD138" s="224"/>
      <c r="AE138" s="270">
        <f>SUM(AE145:AE147)</f>
        <v>210.67524799999998</v>
      </c>
      <c r="AF138" s="271"/>
      <c r="AG138" s="224"/>
      <c r="AH138" s="270">
        <f>SUM(AH145:AH147)</f>
        <v>211.5856</v>
      </c>
      <c r="AI138" s="271"/>
      <c r="AJ138" s="224"/>
      <c r="AK138" s="270">
        <f>SUM(AK145:AK147)</f>
        <v>210.52875999999998</v>
      </c>
      <c r="AL138" s="271"/>
      <c r="AM138" s="224"/>
      <c r="AN138" s="270">
        <f>SUM(AN145:AN147)</f>
        <v>252.16100000000003</v>
      </c>
      <c r="AO138" s="271"/>
      <c r="AP138" s="224"/>
      <c r="AQ138" s="270">
        <f>SUM(AQ145:AQ147)</f>
        <v>281.33179999999999</v>
      </c>
      <c r="AR138" s="271"/>
      <c r="AS138" s="224"/>
      <c r="AT138" s="270">
        <f>SUM(AT145:AT147)</f>
        <v>2760.334288</v>
      </c>
      <c r="AU138" s="271"/>
      <c r="AV138" s="229"/>
      <c r="AW138" s="226"/>
      <c r="AX138" s="230"/>
      <c r="AY138" s="231">
        <f>SUM(AY144:AY147)</f>
        <v>1341.7154559999999</v>
      </c>
      <c r="AZ138" s="261"/>
      <c r="BA138" s="261"/>
      <c r="BB138" s="261"/>
      <c r="BC138" s="261"/>
    </row>
    <row r="139" spans="2:55" ht="15" customHeight="1">
      <c r="B139" s="179"/>
      <c r="C139" s="179"/>
      <c r="D139" s="181"/>
      <c r="E139" s="181"/>
      <c r="F139" s="181"/>
      <c r="G139" s="1214">
        <v>370089</v>
      </c>
      <c r="H139" s="10" t="s">
        <v>98</v>
      </c>
      <c r="I139" s="10"/>
      <c r="J139" s="223">
        <f>J140+J141</f>
        <v>2733</v>
      </c>
      <c r="K139" s="271"/>
      <c r="L139" s="224"/>
      <c r="M139" s="223">
        <f>M140+M141</f>
        <v>2557</v>
      </c>
      <c r="N139" s="271"/>
      <c r="O139" s="224"/>
      <c r="P139" s="223">
        <f>P140+P141</f>
        <v>2724</v>
      </c>
      <c r="Q139" s="271"/>
      <c r="R139" s="224"/>
      <c r="S139" s="223">
        <f>S140+S141</f>
        <v>2446</v>
      </c>
      <c r="T139" s="271"/>
      <c r="U139" s="224"/>
      <c r="V139" s="223">
        <f>V140+V141</f>
        <v>1830</v>
      </c>
      <c r="W139" s="271"/>
      <c r="X139" s="224"/>
      <c r="Y139" s="223">
        <f>Y140+Y141</f>
        <v>2167</v>
      </c>
      <c r="Z139" s="271"/>
      <c r="AA139" s="224"/>
      <c r="AB139" s="223">
        <f>AB140+AB141</f>
        <v>1583</v>
      </c>
      <c r="AC139" s="271"/>
      <c r="AD139" s="224"/>
      <c r="AE139" s="223">
        <f>AE140+AE141</f>
        <v>1424</v>
      </c>
      <c r="AF139" s="271"/>
      <c r="AG139" s="224"/>
      <c r="AH139" s="223">
        <f>AH140+AH141</f>
        <v>1574</v>
      </c>
      <c r="AI139" s="271"/>
      <c r="AJ139" s="224"/>
      <c r="AK139" s="223">
        <f>AK140+AK141</f>
        <v>2588</v>
      </c>
      <c r="AL139" s="271"/>
      <c r="AM139" s="224"/>
      <c r="AN139" s="223">
        <f>AN140+AN141</f>
        <v>2369</v>
      </c>
      <c r="AO139" s="271"/>
      <c r="AP139" s="224"/>
      <c r="AQ139" s="223">
        <f>AQ140+AQ141</f>
        <v>2465</v>
      </c>
      <c r="AR139" s="271"/>
      <c r="AS139" s="224"/>
      <c r="AT139" s="223">
        <f>AT140+AT141</f>
        <v>26460</v>
      </c>
      <c r="AU139" s="271"/>
      <c r="AV139" s="229"/>
      <c r="AW139" s="226"/>
      <c r="AX139" s="230"/>
      <c r="AY139" s="231">
        <f>AY140</f>
        <v>15971.378941999999</v>
      </c>
      <c r="AZ139" s="261"/>
      <c r="BA139" s="261"/>
      <c r="BB139" s="261"/>
      <c r="BC139" s="261"/>
    </row>
    <row r="140" spans="2:55">
      <c r="B140" s="179"/>
      <c r="C140" s="179"/>
      <c r="D140" s="181">
        <v>370089</v>
      </c>
      <c r="E140" s="181"/>
      <c r="F140" s="181"/>
      <c r="G140" s="1110"/>
      <c r="H140" s="123" t="s">
        <v>902</v>
      </c>
      <c r="I140" s="516" t="s">
        <v>364</v>
      </c>
      <c r="J140" s="320">
        <f>АЭС!C9</f>
        <v>1033</v>
      </c>
      <c r="K140" s="246"/>
      <c r="L140" s="282"/>
      <c r="M140" s="320">
        <f>АЭС!D9</f>
        <v>966</v>
      </c>
      <c r="N140" s="246"/>
      <c r="O140" s="282"/>
      <c r="P140" s="320">
        <f>АЭС!E9</f>
        <v>1033</v>
      </c>
      <c r="Q140" s="246"/>
      <c r="R140" s="282"/>
      <c r="S140" s="320">
        <f>АЭС!F9</f>
        <v>1000</v>
      </c>
      <c r="T140" s="246"/>
      <c r="U140" s="282"/>
      <c r="V140" s="320">
        <f>АЭС!G9</f>
        <v>1014</v>
      </c>
      <c r="W140" s="246"/>
      <c r="X140" s="282"/>
      <c r="Y140" s="320">
        <f>АЭС!H9</f>
        <v>979</v>
      </c>
      <c r="Z140" s="246"/>
      <c r="AA140" s="282"/>
      <c r="AB140" s="320">
        <f>АЭС!I9</f>
        <v>359</v>
      </c>
      <c r="AC140" s="246"/>
      <c r="AD140" s="282"/>
      <c r="AE140" s="320">
        <f>АЭС!J9</f>
        <v>651</v>
      </c>
      <c r="AF140" s="246"/>
      <c r="AG140" s="282"/>
      <c r="AH140" s="320">
        <f>АЭС!K9</f>
        <v>779</v>
      </c>
      <c r="AI140" s="246"/>
      <c r="AJ140" s="282"/>
      <c r="AK140" s="320">
        <f>АЭС!L9</f>
        <v>1033</v>
      </c>
      <c r="AL140" s="246"/>
      <c r="AM140" s="282"/>
      <c r="AN140" s="320">
        <f>АЭС!M9</f>
        <v>1000</v>
      </c>
      <c r="AO140" s="246"/>
      <c r="AP140" s="282"/>
      <c r="AQ140" s="320">
        <f>АЭС!N9</f>
        <v>1033</v>
      </c>
      <c r="AR140" s="246"/>
      <c r="AS140" s="299"/>
      <c r="AT140" s="320">
        <f>J140+M140+P140+S140+V140+Y140+AB140+AE140+AH140+AK140+AN140+AQ140</f>
        <v>10880</v>
      </c>
      <c r="AU140" s="283"/>
      <c r="AV140" s="284"/>
      <c r="AW140" s="285"/>
      <c r="AX140" s="321"/>
      <c r="AY140" s="888">
        <v>15971.378941999999</v>
      </c>
      <c r="AZ140" s="261"/>
      <c r="BA140" s="261"/>
      <c r="BB140" s="261"/>
      <c r="BC140" s="261"/>
    </row>
    <row r="141" spans="2:55">
      <c r="B141" s="179"/>
      <c r="C141" s="179"/>
      <c r="D141" s="181">
        <v>370112</v>
      </c>
      <c r="E141" s="181"/>
      <c r="F141" s="181"/>
      <c r="G141" s="1110"/>
      <c r="H141" s="137" t="s">
        <v>903</v>
      </c>
      <c r="I141" s="516" t="s">
        <v>364</v>
      </c>
      <c r="J141" s="262">
        <f>J142+J143</f>
        <v>1700</v>
      </c>
      <c r="K141" s="246"/>
      <c r="L141" s="282"/>
      <c r="M141" s="262">
        <f>M142+M143</f>
        <v>1591</v>
      </c>
      <c r="N141" s="246"/>
      <c r="O141" s="282"/>
      <c r="P141" s="262">
        <f>P142+P143</f>
        <v>1691</v>
      </c>
      <c r="Q141" s="246"/>
      <c r="R141" s="282"/>
      <c r="S141" s="262">
        <f>S142+S143</f>
        <v>1446</v>
      </c>
      <c r="T141" s="246"/>
      <c r="U141" s="282"/>
      <c r="V141" s="262">
        <f>V142+V143</f>
        <v>816</v>
      </c>
      <c r="W141" s="246"/>
      <c r="X141" s="282"/>
      <c r="Y141" s="262">
        <f>Y142+Y143</f>
        <v>1188</v>
      </c>
      <c r="Z141" s="246"/>
      <c r="AA141" s="282"/>
      <c r="AB141" s="262">
        <f>AB142+AB143</f>
        <v>1224</v>
      </c>
      <c r="AC141" s="246"/>
      <c r="AD141" s="282"/>
      <c r="AE141" s="262">
        <f>AE142+AE143</f>
        <v>773</v>
      </c>
      <c r="AF141" s="246"/>
      <c r="AG141" s="282"/>
      <c r="AH141" s="262">
        <f>AH142+AH143</f>
        <v>795</v>
      </c>
      <c r="AI141" s="246"/>
      <c r="AJ141" s="282"/>
      <c r="AK141" s="262">
        <f>AK142+AK143</f>
        <v>1555</v>
      </c>
      <c r="AL141" s="246"/>
      <c r="AM141" s="282"/>
      <c r="AN141" s="262">
        <f>AN142+AN143</f>
        <v>1369</v>
      </c>
      <c r="AO141" s="246"/>
      <c r="AP141" s="282"/>
      <c r="AQ141" s="262">
        <f>AQ142+AQ143</f>
        <v>1432</v>
      </c>
      <c r="AR141" s="246"/>
      <c r="AS141" s="299"/>
      <c r="AT141" s="262">
        <f>J141+M141+P141+S141+V141+Y141+AB141+AE141+AH141+AK141+AN141+AQ141</f>
        <v>15580</v>
      </c>
      <c r="AU141" s="283"/>
      <c r="AV141" s="284"/>
      <c r="AW141" s="285"/>
      <c r="AX141" s="321"/>
      <c r="AY141" s="888"/>
      <c r="AZ141" s="261"/>
      <c r="BA141" s="261"/>
      <c r="BB141" s="261"/>
      <c r="BC141" s="261"/>
    </row>
    <row r="142" spans="2:55">
      <c r="B142" s="179"/>
      <c r="C142" s="179"/>
      <c r="D142" s="181"/>
      <c r="E142" s="181"/>
      <c r="F142" s="181"/>
      <c r="G142" s="1110"/>
      <c r="H142" s="123" t="s">
        <v>1264</v>
      </c>
      <c r="I142" s="516"/>
      <c r="J142" s="320">
        <f>АЭС!C11</f>
        <v>862</v>
      </c>
      <c r="K142" s="246"/>
      <c r="L142" s="282"/>
      <c r="M142" s="320">
        <f>АЭС!D11</f>
        <v>807</v>
      </c>
      <c r="N142" s="246"/>
      <c r="O142" s="282"/>
      <c r="P142" s="320">
        <f>АЭС!E11</f>
        <v>862</v>
      </c>
      <c r="Q142" s="246"/>
      <c r="R142" s="282"/>
      <c r="S142" s="320">
        <f>АЭС!F11</f>
        <v>653</v>
      </c>
      <c r="T142" s="246"/>
      <c r="U142" s="282"/>
      <c r="V142" s="320">
        <f>АЭС!G11</f>
        <v>0</v>
      </c>
      <c r="W142" s="246"/>
      <c r="X142" s="282"/>
      <c r="Y142" s="320">
        <f>АЭС!H11</f>
        <v>438</v>
      </c>
      <c r="Z142" s="246"/>
      <c r="AA142" s="282"/>
      <c r="AB142" s="320">
        <f>АЭС!I11</f>
        <v>799</v>
      </c>
      <c r="AC142" s="246"/>
      <c r="AD142" s="282"/>
      <c r="AE142" s="320">
        <f>АЭС!J11</f>
        <v>773</v>
      </c>
      <c r="AF142" s="246"/>
      <c r="AG142" s="282"/>
      <c r="AH142" s="320">
        <f>АЭС!K11</f>
        <v>795</v>
      </c>
      <c r="AI142" s="246"/>
      <c r="AJ142" s="282"/>
      <c r="AK142" s="320">
        <f>АЭС!L11</f>
        <v>862</v>
      </c>
      <c r="AL142" s="246"/>
      <c r="AM142" s="282"/>
      <c r="AN142" s="320">
        <f>АЭС!M11</f>
        <v>556</v>
      </c>
      <c r="AO142" s="246"/>
      <c r="AP142" s="282"/>
      <c r="AQ142" s="320">
        <f>АЭС!N11</f>
        <v>863</v>
      </c>
      <c r="AR142" s="246"/>
      <c r="AS142" s="299"/>
      <c r="AT142" s="320">
        <f>J142+M142+P142+S142+V142+Y142+AB142+AE142+AH142+AK142+AN142+AQ142</f>
        <v>8270</v>
      </c>
      <c r="AU142" s="283"/>
      <c r="AV142" s="284"/>
      <c r="AW142" s="285"/>
      <c r="AX142" s="321"/>
      <c r="AY142" s="888"/>
      <c r="AZ142" s="261"/>
      <c r="BA142" s="261"/>
      <c r="BB142" s="261"/>
      <c r="BC142" s="261"/>
    </row>
    <row r="143" spans="2:55">
      <c r="B143" s="179"/>
      <c r="C143" s="179"/>
      <c r="D143" s="181"/>
      <c r="E143" s="181"/>
      <c r="F143" s="181"/>
      <c r="G143" s="1110"/>
      <c r="H143" s="123" t="s">
        <v>1265</v>
      </c>
      <c r="I143" s="516"/>
      <c r="J143" s="320">
        <f>АЭС!C13</f>
        <v>838</v>
      </c>
      <c r="K143" s="246"/>
      <c r="L143" s="282"/>
      <c r="M143" s="320">
        <f>АЭС!D13</f>
        <v>784</v>
      </c>
      <c r="N143" s="246"/>
      <c r="O143" s="282"/>
      <c r="P143" s="320">
        <f>АЭС!E13</f>
        <v>829</v>
      </c>
      <c r="Q143" s="246"/>
      <c r="R143" s="282"/>
      <c r="S143" s="320">
        <f>АЭС!F13</f>
        <v>793</v>
      </c>
      <c r="T143" s="246"/>
      <c r="U143" s="282"/>
      <c r="V143" s="320">
        <f>АЭС!G13</f>
        <v>816</v>
      </c>
      <c r="W143" s="246"/>
      <c r="X143" s="282"/>
      <c r="Y143" s="320">
        <f>АЭС!H13</f>
        <v>750</v>
      </c>
      <c r="Z143" s="246"/>
      <c r="AA143" s="282"/>
      <c r="AB143" s="320">
        <f>АЭС!I13</f>
        <v>425</v>
      </c>
      <c r="AC143" s="246"/>
      <c r="AD143" s="282"/>
      <c r="AE143" s="320">
        <f>АЭС!J13</f>
        <v>0</v>
      </c>
      <c r="AF143" s="246"/>
      <c r="AG143" s="282"/>
      <c r="AH143" s="320">
        <f>АЭС!K13</f>
        <v>0</v>
      </c>
      <c r="AI143" s="246"/>
      <c r="AJ143" s="282"/>
      <c r="AK143" s="320">
        <f>АЭС!L13</f>
        <v>693</v>
      </c>
      <c r="AL143" s="246"/>
      <c r="AM143" s="282"/>
      <c r="AN143" s="320">
        <f>АЭС!M13</f>
        <v>813</v>
      </c>
      <c r="AO143" s="246"/>
      <c r="AP143" s="282"/>
      <c r="AQ143" s="320">
        <f>АЭС!N13</f>
        <v>569</v>
      </c>
      <c r="AR143" s="246"/>
      <c r="AS143" s="299"/>
      <c r="AT143" s="320">
        <f>J143+M143+P143+S143+V143+Y143+AB143+AE143+AH143+AK143+AN143+AQ143</f>
        <v>7310</v>
      </c>
      <c r="AU143" s="283"/>
      <c r="AV143" s="284"/>
      <c r="AW143" s="285"/>
      <c r="AX143" s="321"/>
      <c r="AY143" s="888"/>
      <c r="AZ143" s="261"/>
      <c r="BA143" s="261"/>
      <c r="BB143" s="261"/>
      <c r="BC143" s="261"/>
    </row>
    <row r="144" spans="2:55">
      <c r="B144" s="179"/>
      <c r="C144" s="179"/>
      <c r="D144" s="181">
        <v>321310</v>
      </c>
      <c r="E144" s="181"/>
      <c r="F144" s="181"/>
      <c r="G144" s="1110">
        <v>321310</v>
      </c>
      <c r="H144" s="137" t="s">
        <v>519</v>
      </c>
      <c r="I144" s="516" t="s">
        <v>364</v>
      </c>
      <c r="J144" s="262">
        <f>SUM(J145:J146)</f>
        <v>179.0676</v>
      </c>
      <c r="K144" s="246"/>
      <c r="L144" s="282"/>
      <c r="M144" s="262">
        <f>SUM(M145:M146)</f>
        <v>176.24679999999998</v>
      </c>
      <c r="N144" s="246"/>
      <c r="O144" s="282"/>
      <c r="P144" s="262">
        <f>SUM(P145:P146)</f>
        <v>194.867512</v>
      </c>
      <c r="Q144" s="246"/>
      <c r="R144" s="282"/>
      <c r="S144" s="262">
        <f>SUM(S145:S146)</f>
        <v>169.53300000000002</v>
      </c>
      <c r="T144" s="246"/>
      <c r="U144" s="282"/>
      <c r="V144" s="262">
        <f>SUM(V145:V146)</f>
        <v>146.65199999999999</v>
      </c>
      <c r="W144" s="246"/>
      <c r="X144" s="282"/>
      <c r="Y144" s="262">
        <f>SUM(Y145:Y146)</f>
        <v>136.96899999999999</v>
      </c>
      <c r="Z144" s="246"/>
      <c r="AA144" s="282"/>
      <c r="AB144" s="262">
        <f>SUM(AB145:AB146)</f>
        <v>142.66200000000001</v>
      </c>
      <c r="AC144" s="246"/>
      <c r="AD144" s="282"/>
      <c r="AE144" s="262">
        <f>SUM(AE145:AE146)</f>
        <v>142.84699999999998</v>
      </c>
      <c r="AF144" s="246"/>
      <c r="AG144" s="282"/>
      <c r="AH144" s="262">
        <f>SUM(AH145:AH146)</f>
        <v>144.06399999999999</v>
      </c>
      <c r="AI144" s="246"/>
      <c r="AJ144" s="282"/>
      <c r="AK144" s="262">
        <f>SUM(AK145:AK146)</f>
        <v>145.97539999999998</v>
      </c>
      <c r="AL144" s="246"/>
      <c r="AM144" s="282"/>
      <c r="AN144" s="262">
        <f>SUM(AN145:AN146)</f>
        <v>190.95100000000002</v>
      </c>
      <c r="AO144" s="246"/>
      <c r="AP144" s="282"/>
      <c r="AQ144" s="262">
        <f>SUM(AQ145:AQ146)</f>
        <v>203.66679999999999</v>
      </c>
      <c r="AR144" s="246"/>
      <c r="AS144" s="299"/>
      <c r="AT144" s="262">
        <f>SUM(AT145:AT146)</f>
        <v>1973.5021120000001</v>
      </c>
      <c r="AU144" s="283"/>
      <c r="AV144" s="284"/>
      <c r="AW144" s="285"/>
      <c r="AX144" s="321"/>
      <c r="AY144" s="888">
        <v>526.95157500000005</v>
      </c>
      <c r="AZ144" s="261"/>
      <c r="BA144" s="261"/>
      <c r="BB144" s="261"/>
      <c r="BC144" s="261"/>
    </row>
    <row r="145" spans="1:55" s="6" customFormat="1">
      <c r="A145" s="179"/>
      <c r="B145" s="179"/>
      <c r="C145" s="179"/>
      <c r="D145" s="181"/>
      <c r="E145" s="181"/>
      <c r="F145" s="181"/>
      <c r="G145" s="1110"/>
      <c r="H145" s="123" t="s">
        <v>519</v>
      </c>
      <c r="I145" s="516"/>
      <c r="J145" s="244">
        <v>94.413600000000002</v>
      </c>
      <c r="K145" s="246"/>
      <c r="L145" s="282"/>
      <c r="M145" s="244">
        <v>82.756799999999984</v>
      </c>
      <c r="N145" s="246"/>
      <c r="O145" s="282"/>
      <c r="P145" s="244">
        <v>70.213512000000009</v>
      </c>
      <c r="Q145" s="246"/>
      <c r="R145" s="282"/>
      <c r="S145" s="244">
        <v>48.24</v>
      </c>
      <c r="T145" s="246"/>
      <c r="U145" s="282"/>
      <c r="V145" s="244">
        <v>31.25</v>
      </c>
      <c r="W145" s="246"/>
      <c r="X145" s="282"/>
      <c r="Y145" s="244">
        <v>29.411999999999995</v>
      </c>
      <c r="Z145" s="246"/>
      <c r="AA145" s="282"/>
      <c r="AB145" s="244">
        <v>31.25</v>
      </c>
      <c r="AC145" s="246"/>
      <c r="AD145" s="282"/>
      <c r="AE145" s="244">
        <v>31.25</v>
      </c>
      <c r="AF145" s="246"/>
      <c r="AG145" s="282"/>
      <c r="AH145" s="244">
        <v>32.651999999999994</v>
      </c>
      <c r="AI145" s="246"/>
      <c r="AJ145" s="282"/>
      <c r="AK145" s="244">
        <v>61.268399999999993</v>
      </c>
      <c r="AL145" s="246"/>
      <c r="AM145" s="282"/>
      <c r="AN145" s="244">
        <v>70.596000000000004</v>
      </c>
      <c r="AO145" s="246"/>
      <c r="AP145" s="282"/>
      <c r="AQ145" s="244">
        <v>79.012799999999999</v>
      </c>
      <c r="AR145" s="246"/>
      <c r="AS145" s="299"/>
      <c r="AT145" s="244">
        <f>J145+M145+P145+S145+V145+Y145+AB145+AE145+AH145+AK145+AN145+AQ145</f>
        <v>662.31511199999989</v>
      </c>
      <c r="AU145" s="283"/>
      <c r="AV145" s="284"/>
      <c r="AW145" s="285"/>
      <c r="AX145" s="321"/>
      <c r="AY145" s="707"/>
      <c r="AZ145" s="322"/>
      <c r="BA145" s="322"/>
      <c r="BB145" s="322"/>
      <c r="BC145" s="322"/>
    </row>
    <row r="146" spans="1:55" s="6" customFormat="1">
      <c r="A146" s="179"/>
      <c r="B146" s="179"/>
      <c r="C146" s="179"/>
      <c r="D146" s="181"/>
      <c r="E146" s="181"/>
      <c r="F146" s="181"/>
      <c r="G146" s="1110"/>
      <c r="H146" s="123" t="s">
        <v>891</v>
      </c>
      <c r="I146" s="516"/>
      <c r="J146" s="320">
        <f>124.654-40</f>
        <v>84.653999999999996</v>
      </c>
      <c r="K146" s="246"/>
      <c r="L146" s="282"/>
      <c r="M146" s="244">
        <v>93.49</v>
      </c>
      <c r="N146" s="246"/>
      <c r="O146" s="282"/>
      <c r="P146" s="244">
        <v>124.654</v>
      </c>
      <c r="Q146" s="246"/>
      <c r="R146" s="282"/>
      <c r="S146" s="244">
        <v>121.29300000000001</v>
      </c>
      <c r="T146" s="246"/>
      <c r="U146" s="282"/>
      <c r="V146" s="244">
        <v>115.402</v>
      </c>
      <c r="W146" s="246"/>
      <c r="X146" s="282"/>
      <c r="Y146" s="244">
        <v>107.557</v>
      </c>
      <c r="Z146" s="246"/>
      <c r="AA146" s="282"/>
      <c r="AB146" s="244">
        <v>111.41200000000001</v>
      </c>
      <c r="AC146" s="246"/>
      <c r="AD146" s="282"/>
      <c r="AE146" s="345">
        <f>91.597+20</f>
        <v>111.59699999999999</v>
      </c>
      <c r="AF146" s="246"/>
      <c r="AG146" s="282"/>
      <c r="AH146" s="244">
        <v>111.41200000000001</v>
      </c>
      <c r="AI146" s="246"/>
      <c r="AJ146" s="282"/>
      <c r="AK146" s="320">
        <f>124.707-40</f>
        <v>84.706999999999994</v>
      </c>
      <c r="AL146" s="246"/>
      <c r="AM146" s="282"/>
      <c r="AN146" s="244">
        <v>120.355</v>
      </c>
      <c r="AO146" s="246"/>
      <c r="AP146" s="282"/>
      <c r="AQ146" s="244">
        <v>124.654</v>
      </c>
      <c r="AR146" s="246"/>
      <c r="AS146" s="299"/>
      <c r="AT146" s="244">
        <f>J146+M146+P146+S146+V146+Y146+AB146+AE146+AH146+AK146+AN146+AQ146</f>
        <v>1311.1870000000001</v>
      </c>
      <c r="AU146" s="283"/>
      <c r="AV146" s="284"/>
      <c r="AW146" s="285"/>
      <c r="AX146" s="321"/>
      <c r="AY146" s="435"/>
      <c r="AZ146" s="322"/>
      <c r="BA146" s="322"/>
      <c r="BB146" s="322"/>
      <c r="BC146" s="322"/>
    </row>
    <row r="147" spans="1:55">
      <c r="B147" s="179"/>
      <c r="C147" s="179"/>
      <c r="D147" s="181">
        <v>321311</v>
      </c>
      <c r="E147" s="181"/>
      <c r="F147" s="181"/>
      <c r="G147" s="1110">
        <v>321311</v>
      </c>
      <c r="H147" s="137" t="s">
        <v>520</v>
      </c>
      <c r="I147" s="516" t="s">
        <v>364</v>
      </c>
      <c r="J147" s="262">
        <f>J148+J149</f>
        <v>77.655000000000001</v>
      </c>
      <c r="K147" s="323"/>
      <c r="L147" s="324"/>
      <c r="M147" s="317">
        <f>M148+M149</f>
        <v>71.995000000000005</v>
      </c>
      <c r="N147" s="323"/>
      <c r="O147" s="324"/>
      <c r="P147" s="317">
        <f>P148+P149</f>
        <v>77.665000000000006</v>
      </c>
      <c r="Q147" s="323"/>
      <c r="R147" s="324"/>
      <c r="S147" s="317">
        <f>S148+S149</f>
        <v>69.265079999999998</v>
      </c>
      <c r="T147" s="323"/>
      <c r="U147" s="324"/>
      <c r="V147" s="317">
        <f>V148+V149</f>
        <v>33.916728000000006</v>
      </c>
      <c r="W147" s="323"/>
      <c r="X147" s="324"/>
      <c r="Y147" s="317">
        <f>Y148+Y149</f>
        <v>50.4</v>
      </c>
      <c r="Z147" s="323"/>
      <c r="AA147" s="324"/>
      <c r="AB147" s="317">
        <f>AB148+AB149</f>
        <v>67.157160000000005</v>
      </c>
      <c r="AC147" s="323"/>
      <c r="AD147" s="324"/>
      <c r="AE147" s="317">
        <f>AE148+AE149</f>
        <v>67.828248000000002</v>
      </c>
      <c r="AF147" s="323"/>
      <c r="AG147" s="324"/>
      <c r="AH147" s="317">
        <f>AH148+AH149</f>
        <v>67.521600000000007</v>
      </c>
      <c r="AI147" s="323"/>
      <c r="AJ147" s="324"/>
      <c r="AK147" s="317">
        <f>AK148+AK149</f>
        <v>64.553359999999998</v>
      </c>
      <c r="AL147" s="323"/>
      <c r="AM147" s="324"/>
      <c r="AN147" s="317">
        <f>AN148+AN149</f>
        <v>61.21</v>
      </c>
      <c r="AO147" s="323"/>
      <c r="AP147" s="324"/>
      <c r="AQ147" s="317">
        <f>AQ148+AQ149</f>
        <v>77.665000000000006</v>
      </c>
      <c r="AR147" s="323"/>
      <c r="AS147" s="324"/>
      <c r="AT147" s="317">
        <f>AT148+AT149</f>
        <v>786.832176</v>
      </c>
      <c r="AU147" s="323"/>
      <c r="AV147" s="325"/>
      <c r="AW147" s="226"/>
      <c r="AX147" s="326"/>
      <c r="AY147" s="1068">
        <v>814.76388099999997</v>
      </c>
      <c r="AZ147" s="261"/>
      <c r="BA147" s="261"/>
      <c r="BB147" s="261"/>
      <c r="BC147" s="261"/>
    </row>
    <row r="148" spans="1:55">
      <c r="B148" s="179"/>
      <c r="C148" s="179"/>
      <c r="D148" s="181"/>
      <c r="E148" s="181"/>
      <c r="F148" s="181"/>
      <c r="G148" s="1110"/>
      <c r="H148" s="127" t="s">
        <v>520</v>
      </c>
      <c r="I148" s="127"/>
      <c r="J148" s="244">
        <v>5.58</v>
      </c>
      <c r="K148" s="246"/>
      <c r="L148" s="282"/>
      <c r="M148" s="244">
        <v>5.04</v>
      </c>
      <c r="N148" s="246"/>
      <c r="O148" s="282"/>
      <c r="P148" s="244">
        <v>5.58</v>
      </c>
      <c r="Q148" s="246"/>
      <c r="R148" s="282"/>
      <c r="S148" s="244">
        <v>2.8000799999999999</v>
      </c>
      <c r="T148" s="246"/>
      <c r="U148" s="282"/>
      <c r="V148" s="244">
        <v>0</v>
      </c>
      <c r="W148" s="246"/>
      <c r="X148" s="282"/>
      <c r="Y148" s="244">
        <v>0</v>
      </c>
      <c r="Z148" s="246"/>
      <c r="AA148" s="282"/>
      <c r="AB148" s="244">
        <v>0</v>
      </c>
      <c r="AC148" s="246"/>
      <c r="AD148" s="282"/>
      <c r="AE148" s="244">
        <v>0</v>
      </c>
      <c r="AF148" s="246"/>
      <c r="AG148" s="282"/>
      <c r="AH148" s="244">
        <v>0</v>
      </c>
      <c r="AI148" s="246"/>
      <c r="AJ148" s="282"/>
      <c r="AK148" s="244">
        <v>3.7683599999999999</v>
      </c>
      <c r="AL148" s="246"/>
      <c r="AM148" s="282"/>
      <c r="AN148" s="244">
        <v>5.4</v>
      </c>
      <c r="AO148" s="246"/>
      <c r="AP148" s="282"/>
      <c r="AQ148" s="244">
        <v>5.58</v>
      </c>
      <c r="AR148" s="283"/>
      <c r="AS148" s="299"/>
      <c r="AT148" s="244">
        <f>J148+M148+P148+S148+V148+Y148+AB148+AE148+AH148+AK148+AN148+AQ148</f>
        <v>33.748440000000002</v>
      </c>
      <c r="AU148" s="283"/>
      <c r="AV148" s="284"/>
      <c r="AW148" s="285"/>
      <c r="AX148" s="321"/>
      <c r="AY148" s="300"/>
      <c r="AZ148" s="261"/>
      <c r="BA148" s="261"/>
      <c r="BB148" s="261"/>
      <c r="BC148" s="261"/>
    </row>
    <row r="149" spans="1:55">
      <c r="B149" s="179"/>
      <c r="C149" s="179"/>
      <c r="D149" s="181"/>
      <c r="E149" s="181"/>
      <c r="F149" s="181"/>
      <c r="G149" s="1110"/>
      <c r="H149" s="122" t="s">
        <v>521</v>
      </c>
      <c r="I149" s="122"/>
      <c r="J149" s="244">
        <v>72.075000000000003</v>
      </c>
      <c r="K149" s="246"/>
      <c r="L149" s="282"/>
      <c r="M149" s="244">
        <v>66.954999999999998</v>
      </c>
      <c r="N149" s="246"/>
      <c r="O149" s="282"/>
      <c r="P149" s="244">
        <v>72.085000000000008</v>
      </c>
      <c r="Q149" s="246"/>
      <c r="R149" s="282"/>
      <c r="S149" s="244">
        <v>66.465000000000003</v>
      </c>
      <c r="T149" s="246"/>
      <c r="U149" s="282"/>
      <c r="V149" s="244">
        <v>33.916728000000006</v>
      </c>
      <c r="W149" s="246"/>
      <c r="X149" s="282"/>
      <c r="Y149" s="244">
        <v>50.4</v>
      </c>
      <c r="Z149" s="246"/>
      <c r="AA149" s="282"/>
      <c r="AB149" s="244">
        <v>67.157160000000005</v>
      </c>
      <c r="AC149" s="246"/>
      <c r="AD149" s="282"/>
      <c r="AE149" s="244">
        <v>67.828248000000002</v>
      </c>
      <c r="AF149" s="246"/>
      <c r="AG149" s="282"/>
      <c r="AH149" s="244">
        <v>67.521600000000007</v>
      </c>
      <c r="AI149" s="246"/>
      <c r="AJ149" s="282"/>
      <c r="AK149" s="320">
        <f>70.785-10</f>
        <v>60.784999999999997</v>
      </c>
      <c r="AL149" s="246"/>
      <c r="AM149" s="282"/>
      <c r="AN149" s="244">
        <v>55.81</v>
      </c>
      <c r="AO149" s="246"/>
      <c r="AP149" s="282"/>
      <c r="AQ149" s="244">
        <v>72.085000000000008</v>
      </c>
      <c r="AR149" s="283"/>
      <c r="AS149" s="299"/>
      <c r="AT149" s="244">
        <f>J149+M149+P149+S149+V149+Y149+AB149+AE149+AH149+AK149+AN149+AQ149</f>
        <v>753.08373600000004</v>
      </c>
      <c r="AU149" s="283"/>
      <c r="AV149" s="284"/>
      <c r="AW149" s="285"/>
      <c r="AX149" s="321"/>
      <c r="AY149" s="300"/>
      <c r="AZ149" s="261"/>
      <c r="BA149" s="261"/>
      <c r="BB149" s="261"/>
      <c r="BC149" s="261"/>
    </row>
    <row r="150" spans="1:55" ht="18.75">
      <c r="B150" s="179"/>
      <c r="C150" s="179"/>
      <c r="D150" s="181">
        <v>310400</v>
      </c>
      <c r="E150" s="181"/>
      <c r="F150" s="181"/>
      <c r="G150" s="181">
        <v>310400</v>
      </c>
      <c r="H150" s="470" t="s">
        <v>1573</v>
      </c>
      <c r="I150" s="470"/>
      <c r="J150" s="277">
        <f>J151</f>
        <v>287.25247899999999</v>
      </c>
      <c r="K150" s="275">
        <f>L150-J150</f>
        <v>56.4161985287422</v>
      </c>
      <c r="L150" s="276">
        <f>Потребление!D14</f>
        <v>343.66867752874219</v>
      </c>
      <c r="M150" s="274">
        <f>M151</f>
        <v>245.93184199999999</v>
      </c>
      <c r="N150" s="275">
        <f>O150-M150</f>
        <v>82.215699296999304</v>
      </c>
      <c r="O150" s="276">
        <f>Потребление!E14</f>
        <v>328.14754129699929</v>
      </c>
      <c r="P150" s="274">
        <f>P151</f>
        <v>244.14391699999999</v>
      </c>
      <c r="Q150" s="275">
        <f>R150-P150</f>
        <v>83.667638170741327</v>
      </c>
      <c r="R150" s="276">
        <f>Потребление!F14</f>
        <v>327.81155517074131</v>
      </c>
      <c r="S150" s="274">
        <f>S151</f>
        <v>194.56127999999998</v>
      </c>
      <c r="T150" s="275">
        <f>U150-S150</f>
        <v>97.27182827012777</v>
      </c>
      <c r="U150" s="276">
        <f>Потребление!G14</f>
        <v>291.83310827012775</v>
      </c>
      <c r="V150" s="274">
        <f>V151</f>
        <v>127.172544</v>
      </c>
      <c r="W150" s="275">
        <f>X150-V150</f>
        <v>120.48022998491659</v>
      </c>
      <c r="X150" s="276">
        <f>Потребление!H14</f>
        <v>247.65277398491659</v>
      </c>
      <c r="Y150" s="274">
        <f>Y151</f>
        <v>68.288302000000002</v>
      </c>
      <c r="Z150" s="275">
        <f>AA150-Y150</f>
        <v>169.59564286472187</v>
      </c>
      <c r="AA150" s="276">
        <f>Потребление!I14</f>
        <v>237.88394486472185</v>
      </c>
      <c r="AB150" s="274">
        <f>AB151</f>
        <v>98.156683000000001</v>
      </c>
      <c r="AC150" s="275">
        <f>AD150-AB150</f>
        <v>141.9331028999224</v>
      </c>
      <c r="AD150" s="276">
        <f>Потребление!J14</f>
        <v>240.08978589992239</v>
      </c>
      <c r="AE150" s="274">
        <f>AE151</f>
        <v>118.129677</v>
      </c>
      <c r="AF150" s="275">
        <f>AG150-AE150</f>
        <v>126.69615853300853</v>
      </c>
      <c r="AG150" s="276">
        <f>Потребление!K14</f>
        <v>244.82583553300853</v>
      </c>
      <c r="AH150" s="274">
        <f>AH151</f>
        <v>132.24189900000002</v>
      </c>
      <c r="AI150" s="275">
        <f>AJ150-AH150</f>
        <v>127.62114099108865</v>
      </c>
      <c r="AJ150" s="276">
        <f>Потребление!L14</f>
        <v>259.86303999108867</v>
      </c>
      <c r="AK150" s="274">
        <f>AK151</f>
        <v>201.055397</v>
      </c>
      <c r="AL150" s="275">
        <f>AM150-AK150</f>
        <v>112.2026323337607</v>
      </c>
      <c r="AM150" s="276">
        <f>Потребление!M14</f>
        <v>313.2580293337607</v>
      </c>
      <c r="AN150" s="274">
        <f>AN151</f>
        <v>219.64906100000002</v>
      </c>
      <c r="AO150" s="275">
        <f>AP150-AN150</f>
        <v>109.7889117486796</v>
      </c>
      <c r="AP150" s="276">
        <f>Потребление!N14</f>
        <v>329.43797274867961</v>
      </c>
      <c r="AQ150" s="274">
        <f>AQ151</f>
        <v>267.51223199999998</v>
      </c>
      <c r="AR150" s="275">
        <f>AS150-AQ150</f>
        <v>86.015503377290884</v>
      </c>
      <c r="AS150" s="276">
        <f>Потребление!O14</f>
        <v>353.52773537729087</v>
      </c>
      <c r="AT150" s="274">
        <f>AT151</f>
        <v>2204.0953129999998</v>
      </c>
      <c r="AU150" s="275">
        <f>AV150-AT150</f>
        <v>1313.9046869999993</v>
      </c>
      <c r="AV150" s="278">
        <f>L150+O150+R150+U150+X150+AA150+AD150+AG150+AJ150+AM150+AP150+AS150</f>
        <v>3517.9999999999991</v>
      </c>
      <c r="AW150" s="279"/>
      <c r="AX150" s="1067">
        <v>3512.0351860000001</v>
      </c>
      <c r="AY150" s="298">
        <f>AY151</f>
        <v>1287.8336570000001</v>
      </c>
      <c r="AZ150" s="261"/>
      <c r="BA150" s="261"/>
      <c r="BB150" s="261"/>
      <c r="BC150" s="261"/>
    </row>
    <row r="151" spans="1:55">
      <c r="B151" s="179"/>
      <c r="C151" s="179"/>
      <c r="D151" s="181"/>
      <c r="E151" s="181"/>
      <c r="F151" s="181"/>
      <c r="G151" s="181"/>
      <c r="H151" s="10" t="s">
        <v>173</v>
      </c>
      <c r="I151" s="10"/>
      <c r="J151" s="223">
        <f>SUM(J152:J156)</f>
        <v>287.25247899999999</v>
      </c>
      <c r="K151" s="271"/>
      <c r="L151" s="224"/>
      <c r="M151" s="223">
        <f>SUM(M152:M156)</f>
        <v>245.93184199999999</v>
      </c>
      <c r="N151" s="271"/>
      <c r="O151" s="224"/>
      <c r="P151" s="223">
        <f>SUM(P152:P156)</f>
        <v>244.14391699999999</v>
      </c>
      <c r="Q151" s="271"/>
      <c r="R151" s="224"/>
      <c r="S151" s="223">
        <f>SUM(S152:S156)</f>
        <v>194.56127999999998</v>
      </c>
      <c r="T151" s="271"/>
      <c r="U151" s="224"/>
      <c r="V151" s="223">
        <f>SUM(V152:V156)</f>
        <v>127.172544</v>
      </c>
      <c r="W151" s="271"/>
      <c r="X151" s="224"/>
      <c r="Y151" s="223">
        <f>SUM(Y152:Y156)</f>
        <v>68.288302000000002</v>
      </c>
      <c r="Z151" s="271"/>
      <c r="AA151" s="224"/>
      <c r="AB151" s="223">
        <f>SUM(AB152:AB156)</f>
        <v>98.156683000000001</v>
      </c>
      <c r="AC151" s="271"/>
      <c r="AD151" s="224"/>
      <c r="AE151" s="223">
        <f>SUM(AE152:AE156)</f>
        <v>118.129677</v>
      </c>
      <c r="AF151" s="271"/>
      <c r="AG151" s="224"/>
      <c r="AH151" s="223">
        <f>SUM(AH152:AH156)</f>
        <v>132.24189900000002</v>
      </c>
      <c r="AI151" s="271"/>
      <c r="AJ151" s="224"/>
      <c r="AK151" s="223">
        <f>SUM(AK152:AK156)</f>
        <v>201.055397</v>
      </c>
      <c r="AL151" s="271"/>
      <c r="AM151" s="224"/>
      <c r="AN151" s="223">
        <f>SUM(AN152:AN156)</f>
        <v>219.64906100000002</v>
      </c>
      <c r="AO151" s="271"/>
      <c r="AP151" s="224"/>
      <c r="AQ151" s="223">
        <f>SUM(AQ152:AQ156)</f>
        <v>267.51223199999998</v>
      </c>
      <c r="AR151" s="271"/>
      <c r="AS151" s="224"/>
      <c r="AT151" s="223">
        <f>SUM(AT152:AT156)</f>
        <v>2204.0953129999998</v>
      </c>
      <c r="AU151" s="271"/>
      <c r="AV151" s="229"/>
      <c r="AW151" s="226"/>
      <c r="AX151" s="230"/>
      <c r="AY151" s="231">
        <f>SUM(AY152:AY156)</f>
        <v>1287.8336570000001</v>
      </c>
      <c r="AZ151" s="261"/>
      <c r="BA151" s="261"/>
      <c r="BB151" s="261"/>
      <c r="BC151" s="261"/>
    </row>
    <row r="152" spans="1:55">
      <c r="B152" s="179"/>
      <c r="C152" s="179"/>
      <c r="D152" s="181"/>
      <c r="E152" s="181"/>
      <c r="F152" s="181"/>
      <c r="G152" s="1110">
        <v>310401</v>
      </c>
      <c r="H152" s="123" t="s">
        <v>1075</v>
      </c>
      <c r="I152" s="519" t="s">
        <v>365</v>
      </c>
      <c r="J152" s="244">
        <v>0</v>
      </c>
      <c r="K152" s="246"/>
      <c r="L152" s="282"/>
      <c r="M152" s="244">
        <v>0</v>
      </c>
      <c r="N152" s="246"/>
      <c r="O152" s="282"/>
      <c r="P152" s="244">
        <v>0</v>
      </c>
      <c r="Q152" s="246"/>
      <c r="R152" s="282"/>
      <c r="S152" s="244">
        <v>0</v>
      </c>
      <c r="T152" s="246"/>
      <c r="U152" s="282"/>
      <c r="V152" s="244">
        <v>0</v>
      </c>
      <c r="W152" s="246"/>
      <c r="X152" s="282"/>
      <c r="Y152" s="244">
        <v>0</v>
      </c>
      <c r="Z152" s="246"/>
      <c r="AA152" s="282"/>
      <c r="AB152" s="244">
        <v>0</v>
      </c>
      <c r="AC152" s="246"/>
      <c r="AD152" s="282"/>
      <c r="AE152" s="244">
        <v>0</v>
      </c>
      <c r="AF152" s="246"/>
      <c r="AG152" s="282"/>
      <c r="AH152" s="244">
        <v>0</v>
      </c>
      <c r="AI152" s="246"/>
      <c r="AJ152" s="282"/>
      <c r="AK152" s="244">
        <v>0</v>
      </c>
      <c r="AL152" s="246"/>
      <c r="AM152" s="282"/>
      <c r="AN152" s="244">
        <v>0</v>
      </c>
      <c r="AO152" s="246"/>
      <c r="AP152" s="282"/>
      <c r="AQ152" s="244">
        <v>0</v>
      </c>
      <c r="AR152" s="283"/>
      <c r="AS152" s="299"/>
      <c r="AT152" s="244">
        <f t="shared" ref="AT152:AT156" si="6">J152+M152+P152+S152+V152+Y152+AB152+AE152+AH152+AK152+AN152+AQ152</f>
        <v>0</v>
      </c>
      <c r="AU152" s="283"/>
      <c r="AV152" s="284"/>
      <c r="AW152" s="285"/>
      <c r="AX152" s="321"/>
      <c r="AY152" s="435">
        <v>0</v>
      </c>
      <c r="AZ152" s="261"/>
      <c r="BA152" s="261"/>
      <c r="BB152" s="261"/>
      <c r="BC152" s="261"/>
    </row>
    <row r="153" spans="1:55">
      <c r="B153" s="179"/>
      <c r="C153" s="179"/>
      <c r="D153" s="181"/>
      <c r="E153" s="181"/>
      <c r="F153" s="181"/>
      <c r="G153" s="1110">
        <v>310411</v>
      </c>
      <c r="H153" s="123" t="s">
        <v>619</v>
      </c>
      <c r="I153" s="516" t="s">
        <v>364</v>
      </c>
      <c r="J153" s="244">
        <v>77.881919999999994</v>
      </c>
      <c r="K153" s="246"/>
      <c r="L153" s="282"/>
      <c r="M153" s="244">
        <v>60.157439999999994</v>
      </c>
      <c r="N153" s="246"/>
      <c r="O153" s="282"/>
      <c r="P153" s="244">
        <v>77.881919999999994</v>
      </c>
      <c r="Q153" s="246"/>
      <c r="R153" s="282"/>
      <c r="S153" s="244">
        <v>84.110399999999998</v>
      </c>
      <c r="T153" s="246"/>
      <c r="U153" s="282"/>
      <c r="V153" s="244">
        <v>77.881919999999994</v>
      </c>
      <c r="W153" s="246"/>
      <c r="X153" s="282"/>
      <c r="Y153" s="244">
        <v>37.382400000000004</v>
      </c>
      <c r="Z153" s="246"/>
      <c r="AA153" s="282"/>
      <c r="AB153" s="244">
        <v>68.537279999999996</v>
      </c>
      <c r="AC153" s="246"/>
      <c r="AD153" s="282"/>
      <c r="AE153" s="244">
        <v>87.226559999999992</v>
      </c>
      <c r="AF153" s="246"/>
      <c r="AG153" s="282"/>
      <c r="AH153" s="345">
        <f>74.7648+20</f>
        <v>94.764799999999994</v>
      </c>
      <c r="AI153" s="246"/>
      <c r="AJ153" s="282"/>
      <c r="AK153" s="244">
        <v>96.571200000000005</v>
      </c>
      <c r="AL153" s="246"/>
      <c r="AM153" s="282"/>
      <c r="AN153" s="244">
        <v>59.191199999999995</v>
      </c>
      <c r="AO153" s="246"/>
      <c r="AP153" s="282"/>
      <c r="AQ153" s="244">
        <v>77.881919999999994</v>
      </c>
      <c r="AR153" s="283"/>
      <c r="AS153" s="299"/>
      <c r="AT153" s="244">
        <f t="shared" si="6"/>
        <v>899.46895999999992</v>
      </c>
      <c r="AU153" s="283"/>
      <c r="AV153" s="284"/>
      <c r="AW153" s="285"/>
      <c r="AX153" s="321"/>
      <c r="AY153" s="435">
        <v>143.83903699999999</v>
      </c>
      <c r="AZ153" s="261"/>
      <c r="BA153" s="261"/>
      <c r="BB153" s="261"/>
      <c r="BC153" s="261"/>
    </row>
    <row r="154" spans="1:55">
      <c r="B154" s="179"/>
      <c r="C154" s="179"/>
      <c r="D154" s="181">
        <v>310410</v>
      </c>
      <c r="E154" s="181"/>
      <c r="F154" s="181"/>
      <c r="G154" s="1110">
        <v>310410</v>
      </c>
      <c r="H154" s="123" t="s">
        <v>522</v>
      </c>
      <c r="I154" s="516" t="s">
        <v>364</v>
      </c>
      <c r="J154" s="244">
        <v>71.424000000000007</v>
      </c>
      <c r="K154" s="246"/>
      <c r="L154" s="282"/>
      <c r="M154" s="244">
        <v>60.48</v>
      </c>
      <c r="N154" s="246"/>
      <c r="O154" s="282"/>
      <c r="P154" s="244">
        <v>61.752000000000002</v>
      </c>
      <c r="Q154" s="246"/>
      <c r="R154" s="282"/>
      <c r="S154" s="244">
        <v>41.76</v>
      </c>
      <c r="T154" s="246"/>
      <c r="U154" s="282"/>
      <c r="V154" s="244">
        <v>18.600000000000001</v>
      </c>
      <c r="W154" s="246"/>
      <c r="X154" s="282"/>
      <c r="Y154" s="244">
        <v>18</v>
      </c>
      <c r="Z154" s="246"/>
      <c r="AA154" s="282"/>
      <c r="AB154" s="244">
        <v>18.600000000000001</v>
      </c>
      <c r="AC154" s="246"/>
      <c r="AD154" s="282"/>
      <c r="AE154" s="244">
        <v>18.600000000000001</v>
      </c>
      <c r="AF154" s="246"/>
      <c r="AG154" s="282"/>
      <c r="AH154" s="244">
        <v>18</v>
      </c>
      <c r="AI154" s="246"/>
      <c r="AJ154" s="282"/>
      <c r="AK154" s="244">
        <v>40.92</v>
      </c>
      <c r="AL154" s="246"/>
      <c r="AM154" s="282"/>
      <c r="AN154" s="244">
        <v>59.04</v>
      </c>
      <c r="AO154" s="246"/>
      <c r="AP154" s="282"/>
      <c r="AQ154" s="244">
        <v>66.959999999999994</v>
      </c>
      <c r="AR154" s="283"/>
      <c r="AS154" s="299"/>
      <c r="AT154" s="244">
        <f t="shared" si="6"/>
        <v>494.13600000000002</v>
      </c>
      <c r="AU154" s="283"/>
      <c r="AV154" s="284"/>
      <c r="AW154" s="285"/>
      <c r="AX154" s="321"/>
      <c r="AY154" s="435">
        <v>421.93958199999997</v>
      </c>
      <c r="AZ154" s="261"/>
      <c r="BA154" s="261"/>
      <c r="BB154" s="261"/>
      <c r="BC154" s="261"/>
    </row>
    <row r="155" spans="1:55">
      <c r="B155" s="179"/>
      <c r="C155" s="179"/>
      <c r="D155" s="181">
        <v>310413</v>
      </c>
      <c r="E155" s="181"/>
      <c r="F155" s="181"/>
      <c r="G155" s="1110">
        <v>310413</v>
      </c>
      <c r="H155" s="123" t="s">
        <v>523</v>
      </c>
      <c r="I155" s="516" t="s">
        <v>364</v>
      </c>
      <c r="J155" s="244">
        <v>133.91999999999999</v>
      </c>
      <c r="K155" s="246"/>
      <c r="L155" s="282"/>
      <c r="M155" s="345">
        <f>111.552+10</f>
        <v>121.55200000000001</v>
      </c>
      <c r="N155" s="246"/>
      <c r="O155" s="282"/>
      <c r="P155" s="244">
        <v>101.184</v>
      </c>
      <c r="Q155" s="246"/>
      <c r="R155" s="282"/>
      <c r="S155" s="244">
        <v>64.8</v>
      </c>
      <c r="T155" s="246"/>
      <c r="U155" s="282"/>
      <c r="V155" s="244">
        <v>27.335999999999999</v>
      </c>
      <c r="W155" s="246"/>
      <c r="X155" s="282"/>
      <c r="Y155" s="244">
        <v>9.4909999999999997</v>
      </c>
      <c r="Z155" s="246"/>
      <c r="AA155" s="282"/>
      <c r="AB155" s="244">
        <v>9.0660000000000007</v>
      </c>
      <c r="AC155" s="246"/>
      <c r="AD155" s="282"/>
      <c r="AE155" s="244">
        <v>12.301</v>
      </c>
      <c r="AF155" s="246"/>
      <c r="AG155" s="282"/>
      <c r="AH155" s="244">
        <v>16.428000000000001</v>
      </c>
      <c r="AI155" s="246"/>
      <c r="AJ155" s="282"/>
      <c r="AK155" s="244">
        <v>59.52</v>
      </c>
      <c r="AL155" s="246"/>
      <c r="AM155" s="282"/>
      <c r="AN155" s="244">
        <v>97.92</v>
      </c>
      <c r="AO155" s="246"/>
      <c r="AP155" s="282"/>
      <c r="AQ155" s="244">
        <v>119.04</v>
      </c>
      <c r="AR155" s="283"/>
      <c r="AS155" s="299"/>
      <c r="AT155" s="244">
        <f t="shared" si="6"/>
        <v>772.55799999999988</v>
      </c>
      <c r="AU155" s="283"/>
      <c r="AV155" s="284"/>
      <c r="AW155" s="285"/>
      <c r="AX155" s="321"/>
      <c r="AY155" s="435">
        <v>673.38315599999999</v>
      </c>
      <c r="AZ155" s="261"/>
      <c r="BA155" s="261"/>
      <c r="BB155" s="261"/>
      <c r="BC155" s="261"/>
    </row>
    <row r="156" spans="1:55" ht="15" customHeight="1">
      <c r="B156" s="179"/>
      <c r="C156" s="179"/>
      <c r="D156" s="181">
        <v>310400</v>
      </c>
      <c r="E156" s="181"/>
      <c r="F156" s="181"/>
      <c r="G156" s="1211">
        <v>777258</v>
      </c>
      <c r="H156" s="123" t="s">
        <v>1296</v>
      </c>
      <c r="I156" s="519" t="s">
        <v>365</v>
      </c>
      <c r="J156" s="244">
        <v>4.0265589999999998</v>
      </c>
      <c r="K156" s="246"/>
      <c r="L156" s="282"/>
      <c r="M156" s="244">
        <v>3.7424019999999998</v>
      </c>
      <c r="N156" s="246"/>
      <c r="O156" s="282"/>
      <c r="P156" s="244">
        <v>3.3259970000000001</v>
      </c>
      <c r="Q156" s="246"/>
      <c r="R156" s="282"/>
      <c r="S156" s="244">
        <v>3.8908800000000001</v>
      </c>
      <c r="T156" s="246"/>
      <c r="U156" s="282"/>
      <c r="V156" s="244">
        <v>3.3546239999999998</v>
      </c>
      <c r="W156" s="246"/>
      <c r="X156" s="282"/>
      <c r="Y156" s="244">
        <v>3.4149020000000001</v>
      </c>
      <c r="Z156" s="246"/>
      <c r="AA156" s="282"/>
      <c r="AB156" s="244">
        <v>1.953403</v>
      </c>
      <c r="AC156" s="246"/>
      <c r="AD156" s="282"/>
      <c r="AE156" s="244">
        <v>2.117E-3</v>
      </c>
      <c r="AF156" s="246"/>
      <c r="AG156" s="282"/>
      <c r="AH156" s="244">
        <v>3.049099</v>
      </c>
      <c r="AI156" s="246"/>
      <c r="AJ156" s="282"/>
      <c r="AK156" s="244">
        <v>4.0441969999999996</v>
      </c>
      <c r="AL156" s="246"/>
      <c r="AM156" s="282"/>
      <c r="AN156" s="244">
        <v>3.4978609999999999</v>
      </c>
      <c r="AO156" s="246"/>
      <c r="AP156" s="282"/>
      <c r="AQ156" s="244">
        <v>3.630312</v>
      </c>
      <c r="AR156" s="283"/>
      <c r="AS156" s="299"/>
      <c r="AT156" s="244">
        <f t="shared" si="6"/>
        <v>37.932352999999992</v>
      </c>
      <c r="AU156" s="283"/>
      <c r="AV156" s="284"/>
      <c r="AW156" s="285"/>
      <c r="AX156" s="321"/>
      <c r="AY156" s="435">
        <v>48.671881999999997</v>
      </c>
      <c r="AZ156" s="261"/>
      <c r="BA156" s="261"/>
      <c r="BB156" s="261"/>
      <c r="BC156" s="261"/>
    </row>
    <row r="157" spans="1:55" ht="18.75">
      <c r="B157" s="179"/>
      <c r="C157" s="179"/>
      <c r="D157" s="181">
        <v>313000</v>
      </c>
      <c r="E157" s="181"/>
      <c r="F157" s="181"/>
      <c r="G157" s="181">
        <v>313000</v>
      </c>
      <c r="H157" s="470" t="s">
        <v>1574</v>
      </c>
      <c r="I157" s="470"/>
      <c r="J157" s="277">
        <f>J158+J159</f>
        <v>56.635100000000001</v>
      </c>
      <c r="K157" s="275">
        <f>L157-J157</f>
        <v>593.17752855539231</v>
      </c>
      <c r="L157" s="276">
        <f>Потребление!D15</f>
        <v>649.81262855539228</v>
      </c>
      <c r="M157" s="274">
        <f>M158+M159</f>
        <v>45.926120000000004</v>
      </c>
      <c r="N157" s="275">
        <f>O157-M157</f>
        <v>558.01330576722307</v>
      </c>
      <c r="O157" s="276">
        <f>Потребление!E15</f>
        <v>603.93942576722304</v>
      </c>
      <c r="P157" s="274">
        <f>P158+P159</f>
        <v>48.77055</v>
      </c>
      <c r="Q157" s="275">
        <f>R157-P157</f>
        <v>526.81641607682445</v>
      </c>
      <c r="R157" s="276">
        <f>Потребление!F15</f>
        <v>575.58696607682441</v>
      </c>
      <c r="S157" s="274">
        <f>S158+S159</f>
        <v>25.926860000000001</v>
      </c>
      <c r="T157" s="275">
        <f>U157-S157</f>
        <v>548.8308435207241</v>
      </c>
      <c r="U157" s="276">
        <f>Потребление!G15</f>
        <v>574.75770352072414</v>
      </c>
      <c r="V157" s="274">
        <f>V158+V159</f>
        <v>15.980179999999999</v>
      </c>
      <c r="W157" s="275">
        <f>X157-V157</f>
        <v>518.78981127835539</v>
      </c>
      <c r="X157" s="276">
        <f>Потребление!H15</f>
        <v>534.76999127835541</v>
      </c>
      <c r="Y157" s="274">
        <f>Y158+Y159</f>
        <v>13.69772</v>
      </c>
      <c r="Z157" s="275">
        <f>AA157-Y157</f>
        <v>507.10487351542929</v>
      </c>
      <c r="AA157" s="276">
        <f>Потребление!I15</f>
        <v>520.80259351542929</v>
      </c>
      <c r="AB157" s="274">
        <f>AB158+AB159</f>
        <v>15.18018</v>
      </c>
      <c r="AC157" s="275">
        <f>AD157-AB157</f>
        <v>501.86370041846152</v>
      </c>
      <c r="AD157" s="276">
        <f>Потребление!J15</f>
        <v>517.04388041846153</v>
      </c>
      <c r="AE157" s="274">
        <f>AE158+AE159</f>
        <v>11.380179999999999</v>
      </c>
      <c r="AF157" s="275">
        <f>AG157-AE157</f>
        <v>512.58082538422104</v>
      </c>
      <c r="AG157" s="276">
        <f>Потребление!K15</f>
        <v>523.96100538422104</v>
      </c>
      <c r="AH157" s="274">
        <f>AH158+AH159</f>
        <v>16.116399999999999</v>
      </c>
      <c r="AI157" s="275">
        <f>AJ157-AH157</f>
        <v>528.07382560119163</v>
      </c>
      <c r="AJ157" s="276">
        <f>Потребление!L15</f>
        <v>544.19022560119163</v>
      </c>
      <c r="AK157" s="274">
        <f>AK158+AK159</f>
        <v>27.777629999999998</v>
      </c>
      <c r="AL157" s="275">
        <f>AM157-AK157</f>
        <v>606.82953881159096</v>
      </c>
      <c r="AM157" s="276">
        <f>Потребление!M15</f>
        <v>634.60716881159101</v>
      </c>
      <c r="AN157" s="274">
        <f>AN158+AN159</f>
        <v>43.385720000000006</v>
      </c>
      <c r="AO157" s="275">
        <f>AP157-AN157</f>
        <v>617.25413747696348</v>
      </c>
      <c r="AP157" s="276">
        <f>Потребление!N15</f>
        <v>660.63985747696347</v>
      </c>
      <c r="AQ157" s="274">
        <f>AQ158+AQ159</f>
        <v>45.497252000000003</v>
      </c>
      <c r="AR157" s="275">
        <f>AS157-AQ157</f>
        <v>662.95880159362196</v>
      </c>
      <c r="AS157" s="276">
        <f>Потребление!O15</f>
        <v>708.45605359362196</v>
      </c>
      <c r="AT157" s="274">
        <f>AT158+AT159</f>
        <v>366.27389200000005</v>
      </c>
      <c r="AU157" s="275">
        <f>AV157-AT157</f>
        <v>6682.2936079999981</v>
      </c>
      <c r="AV157" s="278">
        <f>L157+O157+R157+U157+X157+AA157+AD157+AG157+AJ157+AM157+AP157+AS157</f>
        <v>7048.5674999999983</v>
      </c>
      <c r="AW157" s="279"/>
      <c r="AX157" s="1067">
        <v>6921.281739</v>
      </c>
      <c r="AY157" s="298">
        <f>AY158+AY159</f>
        <v>261.61150099999998</v>
      </c>
      <c r="AZ157" s="261"/>
      <c r="BA157" s="261"/>
      <c r="BB157" s="261"/>
      <c r="BC157" s="261"/>
    </row>
    <row r="158" spans="1:55">
      <c r="B158" s="179"/>
      <c r="C158" s="179"/>
      <c r="D158" s="181"/>
      <c r="E158" s="181"/>
      <c r="F158" s="181"/>
      <c r="G158" s="181"/>
      <c r="H158" s="10" t="s">
        <v>173</v>
      </c>
      <c r="I158" s="10"/>
      <c r="J158" s="223">
        <f>J160+J163+J164</f>
        <v>42.061100000000003</v>
      </c>
      <c r="K158" s="271"/>
      <c r="L158" s="224"/>
      <c r="M158" s="223">
        <f>M160+M163+M164</f>
        <v>33.320120000000003</v>
      </c>
      <c r="N158" s="271"/>
      <c r="O158" s="224"/>
      <c r="P158" s="223">
        <f>P160+P163+P164</f>
        <v>34.507550000000002</v>
      </c>
      <c r="Q158" s="271"/>
      <c r="R158" s="224"/>
      <c r="S158" s="223">
        <f>S160+S163+S164</f>
        <v>13.598860000000002</v>
      </c>
      <c r="T158" s="271"/>
      <c r="U158" s="224"/>
      <c r="V158" s="223">
        <f>V160+V163+V164</f>
        <v>4.68018</v>
      </c>
      <c r="W158" s="271"/>
      <c r="X158" s="224"/>
      <c r="Y158" s="223">
        <f>Y160+Y163+Y164</f>
        <v>3.79772</v>
      </c>
      <c r="Z158" s="271"/>
      <c r="AA158" s="224"/>
      <c r="AB158" s="223">
        <f>AB160+AB163+AB164</f>
        <v>4.7801799999999997</v>
      </c>
      <c r="AC158" s="271"/>
      <c r="AD158" s="224"/>
      <c r="AE158" s="223">
        <f>AE160+AE163+AE164</f>
        <v>4.3801800000000002</v>
      </c>
      <c r="AF158" s="271"/>
      <c r="AG158" s="224"/>
      <c r="AH158" s="223">
        <f>AH160+AH163+AH164</f>
        <v>5.5164</v>
      </c>
      <c r="AI158" s="271"/>
      <c r="AJ158" s="224"/>
      <c r="AK158" s="223">
        <f>AK160+AK163+AK164</f>
        <v>18.702629999999999</v>
      </c>
      <c r="AL158" s="271"/>
      <c r="AM158" s="224"/>
      <c r="AN158" s="223">
        <f>AN160+AN163+AN164</f>
        <v>29.337720000000004</v>
      </c>
      <c r="AO158" s="271"/>
      <c r="AP158" s="224"/>
      <c r="AQ158" s="223">
        <f>AQ160+AQ163+AQ164</f>
        <v>31.192252000000003</v>
      </c>
      <c r="AR158" s="271"/>
      <c r="AS158" s="224"/>
      <c r="AT158" s="223">
        <f>AT160+AT163+AT164</f>
        <v>225.87489200000002</v>
      </c>
      <c r="AU158" s="271"/>
      <c r="AV158" s="229"/>
      <c r="AW158" s="226"/>
      <c r="AX158" s="230"/>
      <c r="AY158" s="231">
        <f>SUM(AY160:AY164)</f>
        <v>117.243921</v>
      </c>
      <c r="AZ158" s="261"/>
      <c r="BA158" s="261"/>
      <c r="BB158" s="261"/>
      <c r="BC158" s="261"/>
    </row>
    <row r="159" spans="1:55">
      <c r="B159" s="179"/>
      <c r="C159" s="179"/>
      <c r="D159" s="181"/>
      <c r="E159" s="181"/>
      <c r="F159" s="181"/>
      <c r="G159" s="181"/>
      <c r="H159" s="10" t="s">
        <v>99</v>
      </c>
      <c r="I159" s="10"/>
      <c r="J159" s="223">
        <f>J165</f>
        <v>14.574</v>
      </c>
      <c r="K159" s="271"/>
      <c r="L159" s="224"/>
      <c r="M159" s="223">
        <f>M165</f>
        <v>12.606</v>
      </c>
      <c r="N159" s="271"/>
      <c r="O159" s="224"/>
      <c r="P159" s="223">
        <f>P165</f>
        <v>14.262999999999998</v>
      </c>
      <c r="Q159" s="271"/>
      <c r="R159" s="224"/>
      <c r="S159" s="223">
        <f>S165</f>
        <v>12.327999999999999</v>
      </c>
      <c r="T159" s="271"/>
      <c r="U159" s="224"/>
      <c r="V159" s="223">
        <f>V165</f>
        <v>11.299999999999999</v>
      </c>
      <c r="W159" s="271"/>
      <c r="X159" s="224"/>
      <c r="Y159" s="223">
        <f>Y165</f>
        <v>9.9</v>
      </c>
      <c r="Z159" s="271"/>
      <c r="AA159" s="224"/>
      <c r="AB159" s="223">
        <f>AB165</f>
        <v>10.4</v>
      </c>
      <c r="AC159" s="271"/>
      <c r="AD159" s="224"/>
      <c r="AE159" s="223">
        <f>AE165</f>
        <v>7</v>
      </c>
      <c r="AF159" s="271"/>
      <c r="AG159" s="224"/>
      <c r="AH159" s="223">
        <f>AH165</f>
        <v>10.6</v>
      </c>
      <c r="AI159" s="271"/>
      <c r="AJ159" s="224"/>
      <c r="AK159" s="223">
        <f>AK165</f>
        <v>9.0749999999999993</v>
      </c>
      <c r="AL159" s="271"/>
      <c r="AM159" s="224"/>
      <c r="AN159" s="223">
        <f>AN165</f>
        <v>14.047999999999998</v>
      </c>
      <c r="AO159" s="271"/>
      <c r="AP159" s="224"/>
      <c r="AQ159" s="223">
        <f>AQ165</f>
        <v>14.305</v>
      </c>
      <c r="AR159" s="271"/>
      <c r="AS159" s="224"/>
      <c r="AT159" s="223">
        <f>AT165</f>
        <v>140.399</v>
      </c>
      <c r="AU159" s="271"/>
      <c r="AV159" s="229"/>
      <c r="AW159" s="226"/>
      <c r="AX159" s="230"/>
      <c r="AY159" s="231">
        <f>AY165</f>
        <v>144.36758</v>
      </c>
      <c r="AZ159" s="261"/>
      <c r="BA159" s="261"/>
      <c r="BB159" s="261"/>
      <c r="BC159" s="261"/>
    </row>
    <row r="160" spans="1:55">
      <c r="B160" s="179"/>
      <c r="C160" s="179"/>
      <c r="D160" s="181">
        <v>310244</v>
      </c>
      <c r="E160" s="181"/>
      <c r="F160" s="181"/>
      <c r="G160" s="1110">
        <v>310244</v>
      </c>
      <c r="H160" s="137" t="s">
        <v>524</v>
      </c>
      <c r="I160" s="516" t="s">
        <v>364</v>
      </c>
      <c r="J160" s="262">
        <f>SUM(J161:J162)</f>
        <v>24.622400000000003</v>
      </c>
      <c r="K160" s="323"/>
      <c r="L160" s="324"/>
      <c r="M160" s="317">
        <f>SUM(M161:M162)</f>
        <v>17.8888</v>
      </c>
      <c r="N160" s="323"/>
      <c r="O160" s="324"/>
      <c r="P160" s="317">
        <f>SUM(P161:P162)</f>
        <v>17.48</v>
      </c>
      <c r="Q160" s="323"/>
      <c r="R160" s="324"/>
      <c r="S160" s="317">
        <f>SUM(S161:S162)</f>
        <v>4.32</v>
      </c>
      <c r="T160" s="323"/>
      <c r="U160" s="324"/>
      <c r="V160" s="317">
        <f>SUM(V161:V162)</f>
        <v>0</v>
      </c>
      <c r="W160" s="323"/>
      <c r="X160" s="324"/>
      <c r="Y160" s="317">
        <f>SUM(Y161:Y162)</f>
        <v>0</v>
      </c>
      <c r="Z160" s="323"/>
      <c r="AA160" s="324"/>
      <c r="AB160" s="317">
        <f>SUM(AB161:AB162)</f>
        <v>0</v>
      </c>
      <c r="AC160" s="323"/>
      <c r="AD160" s="324"/>
      <c r="AE160" s="317">
        <f>SUM(AE161:AE162)</f>
        <v>0</v>
      </c>
      <c r="AF160" s="323"/>
      <c r="AG160" s="324"/>
      <c r="AH160" s="317">
        <f>SUM(AH161:AH162)</f>
        <v>0.86</v>
      </c>
      <c r="AI160" s="323"/>
      <c r="AJ160" s="324"/>
      <c r="AK160" s="317">
        <f>SUM(AK161:AK162)</f>
        <v>4.46</v>
      </c>
      <c r="AL160" s="323"/>
      <c r="AM160" s="324"/>
      <c r="AN160" s="317">
        <f>SUM(AN161:AN162)</f>
        <v>16.920000000000002</v>
      </c>
      <c r="AO160" s="323"/>
      <c r="AP160" s="324"/>
      <c r="AQ160" s="317">
        <f>SUM(AQ161:AQ162)</f>
        <v>14.993552000000001</v>
      </c>
      <c r="AR160" s="323"/>
      <c r="AS160" s="324"/>
      <c r="AT160" s="317">
        <f>SUM(AT161:AT162)</f>
        <v>101.54475200000002</v>
      </c>
      <c r="AU160" s="323"/>
      <c r="AV160" s="325"/>
      <c r="AW160" s="226"/>
      <c r="AX160" s="328"/>
      <c r="AY160" s="1068">
        <v>15.278937000000001</v>
      </c>
      <c r="AZ160" s="261"/>
      <c r="BA160" s="261"/>
      <c r="BB160" s="261"/>
      <c r="BC160" s="261"/>
    </row>
    <row r="161" spans="1:55">
      <c r="B161" s="179"/>
      <c r="C161" s="179"/>
      <c r="D161" s="181"/>
      <c r="E161" s="181"/>
      <c r="F161" s="181"/>
      <c r="G161" s="1110"/>
      <c r="H161" s="123" t="s">
        <v>524</v>
      </c>
      <c r="I161" s="123"/>
      <c r="J161" s="244">
        <v>4.46</v>
      </c>
      <c r="K161" s="246"/>
      <c r="L161" s="282"/>
      <c r="M161" s="244">
        <v>4.18</v>
      </c>
      <c r="N161" s="246"/>
      <c r="O161" s="282"/>
      <c r="P161" s="244">
        <v>4.46</v>
      </c>
      <c r="Q161" s="246"/>
      <c r="R161" s="282"/>
      <c r="S161" s="244">
        <v>4.32</v>
      </c>
      <c r="T161" s="246"/>
      <c r="U161" s="282"/>
      <c r="V161" s="244">
        <v>0</v>
      </c>
      <c r="W161" s="246"/>
      <c r="X161" s="282"/>
      <c r="Y161" s="244">
        <v>0</v>
      </c>
      <c r="Z161" s="246"/>
      <c r="AA161" s="282"/>
      <c r="AB161" s="244">
        <v>0</v>
      </c>
      <c r="AC161" s="246"/>
      <c r="AD161" s="282"/>
      <c r="AE161" s="244">
        <v>0</v>
      </c>
      <c r="AF161" s="246"/>
      <c r="AG161" s="282"/>
      <c r="AH161" s="244">
        <v>0.86</v>
      </c>
      <c r="AI161" s="246"/>
      <c r="AJ161" s="282"/>
      <c r="AK161" s="244">
        <v>4.46</v>
      </c>
      <c r="AL161" s="246"/>
      <c r="AM161" s="282"/>
      <c r="AN161" s="244">
        <v>4.32</v>
      </c>
      <c r="AO161" s="246"/>
      <c r="AP161" s="282"/>
      <c r="AQ161" s="244">
        <v>4.46</v>
      </c>
      <c r="AR161" s="283"/>
      <c r="AS161" s="299"/>
      <c r="AT161" s="244">
        <f t="shared" ref="AT161:AT168" si="7">J161+M161+P161+S161+V161+Y161+AB161+AE161+AH161+AK161+AN161+AQ161</f>
        <v>31.520000000000003</v>
      </c>
      <c r="AU161" s="283"/>
      <c r="AV161" s="284"/>
      <c r="AW161" s="285"/>
      <c r="AX161" s="321"/>
      <c r="AY161" s="300"/>
      <c r="AZ161" s="261"/>
      <c r="BA161" s="261"/>
      <c r="BB161" s="261"/>
      <c r="BC161" s="261"/>
    </row>
    <row r="162" spans="1:55">
      <c r="B162" s="179"/>
      <c r="C162" s="179"/>
      <c r="D162" s="181"/>
      <c r="E162" s="181"/>
      <c r="F162" s="181"/>
      <c r="G162" s="1110"/>
      <c r="H162" s="122" t="s">
        <v>525</v>
      </c>
      <c r="I162" s="122"/>
      <c r="J162" s="244">
        <v>20.162400000000002</v>
      </c>
      <c r="K162" s="246"/>
      <c r="L162" s="282"/>
      <c r="M162" s="244">
        <v>13.7088</v>
      </c>
      <c r="N162" s="246"/>
      <c r="O162" s="282"/>
      <c r="P162" s="244">
        <v>13.02</v>
      </c>
      <c r="Q162" s="246"/>
      <c r="R162" s="282"/>
      <c r="S162" s="244">
        <v>0</v>
      </c>
      <c r="T162" s="246"/>
      <c r="U162" s="282"/>
      <c r="V162" s="244">
        <v>0</v>
      </c>
      <c r="W162" s="246"/>
      <c r="X162" s="282"/>
      <c r="Y162" s="244">
        <v>0</v>
      </c>
      <c r="Z162" s="246"/>
      <c r="AA162" s="282"/>
      <c r="AB162" s="244">
        <v>0</v>
      </c>
      <c r="AC162" s="246"/>
      <c r="AD162" s="282"/>
      <c r="AE162" s="244">
        <v>0</v>
      </c>
      <c r="AF162" s="246"/>
      <c r="AG162" s="282"/>
      <c r="AH162" s="244">
        <v>0</v>
      </c>
      <c r="AI162" s="246"/>
      <c r="AJ162" s="282"/>
      <c r="AK162" s="244">
        <v>0</v>
      </c>
      <c r="AL162" s="246"/>
      <c r="AM162" s="282"/>
      <c r="AN162" s="244">
        <v>12.6</v>
      </c>
      <c r="AO162" s="246"/>
      <c r="AP162" s="282"/>
      <c r="AQ162" s="244">
        <v>10.533552</v>
      </c>
      <c r="AR162" s="283"/>
      <c r="AS162" s="299"/>
      <c r="AT162" s="244">
        <f t="shared" si="7"/>
        <v>70.024752000000007</v>
      </c>
      <c r="AU162" s="283"/>
      <c r="AV162" s="284"/>
      <c r="AW162" s="285"/>
      <c r="AX162" s="321"/>
      <c r="AY162" s="300"/>
      <c r="AZ162" s="261"/>
      <c r="BA162" s="261"/>
      <c r="BB162" s="261"/>
      <c r="BC162" s="261"/>
    </row>
    <row r="163" spans="1:55">
      <c r="B163" s="179"/>
      <c r="C163" s="179"/>
      <c r="D163" s="181">
        <v>310245</v>
      </c>
      <c r="E163" s="181"/>
      <c r="F163" s="181"/>
      <c r="G163" s="1110">
        <v>310245</v>
      </c>
      <c r="H163" s="122" t="s">
        <v>1297</v>
      </c>
      <c r="I163" s="519" t="s">
        <v>365</v>
      </c>
      <c r="J163" s="244">
        <v>14.48</v>
      </c>
      <c r="K163" s="246"/>
      <c r="L163" s="282"/>
      <c r="M163" s="244">
        <v>12.75</v>
      </c>
      <c r="N163" s="246"/>
      <c r="O163" s="282"/>
      <c r="P163" s="244">
        <v>14.3</v>
      </c>
      <c r="Q163" s="246"/>
      <c r="R163" s="282"/>
      <c r="S163" s="244">
        <v>6.69</v>
      </c>
      <c r="T163" s="246"/>
      <c r="U163" s="282"/>
      <c r="V163" s="244">
        <v>2.23</v>
      </c>
      <c r="W163" s="246"/>
      <c r="X163" s="282"/>
      <c r="Y163" s="244">
        <v>1.44</v>
      </c>
      <c r="Z163" s="246"/>
      <c r="AA163" s="282"/>
      <c r="AB163" s="244">
        <v>2.33</v>
      </c>
      <c r="AC163" s="246"/>
      <c r="AD163" s="282"/>
      <c r="AE163" s="244">
        <v>1.93</v>
      </c>
      <c r="AF163" s="246"/>
      <c r="AG163" s="282"/>
      <c r="AH163" s="244">
        <v>2.16</v>
      </c>
      <c r="AI163" s="246"/>
      <c r="AJ163" s="282"/>
      <c r="AK163" s="244">
        <v>11.7</v>
      </c>
      <c r="AL163" s="246"/>
      <c r="AM163" s="282"/>
      <c r="AN163" s="244">
        <v>10.06</v>
      </c>
      <c r="AO163" s="246"/>
      <c r="AP163" s="282"/>
      <c r="AQ163" s="244">
        <v>13.24</v>
      </c>
      <c r="AR163" s="283"/>
      <c r="AS163" s="299"/>
      <c r="AT163" s="244">
        <f t="shared" si="7"/>
        <v>93.309999999999988</v>
      </c>
      <c r="AU163" s="283"/>
      <c r="AV163" s="284"/>
      <c r="AW163" s="285"/>
      <c r="AX163" s="321"/>
      <c r="AY163" s="435">
        <v>68.450344000000001</v>
      </c>
      <c r="AZ163" s="261"/>
      <c r="BA163" s="261"/>
      <c r="BB163" s="261"/>
      <c r="BC163" s="261"/>
    </row>
    <row r="164" spans="1:55">
      <c r="B164" s="179"/>
      <c r="C164" s="179"/>
      <c r="D164" s="181"/>
      <c r="E164" s="181"/>
      <c r="F164" s="181"/>
      <c r="G164" s="1110">
        <v>777013</v>
      </c>
      <c r="H164" s="122" t="s">
        <v>1298</v>
      </c>
      <c r="I164" s="518" t="s">
        <v>365</v>
      </c>
      <c r="J164" s="244">
        <v>2.9586999999999999</v>
      </c>
      <c r="K164" s="246"/>
      <c r="L164" s="282"/>
      <c r="M164" s="244">
        <v>2.6813199999999999</v>
      </c>
      <c r="N164" s="246"/>
      <c r="O164" s="282"/>
      <c r="P164" s="244">
        <v>2.7275499999999999</v>
      </c>
      <c r="Q164" s="246"/>
      <c r="R164" s="282"/>
      <c r="S164" s="244">
        <v>2.5888599999999999</v>
      </c>
      <c r="T164" s="246"/>
      <c r="U164" s="282"/>
      <c r="V164" s="244">
        <v>2.45018</v>
      </c>
      <c r="W164" s="246"/>
      <c r="X164" s="282"/>
      <c r="Y164" s="244">
        <v>2.35772</v>
      </c>
      <c r="Z164" s="246"/>
      <c r="AA164" s="282"/>
      <c r="AB164" s="244">
        <v>2.45018</v>
      </c>
      <c r="AC164" s="246"/>
      <c r="AD164" s="282"/>
      <c r="AE164" s="244">
        <v>2.45018</v>
      </c>
      <c r="AF164" s="246"/>
      <c r="AG164" s="282"/>
      <c r="AH164" s="244">
        <v>2.4964</v>
      </c>
      <c r="AI164" s="246"/>
      <c r="AJ164" s="282"/>
      <c r="AK164" s="244">
        <v>2.5426299999999999</v>
      </c>
      <c r="AL164" s="246"/>
      <c r="AM164" s="282"/>
      <c r="AN164" s="244">
        <v>2.35772</v>
      </c>
      <c r="AO164" s="246"/>
      <c r="AP164" s="282"/>
      <c r="AQ164" s="244">
        <v>2.9586999999999999</v>
      </c>
      <c r="AR164" s="283"/>
      <c r="AS164" s="299"/>
      <c r="AT164" s="244">
        <f t="shared" si="7"/>
        <v>31.020140000000001</v>
      </c>
      <c r="AU164" s="283"/>
      <c r="AV164" s="284"/>
      <c r="AW164" s="285"/>
      <c r="AX164" s="321"/>
      <c r="AY164" s="435">
        <v>33.51464</v>
      </c>
      <c r="AZ164" s="261"/>
      <c r="BA164" s="261"/>
      <c r="BB164" s="261"/>
      <c r="BC164" s="261"/>
    </row>
    <row r="165" spans="1:55" s="3" customFormat="1">
      <c r="A165" s="179"/>
      <c r="B165" s="179"/>
      <c r="C165" s="179"/>
      <c r="D165" s="181">
        <v>313077</v>
      </c>
      <c r="E165" s="181"/>
      <c r="F165" s="181"/>
      <c r="G165" s="1110"/>
      <c r="H165" s="138" t="s">
        <v>174</v>
      </c>
      <c r="I165" s="138"/>
      <c r="J165" s="319">
        <f>SUM(J166:J168)</f>
        <v>14.574</v>
      </c>
      <c r="K165" s="288"/>
      <c r="L165" s="289"/>
      <c r="M165" s="287">
        <f>SUM(M166:M168)</f>
        <v>12.606</v>
      </c>
      <c r="N165" s="288"/>
      <c r="O165" s="289"/>
      <c r="P165" s="287">
        <f>SUM(P166:P168)</f>
        <v>14.262999999999998</v>
      </c>
      <c r="Q165" s="288"/>
      <c r="R165" s="289"/>
      <c r="S165" s="287">
        <f>SUM(S166:S168)</f>
        <v>12.327999999999999</v>
      </c>
      <c r="T165" s="288"/>
      <c r="U165" s="289"/>
      <c r="V165" s="287">
        <f>SUM(V166:V168)</f>
        <v>11.299999999999999</v>
      </c>
      <c r="W165" s="288"/>
      <c r="X165" s="289"/>
      <c r="Y165" s="287">
        <f>SUM(Y166:Y168)</f>
        <v>9.9</v>
      </c>
      <c r="Z165" s="288"/>
      <c r="AA165" s="289"/>
      <c r="AB165" s="287">
        <f>SUM(AB166:AB168)</f>
        <v>10.4</v>
      </c>
      <c r="AC165" s="288"/>
      <c r="AD165" s="289"/>
      <c r="AE165" s="287">
        <f>SUM(AE166:AE168)</f>
        <v>7</v>
      </c>
      <c r="AF165" s="288"/>
      <c r="AG165" s="289"/>
      <c r="AH165" s="287">
        <f>SUM(AH166:AH168)</f>
        <v>10.6</v>
      </c>
      <c r="AI165" s="288"/>
      <c r="AJ165" s="289"/>
      <c r="AK165" s="287">
        <f>SUM(AK166:AK168)</f>
        <v>9.0749999999999993</v>
      </c>
      <c r="AL165" s="288"/>
      <c r="AM165" s="289"/>
      <c r="AN165" s="287">
        <f>SUM(AN166:AN168)</f>
        <v>14.047999999999998</v>
      </c>
      <c r="AO165" s="288"/>
      <c r="AP165" s="289"/>
      <c r="AQ165" s="287">
        <f>SUM(AQ166:AQ168)</f>
        <v>14.305</v>
      </c>
      <c r="AR165" s="288"/>
      <c r="AS165" s="289"/>
      <c r="AT165" s="287">
        <f>SUM(AT166:AT168)</f>
        <v>140.399</v>
      </c>
      <c r="AU165" s="288"/>
      <c r="AV165" s="290"/>
      <c r="AW165" s="285"/>
      <c r="AX165" s="296"/>
      <c r="AY165" s="436">
        <v>144.36758</v>
      </c>
      <c r="AZ165" s="318"/>
      <c r="BA165" s="318"/>
      <c r="BB165" s="318"/>
      <c r="BC165" s="318"/>
    </row>
    <row r="166" spans="1:55">
      <c r="B166" s="179"/>
      <c r="C166" s="179"/>
      <c r="D166" s="181">
        <v>310241</v>
      </c>
      <c r="E166" s="181"/>
      <c r="F166" s="181"/>
      <c r="G166" s="1110">
        <v>310241</v>
      </c>
      <c r="H166" s="135" t="s">
        <v>367</v>
      </c>
      <c r="I166" s="518" t="s">
        <v>365</v>
      </c>
      <c r="J166" s="294">
        <v>11</v>
      </c>
      <c r="K166" s="288"/>
      <c r="L166" s="289"/>
      <c r="M166" s="294">
        <v>9.5</v>
      </c>
      <c r="N166" s="288"/>
      <c r="O166" s="289"/>
      <c r="P166" s="294">
        <v>10.6</v>
      </c>
      <c r="Q166" s="288"/>
      <c r="R166" s="289"/>
      <c r="S166" s="294">
        <v>10.1</v>
      </c>
      <c r="T166" s="288"/>
      <c r="U166" s="289"/>
      <c r="V166" s="294">
        <v>9.6</v>
      </c>
      <c r="W166" s="288"/>
      <c r="X166" s="289"/>
      <c r="Y166" s="294">
        <v>8.4</v>
      </c>
      <c r="Z166" s="288"/>
      <c r="AA166" s="289"/>
      <c r="AB166" s="294">
        <v>8.9</v>
      </c>
      <c r="AC166" s="288"/>
      <c r="AD166" s="289"/>
      <c r="AE166" s="294">
        <v>5.5</v>
      </c>
      <c r="AF166" s="288"/>
      <c r="AG166" s="289"/>
      <c r="AH166" s="294">
        <v>9</v>
      </c>
      <c r="AI166" s="288"/>
      <c r="AJ166" s="289"/>
      <c r="AK166" s="294">
        <v>7</v>
      </c>
      <c r="AL166" s="288"/>
      <c r="AM166" s="289"/>
      <c r="AN166" s="294">
        <v>10.1</v>
      </c>
      <c r="AO166" s="288"/>
      <c r="AP166" s="289"/>
      <c r="AQ166" s="294">
        <v>10.1</v>
      </c>
      <c r="AR166" s="288"/>
      <c r="AS166" s="289"/>
      <c r="AT166" s="294">
        <f t="shared" si="7"/>
        <v>109.8</v>
      </c>
      <c r="AU166" s="288"/>
      <c r="AV166" s="290"/>
      <c r="AW166" s="285"/>
      <c r="AX166" s="296"/>
      <c r="AY166" s="313"/>
      <c r="AZ166" s="261"/>
      <c r="BA166" s="261"/>
      <c r="BB166" s="261"/>
      <c r="BC166" s="261"/>
    </row>
    <row r="167" spans="1:55">
      <c r="B167" s="179"/>
      <c r="C167" s="179"/>
      <c r="D167" s="181">
        <v>310243</v>
      </c>
      <c r="E167" s="181"/>
      <c r="F167" s="181"/>
      <c r="G167" s="1110">
        <v>310243</v>
      </c>
      <c r="H167" s="135" t="s">
        <v>849</v>
      </c>
      <c r="I167" s="518" t="s">
        <v>365</v>
      </c>
      <c r="J167" s="294">
        <v>1.474</v>
      </c>
      <c r="K167" s="288"/>
      <c r="L167" s="289"/>
      <c r="M167" s="294">
        <v>1.4059999999999999</v>
      </c>
      <c r="N167" s="288"/>
      <c r="O167" s="289"/>
      <c r="P167" s="294">
        <v>1.4630000000000001</v>
      </c>
      <c r="Q167" s="288"/>
      <c r="R167" s="289"/>
      <c r="S167" s="294">
        <v>0.57799999999999996</v>
      </c>
      <c r="T167" s="288"/>
      <c r="U167" s="289"/>
      <c r="V167" s="294">
        <v>0</v>
      </c>
      <c r="W167" s="288"/>
      <c r="X167" s="289"/>
      <c r="Y167" s="294">
        <v>0</v>
      </c>
      <c r="Z167" s="288"/>
      <c r="AA167" s="289"/>
      <c r="AB167" s="294">
        <v>0</v>
      </c>
      <c r="AC167" s="288"/>
      <c r="AD167" s="289"/>
      <c r="AE167" s="294">
        <v>0</v>
      </c>
      <c r="AF167" s="288"/>
      <c r="AG167" s="289"/>
      <c r="AH167" s="294">
        <v>0</v>
      </c>
      <c r="AI167" s="288"/>
      <c r="AJ167" s="289"/>
      <c r="AK167" s="294">
        <v>0.57499999999999996</v>
      </c>
      <c r="AL167" s="288"/>
      <c r="AM167" s="289"/>
      <c r="AN167" s="294">
        <v>1.6479999999999999</v>
      </c>
      <c r="AO167" s="288"/>
      <c r="AP167" s="289"/>
      <c r="AQ167" s="294">
        <v>1.7050000000000001</v>
      </c>
      <c r="AR167" s="288"/>
      <c r="AS167" s="289"/>
      <c r="AT167" s="294">
        <f t="shared" si="7"/>
        <v>8.8490000000000002</v>
      </c>
      <c r="AU167" s="288"/>
      <c r="AV167" s="290"/>
      <c r="AW167" s="285"/>
      <c r="AX167" s="296"/>
      <c r="AY167" s="313"/>
      <c r="AZ167" s="261"/>
      <c r="BA167" s="261"/>
      <c r="BB167" s="261"/>
      <c r="BC167" s="261"/>
    </row>
    <row r="168" spans="1:55" ht="15" customHeight="1">
      <c r="B168" s="179"/>
      <c r="C168" s="179"/>
      <c r="D168" s="181">
        <v>313040</v>
      </c>
      <c r="E168" s="181"/>
      <c r="F168" s="181"/>
      <c r="G168" s="1110">
        <v>313040</v>
      </c>
      <c r="H168" s="135" t="s">
        <v>1299</v>
      </c>
      <c r="I168" s="518" t="s">
        <v>365</v>
      </c>
      <c r="J168" s="294">
        <v>2.1</v>
      </c>
      <c r="K168" s="288"/>
      <c r="L168" s="289"/>
      <c r="M168" s="294">
        <v>1.7</v>
      </c>
      <c r="N168" s="288"/>
      <c r="O168" s="289"/>
      <c r="P168" s="294">
        <v>2.2000000000000002</v>
      </c>
      <c r="Q168" s="288"/>
      <c r="R168" s="289"/>
      <c r="S168" s="294">
        <v>1.65</v>
      </c>
      <c r="T168" s="288"/>
      <c r="U168" s="289"/>
      <c r="V168" s="294">
        <v>1.7</v>
      </c>
      <c r="W168" s="288"/>
      <c r="X168" s="289"/>
      <c r="Y168" s="294">
        <v>1.5</v>
      </c>
      <c r="Z168" s="288"/>
      <c r="AA168" s="289"/>
      <c r="AB168" s="294">
        <v>1.5</v>
      </c>
      <c r="AC168" s="288"/>
      <c r="AD168" s="289"/>
      <c r="AE168" s="294">
        <v>1.5</v>
      </c>
      <c r="AF168" s="288"/>
      <c r="AG168" s="289"/>
      <c r="AH168" s="294">
        <v>1.6</v>
      </c>
      <c r="AI168" s="288"/>
      <c r="AJ168" s="289"/>
      <c r="AK168" s="294">
        <v>1.5</v>
      </c>
      <c r="AL168" s="288"/>
      <c r="AM168" s="289"/>
      <c r="AN168" s="294">
        <v>2.2999999999999998</v>
      </c>
      <c r="AO168" s="288"/>
      <c r="AP168" s="289"/>
      <c r="AQ168" s="294">
        <v>2.5</v>
      </c>
      <c r="AR168" s="288"/>
      <c r="AS168" s="289"/>
      <c r="AT168" s="294">
        <f t="shared" si="7"/>
        <v>21.75</v>
      </c>
      <c r="AU168" s="288"/>
      <c r="AV168" s="290"/>
      <c r="AW168" s="285"/>
      <c r="AX168" s="296"/>
      <c r="AY168" s="313"/>
      <c r="AZ168" s="261"/>
      <c r="BA168" s="261"/>
      <c r="BB168" s="261"/>
      <c r="BC168" s="261"/>
    </row>
    <row r="169" spans="1:55" ht="18.75">
      <c r="B169" s="179"/>
      <c r="C169" s="179"/>
      <c r="D169" s="181">
        <v>310600</v>
      </c>
      <c r="E169" s="181"/>
      <c r="F169" s="181"/>
      <c r="G169" s="181">
        <v>310600</v>
      </c>
      <c r="H169" s="470" t="s">
        <v>1575</v>
      </c>
      <c r="I169" s="470"/>
      <c r="J169" s="277">
        <f>J170</f>
        <v>1205.0069206520925</v>
      </c>
      <c r="K169" s="275">
        <f>L169-J169</f>
        <v>-854.85559125654174</v>
      </c>
      <c r="L169" s="276">
        <f>Потребление!D16</f>
        <v>350.15132939555076</v>
      </c>
      <c r="M169" s="274">
        <f>M170</f>
        <v>1514.5062674472324</v>
      </c>
      <c r="N169" s="275">
        <f>O169-M169</f>
        <v>-1182.4038805104028</v>
      </c>
      <c r="O169" s="276">
        <f>Потребление!E16</f>
        <v>332.10238693682959</v>
      </c>
      <c r="P169" s="274">
        <f>P170</f>
        <v>1355.9724485188481</v>
      </c>
      <c r="Q169" s="275">
        <f>R169-P169</f>
        <v>-1025.4763147930826</v>
      </c>
      <c r="R169" s="276">
        <f>Потребление!F16</f>
        <v>330.49613372576539</v>
      </c>
      <c r="S169" s="274">
        <f>S170</f>
        <v>977.01582000000008</v>
      </c>
      <c r="T169" s="275">
        <f>U169-S169</f>
        <v>-686.5425205380925</v>
      </c>
      <c r="U169" s="276">
        <f>Потребление!G16</f>
        <v>290.47329946190763</v>
      </c>
      <c r="V169" s="274">
        <f>V170</f>
        <v>723.78813131325205</v>
      </c>
      <c r="W169" s="275">
        <f>X169-V169</f>
        <v>-457.59083500657283</v>
      </c>
      <c r="X169" s="276">
        <f>Потребление!H16</f>
        <v>266.19729630667922</v>
      </c>
      <c r="Y169" s="274">
        <f>Y170</f>
        <v>872.49526251123871</v>
      </c>
      <c r="Z169" s="275">
        <f>AA169-Y169</f>
        <v>-615.78628924063469</v>
      </c>
      <c r="AA169" s="276">
        <f>Потребление!I16</f>
        <v>256.70897327060402</v>
      </c>
      <c r="AB169" s="274">
        <f>AB170</f>
        <v>1239.9948013167814</v>
      </c>
      <c r="AC169" s="275">
        <f>AD169-AB169</f>
        <v>-975.27646742877891</v>
      </c>
      <c r="AD169" s="276">
        <f>Потребление!J16</f>
        <v>264.71833388800246</v>
      </c>
      <c r="AE169" s="274">
        <f>AE170</f>
        <v>1322.9873924587778</v>
      </c>
      <c r="AF169" s="275">
        <f>AG169-AE169</f>
        <v>-1056.089079599275</v>
      </c>
      <c r="AG169" s="276">
        <f>Потребление!K16</f>
        <v>266.89831285950271</v>
      </c>
      <c r="AH169" s="274">
        <f>AH170</f>
        <v>1262.6572579436177</v>
      </c>
      <c r="AI169" s="275">
        <f>AJ169-AH169</f>
        <v>-981.50578912841127</v>
      </c>
      <c r="AJ169" s="276">
        <f>Потребление!L16</f>
        <v>281.15146881520639</v>
      </c>
      <c r="AK169" s="274">
        <f>AK170</f>
        <v>984.829437024237</v>
      </c>
      <c r="AL169" s="275">
        <f>AM169-AK169</f>
        <v>-669.9217644066531</v>
      </c>
      <c r="AM169" s="276">
        <f>Потребление!M16</f>
        <v>314.9076726175839</v>
      </c>
      <c r="AN169" s="274">
        <f>AN170</f>
        <v>1169.3968705709256</v>
      </c>
      <c r="AO169" s="275">
        <f>AP169-AN169</f>
        <v>-835.22918825206216</v>
      </c>
      <c r="AP169" s="276">
        <f>Потребление!N16</f>
        <v>334.16768231886346</v>
      </c>
      <c r="AQ169" s="274">
        <f>AQ170</f>
        <v>1349.0332993561799</v>
      </c>
      <c r="AR169" s="275">
        <f>AS169-AQ169</f>
        <v>-989.00618895267542</v>
      </c>
      <c r="AS169" s="276">
        <f>Потребление!O16</f>
        <v>360.02711040350448</v>
      </c>
      <c r="AT169" s="274">
        <f>AT170</f>
        <v>13977.683909113184</v>
      </c>
      <c r="AU169" s="275">
        <f>AV169-AT169</f>
        <v>-10329.683909113184</v>
      </c>
      <c r="AV169" s="278">
        <f>L169+O169+R169+U169+X169+AA169+AD169+AG169+AJ169+AM169+AP169+AS169</f>
        <v>3648.0000000000005</v>
      </c>
      <c r="AW169" s="279"/>
      <c r="AX169" s="1067">
        <v>3599.8421589999998</v>
      </c>
      <c r="AY169" s="298">
        <f>AY170</f>
        <v>14125.230742</v>
      </c>
      <c r="AZ169" s="261"/>
      <c r="BA169" s="261"/>
      <c r="BB169" s="261"/>
      <c r="BC169" s="261"/>
    </row>
    <row r="170" spans="1:55">
      <c r="B170" s="179"/>
      <c r="C170" s="179"/>
      <c r="D170" s="181"/>
      <c r="E170" s="181"/>
      <c r="F170" s="181"/>
      <c r="G170" s="181"/>
      <c r="H170" s="10" t="s">
        <v>173</v>
      </c>
      <c r="I170" s="10"/>
      <c r="J170" s="223">
        <f>SUM(J171:J174)</f>
        <v>1205.0069206520925</v>
      </c>
      <c r="K170" s="271"/>
      <c r="L170" s="224"/>
      <c r="M170" s="223">
        <f>SUM(M171:M174)</f>
        <v>1514.5062674472324</v>
      </c>
      <c r="N170" s="271"/>
      <c r="O170" s="224"/>
      <c r="P170" s="223">
        <f>SUM(P171:P174)</f>
        <v>1355.9724485188481</v>
      </c>
      <c r="Q170" s="271"/>
      <c r="R170" s="224"/>
      <c r="S170" s="223">
        <f>SUM(S171:S174)</f>
        <v>977.01582000000008</v>
      </c>
      <c r="T170" s="271"/>
      <c r="U170" s="224"/>
      <c r="V170" s="223">
        <f>SUM(V171:V174)</f>
        <v>723.78813131325205</v>
      </c>
      <c r="W170" s="271"/>
      <c r="X170" s="224"/>
      <c r="Y170" s="223">
        <f>SUM(Y171:Y174)</f>
        <v>872.49526251123871</v>
      </c>
      <c r="Z170" s="271"/>
      <c r="AA170" s="224"/>
      <c r="AB170" s="223">
        <f>SUM(AB171:AB174)</f>
        <v>1239.9948013167814</v>
      </c>
      <c r="AC170" s="271"/>
      <c r="AD170" s="224"/>
      <c r="AE170" s="223">
        <f>SUM(AE171:AE174)</f>
        <v>1322.9873924587778</v>
      </c>
      <c r="AF170" s="271"/>
      <c r="AG170" s="224"/>
      <c r="AH170" s="223">
        <f>SUM(AH171:AH174)</f>
        <v>1262.6572579436177</v>
      </c>
      <c r="AI170" s="271"/>
      <c r="AJ170" s="224"/>
      <c r="AK170" s="223">
        <f>SUM(AK171:AK174)</f>
        <v>984.829437024237</v>
      </c>
      <c r="AL170" s="271"/>
      <c r="AM170" s="224"/>
      <c r="AN170" s="223">
        <f>SUM(AN171:AN174)</f>
        <v>1169.3968705709256</v>
      </c>
      <c r="AO170" s="271"/>
      <c r="AP170" s="224"/>
      <c r="AQ170" s="223">
        <f>SUM(AQ171:AQ174)</f>
        <v>1349.0332993561799</v>
      </c>
      <c r="AR170" s="271"/>
      <c r="AS170" s="224"/>
      <c r="AT170" s="223">
        <f>SUM(AT171:AT174)</f>
        <v>13977.683909113184</v>
      </c>
      <c r="AU170" s="271"/>
      <c r="AV170" s="229"/>
      <c r="AW170" s="226"/>
      <c r="AX170" s="230"/>
      <c r="AY170" s="231">
        <f>SUM(AY171:AY174)</f>
        <v>14125.230742</v>
      </c>
      <c r="AZ170" s="261"/>
      <c r="BA170" s="261"/>
      <c r="BB170" s="261"/>
      <c r="BC170" s="261"/>
    </row>
    <row r="171" spans="1:55">
      <c r="B171" s="179"/>
      <c r="C171" s="179"/>
      <c r="D171" s="181">
        <v>310601</v>
      </c>
      <c r="E171" s="181"/>
      <c r="F171" s="181"/>
      <c r="G171" s="1110">
        <v>310601</v>
      </c>
      <c r="H171" s="123" t="s">
        <v>618</v>
      </c>
      <c r="I171" s="516" t="s">
        <v>364</v>
      </c>
      <c r="J171" s="320">
        <f>1176.7-91.78</f>
        <v>1084.92</v>
      </c>
      <c r="K171" s="246"/>
      <c r="L171" s="282"/>
      <c r="M171" s="345">
        <f>1381.4+10</f>
        <v>1391.4</v>
      </c>
      <c r="N171" s="246"/>
      <c r="O171" s="282"/>
      <c r="P171" s="320">
        <f>1474.8-163.4-45-19.04</f>
        <v>1247.3599999999999</v>
      </c>
      <c r="Q171" s="246"/>
      <c r="R171" s="282"/>
      <c r="S171" s="320">
        <f>940.6-33.78-10.78</f>
        <v>896.04000000000008</v>
      </c>
      <c r="T171" s="246"/>
      <c r="U171" s="282"/>
      <c r="V171" s="345">
        <f>669.2+16.54-2.35</f>
        <v>683.39</v>
      </c>
      <c r="W171" s="246"/>
      <c r="X171" s="282"/>
      <c r="Y171" s="320">
        <f>836.6-1.04+8.09</f>
        <v>843.65000000000009</v>
      </c>
      <c r="Z171" s="246"/>
      <c r="AA171" s="282"/>
      <c r="AB171" s="345">
        <f>1009.8+221.53-22.34</f>
        <v>1208.99</v>
      </c>
      <c r="AC171" s="246"/>
      <c r="AD171" s="282"/>
      <c r="AE171" s="345">
        <f>1048.3+250.66-6.38</f>
        <v>1292.58</v>
      </c>
      <c r="AF171" s="246"/>
      <c r="AG171" s="282"/>
      <c r="AH171" s="345">
        <f>939.6+300-5.07</f>
        <v>1234.53</v>
      </c>
      <c r="AI171" s="246"/>
      <c r="AJ171" s="282"/>
      <c r="AK171" s="320">
        <f>1124.9-212.41-10.19</f>
        <v>902.30000000000007</v>
      </c>
      <c r="AL171" s="246"/>
      <c r="AM171" s="282"/>
      <c r="AN171" s="320">
        <f>1097-14.53-10.2</f>
        <v>1072.27</v>
      </c>
      <c r="AO171" s="246"/>
      <c r="AP171" s="282"/>
      <c r="AQ171" s="320">
        <f>1511.3-269.02-1.74</f>
        <v>1240.54</v>
      </c>
      <c r="AR171" s="283"/>
      <c r="AS171" s="299"/>
      <c r="AT171" s="244">
        <f>J171+M171+P171+S171+V171+Y171+AB171+AE171+AH171+AK171+AN171+AQ171</f>
        <v>13097.970000000001</v>
      </c>
      <c r="AU171" s="283"/>
      <c r="AV171" s="284"/>
      <c r="AW171" s="285"/>
      <c r="AX171" s="321"/>
      <c r="AY171" s="435">
        <v>13205.583955</v>
      </c>
      <c r="AZ171" s="261"/>
      <c r="BA171" s="261"/>
      <c r="BB171" s="261"/>
      <c r="BC171" s="261"/>
    </row>
    <row r="172" spans="1:55">
      <c r="B172" s="179"/>
      <c r="C172" s="179"/>
      <c r="D172" s="181">
        <v>310610</v>
      </c>
      <c r="E172" s="181"/>
      <c r="F172" s="181"/>
      <c r="G172" s="1110">
        <v>310610</v>
      </c>
      <c r="H172" s="123" t="s">
        <v>388</v>
      </c>
      <c r="I172" s="516" t="s">
        <v>364</v>
      </c>
      <c r="J172" s="244">
        <v>13.729000652092509</v>
      </c>
      <c r="K172" s="246"/>
      <c r="L172" s="282"/>
      <c r="M172" s="244">
        <v>11.015667447232431</v>
      </c>
      <c r="N172" s="246"/>
      <c r="O172" s="282"/>
      <c r="P172" s="244">
        <v>10.541488518848126</v>
      </c>
      <c r="Q172" s="246"/>
      <c r="R172" s="282"/>
      <c r="S172" s="244">
        <v>8.3520000000000003</v>
      </c>
      <c r="T172" s="246"/>
      <c r="U172" s="282"/>
      <c r="V172" s="244">
        <v>2.0406713132521328</v>
      </c>
      <c r="W172" s="246"/>
      <c r="X172" s="282"/>
      <c r="Y172" s="244">
        <v>1.4852625112386342</v>
      </c>
      <c r="Z172" s="246"/>
      <c r="AA172" s="282"/>
      <c r="AB172" s="244">
        <v>1.2448013167813725</v>
      </c>
      <c r="AC172" s="246"/>
      <c r="AD172" s="282"/>
      <c r="AE172" s="244">
        <v>1.391392458777766</v>
      </c>
      <c r="AF172" s="246"/>
      <c r="AG172" s="282"/>
      <c r="AH172" s="244">
        <v>1.775257943617536</v>
      </c>
      <c r="AI172" s="246"/>
      <c r="AJ172" s="282"/>
      <c r="AK172" s="244">
        <v>7.6718570242369148</v>
      </c>
      <c r="AL172" s="246"/>
      <c r="AM172" s="282"/>
      <c r="AN172" s="244">
        <v>10.345810570925476</v>
      </c>
      <c r="AO172" s="246"/>
      <c r="AP172" s="282"/>
      <c r="AQ172" s="244">
        <v>12.183219356180061</v>
      </c>
      <c r="AR172" s="283"/>
      <c r="AS172" s="299"/>
      <c r="AT172" s="244">
        <f>J172+M172+P172+S172+V172+Y172+AB172+AE172+AH172+AK172+AN172+AQ172</f>
        <v>81.776429113182957</v>
      </c>
      <c r="AU172" s="283"/>
      <c r="AV172" s="284"/>
      <c r="AW172" s="285"/>
      <c r="AX172" s="321"/>
      <c r="AY172" s="435">
        <v>98.431856999999994</v>
      </c>
      <c r="AZ172" s="261"/>
      <c r="BA172" s="261"/>
      <c r="BB172" s="261"/>
      <c r="BC172" s="261"/>
    </row>
    <row r="173" spans="1:55">
      <c r="B173" s="179"/>
      <c r="C173" s="179"/>
      <c r="D173" s="181">
        <v>310612</v>
      </c>
      <c r="E173" s="181"/>
      <c r="F173" s="181"/>
      <c r="G173" s="1110">
        <v>310612</v>
      </c>
      <c r="H173" s="123" t="s">
        <v>389</v>
      </c>
      <c r="I173" s="516" t="s">
        <v>364</v>
      </c>
      <c r="J173" s="244">
        <v>100.06800000000001</v>
      </c>
      <c r="K173" s="246"/>
      <c r="L173" s="282"/>
      <c r="M173" s="345">
        <f>96.4656+10</f>
        <v>106.46559999999999</v>
      </c>
      <c r="N173" s="246"/>
      <c r="O173" s="282"/>
      <c r="P173" s="244">
        <v>92.925600000000003</v>
      </c>
      <c r="Q173" s="246"/>
      <c r="R173" s="282"/>
      <c r="S173" s="244">
        <v>68.491200000000006</v>
      </c>
      <c r="T173" s="246"/>
      <c r="U173" s="282"/>
      <c r="V173" s="244">
        <v>37.799999999999997</v>
      </c>
      <c r="W173" s="246"/>
      <c r="X173" s="282"/>
      <c r="Y173" s="244">
        <v>27.36</v>
      </c>
      <c r="Z173" s="246"/>
      <c r="AA173" s="282"/>
      <c r="AB173" s="244">
        <v>29.76</v>
      </c>
      <c r="AC173" s="246"/>
      <c r="AD173" s="282"/>
      <c r="AE173" s="244">
        <v>29.015999999999998</v>
      </c>
      <c r="AF173" s="246"/>
      <c r="AG173" s="282"/>
      <c r="AH173" s="244">
        <v>26.352</v>
      </c>
      <c r="AI173" s="246"/>
      <c r="AJ173" s="282"/>
      <c r="AK173" s="244">
        <v>70.487899999999996</v>
      </c>
      <c r="AL173" s="246"/>
      <c r="AM173" s="282"/>
      <c r="AN173" s="244">
        <v>81.072000000000003</v>
      </c>
      <c r="AO173" s="246"/>
      <c r="AP173" s="282"/>
      <c r="AQ173" s="244">
        <v>90.172799999999995</v>
      </c>
      <c r="AR173" s="283"/>
      <c r="AS173" s="299"/>
      <c r="AT173" s="244">
        <f>J173+M173+P173+S173+V173+Y173+AB173+AE173+AH173+AK173+AN173+AQ173</f>
        <v>759.97109999999998</v>
      </c>
      <c r="AU173" s="283"/>
      <c r="AV173" s="284"/>
      <c r="AW173" s="285"/>
      <c r="AX173" s="321"/>
      <c r="AY173" s="435">
        <v>780.45159000000001</v>
      </c>
      <c r="AZ173" s="261"/>
      <c r="BA173" s="261"/>
      <c r="BB173" s="261"/>
      <c r="BC173" s="261"/>
    </row>
    <row r="174" spans="1:55">
      <c r="B174" s="179"/>
      <c r="C174" s="179"/>
      <c r="D174" s="181">
        <v>310611</v>
      </c>
      <c r="E174" s="181"/>
      <c r="F174" s="181"/>
      <c r="G174" s="1110">
        <v>310611</v>
      </c>
      <c r="H174" s="123" t="s">
        <v>391</v>
      </c>
      <c r="I174" s="516" t="s">
        <v>364</v>
      </c>
      <c r="J174" s="244">
        <v>6.2899200000000004</v>
      </c>
      <c r="K174" s="246"/>
      <c r="L174" s="282"/>
      <c r="M174" s="244">
        <v>5.625</v>
      </c>
      <c r="N174" s="246"/>
      <c r="O174" s="282"/>
      <c r="P174" s="244">
        <v>5.1453600000000002</v>
      </c>
      <c r="Q174" s="246"/>
      <c r="R174" s="282"/>
      <c r="S174" s="244">
        <v>4.1326200000000002</v>
      </c>
      <c r="T174" s="246"/>
      <c r="U174" s="282"/>
      <c r="V174" s="244">
        <v>0.55745999999999996</v>
      </c>
      <c r="W174" s="246"/>
      <c r="X174" s="282"/>
      <c r="Y174" s="244">
        <v>0</v>
      </c>
      <c r="Z174" s="246"/>
      <c r="AA174" s="282"/>
      <c r="AB174" s="244">
        <v>0</v>
      </c>
      <c r="AC174" s="246"/>
      <c r="AD174" s="282"/>
      <c r="AE174" s="244">
        <v>0</v>
      </c>
      <c r="AF174" s="246"/>
      <c r="AG174" s="282"/>
      <c r="AH174" s="244">
        <v>0</v>
      </c>
      <c r="AI174" s="246"/>
      <c r="AJ174" s="282"/>
      <c r="AK174" s="244">
        <v>4.3696799999999998</v>
      </c>
      <c r="AL174" s="246"/>
      <c r="AM174" s="282"/>
      <c r="AN174" s="244">
        <v>5.70906</v>
      </c>
      <c r="AO174" s="246"/>
      <c r="AP174" s="282"/>
      <c r="AQ174" s="244">
        <v>6.1372799999999996</v>
      </c>
      <c r="AR174" s="283"/>
      <c r="AS174" s="299"/>
      <c r="AT174" s="244">
        <f>J174+M174+P174+S174+V174+Y174+AB174+AE174+AH174+AK174+AN174+AQ174</f>
        <v>37.966379999999994</v>
      </c>
      <c r="AU174" s="283"/>
      <c r="AV174" s="284"/>
      <c r="AW174" s="285"/>
      <c r="AX174" s="321"/>
      <c r="AY174" s="435">
        <v>40.763339999999999</v>
      </c>
      <c r="AZ174" s="261"/>
      <c r="BA174" s="261"/>
      <c r="BB174" s="261"/>
      <c r="BC174" s="261"/>
    </row>
    <row r="175" spans="1:55" ht="18.75">
      <c r="B175" s="179"/>
      <c r="C175" s="179"/>
      <c r="D175" s="181">
        <v>321100</v>
      </c>
      <c r="E175" s="181"/>
      <c r="F175" s="181"/>
      <c r="G175" s="181">
        <v>321100</v>
      </c>
      <c r="H175" s="470" t="s">
        <v>1576</v>
      </c>
      <c r="I175" s="470"/>
      <c r="J175" s="277">
        <f>SUM(J176:J178)</f>
        <v>2387.0376000000001</v>
      </c>
      <c r="K175" s="275">
        <f>L175-J175</f>
        <v>-1581.1934608920988</v>
      </c>
      <c r="L175" s="276">
        <f>Потребление!D17</f>
        <v>805.84413910790147</v>
      </c>
      <c r="M175" s="274">
        <f>SUM(M176:M178)</f>
        <v>2194.7924000000003</v>
      </c>
      <c r="N175" s="275">
        <f>O175-M175</f>
        <v>-1446.3838114701666</v>
      </c>
      <c r="O175" s="276">
        <f>Потребление!E17</f>
        <v>748.40858852983354</v>
      </c>
      <c r="P175" s="274">
        <f>SUM(P176:P178)</f>
        <v>2311.64</v>
      </c>
      <c r="Q175" s="275">
        <f>R175-P175</f>
        <v>-1535.1528342943197</v>
      </c>
      <c r="R175" s="276">
        <f>Потребление!F17</f>
        <v>776.48716570568001</v>
      </c>
      <c r="S175" s="274">
        <f>SUM(S176:S178)</f>
        <v>1533.69</v>
      </c>
      <c r="T175" s="275">
        <f>U175-S175</f>
        <v>-863.42314161669833</v>
      </c>
      <c r="U175" s="276">
        <f>Потребление!G17</f>
        <v>670.26685838330172</v>
      </c>
      <c r="V175" s="274">
        <f>SUM(V176:V178)</f>
        <v>1733.08</v>
      </c>
      <c r="W175" s="275">
        <f>X175-V175</f>
        <v>-1082.6393779404359</v>
      </c>
      <c r="X175" s="276">
        <f>Потребление!H17</f>
        <v>650.44062205956402</v>
      </c>
      <c r="Y175" s="274">
        <f>SUM(Y176:Y178)</f>
        <v>2078.87</v>
      </c>
      <c r="Z175" s="275">
        <f>AA175-Y175</f>
        <v>-1440.7221592491578</v>
      </c>
      <c r="AA175" s="276">
        <f>Потребление!I17</f>
        <v>638.14784075084219</v>
      </c>
      <c r="AB175" s="274">
        <f>SUM(AB176:AB178)</f>
        <v>1722.86</v>
      </c>
      <c r="AC175" s="275">
        <f>AD175-AB175</f>
        <v>-1070.9424883399763</v>
      </c>
      <c r="AD175" s="276">
        <f>Потребление!J17</f>
        <v>651.91751166002359</v>
      </c>
      <c r="AE175" s="274">
        <f>SUM(AE176:AE178)</f>
        <v>1601.3369600000001</v>
      </c>
      <c r="AF175" s="275">
        <f>AG175-AE175</f>
        <v>-927.4589711543407</v>
      </c>
      <c r="AG175" s="276">
        <f>Потребление!K17</f>
        <v>673.87798884565939</v>
      </c>
      <c r="AH175" s="274">
        <f>SUM(AH176:AH178)</f>
        <v>1990.1403200000002</v>
      </c>
      <c r="AI175" s="275">
        <f>AJ175-AH175</f>
        <v>-1303.1871165837019</v>
      </c>
      <c r="AJ175" s="276">
        <f>Потребление!L17</f>
        <v>686.95320341629827</v>
      </c>
      <c r="AK175" s="274">
        <f>SUM(AK176:AK178)</f>
        <v>3086.7381600000003</v>
      </c>
      <c r="AL175" s="275">
        <f>AM175-AK175</f>
        <v>-2313.0443871984498</v>
      </c>
      <c r="AM175" s="276">
        <f>Потребление!M17</f>
        <v>773.69377280155027</v>
      </c>
      <c r="AN175" s="274">
        <f>SUM(AN176:AN178)</f>
        <v>2991.9206800000002</v>
      </c>
      <c r="AO175" s="275">
        <f>AP175-AN175</f>
        <v>-2193.9524864916962</v>
      </c>
      <c r="AP175" s="276">
        <f>Потребление!N17</f>
        <v>797.9681935083039</v>
      </c>
      <c r="AQ175" s="274">
        <f>SUM(AQ176:AQ178)</f>
        <v>3098.1099899999999</v>
      </c>
      <c r="AR175" s="275">
        <f>AS175-AQ175</f>
        <v>-2249.1158747689578</v>
      </c>
      <c r="AS175" s="276">
        <f>Потребление!O17</f>
        <v>848.99411523104209</v>
      </c>
      <c r="AT175" s="274">
        <f>SUM(AT176:AT178)</f>
        <v>26730.216110000001</v>
      </c>
      <c r="AU175" s="275">
        <f>AV175-AT175</f>
        <v>-18007.216110000001</v>
      </c>
      <c r="AV175" s="278">
        <f>L175+O175+R175+U175+X175+AA175+AD175+AG175+AJ175+AM175+AP175+AS175</f>
        <v>8723</v>
      </c>
      <c r="AW175" s="279"/>
      <c r="AX175" s="1067">
        <v>8591.0406289999992</v>
      </c>
      <c r="AY175" s="298">
        <f>SUM(AY176:AY178)</f>
        <v>25916.876038999999</v>
      </c>
      <c r="AZ175" s="261"/>
      <c r="BA175" s="261"/>
      <c r="BB175" s="261"/>
      <c r="BC175" s="261"/>
    </row>
    <row r="176" spans="1:55">
      <c r="B176" s="179"/>
      <c r="C176" s="179"/>
      <c r="D176" s="181"/>
      <c r="E176" s="181"/>
      <c r="F176" s="181"/>
      <c r="G176" s="181"/>
      <c r="H176" s="10" t="s">
        <v>173</v>
      </c>
      <c r="I176" s="10"/>
      <c r="J176" s="223">
        <f>SUM(J180:J182)</f>
        <v>121.908</v>
      </c>
      <c r="K176" s="271"/>
      <c r="L176" s="224"/>
      <c r="M176" s="270">
        <f>SUM(M180:M182)</f>
        <v>103.62440000000001</v>
      </c>
      <c r="N176" s="271"/>
      <c r="O176" s="224"/>
      <c r="P176" s="270">
        <f>SUM(P180:P182)</f>
        <v>100.64</v>
      </c>
      <c r="Q176" s="271"/>
      <c r="R176" s="224"/>
      <c r="S176" s="270">
        <f>SUM(S180:S182)</f>
        <v>91.69</v>
      </c>
      <c r="T176" s="271"/>
      <c r="U176" s="224"/>
      <c r="V176" s="270">
        <f>SUM(V180:V182)</f>
        <v>58.08</v>
      </c>
      <c r="W176" s="271"/>
      <c r="X176" s="224"/>
      <c r="Y176" s="270">
        <f>SUM(Y180:Y182)</f>
        <v>30.869999999999997</v>
      </c>
      <c r="Z176" s="271"/>
      <c r="AA176" s="224"/>
      <c r="AB176" s="270">
        <f>SUM(AB180:AB182)</f>
        <v>47.86</v>
      </c>
      <c r="AC176" s="271"/>
      <c r="AD176" s="224"/>
      <c r="AE176" s="270">
        <f>SUM(AE180:AE182)</f>
        <v>76</v>
      </c>
      <c r="AF176" s="271"/>
      <c r="AG176" s="224"/>
      <c r="AH176" s="270">
        <f>SUM(AH180:AH182)</f>
        <v>79.900000000000006</v>
      </c>
      <c r="AI176" s="271"/>
      <c r="AJ176" s="224"/>
      <c r="AK176" s="270">
        <f>SUM(AK180:AK182)</f>
        <v>95.509999999999991</v>
      </c>
      <c r="AL176" s="271"/>
      <c r="AM176" s="224"/>
      <c r="AN176" s="270">
        <f>SUM(AN180:AN182)</f>
        <v>97.300000000000011</v>
      </c>
      <c r="AO176" s="271"/>
      <c r="AP176" s="224"/>
      <c r="AQ176" s="270">
        <f>SUM(AQ180:AQ182)</f>
        <v>106.8792</v>
      </c>
      <c r="AR176" s="271"/>
      <c r="AS176" s="224"/>
      <c r="AT176" s="270">
        <f>SUM(AT180:AT182)</f>
        <v>1010.2616</v>
      </c>
      <c r="AU176" s="271"/>
      <c r="AV176" s="229"/>
      <c r="AW176" s="226"/>
      <c r="AX176" s="230"/>
      <c r="AY176" s="231">
        <f>SUM(AY180:AY182)</f>
        <v>1091.822095</v>
      </c>
      <c r="AZ176" s="261"/>
      <c r="BA176" s="261"/>
      <c r="BB176" s="261"/>
      <c r="BC176" s="261"/>
    </row>
    <row r="177" spans="2:55">
      <c r="B177" s="179"/>
      <c r="C177" s="179"/>
      <c r="D177" s="181"/>
      <c r="E177" s="181"/>
      <c r="F177" s="181"/>
      <c r="G177" s="181"/>
      <c r="H177" s="10" t="s">
        <v>98</v>
      </c>
      <c r="I177" s="10"/>
      <c r="J177" s="223">
        <f>J179</f>
        <v>2259</v>
      </c>
      <c r="K177" s="271"/>
      <c r="L177" s="224"/>
      <c r="M177" s="270">
        <f>M179</f>
        <v>2091</v>
      </c>
      <c r="N177" s="271"/>
      <c r="O177" s="224"/>
      <c r="P177" s="270">
        <f>P179</f>
        <v>2211</v>
      </c>
      <c r="Q177" s="271"/>
      <c r="R177" s="224"/>
      <c r="S177" s="270">
        <f>S179</f>
        <v>1442</v>
      </c>
      <c r="T177" s="271"/>
      <c r="U177" s="224"/>
      <c r="V177" s="270">
        <f>V179</f>
        <v>1675</v>
      </c>
      <c r="W177" s="271"/>
      <c r="X177" s="224"/>
      <c r="Y177" s="270">
        <f>Y179</f>
        <v>2048</v>
      </c>
      <c r="Z177" s="271"/>
      <c r="AA177" s="224"/>
      <c r="AB177" s="270">
        <f>AB179</f>
        <v>1675</v>
      </c>
      <c r="AC177" s="271"/>
      <c r="AD177" s="224"/>
      <c r="AE177" s="270">
        <f>AE179</f>
        <v>1525</v>
      </c>
      <c r="AF177" s="271"/>
      <c r="AG177" s="224"/>
      <c r="AH177" s="270">
        <f>AH179</f>
        <v>1900</v>
      </c>
      <c r="AI177" s="271"/>
      <c r="AJ177" s="224"/>
      <c r="AK177" s="270">
        <f>AK179</f>
        <v>2980</v>
      </c>
      <c r="AL177" s="271"/>
      <c r="AM177" s="224"/>
      <c r="AN177" s="270">
        <f>AN179</f>
        <v>2884</v>
      </c>
      <c r="AO177" s="271"/>
      <c r="AP177" s="224"/>
      <c r="AQ177" s="270">
        <f>AQ179</f>
        <v>2980</v>
      </c>
      <c r="AR177" s="271"/>
      <c r="AS177" s="224"/>
      <c r="AT177" s="270">
        <f>AT179</f>
        <v>25670</v>
      </c>
      <c r="AU177" s="271"/>
      <c r="AV177" s="229"/>
      <c r="AW177" s="226"/>
      <c r="AX177" s="230"/>
      <c r="AY177" s="231">
        <f>AY179</f>
        <v>24772.821354</v>
      </c>
      <c r="AZ177" s="261"/>
      <c r="BA177" s="261"/>
      <c r="BB177" s="261"/>
      <c r="BC177" s="261"/>
    </row>
    <row r="178" spans="2:55">
      <c r="B178" s="179"/>
      <c r="C178" s="179"/>
      <c r="D178" s="181"/>
      <c r="E178" s="181"/>
      <c r="F178" s="181"/>
      <c r="G178" s="181"/>
      <c r="H178" s="10" t="s">
        <v>99</v>
      </c>
      <c r="I178" s="10"/>
      <c r="J178" s="223">
        <f>J183</f>
        <v>6.1295999999999999</v>
      </c>
      <c r="K178" s="271"/>
      <c r="L178" s="224"/>
      <c r="M178" s="270">
        <f>M183</f>
        <v>0.16800000000000001</v>
      </c>
      <c r="N178" s="271"/>
      <c r="O178" s="224"/>
      <c r="P178" s="270">
        <f>P183</f>
        <v>0</v>
      </c>
      <c r="Q178" s="271"/>
      <c r="R178" s="224"/>
      <c r="S178" s="270">
        <f>S183</f>
        <v>0</v>
      </c>
      <c r="T178" s="271"/>
      <c r="U178" s="224"/>
      <c r="V178" s="270">
        <f>V183</f>
        <v>0</v>
      </c>
      <c r="W178" s="271"/>
      <c r="X178" s="224"/>
      <c r="Y178" s="270">
        <f>Y183</f>
        <v>0</v>
      </c>
      <c r="Z178" s="271"/>
      <c r="AA178" s="224"/>
      <c r="AB178" s="270">
        <f>AB183</f>
        <v>0</v>
      </c>
      <c r="AC178" s="271"/>
      <c r="AD178" s="224"/>
      <c r="AE178" s="270">
        <f>AE183</f>
        <v>0.33695999999999998</v>
      </c>
      <c r="AF178" s="271"/>
      <c r="AG178" s="224"/>
      <c r="AH178" s="270">
        <f>AH183</f>
        <v>10.240320000000001</v>
      </c>
      <c r="AI178" s="271"/>
      <c r="AJ178" s="224"/>
      <c r="AK178" s="270">
        <f>AK183</f>
        <v>11.228159999999999</v>
      </c>
      <c r="AL178" s="271"/>
      <c r="AM178" s="224"/>
      <c r="AN178" s="270">
        <f>AN183</f>
        <v>10.62068</v>
      </c>
      <c r="AO178" s="271"/>
      <c r="AP178" s="224"/>
      <c r="AQ178" s="270">
        <f>AQ183</f>
        <v>11.230789999999999</v>
      </c>
      <c r="AR178" s="271"/>
      <c r="AS178" s="224"/>
      <c r="AT178" s="270">
        <f>AT183</f>
        <v>49.954509999999999</v>
      </c>
      <c r="AU178" s="271"/>
      <c r="AV178" s="229"/>
      <c r="AW178" s="226"/>
      <c r="AX178" s="230"/>
      <c r="AY178" s="231">
        <f>AY183</f>
        <v>52.232590000000002</v>
      </c>
      <c r="AZ178" s="261"/>
      <c r="BA178" s="261"/>
      <c r="BB178" s="261"/>
      <c r="BC178" s="261"/>
    </row>
    <row r="179" spans="2:55">
      <c r="B179" s="179"/>
      <c r="C179" s="179"/>
      <c r="D179" s="181">
        <v>370081</v>
      </c>
      <c r="E179" s="181"/>
      <c r="F179" s="181"/>
      <c r="G179" s="1110">
        <v>370081</v>
      </c>
      <c r="H179" s="123" t="s">
        <v>904</v>
      </c>
      <c r="I179" s="516" t="s">
        <v>364</v>
      </c>
      <c r="J179" s="320">
        <f>АЭС!C15</f>
        <v>2259</v>
      </c>
      <c r="K179" s="246"/>
      <c r="L179" s="282"/>
      <c r="M179" s="320">
        <f>АЭС!D15</f>
        <v>2091</v>
      </c>
      <c r="N179" s="246"/>
      <c r="O179" s="282"/>
      <c r="P179" s="320">
        <f>АЭС!E15</f>
        <v>2211</v>
      </c>
      <c r="Q179" s="246"/>
      <c r="R179" s="282"/>
      <c r="S179" s="320">
        <f>АЭС!F15</f>
        <v>1442</v>
      </c>
      <c r="T179" s="246"/>
      <c r="U179" s="282"/>
      <c r="V179" s="320">
        <f>АЭС!G15</f>
        <v>1675</v>
      </c>
      <c r="W179" s="246"/>
      <c r="X179" s="282"/>
      <c r="Y179" s="320">
        <f>АЭС!H15</f>
        <v>2048</v>
      </c>
      <c r="Z179" s="246"/>
      <c r="AA179" s="282"/>
      <c r="AB179" s="320">
        <f>АЭС!I15</f>
        <v>1675</v>
      </c>
      <c r="AC179" s="246"/>
      <c r="AD179" s="282"/>
      <c r="AE179" s="320">
        <f>АЭС!J15</f>
        <v>1525</v>
      </c>
      <c r="AF179" s="246"/>
      <c r="AG179" s="282"/>
      <c r="AH179" s="320">
        <f>АЭС!K15</f>
        <v>1900</v>
      </c>
      <c r="AI179" s="246"/>
      <c r="AJ179" s="282"/>
      <c r="AK179" s="320">
        <f>АЭС!L15</f>
        <v>2980</v>
      </c>
      <c r="AL179" s="246"/>
      <c r="AM179" s="282"/>
      <c r="AN179" s="320">
        <f>АЭС!M15</f>
        <v>2884</v>
      </c>
      <c r="AO179" s="246"/>
      <c r="AP179" s="282"/>
      <c r="AQ179" s="320">
        <f>АЭС!N15</f>
        <v>2980</v>
      </c>
      <c r="AR179" s="283"/>
      <c r="AS179" s="299"/>
      <c r="AT179" s="320">
        <f>J179+M179+P179+S179+V179+Y179+AB179+AE179+AH179+AK179+AN179+AQ179</f>
        <v>25670</v>
      </c>
      <c r="AU179" s="283"/>
      <c r="AV179" s="284"/>
      <c r="AW179" s="285"/>
      <c r="AX179" s="321"/>
      <c r="AY179" s="435">
        <v>24772.821354</v>
      </c>
      <c r="AZ179" s="261"/>
      <c r="BA179" s="261"/>
      <c r="BB179" s="261"/>
      <c r="BC179" s="261"/>
    </row>
    <row r="180" spans="2:55">
      <c r="B180" s="179"/>
      <c r="C180" s="179"/>
      <c r="D180" s="181">
        <v>321110</v>
      </c>
      <c r="E180" s="181"/>
      <c r="F180" s="181"/>
      <c r="G180" s="1110">
        <v>321110</v>
      </c>
      <c r="H180" s="123" t="s">
        <v>526</v>
      </c>
      <c r="I180" s="516" t="s">
        <v>364</v>
      </c>
      <c r="J180" s="244">
        <v>40.9</v>
      </c>
      <c r="K180" s="246"/>
      <c r="L180" s="282"/>
      <c r="M180" s="244">
        <v>38.299999999999997</v>
      </c>
      <c r="N180" s="246"/>
      <c r="O180" s="282"/>
      <c r="P180" s="244">
        <v>40.9</v>
      </c>
      <c r="Q180" s="246"/>
      <c r="R180" s="282"/>
      <c r="S180" s="244">
        <v>34.4</v>
      </c>
      <c r="T180" s="246"/>
      <c r="U180" s="282"/>
      <c r="V180" s="244">
        <v>0</v>
      </c>
      <c r="W180" s="246"/>
      <c r="X180" s="282"/>
      <c r="Y180" s="244">
        <v>0</v>
      </c>
      <c r="Z180" s="246"/>
      <c r="AA180" s="282"/>
      <c r="AB180" s="244">
        <v>0</v>
      </c>
      <c r="AC180" s="246"/>
      <c r="AD180" s="282"/>
      <c r="AE180" s="244">
        <v>20.2</v>
      </c>
      <c r="AF180" s="246"/>
      <c r="AG180" s="282"/>
      <c r="AH180" s="244">
        <v>25.2</v>
      </c>
      <c r="AI180" s="246"/>
      <c r="AJ180" s="282"/>
      <c r="AK180" s="244">
        <v>37.4</v>
      </c>
      <c r="AL180" s="246"/>
      <c r="AM180" s="282"/>
      <c r="AN180" s="244">
        <v>39.6</v>
      </c>
      <c r="AO180" s="246"/>
      <c r="AP180" s="282"/>
      <c r="AQ180" s="244">
        <v>40.9</v>
      </c>
      <c r="AR180" s="283"/>
      <c r="AS180" s="299"/>
      <c r="AT180" s="244">
        <f>J180+M180+P180+S180+V180+Y180+AB180+AE180+AH180+AK180+AN180+AQ180</f>
        <v>317.79999999999995</v>
      </c>
      <c r="AU180" s="283"/>
      <c r="AV180" s="284"/>
      <c r="AW180" s="285"/>
      <c r="AX180" s="321"/>
      <c r="AY180" s="435">
        <v>292.86285600000002</v>
      </c>
      <c r="AZ180" s="261"/>
      <c r="BA180" s="261"/>
      <c r="BB180" s="261"/>
      <c r="BC180" s="261"/>
    </row>
    <row r="181" spans="2:55" ht="15" customHeight="1">
      <c r="B181" s="179"/>
      <c r="C181" s="179"/>
      <c r="D181" s="181">
        <v>321111</v>
      </c>
      <c r="E181" s="181"/>
      <c r="F181" s="181"/>
      <c r="G181" s="1110">
        <v>321111</v>
      </c>
      <c r="H181" s="123" t="s">
        <v>1300</v>
      </c>
      <c r="I181" s="516" t="s">
        <v>364</v>
      </c>
      <c r="J181" s="244">
        <v>3.26</v>
      </c>
      <c r="K181" s="246"/>
      <c r="L181" s="282"/>
      <c r="M181" s="244">
        <v>3.03</v>
      </c>
      <c r="N181" s="246"/>
      <c r="O181" s="282"/>
      <c r="P181" s="244">
        <v>3.24</v>
      </c>
      <c r="Q181" s="246"/>
      <c r="R181" s="282"/>
      <c r="S181" s="244">
        <v>2.69</v>
      </c>
      <c r="T181" s="246"/>
      <c r="U181" s="282"/>
      <c r="V181" s="244">
        <v>1.58</v>
      </c>
      <c r="W181" s="246"/>
      <c r="X181" s="282"/>
      <c r="Y181" s="244">
        <v>1.67</v>
      </c>
      <c r="Z181" s="246"/>
      <c r="AA181" s="282"/>
      <c r="AB181" s="244">
        <v>0.96</v>
      </c>
      <c r="AC181" s="246"/>
      <c r="AD181" s="282"/>
      <c r="AE181" s="244">
        <v>1.5</v>
      </c>
      <c r="AF181" s="246"/>
      <c r="AG181" s="282"/>
      <c r="AH181" s="244">
        <v>1.5</v>
      </c>
      <c r="AI181" s="246"/>
      <c r="AJ181" s="282"/>
      <c r="AK181" s="244">
        <v>3.01</v>
      </c>
      <c r="AL181" s="246"/>
      <c r="AM181" s="282"/>
      <c r="AN181" s="244">
        <v>3.1</v>
      </c>
      <c r="AO181" s="246"/>
      <c r="AP181" s="282"/>
      <c r="AQ181" s="244">
        <v>3.26</v>
      </c>
      <c r="AR181" s="283"/>
      <c r="AS181" s="299"/>
      <c r="AT181" s="244">
        <f>J181+M181+P181+S181+V181+Y181+AB181+AE181+AH181+AK181+AN181+AQ181</f>
        <v>28.799999999999997</v>
      </c>
      <c r="AU181" s="283"/>
      <c r="AV181" s="284"/>
      <c r="AW181" s="285"/>
      <c r="AX181" s="321"/>
      <c r="AY181" s="435">
        <v>29.547504</v>
      </c>
      <c r="AZ181" s="261"/>
      <c r="BA181" s="261"/>
      <c r="BB181" s="261"/>
      <c r="BC181" s="261"/>
    </row>
    <row r="182" spans="2:55">
      <c r="B182" s="179"/>
      <c r="C182" s="179"/>
      <c r="D182" s="181">
        <v>321135</v>
      </c>
      <c r="E182" s="181"/>
      <c r="F182" s="181"/>
      <c r="G182" s="1110">
        <v>321135</v>
      </c>
      <c r="H182" s="122" t="s">
        <v>1301</v>
      </c>
      <c r="I182" s="516" t="s">
        <v>364</v>
      </c>
      <c r="J182" s="244">
        <v>77.748000000000005</v>
      </c>
      <c r="K182" s="246"/>
      <c r="L182" s="282"/>
      <c r="M182" s="244">
        <v>62.294400000000003</v>
      </c>
      <c r="N182" s="246"/>
      <c r="O182" s="282"/>
      <c r="P182" s="244">
        <v>56.5</v>
      </c>
      <c r="Q182" s="246"/>
      <c r="R182" s="282"/>
      <c r="S182" s="244">
        <v>54.6</v>
      </c>
      <c r="T182" s="246"/>
      <c r="U182" s="282"/>
      <c r="V182" s="244">
        <v>56.5</v>
      </c>
      <c r="W182" s="246"/>
      <c r="X182" s="282"/>
      <c r="Y182" s="244">
        <v>29.2</v>
      </c>
      <c r="Z182" s="246"/>
      <c r="AA182" s="282"/>
      <c r="AB182" s="244">
        <v>46.9</v>
      </c>
      <c r="AC182" s="246"/>
      <c r="AD182" s="282"/>
      <c r="AE182" s="244">
        <v>54.3</v>
      </c>
      <c r="AF182" s="246"/>
      <c r="AG182" s="282"/>
      <c r="AH182" s="244">
        <v>53.2</v>
      </c>
      <c r="AI182" s="246"/>
      <c r="AJ182" s="282"/>
      <c r="AK182" s="244">
        <v>55.1</v>
      </c>
      <c r="AL182" s="246"/>
      <c r="AM182" s="282"/>
      <c r="AN182" s="244">
        <v>54.6</v>
      </c>
      <c r="AO182" s="246"/>
      <c r="AP182" s="282"/>
      <c r="AQ182" s="244">
        <v>62.719199999999994</v>
      </c>
      <c r="AR182" s="283"/>
      <c r="AS182" s="299"/>
      <c r="AT182" s="244">
        <f>J182+M182+P182+S182+V182+Y182+AB182+AE182+AH182+AK182+AN182+AQ182</f>
        <v>663.66160000000002</v>
      </c>
      <c r="AU182" s="283"/>
      <c r="AV182" s="284"/>
      <c r="AW182" s="285"/>
      <c r="AX182" s="321"/>
      <c r="AY182" s="435">
        <v>769.41173500000002</v>
      </c>
      <c r="AZ182" s="261"/>
      <c r="BA182" s="261"/>
      <c r="BB182" s="261"/>
      <c r="BC182" s="261"/>
    </row>
    <row r="183" spans="2:55">
      <c r="B183" s="179"/>
      <c r="C183" s="179"/>
      <c r="D183" s="181"/>
      <c r="E183" s="181"/>
      <c r="F183" s="181"/>
      <c r="G183" s="1110"/>
      <c r="H183" s="138" t="s">
        <v>174</v>
      </c>
      <c r="I183" s="138"/>
      <c r="J183" s="319">
        <f>SUM(J184:J185)</f>
        <v>6.1295999999999999</v>
      </c>
      <c r="K183" s="307"/>
      <c r="L183" s="308"/>
      <c r="M183" s="287">
        <f>SUM(M184:M185)</f>
        <v>0.16800000000000001</v>
      </c>
      <c r="N183" s="307"/>
      <c r="O183" s="308"/>
      <c r="P183" s="287">
        <f>SUM(P184:P185)</f>
        <v>0</v>
      </c>
      <c r="Q183" s="307"/>
      <c r="R183" s="308"/>
      <c r="S183" s="287">
        <f>SUM(S184:S185)</f>
        <v>0</v>
      </c>
      <c r="T183" s="307"/>
      <c r="U183" s="308"/>
      <c r="V183" s="287">
        <f>SUM(V184:V185)</f>
        <v>0</v>
      </c>
      <c r="W183" s="307"/>
      <c r="X183" s="308"/>
      <c r="Y183" s="287">
        <f>SUM(Y184:Y185)</f>
        <v>0</v>
      </c>
      <c r="Z183" s="307"/>
      <c r="AA183" s="308"/>
      <c r="AB183" s="287">
        <f>SUM(AB184:AB185)</f>
        <v>0</v>
      </c>
      <c r="AC183" s="307"/>
      <c r="AD183" s="308"/>
      <c r="AE183" s="287">
        <f>SUM(AE184:AE185)</f>
        <v>0.33695999999999998</v>
      </c>
      <c r="AF183" s="307"/>
      <c r="AG183" s="308"/>
      <c r="AH183" s="287">
        <f>SUM(AH184:AH185)</f>
        <v>10.240320000000001</v>
      </c>
      <c r="AI183" s="307"/>
      <c r="AJ183" s="308"/>
      <c r="AK183" s="287">
        <f>SUM(AK184:AK185)</f>
        <v>11.228159999999999</v>
      </c>
      <c r="AL183" s="307"/>
      <c r="AM183" s="308"/>
      <c r="AN183" s="287">
        <f>SUM(AN184:AN185)</f>
        <v>10.62068</v>
      </c>
      <c r="AO183" s="307"/>
      <c r="AP183" s="308"/>
      <c r="AQ183" s="287">
        <f>SUM(AQ184:AQ185)</f>
        <v>11.230789999999999</v>
      </c>
      <c r="AR183" s="307"/>
      <c r="AS183" s="308"/>
      <c r="AT183" s="287">
        <f>SUM(AT184:AT185)</f>
        <v>49.954509999999999</v>
      </c>
      <c r="AU183" s="307"/>
      <c r="AV183" s="309"/>
      <c r="AW183" s="226"/>
      <c r="AX183" s="329"/>
      <c r="AY183" s="436">
        <v>52.232590000000002</v>
      </c>
      <c r="AZ183" s="261"/>
      <c r="BA183" s="261"/>
      <c r="BB183" s="261"/>
      <c r="BC183" s="261"/>
    </row>
    <row r="184" spans="2:55">
      <c r="B184" s="179"/>
      <c r="C184" s="179"/>
      <c r="D184" s="181">
        <v>321141</v>
      </c>
      <c r="E184" s="181"/>
      <c r="F184" s="181"/>
      <c r="G184" s="1110">
        <v>321141</v>
      </c>
      <c r="H184" s="135" t="s">
        <v>1302</v>
      </c>
      <c r="I184" s="518" t="s">
        <v>365</v>
      </c>
      <c r="J184" s="294">
        <v>0.29183999999999999</v>
      </c>
      <c r="K184" s="288"/>
      <c r="L184" s="289"/>
      <c r="M184" s="293">
        <v>0</v>
      </c>
      <c r="N184" s="288"/>
      <c r="O184" s="289"/>
      <c r="P184" s="293">
        <v>0</v>
      </c>
      <c r="Q184" s="288"/>
      <c r="R184" s="289"/>
      <c r="S184" s="293">
        <v>0</v>
      </c>
      <c r="T184" s="288"/>
      <c r="U184" s="289"/>
      <c r="V184" s="293">
        <v>0</v>
      </c>
      <c r="W184" s="288"/>
      <c r="X184" s="289"/>
      <c r="Y184" s="293">
        <v>0</v>
      </c>
      <c r="Z184" s="288"/>
      <c r="AA184" s="289"/>
      <c r="AB184" s="293">
        <v>0</v>
      </c>
      <c r="AC184" s="288"/>
      <c r="AD184" s="289"/>
      <c r="AE184" s="293">
        <v>0.33695999999999998</v>
      </c>
      <c r="AF184" s="288"/>
      <c r="AG184" s="289"/>
      <c r="AH184" s="293">
        <v>4.8566399999999996</v>
      </c>
      <c r="AI184" s="288"/>
      <c r="AJ184" s="289"/>
      <c r="AK184" s="293">
        <v>5.4451200000000002</v>
      </c>
      <c r="AL184" s="288"/>
      <c r="AM184" s="289"/>
      <c r="AN184" s="293">
        <v>5.0075599999999998</v>
      </c>
      <c r="AO184" s="288"/>
      <c r="AP184" s="289"/>
      <c r="AQ184" s="293">
        <v>4.85351</v>
      </c>
      <c r="AR184" s="288"/>
      <c r="AS184" s="289"/>
      <c r="AT184" s="294">
        <f>J184+M184+P184+S184+V184+Y184+AB184+AE184+AH184+AK184+AN184+AQ184</f>
        <v>20.791629999999998</v>
      </c>
      <c r="AU184" s="288"/>
      <c r="AV184" s="290"/>
      <c r="AW184" s="285"/>
      <c r="AX184" s="296"/>
      <c r="AY184" s="313"/>
      <c r="AZ184" s="261"/>
      <c r="BA184" s="261"/>
      <c r="BB184" s="261"/>
      <c r="BC184" s="261"/>
    </row>
    <row r="185" spans="2:55">
      <c r="B185" s="179"/>
      <c r="C185" s="179"/>
      <c r="D185" s="181">
        <v>321140</v>
      </c>
      <c r="E185" s="181"/>
      <c r="F185" s="181"/>
      <c r="G185" s="1110">
        <v>321140</v>
      </c>
      <c r="H185" s="135" t="s">
        <v>1303</v>
      </c>
      <c r="I185" s="518" t="s">
        <v>365</v>
      </c>
      <c r="J185" s="294">
        <v>5.8377600000000003</v>
      </c>
      <c r="K185" s="288"/>
      <c r="L185" s="289"/>
      <c r="M185" s="293">
        <v>0.16800000000000001</v>
      </c>
      <c r="N185" s="288"/>
      <c r="O185" s="289"/>
      <c r="P185" s="293">
        <v>0</v>
      </c>
      <c r="Q185" s="288"/>
      <c r="R185" s="289"/>
      <c r="S185" s="293">
        <v>0</v>
      </c>
      <c r="T185" s="288"/>
      <c r="U185" s="289"/>
      <c r="V185" s="293">
        <v>0</v>
      </c>
      <c r="W185" s="288"/>
      <c r="X185" s="289"/>
      <c r="Y185" s="293">
        <v>0</v>
      </c>
      <c r="Z185" s="288"/>
      <c r="AA185" s="289"/>
      <c r="AB185" s="293">
        <v>0</v>
      </c>
      <c r="AC185" s="288"/>
      <c r="AD185" s="289"/>
      <c r="AE185" s="293">
        <v>0</v>
      </c>
      <c r="AF185" s="288"/>
      <c r="AG185" s="289"/>
      <c r="AH185" s="293">
        <v>5.38368</v>
      </c>
      <c r="AI185" s="288"/>
      <c r="AJ185" s="289"/>
      <c r="AK185" s="293">
        <v>5.7830399999999997</v>
      </c>
      <c r="AL185" s="288"/>
      <c r="AM185" s="289"/>
      <c r="AN185" s="293">
        <v>5.6131200000000003</v>
      </c>
      <c r="AO185" s="288"/>
      <c r="AP185" s="289"/>
      <c r="AQ185" s="293">
        <v>6.3772799999999998</v>
      </c>
      <c r="AR185" s="288"/>
      <c r="AS185" s="289"/>
      <c r="AT185" s="294">
        <f>J185+M185+P185+S185+V185+Y185+AB185+AE185+AH185+AK185+AN185+AQ185</f>
        <v>29.162880000000001</v>
      </c>
      <c r="AU185" s="288"/>
      <c r="AV185" s="290"/>
      <c r="AW185" s="285"/>
      <c r="AX185" s="296"/>
      <c r="AY185" s="313"/>
      <c r="AZ185" s="261"/>
      <c r="BA185" s="261"/>
      <c r="BB185" s="261"/>
      <c r="BC185" s="261"/>
    </row>
    <row r="186" spans="2:55" ht="18.75">
      <c r="B186" s="179"/>
      <c r="C186" s="179"/>
      <c r="D186" s="181">
        <v>311200</v>
      </c>
      <c r="E186" s="181"/>
      <c r="F186" s="181"/>
      <c r="G186" s="181">
        <v>311200</v>
      </c>
      <c r="H186" s="471" t="s">
        <v>1577</v>
      </c>
      <c r="I186" s="471"/>
      <c r="J186" s="277">
        <f>SUM(J187:J188)</f>
        <v>548.51639999999998</v>
      </c>
      <c r="K186" s="275">
        <f>L186-J186</f>
        <v>706.08652366131923</v>
      </c>
      <c r="L186" s="276">
        <f>Потребление!D18</f>
        <v>1254.6029236613192</v>
      </c>
      <c r="M186" s="274">
        <f>SUM(M187:M188)</f>
        <v>552.05610000000001</v>
      </c>
      <c r="N186" s="275">
        <f>O186-M186</f>
        <v>593.99982068784698</v>
      </c>
      <c r="O186" s="276">
        <f>Потребление!E18</f>
        <v>1146.055920687847</v>
      </c>
      <c r="P186" s="274">
        <f>SUM(P187:P188)</f>
        <v>548.2713</v>
      </c>
      <c r="Q186" s="275">
        <f>R186-P186</f>
        <v>632.66845076912853</v>
      </c>
      <c r="R186" s="276">
        <f>Потребление!F18</f>
        <v>1180.9397507691285</v>
      </c>
      <c r="S186" s="274">
        <f>SUM(S187:S188)</f>
        <v>467.31049999999999</v>
      </c>
      <c r="T186" s="275">
        <f>U186-S186</f>
        <v>580.19330105350537</v>
      </c>
      <c r="U186" s="276">
        <f>Потребление!G18</f>
        <v>1047.5038010535054</v>
      </c>
      <c r="V186" s="274">
        <f>SUM(V187:V188)</f>
        <v>347.65199999999999</v>
      </c>
      <c r="W186" s="275">
        <f>X186-V186</f>
        <v>641.85423059508935</v>
      </c>
      <c r="X186" s="276">
        <f>Потребление!H18</f>
        <v>989.50623059508939</v>
      </c>
      <c r="Y186" s="274">
        <f>SUM(Y187:Y188)</f>
        <v>380.22800000000001</v>
      </c>
      <c r="Z186" s="275">
        <f>AA186-Y186</f>
        <v>554.05820626631362</v>
      </c>
      <c r="AA186" s="276">
        <f>Потребление!I18</f>
        <v>934.28620626631357</v>
      </c>
      <c r="AB186" s="274">
        <f>SUM(AB187:AB188)</f>
        <v>400.57679999999999</v>
      </c>
      <c r="AC186" s="275">
        <f>AD186-AB186</f>
        <v>554.36183891485553</v>
      </c>
      <c r="AD186" s="276">
        <f>Потребление!J18</f>
        <v>954.93863891485557</v>
      </c>
      <c r="AE186" s="274">
        <f>SUM(AE187:AE188)</f>
        <v>421.75599999999997</v>
      </c>
      <c r="AF186" s="275">
        <f>AG186-AE186</f>
        <v>549.9884347859736</v>
      </c>
      <c r="AG186" s="276">
        <f>Потребление!K18</f>
        <v>971.74443478597357</v>
      </c>
      <c r="AH186" s="274">
        <f>SUM(AH187:AH188)</f>
        <v>432.14820000000009</v>
      </c>
      <c r="AI186" s="275">
        <f>AJ186-AH186</f>
        <v>565.25671792624837</v>
      </c>
      <c r="AJ186" s="276">
        <f>Потребление!L18</f>
        <v>997.40491792624846</v>
      </c>
      <c r="AK186" s="274">
        <f>SUM(AK187:AK188)</f>
        <v>478.54219999999998</v>
      </c>
      <c r="AL186" s="275">
        <f>AM186-AK186</f>
        <v>644.68740545883782</v>
      </c>
      <c r="AM186" s="276">
        <f>Потребление!M18</f>
        <v>1123.2296054588378</v>
      </c>
      <c r="AN186" s="274">
        <f>SUM(AN187:AN188)</f>
        <v>546.51260000000002</v>
      </c>
      <c r="AO186" s="275">
        <f>AP186-AN186</f>
        <v>613.62300435220982</v>
      </c>
      <c r="AP186" s="276">
        <f>Потребление!N18</f>
        <v>1160.1356043522098</v>
      </c>
      <c r="AQ186" s="274">
        <f>SUM(AQ187:AQ188)</f>
        <v>551.97019999999998</v>
      </c>
      <c r="AR186" s="275">
        <f>AS186-AQ186</f>
        <v>699.68176552867112</v>
      </c>
      <c r="AS186" s="276">
        <f>Потребление!O18</f>
        <v>1251.6519655286711</v>
      </c>
      <c r="AT186" s="274">
        <f>SUM(AT187:AT188)</f>
        <v>5675.5402999999997</v>
      </c>
      <c r="AU186" s="275">
        <f>AV186-AT186</f>
        <v>7336.4597000000003</v>
      </c>
      <c r="AV186" s="278">
        <f>L186+O186+R186+U186+X186+AA186+AD186+AG186+AJ186+AM186+AP186+AS186</f>
        <v>13012</v>
      </c>
      <c r="AW186" s="279"/>
      <c r="AX186" s="1067">
        <v>13008.2347668</v>
      </c>
      <c r="AY186" s="298">
        <f>AY187+AY188</f>
        <v>5304.8562830000001</v>
      </c>
      <c r="AZ186" s="261"/>
      <c r="BA186" s="261"/>
      <c r="BB186" s="261"/>
      <c r="BC186" s="261"/>
    </row>
    <row r="187" spans="2:55">
      <c r="B187" s="179"/>
      <c r="C187" s="179"/>
      <c r="D187" s="181"/>
      <c r="E187" s="181"/>
      <c r="F187" s="181"/>
      <c r="G187" s="181"/>
      <c r="H187" s="10" t="s">
        <v>173</v>
      </c>
      <c r="I187" s="10"/>
      <c r="J187" s="223">
        <f>SUM(J189:J190)+J193</f>
        <v>157.78560000000002</v>
      </c>
      <c r="K187" s="271"/>
      <c r="L187" s="224"/>
      <c r="M187" s="270">
        <f>SUM(M189:M190)+M193</f>
        <v>203.11840000000001</v>
      </c>
      <c r="N187" s="271"/>
      <c r="O187" s="224"/>
      <c r="P187" s="270">
        <f>SUM(P189:P190)+P193</f>
        <v>174.91</v>
      </c>
      <c r="Q187" s="271"/>
      <c r="R187" s="224"/>
      <c r="S187" s="270">
        <f>SUM(S189:S190)+S193</f>
        <v>118.17199999999998</v>
      </c>
      <c r="T187" s="271"/>
      <c r="U187" s="224"/>
      <c r="V187" s="270">
        <f>SUM(V189:V190)+V193</f>
        <v>62.01400000000001</v>
      </c>
      <c r="W187" s="271"/>
      <c r="X187" s="224"/>
      <c r="Y187" s="270">
        <f>SUM(Y189:Y190)+Y193</f>
        <v>51.372000000000007</v>
      </c>
      <c r="Z187" s="271"/>
      <c r="AA187" s="224"/>
      <c r="AB187" s="270">
        <f>SUM(AB189:AB190)+AB193</f>
        <v>60.46479999999999</v>
      </c>
      <c r="AC187" s="271"/>
      <c r="AD187" s="224"/>
      <c r="AE187" s="270">
        <f>SUM(AE189:AE190)+AE193</f>
        <v>75.624000000000009</v>
      </c>
      <c r="AF187" s="271"/>
      <c r="AG187" s="224"/>
      <c r="AH187" s="270">
        <f>SUM(AH189:AH190)+AH193</f>
        <v>89.921999999999997</v>
      </c>
      <c r="AI187" s="271"/>
      <c r="AJ187" s="224"/>
      <c r="AK187" s="270">
        <f>SUM(AK189:AK190)+AK193</f>
        <v>113.52000000000001</v>
      </c>
      <c r="AL187" s="271"/>
      <c r="AM187" s="224"/>
      <c r="AN187" s="270">
        <f>SUM(AN189:AN190)+AN193</f>
        <v>171.07000000000002</v>
      </c>
      <c r="AO187" s="271"/>
      <c r="AP187" s="224"/>
      <c r="AQ187" s="270">
        <f>SUM(AQ189:AQ190)+AQ193</f>
        <v>159.23439999999999</v>
      </c>
      <c r="AR187" s="271"/>
      <c r="AS187" s="224"/>
      <c r="AT187" s="270">
        <f>SUM(AT189:AT190)+AT193</f>
        <v>1437.2072000000001</v>
      </c>
      <c r="AU187" s="271"/>
      <c r="AV187" s="229"/>
      <c r="AW187" s="226"/>
      <c r="AX187" s="230"/>
      <c r="AY187" s="231">
        <f>SUM(AY189:AY193)</f>
        <v>1207.6690829999998</v>
      </c>
      <c r="AZ187" s="261"/>
      <c r="BA187" s="261"/>
      <c r="BB187" s="261"/>
      <c r="BC187" s="261"/>
    </row>
    <row r="188" spans="2:55">
      <c r="B188" s="179"/>
      <c r="C188" s="179"/>
      <c r="D188" s="181"/>
      <c r="E188" s="181"/>
      <c r="F188" s="181"/>
      <c r="G188" s="181"/>
      <c r="H188" s="10" t="s">
        <v>99</v>
      </c>
      <c r="I188" s="10"/>
      <c r="J188" s="223">
        <f>J194</f>
        <v>390.73079999999999</v>
      </c>
      <c r="K188" s="271"/>
      <c r="L188" s="224"/>
      <c r="M188" s="270">
        <f>M194</f>
        <v>348.93769999999995</v>
      </c>
      <c r="N188" s="271"/>
      <c r="O188" s="224"/>
      <c r="P188" s="270">
        <f>P194</f>
        <v>373.36129999999997</v>
      </c>
      <c r="Q188" s="271"/>
      <c r="R188" s="224"/>
      <c r="S188" s="270">
        <f>S194</f>
        <v>349.13850000000002</v>
      </c>
      <c r="T188" s="271"/>
      <c r="U188" s="224"/>
      <c r="V188" s="270">
        <f>V194</f>
        <v>285.63799999999998</v>
      </c>
      <c r="W188" s="271"/>
      <c r="X188" s="224"/>
      <c r="Y188" s="270">
        <f>Y194</f>
        <v>328.85599999999999</v>
      </c>
      <c r="Z188" s="271"/>
      <c r="AA188" s="224"/>
      <c r="AB188" s="270">
        <f>AB194</f>
        <v>340.11200000000002</v>
      </c>
      <c r="AC188" s="271"/>
      <c r="AD188" s="224"/>
      <c r="AE188" s="270">
        <f>AE194</f>
        <v>346.13199999999995</v>
      </c>
      <c r="AF188" s="271"/>
      <c r="AG188" s="224"/>
      <c r="AH188" s="270">
        <f>AH194</f>
        <v>342.22620000000006</v>
      </c>
      <c r="AI188" s="271"/>
      <c r="AJ188" s="224"/>
      <c r="AK188" s="270">
        <f>AK194</f>
        <v>365.02219999999994</v>
      </c>
      <c r="AL188" s="271"/>
      <c r="AM188" s="224"/>
      <c r="AN188" s="270">
        <f>AN194</f>
        <v>375.44260000000003</v>
      </c>
      <c r="AO188" s="271"/>
      <c r="AP188" s="224"/>
      <c r="AQ188" s="270">
        <f>AQ194</f>
        <v>392.73579999999998</v>
      </c>
      <c r="AR188" s="271"/>
      <c r="AS188" s="224"/>
      <c r="AT188" s="270">
        <f>AT194</f>
        <v>4238.3330999999998</v>
      </c>
      <c r="AU188" s="271"/>
      <c r="AV188" s="229"/>
      <c r="AW188" s="226"/>
      <c r="AX188" s="230"/>
      <c r="AY188" s="231">
        <f>AY194</f>
        <v>4097.1872000000003</v>
      </c>
      <c r="AZ188" s="261"/>
      <c r="BA188" s="261"/>
      <c r="BB188" s="261"/>
      <c r="BC188" s="261"/>
    </row>
    <row r="189" spans="2:55">
      <c r="B189" s="179"/>
      <c r="C189" s="179"/>
      <c r="D189" s="181">
        <v>311212</v>
      </c>
      <c r="E189" s="181"/>
      <c r="F189" s="181"/>
      <c r="G189" s="1110">
        <v>311212</v>
      </c>
      <c r="H189" s="123" t="s">
        <v>527</v>
      </c>
      <c r="I189" s="516" t="s">
        <v>364</v>
      </c>
      <c r="J189" s="244">
        <v>147.0556</v>
      </c>
      <c r="K189" s="246"/>
      <c r="L189" s="282"/>
      <c r="M189" s="244">
        <v>193.05840000000001</v>
      </c>
      <c r="N189" s="246"/>
      <c r="O189" s="282"/>
      <c r="P189" s="244">
        <v>164.61</v>
      </c>
      <c r="Q189" s="246"/>
      <c r="R189" s="282"/>
      <c r="S189" s="320">
        <f>121.782-10</f>
        <v>111.782</v>
      </c>
      <c r="T189" s="246"/>
      <c r="U189" s="282"/>
      <c r="V189" s="244">
        <v>60.26400000000001</v>
      </c>
      <c r="W189" s="246"/>
      <c r="X189" s="282"/>
      <c r="Y189" s="244">
        <v>49.572000000000003</v>
      </c>
      <c r="Z189" s="246"/>
      <c r="AA189" s="282"/>
      <c r="AB189" s="244">
        <v>58.924799999999991</v>
      </c>
      <c r="AC189" s="246"/>
      <c r="AD189" s="282"/>
      <c r="AE189" s="244">
        <v>73.644000000000005</v>
      </c>
      <c r="AF189" s="246"/>
      <c r="AG189" s="282"/>
      <c r="AH189" s="345">
        <f>57.312+30</f>
        <v>87.311999999999998</v>
      </c>
      <c r="AI189" s="246"/>
      <c r="AJ189" s="282"/>
      <c r="AK189" s="320">
        <f>130.21-25</f>
        <v>105.21000000000001</v>
      </c>
      <c r="AL189" s="246"/>
      <c r="AM189" s="282"/>
      <c r="AN189" s="244">
        <v>160.92000000000002</v>
      </c>
      <c r="AO189" s="246"/>
      <c r="AP189" s="282"/>
      <c r="AQ189" s="244">
        <v>148.21439999999998</v>
      </c>
      <c r="AR189" s="283"/>
      <c r="AS189" s="299"/>
      <c r="AT189" s="244">
        <f t="shared" ref="AT189:AT202" si="8">J189+M189+P189+S189+V189+Y189+AB189+AE189+AH189+AK189+AN189+AQ189</f>
        <v>1360.5672000000002</v>
      </c>
      <c r="AU189" s="283"/>
      <c r="AV189" s="284"/>
      <c r="AW189" s="285"/>
      <c r="AX189" s="321"/>
      <c r="AY189" s="435">
        <v>1123.0224969999999</v>
      </c>
      <c r="AZ189" s="261"/>
      <c r="BA189" s="261"/>
      <c r="BB189" s="261"/>
      <c r="BC189" s="261"/>
    </row>
    <row r="190" spans="2:55" ht="15" customHeight="1">
      <c r="B190" s="179"/>
      <c r="C190" s="179"/>
      <c r="D190" s="181">
        <v>311210</v>
      </c>
      <c r="E190" s="181"/>
      <c r="F190" s="181"/>
      <c r="G190" s="1110">
        <v>311210</v>
      </c>
      <c r="H190" s="137" t="s">
        <v>528</v>
      </c>
      <c r="I190" s="516" t="s">
        <v>364</v>
      </c>
      <c r="J190" s="238">
        <f>SUM(J191:J192)</f>
        <v>7.8000000000000007</v>
      </c>
      <c r="K190" s="283"/>
      <c r="L190" s="299"/>
      <c r="M190" s="314">
        <f>SUM(M191:M192)</f>
        <v>7.24</v>
      </c>
      <c r="N190" s="283"/>
      <c r="O190" s="299"/>
      <c r="P190" s="314">
        <f>SUM(P191:P192)</f>
        <v>7.32</v>
      </c>
      <c r="Q190" s="283"/>
      <c r="R190" s="299"/>
      <c r="S190" s="314">
        <f>SUM(S191:S192)</f>
        <v>3.82</v>
      </c>
      <c r="T190" s="283"/>
      <c r="U190" s="299"/>
      <c r="V190" s="314">
        <f>SUM(V191:V192)</f>
        <v>1.01</v>
      </c>
      <c r="W190" s="283"/>
      <c r="X190" s="299"/>
      <c r="Y190" s="314">
        <f>SUM(Y191:Y192)</f>
        <v>1.31</v>
      </c>
      <c r="Z190" s="283"/>
      <c r="AA190" s="299"/>
      <c r="AB190" s="314">
        <f>SUM(AB191:AB192)</f>
        <v>1.26</v>
      </c>
      <c r="AC190" s="283"/>
      <c r="AD190" s="299"/>
      <c r="AE190" s="314">
        <f>SUM(AE191:AE192)</f>
        <v>1.39</v>
      </c>
      <c r="AF190" s="283"/>
      <c r="AG190" s="299"/>
      <c r="AH190" s="314">
        <f>SUM(AH191:AH192)</f>
        <v>1.94</v>
      </c>
      <c r="AI190" s="246"/>
      <c r="AJ190" s="282"/>
      <c r="AK190" s="314">
        <f>SUM(AK191:AK192)</f>
        <v>5.3000000000000007</v>
      </c>
      <c r="AL190" s="283"/>
      <c r="AM190" s="299"/>
      <c r="AN190" s="314">
        <f>SUM(AN191:AN192)</f>
        <v>6.54</v>
      </c>
      <c r="AO190" s="283"/>
      <c r="AP190" s="299"/>
      <c r="AQ190" s="314">
        <f>SUM(AQ191:AQ192)</f>
        <v>7.11</v>
      </c>
      <c r="AR190" s="283"/>
      <c r="AS190" s="299"/>
      <c r="AT190" s="314">
        <f>SUM(AT191:AT192)</f>
        <v>52.040000000000006</v>
      </c>
      <c r="AU190" s="283"/>
      <c r="AV190" s="284"/>
      <c r="AW190" s="285"/>
      <c r="AX190" s="321"/>
      <c r="AY190" s="888">
        <v>60.038471999999999</v>
      </c>
      <c r="AZ190" s="261"/>
      <c r="BA190" s="261"/>
      <c r="BB190" s="261"/>
      <c r="BC190" s="261"/>
    </row>
    <row r="191" spans="2:55">
      <c r="B191" s="179"/>
      <c r="C191" s="179"/>
      <c r="D191" s="181"/>
      <c r="E191" s="181"/>
      <c r="F191" s="181"/>
      <c r="G191" s="1110"/>
      <c r="H191" s="123" t="s">
        <v>528</v>
      </c>
      <c r="I191" s="123"/>
      <c r="J191" s="244">
        <v>3.72</v>
      </c>
      <c r="K191" s="246"/>
      <c r="L191" s="282"/>
      <c r="M191" s="244">
        <v>3.48</v>
      </c>
      <c r="N191" s="246"/>
      <c r="O191" s="282"/>
      <c r="P191" s="244">
        <v>3.72</v>
      </c>
      <c r="Q191" s="246"/>
      <c r="R191" s="282"/>
      <c r="S191" s="244">
        <v>3.17</v>
      </c>
      <c r="T191" s="246"/>
      <c r="U191" s="282"/>
      <c r="V191" s="244">
        <v>1.01</v>
      </c>
      <c r="W191" s="246"/>
      <c r="X191" s="282"/>
      <c r="Y191" s="244">
        <v>1.31</v>
      </c>
      <c r="Z191" s="246"/>
      <c r="AA191" s="282"/>
      <c r="AB191" s="244">
        <v>1.26</v>
      </c>
      <c r="AC191" s="246"/>
      <c r="AD191" s="282"/>
      <c r="AE191" s="244">
        <v>1.39</v>
      </c>
      <c r="AF191" s="246"/>
      <c r="AG191" s="282"/>
      <c r="AH191" s="244">
        <v>1.94</v>
      </c>
      <c r="AI191" s="246"/>
      <c r="AJ191" s="282"/>
      <c r="AK191" s="244">
        <v>3.12</v>
      </c>
      <c r="AL191" s="246"/>
      <c r="AM191" s="282"/>
      <c r="AN191" s="244">
        <v>3.6</v>
      </c>
      <c r="AO191" s="246"/>
      <c r="AP191" s="282"/>
      <c r="AQ191" s="244">
        <v>3.72</v>
      </c>
      <c r="AR191" s="283"/>
      <c r="AS191" s="299"/>
      <c r="AT191" s="244">
        <f t="shared" si="8"/>
        <v>31.440000000000005</v>
      </c>
      <c r="AU191" s="283"/>
      <c r="AV191" s="284"/>
      <c r="AW191" s="285"/>
      <c r="AX191" s="321"/>
      <c r="AY191" s="330"/>
      <c r="AZ191" s="261"/>
      <c r="BA191" s="261"/>
      <c r="BB191" s="261"/>
      <c r="BC191" s="261"/>
    </row>
    <row r="192" spans="2:55">
      <c r="B192" s="179"/>
      <c r="C192" s="179"/>
      <c r="D192" s="181"/>
      <c r="E192" s="181"/>
      <c r="F192" s="181"/>
      <c r="G192" s="1110"/>
      <c r="H192" s="127" t="s">
        <v>529</v>
      </c>
      <c r="I192" s="127"/>
      <c r="J192" s="244">
        <v>4.08</v>
      </c>
      <c r="K192" s="246"/>
      <c r="L192" s="282"/>
      <c r="M192" s="244">
        <v>3.76</v>
      </c>
      <c r="N192" s="246"/>
      <c r="O192" s="282"/>
      <c r="P192" s="244">
        <v>3.6</v>
      </c>
      <c r="Q192" s="246"/>
      <c r="R192" s="282"/>
      <c r="S192" s="244">
        <v>0.65</v>
      </c>
      <c r="T192" s="246"/>
      <c r="U192" s="282"/>
      <c r="V192" s="244">
        <v>0</v>
      </c>
      <c r="W192" s="246"/>
      <c r="X192" s="282"/>
      <c r="Y192" s="244">
        <v>0</v>
      </c>
      <c r="Z192" s="246"/>
      <c r="AA192" s="282"/>
      <c r="AB192" s="244">
        <v>0</v>
      </c>
      <c r="AC192" s="246"/>
      <c r="AD192" s="282"/>
      <c r="AE192" s="244">
        <v>0</v>
      </c>
      <c r="AF192" s="246"/>
      <c r="AG192" s="282"/>
      <c r="AH192" s="244">
        <v>0</v>
      </c>
      <c r="AI192" s="246"/>
      <c r="AJ192" s="282"/>
      <c r="AK192" s="244">
        <v>2.1800000000000002</v>
      </c>
      <c r="AL192" s="246"/>
      <c r="AM192" s="282"/>
      <c r="AN192" s="244">
        <v>2.94</v>
      </c>
      <c r="AO192" s="246"/>
      <c r="AP192" s="282"/>
      <c r="AQ192" s="244">
        <v>3.39</v>
      </c>
      <c r="AR192" s="283"/>
      <c r="AS192" s="299"/>
      <c r="AT192" s="244">
        <f t="shared" si="8"/>
        <v>20.6</v>
      </c>
      <c r="AU192" s="283"/>
      <c r="AV192" s="284"/>
      <c r="AW192" s="285"/>
      <c r="AX192" s="321"/>
      <c r="AY192" s="300"/>
      <c r="AZ192" s="261"/>
      <c r="BA192" s="261"/>
      <c r="BB192" s="261"/>
      <c r="BC192" s="261"/>
    </row>
    <row r="193" spans="2:55">
      <c r="B193" s="179"/>
      <c r="C193" s="179"/>
      <c r="D193" s="181">
        <v>311211</v>
      </c>
      <c r="E193" s="181"/>
      <c r="F193" s="181"/>
      <c r="G193" s="1110">
        <v>311211</v>
      </c>
      <c r="H193" s="123" t="s">
        <v>530</v>
      </c>
      <c r="I193" s="516" t="s">
        <v>364</v>
      </c>
      <c r="J193" s="244">
        <v>2.93</v>
      </c>
      <c r="K193" s="246"/>
      <c r="L193" s="282"/>
      <c r="M193" s="244">
        <v>2.82</v>
      </c>
      <c r="N193" s="246"/>
      <c r="O193" s="282"/>
      <c r="P193" s="244">
        <v>2.98</v>
      </c>
      <c r="Q193" s="246"/>
      <c r="R193" s="282"/>
      <c r="S193" s="244">
        <v>2.57</v>
      </c>
      <c r="T193" s="246"/>
      <c r="U193" s="282"/>
      <c r="V193" s="244">
        <v>0.74</v>
      </c>
      <c r="W193" s="246"/>
      <c r="X193" s="282"/>
      <c r="Y193" s="244">
        <v>0.49</v>
      </c>
      <c r="Z193" s="246"/>
      <c r="AA193" s="282"/>
      <c r="AB193" s="244">
        <v>0.28000000000000003</v>
      </c>
      <c r="AC193" s="246"/>
      <c r="AD193" s="282"/>
      <c r="AE193" s="244">
        <v>0.59</v>
      </c>
      <c r="AF193" s="246"/>
      <c r="AG193" s="282"/>
      <c r="AH193" s="244">
        <v>0.67</v>
      </c>
      <c r="AI193" s="246"/>
      <c r="AJ193" s="282"/>
      <c r="AK193" s="244">
        <v>3.01</v>
      </c>
      <c r="AL193" s="246"/>
      <c r="AM193" s="282"/>
      <c r="AN193" s="244">
        <v>3.61</v>
      </c>
      <c r="AO193" s="246"/>
      <c r="AP193" s="282"/>
      <c r="AQ193" s="244">
        <v>3.91</v>
      </c>
      <c r="AR193" s="283"/>
      <c r="AS193" s="299"/>
      <c r="AT193" s="244">
        <f t="shared" si="8"/>
        <v>24.599999999999998</v>
      </c>
      <c r="AU193" s="283"/>
      <c r="AV193" s="284"/>
      <c r="AW193" s="285"/>
      <c r="AX193" s="321"/>
      <c r="AY193" s="435">
        <v>24.608114</v>
      </c>
      <c r="AZ193" s="261"/>
      <c r="BA193" s="261"/>
      <c r="BB193" s="261"/>
      <c r="BC193" s="261"/>
    </row>
    <row r="194" spans="2:55">
      <c r="B194" s="179"/>
      <c r="C194" s="179"/>
      <c r="D194" s="181"/>
      <c r="E194" s="181"/>
      <c r="F194" s="181"/>
      <c r="G194" s="1110"/>
      <c r="H194" s="138" t="s">
        <v>174</v>
      </c>
      <c r="I194" s="138"/>
      <c r="J194" s="319">
        <f>SUM(J195:J202)</f>
        <v>390.73079999999999</v>
      </c>
      <c r="K194" s="288"/>
      <c r="L194" s="289"/>
      <c r="M194" s="319">
        <f>SUM(M195:M202)</f>
        <v>348.93769999999995</v>
      </c>
      <c r="N194" s="288"/>
      <c r="O194" s="289"/>
      <c r="P194" s="319">
        <f>SUM(P195:P202)</f>
        <v>373.36129999999997</v>
      </c>
      <c r="Q194" s="288"/>
      <c r="R194" s="289"/>
      <c r="S194" s="319">
        <f>SUM(S195:S202)</f>
        <v>349.13850000000002</v>
      </c>
      <c r="T194" s="288"/>
      <c r="U194" s="289"/>
      <c r="V194" s="319">
        <f>SUM(V195:V202)</f>
        <v>285.63799999999998</v>
      </c>
      <c r="W194" s="288"/>
      <c r="X194" s="289"/>
      <c r="Y194" s="319">
        <f>SUM(Y195:Y202)</f>
        <v>328.85599999999999</v>
      </c>
      <c r="Z194" s="288"/>
      <c r="AA194" s="289"/>
      <c r="AB194" s="319">
        <f>SUM(AB195:AB202)</f>
        <v>340.11200000000002</v>
      </c>
      <c r="AC194" s="288"/>
      <c r="AD194" s="289"/>
      <c r="AE194" s="319">
        <f>SUM(AE195:AE202)</f>
        <v>346.13199999999995</v>
      </c>
      <c r="AF194" s="288"/>
      <c r="AG194" s="289"/>
      <c r="AH194" s="319">
        <f>SUM(AH195:AH202)</f>
        <v>342.22620000000006</v>
      </c>
      <c r="AI194" s="288"/>
      <c r="AJ194" s="289"/>
      <c r="AK194" s="319">
        <f>SUM(AK195:AK202)</f>
        <v>365.02219999999994</v>
      </c>
      <c r="AL194" s="288"/>
      <c r="AM194" s="289"/>
      <c r="AN194" s="319">
        <f>SUM(AN195:AN202)</f>
        <v>375.44260000000003</v>
      </c>
      <c r="AO194" s="288"/>
      <c r="AP194" s="289"/>
      <c r="AQ194" s="319">
        <f>SUM(AQ195:AQ202)</f>
        <v>392.73579999999998</v>
      </c>
      <c r="AR194" s="288"/>
      <c r="AS194" s="289"/>
      <c r="AT194" s="319">
        <f>SUM(AT195:AT202)</f>
        <v>4238.3330999999998</v>
      </c>
      <c r="AU194" s="288"/>
      <c r="AV194" s="290"/>
      <c r="AW194" s="285"/>
      <c r="AX194" s="296"/>
      <c r="AY194" s="436">
        <v>4097.1872000000003</v>
      </c>
      <c r="AZ194" s="261"/>
      <c r="BA194" s="261"/>
      <c r="BB194" s="261"/>
      <c r="BC194" s="261"/>
    </row>
    <row r="195" spans="2:55">
      <c r="B195" s="179"/>
      <c r="C195" s="179"/>
      <c r="D195" s="181"/>
      <c r="E195" s="181"/>
      <c r="F195" s="181"/>
      <c r="G195" s="1110">
        <v>777267</v>
      </c>
      <c r="H195" s="135" t="s">
        <v>1076</v>
      </c>
      <c r="I195" s="518" t="s">
        <v>365</v>
      </c>
      <c r="J195" s="294">
        <v>1.0948</v>
      </c>
      <c r="K195" s="288"/>
      <c r="L195" s="289"/>
      <c r="M195" s="294">
        <v>0.99370000000000003</v>
      </c>
      <c r="N195" s="288"/>
      <c r="O195" s="289"/>
      <c r="P195" s="294">
        <v>1.0792999999999999</v>
      </c>
      <c r="Q195" s="288"/>
      <c r="R195" s="289"/>
      <c r="S195" s="294">
        <v>1.9964999999999999</v>
      </c>
      <c r="T195" s="288"/>
      <c r="U195" s="289"/>
      <c r="V195" s="294">
        <v>0</v>
      </c>
      <c r="W195" s="288"/>
      <c r="X195" s="289"/>
      <c r="Y195" s="294">
        <v>0</v>
      </c>
      <c r="Z195" s="288"/>
      <c r="AA195" s="289"/>
      <c r="AB195" s="294">
        <v>0</v>
      </c>
      <c r="AC195" s="288"/>
      <c r="AD195" s="289"/>
      <c r="AE195" s="294">
        <v>0</v>
      </c>
      <c r="AF195" s="288"/>
      <c r="AG195" s="289"/>
      <c r="AH195" s="294">
        <v>2.6432000000000002</v>
      </c>
      <c r="AI195" s="288"/>
      <c r="AJ195" s="289"/>
      <c r="AK195" s="294">
        <v>2.0291999999999999</v>
      </c>
      <c r="AL195" s="288"/>
      <c r="AM195" s="289"/>
      <c r="AN195" s="294">
        <v>1.1355999999999999</v>
      </c>
      <c r="AO195" s="288"/>
      <c r="AP195" s="289"/>
      <c r="AQ195" s="294">
        <v>1.3268</v>
      </c>
      <c r="AR195" s="288"/>
      <c r="AS195" s="289"/>
      <c r="AT195" s="294">
        <f t="shared" si="8"/>
        <v>12.299100000000001</v>
      </c>
      <c r="AU195" s="288"/>
      <c r="AV195" s="290"/>
      <c r="AW195" s="285"/>
      <c r="AX195" s="296"/>
      <c r="AY195" s="436"/>
      <c r="AZ195" s="261"/>
      <c r="BA195" s="261"/>
      <c r="BB195" s="261"/>
      <c r="BC195" s="261"/>
    </row>
    <row r="196" spans="2:55">
      <c r="B196" s="179"/>
      <c r="C196" s="179"/>
      <c r="D196" s="181">
        <v>311240</v>
      </c>
      <c r="E196" s="181"/>
      <c r="F196" s="181"/>
      <c r="G196" s="1110">
        <v>311240</v>
      </c>
      <c r="H196" s="135" t="s">
        <v>1304</v>
      </c>
      <c r="I196" s="518" t="s">
        <v>365</v>
      </c>
      <c r="J196" s="294">
        <v>246.26400000000001</v>
      </c>
      <c r="K196" s="288"/>
      <c r="L196" s="289"/>
      <c r="M196" s="294">
        <v>227.376</v>
      </c>
      <c r="N196" s="288"/>
      <c r="O196" s="289"/>
      <c r="P196" s="294">
        <v>240.50399999999999</v>
      </c>
      <c r="Q196" s="288"/>
      <c r="R196" s="289"/>
      <c r="S196" s="294">
        <v>219.96</v>
      </c>
      <c r="T196" s="288"/>
      <c r="U196" s="289"/>
      <c r="V196" s="294">
        <v>228.38399999999999</v>
      </c>
      <c r="W196" s="288"/>
      <c r="X196" s="289"/>
      <c r="Y196" s="294">
        <v>208.82400000000001</v>
      </c>
      <c r="Z196" s="288"/>
      <c r="AA196" s="289"/>
      <c r="AB196" s="294">
        <v>216.072</v>
      </c>
      <c r="AC196" s="288"/>
      <c r="AD196" s="289"/>
      <c r="AE196" s="294">
        <v>214.15199999999999</v>
      </c>
      <c r="AF196" s="288"/>
      <c r="AG196" s="289"/>
      <c r="AH196" s="294">
        <v>211.44</v>
      </c>
      <c r="AI196" s="288"/>
      <c r="AJ196" s="289"/>
      <c r="AK196" s="294">
        <v>224.85599999999999</v>
      </c>
      <c r="AL196" s="288"/>
      <c r="AM196" s="289"/>
      <c r="AN196" s="294">
        <v>232.464</v>
      </c>
      <c r="AO196" s="288"/>
      <c r="AP196" s="289"/>
      <c r="AQ196" s="294">
        <v>246.26400000000001</v>
      </c>
      <c r="AR196" s="288"/>
      <c r="AS196" s="289"/>
      <c r="AT196" s="294">
        <f t="shared" si="8"/>
        <v>2716.5600000000004</v>
      </c>
      <c r="AU196" s="288"/>
      <c r="AV196" s="290"/>
      <c r="AW196" s="285"/>
      <c r="AX196" s="296"/>
      <c r="AY196" s="313"/>
      <c r="AZ196" s="261"/>
      <c r="BA196" s="261"/>
      <c r="BB196" s="261"/>
      <c r="BC196" s="261"/>
    </row>
    <row r="197" spans="2:55">
      <c r="B197" s="179"/>
      <c r="C197" s="179"/>
      <c r="D197" s="181">
        <v>311239</v>
      </c>
      <c r="E197" s="181"/>
      <c r="F197" s="181"/>
      <c r="G197" s="1110">
        <v>311239</v>
      </c>
      <c r="H197" s="135" t="s">
        <v>1305</v>
      </c>
      <c r="I197" s="518" t="s">
        <v>365</v>
      </c>
      <c r="J197" s="294">
        <v>111.6</v>
      </c>
      <c r="K197" s="288"/>
      <c r="L197" s="289"/>
      <c r="M197" s="294">
        <v>104.4</v>
      </c>
      <c r="N197" s="288"/>
      <c r="O197" s="289"/>
      <c r="P197" s="294">
        <v>111.6</v>
      </c>
      <c r="Q197" s="288"/>
      <c r="R197" s="289"/>
      <c r="S197" s="294">
        <v>108</v>
      </c>
      <c r="T197" s="288"/>
      <c r="U197" s="289"/>
      <c r="V197" s="294">
        <v>40.799999999999997</v>
      </c>
      <c r="W197" s="288"/>
      <c r="X197" s="289"/>
      <c r="Y197" s="294">
        <v>108</v>
      </c>
      <c r="Z197" s="288"/>
      <c r="AA197" s="289"/>
      <c r="AB197" s="294">
        <v>111.6</v>
      </c>
      <c r="AC197" s="288"/>
      <c r="AD197" s="289"/>
      <c r="AE197" s="294">
        <v>111.6</v>
      </c>
      <c r="AF197" s="288"/>
      <c r="AG197" s="289"/>
      <c r="AH197" s="294">
        <v>96</v>
      </c>
      <c r="AI197" s="288"/>
      <c r="AJ197" s="289"/>
      <c r="AK197" s="294">
        <v>105.6</v>
      </c>
      <c r="AL197" s="288"/>
      <c r="AM197" s="289"/>
      <c r="AN197" s="294">
        <v>108</v>
      </c>
      <c r="AO197" s="288"/>
      <c r="AP197" s="289"/>
      <c r="AQ197" s="294">
        <v>111.6</v>
      </c>
      <c r="AR197" s="288"/>
      <c r="AS197" s="289"/>
      <c r="AT197" s="294">
        <f t="shared" si="8"/>
        <v>1228.8000000000002</v>
      </c>
      <c r="AU197" s="288"/>
      <c r="AV197" s="290"/>
      <c r="AW197" s="285"/>
      <c r="AX197" s="296"/>
      <c r="AY197" s="313"/>
      <c r="AZ197" s="261"/>
      <c r="BA197" s="261"/>
      <c r="BB197" s="261"/>
      <c r="BC197" s="261"/>
    </row>
    <row r="198" spans="2:55">
      <c r="B198" s="179"/>
      <c r="C198" s="179"/>
      <c r="D198" s="181">
        <v>777162</v>
      </c>
      <c r="E198" s="181"/>
      <c r="F198" s="181"/>
      <c r="G198" s="1110">
        <v>777162</v>
      </c>
      <c r="H198" s="135" t="s">
        <v>1306</v>
      </c>
      <c r="I198" s="518" t="s">
        <v>365</v>
      </c>
      <c r="J198" s="294">
        <v>12.24</v>
      </c>
      <c r="K198" s="288"/>
      <c r="L198" s="289"/>
      <c r="M198" s="294">
        <v>11.423999999999999</v>
      </c>
      <c r="N198" s="288"/>
      <c r="O198" s="289"/>
      <c r="P198" s="294">
        <v>12.24</v>
      </c>
      <c r="Q198" s="288"/>
      <c r="R198" s="289"/>
      <c r="S198" s="294">
        <v>11.832000000000001</v>
      </c>
      <c r="T198" s="288"/>
      <c r="U198" s="289"/>
      <c r="V198" s="294">
        <v>10.224</v>
      </c>
      <c r="W198" s="288"/>
      <c r="X198" s="289"/>
      <c r="Y198" s="294">
        <v>11.832000000000001</v>
      </c>
      <c r="Z198" s="288"/>
      <c r="AA198" s="289"/>
      <c r="AB198" s="294">
        <v>12.24</v>
      </c>
      <c r="AC198" s="288"/>
      <c r="AD198" s="289"/>
      <c r="AE198" s="294">
        <v>12.24</v>
      </c>
      <c r="AF198" s="288"/>
      <c r="AG198" s="289"/>
      <c r="AH198" s="294">
        <v>11.832000000000001</v>
      </c>
      <c r="AI198" s="288"/>
      <c r="AJ198" s="289"/>
      <c r="AK198" s="294">
        <v>11.28</v>
      </c>
      <c r="AL198" s="288"/>
      <c r="AM198" s="289"/>
      <c r="AN198" s="294">
        <v>11.832000000000001</v>
      </c>
      <c r="AO198" s="288"/>
      <c r="AP198" s="289"/>
      <c r="AQ198" s="294">
        <v>10.8</v>
      </c>
      <c r="AR198" s="288"/>
      <c r="AS198" s="289"/>
      <c r="AT198" s="294">
        <f t="shared" si="8"/>
        <v>140.01599999999999</v>
      </c>
      <c r="AU198" s="288"/>
      <c r="AV198" s="290"/>
      <c r="AW198" s="285"/>
      <c r="AX198" s="296"/>
      <c r="AY198" s="313"/>
      <c r="AZ198" s="261"/>
      <c r="BA198" s="261"/>
      <c r="BB198" s="261"/>
      <c r="BC198" s="261"/>
    </row>
    <row r="199" spans="2:55">
      <c r="B199" s="179"/>
      <c r="C199" s="179"/>
      <c r="D199" s="181">
        <v>311241</v>
      </c>
      <c r="E199" s="181"/>
      <c r="F199" s="181"/>
      <c r="G199" s="1110">
        <v>311241</v>
      </c>
      <c r="H199" s="135" t="s">
        <v>1307</v>
      </c>
      <c r="I199" s="518" t="s">
        <v>365</v>
      </c>
      <c r="J199" s="294">
        <v>1.488</v>
      </c>
      <c r="K199" s="288"/>
      <c r="L199" s="289"/>
      <c r="M199" s="294">
        <v>1.3440000000000001</v>
      </c>
      <c r="N199" s="288"/>
      <c r="O199" s="289"/>
      <c r="P199" s="294">
        <v>1.488</v>
      </c>
      <c r="Q199" s="288"/>
      <c r="R199" s="289"/>
      <c r="S199" s="294">
        <v>0</v>
      </c>
      <c r="T199" s="288"/>
      <c r="U199" s="289"/>
      <c r="V199" s="294">
        <v>0</v>
      </c>
      <c r="W199" s="288"/>
      <c r="X199" s="289"/>
      <c r="Y199" s="294">
        <v>0</v>
      </c>
      <c r="Z199" s="288"/>
      <c r="AA199" s="289"/>
      <c r="AB199" s="294">
        <v>0</v>
      </c>
      <c r="AC199" s="288"/>
      <c r="AD199" s="289"/>
      <c r="AE199" s="294">
        <v>0</v>
      </c>
      <c r="AF199" s="288"/>
      <c r="AG199" s="289"/>
      <c r="AH199" s="294">
        <v>0</v>
      </c>
      <c r="AI199" s="288"/>
      <c r="AJ199" s="289"/>
      <c r="AK199" s="294">
        <v>0</v>
      </c>
      <c r="AL199" s="288"/>
      <c r="AM199" s="289"/>
      <c r="AN199" s="294">
        <v>1.44</v>
      </c>
      <c r="AO199" s="288"/>
      <c r="AP199" s="289"/>
      <c r="AQ199" s="294">
        <v>1.488</v>
      </c>
      <c r="AR199" s="288"/>
      <c r="AS199" s="289"/>
      <c r="AT199" s="294">
        <f t="shared" si="8"/>
        <v>7.2479999999999993</v>
      </c>
      <c r="AU199" s="288"/>
      <c r="AV199" s="290"/>
      <c r="AW199" s="285"/>
      <c r="AX199" s="296"/>
      <c r="AY199" s="313"/>
      <c r="AZ199" s="261"/>
      <c r="BA199" s="261"/>
      <c r="BB199" s="261"/>
      <c r="BC199" s="261"/>
    </row>
    <row r="200" spans="2:55">
      <c r="B200" s="179"/>
      <c r="C200" s="179"/>
      <c r="D200" s="181">
        <v>311246</v>
      </c>
      <c r="E200" s="181"/>
      <c r="F200" s="181"/>
      <c r="G200" s="1110">
        <v>311246</v>
      </c>
      <c r="H200" s="135" t="s">
        <v>368</v>
      </c>
      <c r="I200" s="518" t="s">
        <v>365</v>
      </c>
      <c r="J200" s="294">
        <v>8</v>
      </c>
      <c r="K200" s="288"/>
      <c r="L200" s="289"/>
      <c r="M200" s="294">
        <v>1.5</v>
      </c>
      <c r="N200" s="288"/>
      <c r="O200" s="289"/>
      <c r="P200" s="294">
        <v>6</v>
      </c>
      <c r="Q200" s="288"/>
      <c r="R200" s="289"/>
      <c r="S200" s="294">
        <v>7</v>
      </c>
      <c r="T200" s="288"/>
      <c r="U200" s="289"/>
      <c r="V200" s="294">
        <v>6</v>
      </c>
      <c r="W200" s="288"/>
      <c r="X200" s="289"/>
      <c r="Y200" s="294">
        <v>0</v>
      </c>
      <c r="Z200" s="288"/>
      <c r="AA200" s="289"/>
      <c r="AB200" s="294">
        <v>0</v>
      </c>
      <c r="AC200" s="288"/>
      <c r="AD200" s="289"/>
      <c r="AE200" s="294">
        <v>4</v>
      </c>
      <c r="AF200" s="288"/>
      <c r="AG200" s="289"/>
      <c r="AH200" s="294">
        <v>8.64</v>
      </c>
      <c r="AI200" s="288"/>
      <c r="AJ200" s="289"/>
      <c r="AK200" s="294">
        <v>8.9280000000000008</v>
      </c>
      <c r="AL200" s="288"/>
      <c r="AM200" s="289"/>
      <c r="AN200" s="294">
        <v>8.64</v>
      </c>
      <c r="AO200" s="288"/>
      <c r="AP200" s="289"/>
      <c r="AQ200" s="294">
        <v>8.9280000000000008</v>
      </c>
      <c r="AR200" s="288"/>
      <c r="AS200" s="289"/>
      <c r="AT200" s="294">
        <f t="shared" si="8"/>
        <v>67.635999999999996</v>
      </c>
      <c r="AU200" s="288"/>
      <c r="AV200" s="290"/>
      <c r="AW200" s="285"/>
      <c r="AX200" s="296"/>
      <c r="AY200" s="313"/>
      <c r="AZ200" s="261"/>
      <c r="BA200" s="261"/>
      <c r="BB200" s="261"/>
      <c r="BC200" s="261"/>
    </row>
    <row r="201" spans="2:55">
      <c r="B201" s="179"/>
      <c r="C201" s="179"/>
      <c r="D201" s="181">
        <v>311242</v>
      </c>
      <c r="E201" s="181"/>
      <c r="F201" s="181"/>
      <c r="G201" s="1110">
        <v>311246</v>
      </c>
      <c r="H201" s="135" t="s">
        <v>850</v>
      </c>
      <c r="I201" s="518" t="s">
        <v>365</v>
      </c>
      <c r="J201" s="294">
        <v>4.1440000000000001</v>
      </c>
      <c r="K201" s="288"/>
      <c r="L201" s="289"/>
      <c r="M201" s="294">
        <v>0</v>
      </c>
      <c r="N201" s="288"/>
      <c r="O201" s="289"/>
      <c r="P201" s="294">
        <v>0</v>
      </c>
      <c r="Q201" s="288"/>
      <c r="R201" s="289"/>
      <c r="S201" s="294">
        <v>0</v>
      </c>
      <c r="T201" s="288"/>
      <c r="U201" s="289"/>
      <c r="V201" s="294">
        <v>0</v>
      </c>
      <c r="W201" s="288"/>
      <c r="X201" s="289"/>
      <c r="Y201" s="294">
        <v>0</v>
      </c>
      <c r="Z201" s="288"/>
      <c r="AA201" s="289"/>
      <c r="AB201" s="294">
        <v>0</v>
      </c>
      <c r="AC201" s="288"/>
      <c r="AD201" s="289"/>
      <c r="AE201" s="294">
        <v>2.14</v>
      </c>
      <c r="AF201" s="288"/>
      <c r="AG201" s="289"/>
      <c r="AH201" s="294">
        <v>4.0110000000000001</v>
      </c>
      <c r="AI201" s="288"/>
      <c r="AJ201" s="289"/>
      <c r="AK201" s="294">
        <v>4.1449999999999996</v>
      </c>
      <c r="AL201" s="288"/>
      <c r="AM201" s="289"/>
      <c r="AN201" s="294">
        <v>4.0110000000000001</v>
      </c>
      <c r="AO201" s="288"/>
      <c r="AP201" s="289"/>
      <c r="AQ201" s="294">
        <v>4.1449999999999996</v>
      </c>
      <c r="AR201" s="288"/>
      <c r="AS201" s="289"/>
      <c r="AT201" s="294">
        <f t="shared" si="8"/>
        <v>22.596</v>
      </c>
      <c r="AU201" s="288"/>
      <c r="AV201" s="290"/>
      <c r="AW201" s="285"/>
      <c r="AX201" s="296"/>
      <c r="AY201" s="313"/>
      <c r="AZ201" s="261"/>
      <c r="BA201" s="261"/>
      <c r="BB201" s="261"/>
      <c r="BC201" s="261"/>
    </row>
    <row r="202" spans="2:55">
      <c r="B202" s="179"/>
      <c r="C202" s="179"/>
      <c r="D202" s="181">
        <v>402</v>
      </c>
      <c r="E202" s="181"/>
      <c r="F202" s="181"/>
      <c r="G202" s="1110">
        <v>402</v>
      </c>
      <c r="H202" s="135" t="s">
        <v>531</v>
      </c>
      <c r="I202" s="518" t="s">
        <v>365</v>
      </c>
      <c r="J202" s="294">
        <v>5.9</v>
      </c>
      <c r="K202" s="288"/>
      <c r="L202" s="289"/>
      <c r="M202" s="294">
        <v>1.9</v>
      </c>
      <c r="N202" s="288"/>
      <c r="O202" s="289"/>
      <c r="P202" s="294">
        <v>0.45</v>
      </c>
      <c r="Q202" s="288"/>
      <c r="R202" s="289"/>
      <c r="S202" s="294">
        <v>0.35</v>
      </c>
      <c r="T202" s="288"/>
      <c r="U202" s="289"/>
      <c r="V202" s="294">
        <v>0.23</v>
      </c>
      <c r="W202" s="288"/>
      <c r="X202" s="289"/>
      <c r="Y202" s="294">
        <v>0.2</v>
      </c>
      <c r="Z202" s="288"/>
      <c r="AA202" s="289"/>
      <c r="AB202" s="294">
        <v>0.2</v>
      </c>
      <c r="AC202" s="288"/>
      <c r="AD202" s="289"/>
      <c r="AE202" s="294">
        <v>2</v>
      </c>
      <c r="AF202" s="288"/>
      <c r="AG202" s="289"/>
      <c r="AH202" s="294">
        <v>7.66</v>
      </c>
      <c r="AI202" s="288"/>
      <c r="AJ202" s="289"/>
      <c r="AK202" s="294">
        <v>8.1839999999999993</v>
      </c>
      <c r="AL202" s="288"/>
      <c r="AM202" s="289"/>
      <c r="AN202" s="294">
        <v>7.92</v>
      </c>
      <c r="AO202" s="288"/>
      <c r="AP202" s="289"/>
      <c r="AQ202" s="294">
        <v>8.1839999999999993</v>
      </c>
      <c r="AR202" s="288"/>
      <c r="AS202" s="289"/>
      <c r="AT202" s="294">
        <f t="shared" si="8"/>
        <v>43.177999999999997</v>
      </c>
      <c r="AU202" s="288"/>
      <c r="AV202" s="290"/>
      <c r="AW202" s="285"/>
      <c r="AX202" s="296"/>
      <c r="AY202" s="313"/>
      <c r="AZ202" s="261"/>
      <c r="BA202" s="261"/>
      <c r="BB202" s="261"/>
      <c r="BC202" s="261"/>
    </row>
    <row r="203" spans="2:55" ht="18.75">
      <c r="B203" s="179"/>
      <c r="C203" s="179"/>
      <c r="D203" s="181"/>
      <c r="E203" s="181"/>
      <c r="F203" s="181"/>
      <c r="G203" s="181">
        <v>310100</v>
      </c>
      <c r="H203" s="470" t="s">
        <v>1578</v>
      </c>
      <c r="I203" s="470"/>
      <c r="J203" s="277">
        <f>J207+J252</f>
        <v>7365.9659615624996</v>
      </c>
      <c r="K203" s="275">
        <f>L203-J203</f>
        <v>3104.2506871716787</v>
      </c>
      <c r="L203" s="341">
        <f>L207+L252</f>
        <v>10470.216648734178</v>
      </c>
      <c r="M203" s="277">
        <f>M207+M252</f>
        <v>7421.6451097475001</v>
      </c>
      <c r="N203" s="275">
        <f>O203-M203</f>
        <v>2553.4702937226466</v>
      </c>
      <c r="O203" s="341">
        <f>O207+O252</f>
        <v>9975.1154034701467</v>
      </c>
      <c r="P203" s="277">
        <f>P207+P252</f>
        <v>6840.0935427200002</v>
      </c>
      <c r="Q203" s="275">
        <f>R203-P203</f>
        <v>3097.8838027986876</v>
      </c>
      <c r="R203" s="341">
        <f>R207+R252</f>
        <v>9937.9773455186878</v>
      </c>
      <c r="S203" s="277">
        <f>S207+S252</f>
        <v>5688.6802565449998</v>
      </c>
      <c r="T203" s="275">
        <f>U203-S203</f>
        <v>3037.6181020820641</v>
      </c>
      <c r="U203" s="341">
        <f>U207+U252</f>
        <v>8726.2983586270639</v>
      </c>
      <c r="V203" s="277">
        <f>V207+V252</f>
        <v>4733.691757300001</v>
      </c>
      <c r="W203" s="275">
        <f>X203-V203</f>
        <v>3213.8712959741088</v>
      </c>
      <c r="X203" s="341">
        <f>X207+X252</f>
        <v>7947.5630532741097</v>
      </c>
      <c r="Y203" s="277">
        <f>Y207+Y252</f>
        <v>4547.9427936850097</v>
      </c>
      <c r="Z203" s="275">
        <f>AA203-Y203</f>
        <v>3049.159215774187</v>
      </c>
      <c r="AA203" s="341">
        <f>AA207+AA252</f>
        <v>7597.1020094591968</v>
      </c>
      <c r="AB203" s="277">
        <f>AB207+AB252</f>
        <v>4793.0029849000002</v>
      </c>
      <c r="AC203" s="275">
        <f>AD203-AB203</f>
        <v>2892.1413415110619</v>
      </c>
      <c r="AD203" s="341">
        <f>AD207+AD252</f>
        <v>7685.1443264110621</v>
      </c>
      <c r="AE203" s="277">
        <f>AE207+AE252</f>
        <v>5044.8054972999998</v>
      </c>
      <c r="AF203" s="275">
        <f>AG203-AE203</f>
        <v>2891.7753808313209</v>
      </c>
      <c r="AG203" s="341">
        <f>AG207+AG252</f>
        <v>7936.5808781313208</v>
      </c>
      <c r="AH203" s="277">
        <f>AH207+AH252</f>
        <v>5292.3048284350007</v>
      </c>
      <c r="AI203" s="275">
        <f>AJ203-AH203</f>
        <v>2857.7644705558523</v>
      </c>
      <c r="AJ203" s="341">
        <f>AJ207+AJ252</f>
        <v>8150.069298990853</v>
      </c>
      <c r="AK203" s="277">
        <f>AK207+AK252</f>
        <v>5930.2310795499998</v>
      </c>
      <c r="AL203" s="275">
        <f>AM203-AK203</f>
        <v>3599.2963957222164</v>
      </c>
      <c r="AM203" s="341">
        <f>AM207+AM252</f>
        <v>9529.5274752722162</v>
      </c>
      <c r="AN203" s="277">
        <f>AN207+AN252</f>
        <v>6805.9972279350004</v>
      </c>
      <c r="AO203" s="275">
        <f>AP203-AN203</f>
        <v>3284.1547060125777</v>
      </c>
      <c r="AP203" s="341">
        <f>AP207+AP252</f>
        <v>10090.151933947578</v>
      </c>
      <c r="AQ203" s="277">
        <f>AQ207+AQ252</f>
        <v>7407.1795307999992</v>
      </c>
      <c r="AR203" s="275">
        <f>AS203-AQ203</f>
        <v>3563.0737373635902</v>
      </c>
      <c r="AS203" s="341">
        <f>AS207+AS252</f>
        <v>10970.253268163589</v>
      </c>
      <c r="AT203" s="277">
        <f>AT207+AT252</f>
        <v>71871.540570479992</v>
      </c>
      <c r="AU203" s="275">
        <f>AV203-AT203</f>
        <v>37144.459429520008</v>
      </c>
      <c r="AV203" s="342">
        <f>AV207+AV252</f>
        <v>109016</v>
      </c>
      <c r="AW203" s="226"/>
      <c r="AX203" s="1067">
        <v>108212.394331</v>
      </c>
      <c r="AY203" s="298">
        <f>AY207+AY252</f>
        <v>71443.717369999998</v>
      </c>
      <c r="AZ203" s="261"/>
      <c r="BA203" s="261"/>
      <c r="BB203" s="261"/>
      <c r="BC203" s="261"/>
    </row>
    <row r="204" spans="2:55">
      <c r="B204" s="179"/>
      <c r="C204" s="179"/>
      <c r="D204" s="181"/>
      <c r="E204" s="181"/>
      <c r="F204" s="181"/>
      <c r="G204" s="181"/>
      <c r="H204" s="10" t="s">
        <v>173</v>
      </c>
      <c r="I204" s="10"/>
      <c r="J204" s="223">
        <f>J208+J253</f>
        <v>7146.8875599999992</v>
      </c>
      <c r="K204" s="271"/>
      <c r="L204" s="224"/>
      <c r="M204" s="223">
        <f>M208+M253</f>
        <v>7220.6552799999999</v>
      </c>
      <c r="N204" s="271"/>
      <c r="O204" s="224"/>
      <c r="P204" s="223">
        <f>P208+P253</f>
        <v>6627.8552</v>
      </c>
      <c r="Q204" s="271"/>
      <c r="R204" s="224"/>
      <c r="S204" s="223">
        <f>S208+S253</f>
        <v>5485.0280000000002</v>
      </c>
      <c r="T204" s="271"/>
      <c r="U204" s="224"/>
      <c r="V204" s="223">
        <f>V208+V253</f>
        <v>4543.551832000001</v>
      </c>
      <c r="W204" s="271"/>
      <c r="X204" s="224"/>
      <c r="Y204" s="223">
        <f>Y208+Y253</f>
        <v>4368.9809600000099</v>
      </c>
      <c r="Z204" s="271"/>
      <c r="AA204" s="224"/>
      <c r="AB204" s="223">
        <f>AB208+AB253</f>
        <v>4586.8576320000002</v>
      </c>
      <c r="AC204" s="271"/>
      <c r="AD204" s="224"/>
      <c r="AE204" s="223">
        <f>AE208+AE253</f>
        <v>4875.0979479999996</v>
      </c>
      <c r="AF204" s="271"/>
      <c r="AG204" s="224"/>
      <c r="AH204" s="223">
        <f>AH208+AH253</f>
        <v>5093.2883600000005</v>
      </c>
      <c r="AI204" s="271"/>
      <c r="AJ204" s="224"/>
      <c r="AK204" s="223">
        <f>AK208+AK253</f>
        <v>5718.2335759999996</v>
      </c>
      <c r="AL204" s="271"/>
      <c r="AM204" s="224"/>
      <c r="AN204" s="223">
        <f>AN208+AN253</f>
        <v>6593.4216800000004</v>
      </c>
      <c r="AO204" s="271"/>
      <c r="AP204" s="224"/>
      <c r="AQ204" s="223">
        <f>AQ208+AQ253</f>
        <v>7185.0497599999999</v>
      </c>
      <c r="AR204" s="271"/>
      <c r="AS204" s="224"/>
      <c r="AT204" s="223">
        <f>AT208+AT253</f>
        <v>69444.907788000011</v>
      </c>
      <c r="AU204" s="271"/>
      <c r="AV204" s="229"/>
      <c r="AW204" s="226"/>
      <c r="AX204" s="230"/>
      <c r="AY204" s="231">
        <f>AY208+AY253</f>
        <v>68939.499668000004</v>
      </c>
      <c r="AZ204" s="261"/>
      <c r="BA204" s="261"/>
      <c r="BB204" s="261"/>
      <c r="BC204" s="261"/>
    </row>
    <row r="205" spans="2:55">
      <c r="B205" s="179"/>
      <c r="C205" s="179"/>
      <c r="D205" s="181"/>
      <c r="E205" s="181"/>
      <c r="F205" s="181"/>
      <c r="G205" s="181"/>
      <c r="H205" s="10" t="s">
        <v>177</v>
      </c>
      <c r="I205" s="10"/>
      <c r="J205" s="223">
        <f>J254</f>
        <v>178.82982799999999</v>
      </c>
      <c r="K205" s="271"/>
      <c r="L205" s="224"/>
      <c r="M205" s="223">
        <f>M254</f>
        <v>164.091003</v>
      </c>
      <c r="N205" s="271"/>
      <c r="O205" s="224"/>
      <c r="P205" s="223">
        <f>P254</f>
        <v>174.26915299999999</v>
      </c>
      <c r="Q205" s="271"/>
      <c r="R205" s="224"/>
      <c r="S205" s="223">
        <f>S254</f>
        <v>169.13423</v>
      </c>
      <c r="T205" s="271"/>
      <c r="U205" s="224"/>
      <c r="V205" s="223">
        <f>V254</f>
        <v>158.73238599999999</v>
      </c>
      <c r="W205" s="271"/>
      <c r="X205" s="224"/>
      <c r="Y205" s="223">
        <f>Y254</f>
        <v>147.48983999999999</v>
      </c>
      <c r="Z205" s="271"/>
      <c r="AA205" s="224"/>
      <c r="AB205" s="223">
        <f>AB254</f>
        <v>177.230728</v>
      </c>
      <c r="AC205" s="271"/>
      <c r="AD205" s="224"/>
      <c r="AE205" s="223">
        <f>AE254</f>
        <v>139.07386</v>
      </c>
      <c r="AF205" s="271"/>
      <c r="AG205" s="224"/>
      <c r="AH205" s="223">
        <f>AH254</f>
        <v>167.87289999999999</v>
      </c>
      <c r="AI205" s="271"/>
      <c r="AJ205" s="224"/>
      <c r="AK205" s="223">
        <f>AK254</f>
        <v>179.45299</v>
      </c>
      <c r="AL205" s="271"/>
      <c r="AM205" s="224"/>
      <c r="AN205" s="223">
        <f>AN254</f>
        <v>176.58179999999999</v>
      </c>
      <c r="AO205" s="271"/>
      <c r="AP205" s="224"/>
      <c r="AQ205" s="223">
        <f>AQ254</f>
        <v>182.50074799999999</v>
      </c>
      <c r="AR205" s="271"/>
      <c r="AS205" s="224"/>
      <c r="AT205" s="223">
        <f>AT254</f>
        <v>2015.259466</v>
      </c>
      <c r="AU205" s="271"/>
      <c r="AV205" s="229"/>
      <c r="AW205" s="226"/>
      <c r="AX205" s="230"/>
      <c r="AY205" s="231">
        <f>AY254</f>
        <v>2080.2086549999999</v>
      </c>
      <c r="AZ205" s="261"/>
      <c r="BA205" s="261"/>
      <c r="BB205" s="261"/>
      <c r="BC205" s="261"/>
    </row>
    <row r="206" spans="2:55">
      <c r="B206" s="179"/>
      <c r="C206" s="179"/>
      <c r="D206" s="181"/>
      <c r="E206" s="181"/>
      <c r="F206" s="181"/>
      <c r="G206" s="181"/>
      <c r="H206" s="10" t="s">
        <v>99</v>
      </c>
      <c r="I206" s="10"/>
      <c r="J206" s="223">
        <f>J209+J255</f>
        <v>40.248573562499999</v>
      </c>
      <c r="K206" s="271"/>
      <c r="L206" s="224"/>
      <c r="M206" s="223">
        <f>M209+M255</f>
        <v>36.898826747499996</v>
      </c>
      <c r="N206" s="271"/>
      <c r="O206" s="224"/>
      <c r="P206" s="223">
        <f>P209+P255</f>
        <v>37.969189720000003</v>
      </c>
      <c r="Q206" s="271"/>
      <c r="R206" s="224"/>
      <c r="S206" s="223">
        <f>S209+S255</f>
        <v>34.518026544999998</v>
      </c>
      <c r="T206" s="271"/>
      <c r="U206" s="224"/>
      <c r="V206" s="223">
        <f>V209+V255</f>
        <v>31.407539300000003</v>
      </c>
      <c r="W206" s="271"/>
      <c r="X206" s="224"/>
      <c r="Y206" s="223">
        <f>Y209+Y255</f>
        <v>31.471993685000001</v>
      </c>
      <c r="Z206" s="271"/>
      <c r="AA206" s="224"/>
      <c r="AB206" s="223">
        <f>AB209+AB255</f>
        <v>28.914624900000003</v>
      </c>
      <c r="AC206" s="271"/>
      <c r="AD206" s="224"/>
      <c r="AE206" s="223">
        <f>AE209+AE255</f>
        <v>30.6336893</v>
      </c>
      <c r="AF206" s="271"/>
      <c r="AG206" s="224"/>
      <c r="AH206" s="223">
        <f>AH209+AH255</f>
        <v>31.143568434999999</v>
      </c>
      <c r="AI206" s="271"/>
      <c r="AJ206" s="224"/>
      <c r="AK206" s="223">
        <f>AK209+AK255</f>
        <v>32.544513550000005</v>
      </c>
      <c r="AL206" s="271"/>
      <c r="AM206" s="224"/>
      <c r="AN206" s="223">
        <f>AN209+AN255</f>
        <v>35.993747935000002</v>
      </c>
      <c r="AO206" s="271"/>
      <c r="AP206" s="224"/>
      <c r="AQ206" s="223">
        <f>AQ209+AQ255</f>
        <v>39.629022800000001</v>
      </c>
      <c r="AR206" s="271"/>
      <c r="AS206" s="224"/>
      <c r="AT206" s="223">
        <f>AT209+AT255</f>
        <v>411.37331648000003</v>
      </c>
      <c r="AU206" s="271"/>
      <c r="AV206" s="229"/>
      <c r="AW206" s="226"/>
      <c r="AX206" s="230"/>
      <c r="AY206" s="231">
        <f>AY209+AY255</f>
        <v>424.00904700000001</v>
      </c>
      <c r="AZ206" s="261"/>
      <c r="BA206" s="261"/>
      <c r="BB206" s="261"/>
      <c r="BC206" s="261"/>
    </row>
    <row r="207" spans="2:55">
      <c r="B207" s="179"/>
      <c r="C207" s="179"/>
      <c r="D207" s="181"/>
      <c r="E207" s="181"/>
      <c r="F207" s="181"/>
      <c r="G207" s="181"/>
      <c r="H207" s="108" t="s">
        <v>178</v>
      </c>
      <c r="I207" s="108"/>
      <c r="J207" s="277">
        <f>SUM(J208:J209)</f>
        <v>5521.1961599999995</v>
      </c>
      <c r="K207" s="275"/>
      <c r="L207" s="276">
        <f>Потребление!D20</f>
        <v>5031.1509491134739</v>
      </c>
      <c r="M207" s="274">
        <f>SUM(M208:M209)</f>
        <v>5498.3028800000002</v>
      </c>
      <c r="N207" s="275"/>
      <c r="O207" s="276">
        <f>Потребление!E20</f>
        <v>4799.6018429643973</v>
      </c>
      <c r="P207" s="274">
        <f>SUM(P208:P209)</f>
        <v>5170.0940000000001</v>
      </c>
      <c r="Q207" s="275"/>
      <c r="R207" s="276">
        <f>Потребление!F20</f>
        <v>4825.8801389741675</v>
      </c>
      <c r="S207" s="274">
        <f>SUM(S208:S209)</f>
        <v>4070.1902</v>
      </c>
      <c r="T207" s="275"/>
      <c r="U207" s="276">
        <f>Потребление!G20</f>
        <v>4283.2229947870992</v>
      </c>
      <c r="V207" s="274">
        <f>SUM(V208:V209)</f>
        <v>3233.7907999999998</v>
      </c>
      <c r="W207" s="275"/>
      <c r="X207" s="276">
        <f>Потребление!H20</f>
        <v>3930.860789541854</v>
      </c>
      <c r="Y207" s="274">
        <f>SUM(Y208:Y209)</f>
        <v>3095.2940000000003</v>
      </c>
      <c r="Z207" s="275"/>
      <c r="AA207" s="276">
        <f>Потребление!I20</f>
        <v>3775.7518172353693</v>
      </c>
      <c r="AB207" s="274">
        <f>SUM(AB208:AB209)</f>
        <v>3383.5084000000002</v>
      </c>
      <c r="AC207" s="275"/>
      <c r="AD207" s="276">
        <f>Потребление!J20</f>
        <v>3829.0938068632513</v>
      </c>
      <c r="AE207" s="274">
        <f>SUM(AE208:AE209)</f>
        <v>3407.2216159999998</v>
      </c>
      <c r="AF207" s="275"/>
      <c r="AG207" s="276">
        <f>Потребление!K20</f>
        <v>4041.6971852904467</v>
      </c>
      <c r="AH207" s="274">
        <f>SUM(AH208:AH209)</f>
        <v>3655.6584000000003</v>
      </c>
      <c r="AI207" s="275"/>
      <c r="AJ207" s="276">
        <f>Потребление!L20</f>
        <v>4066.8090535553433</v>
      </c>
      <c r="AK207" s="274">
        <f>SUM(AK208:AK209)</f>
        <v>4259.9895999999999</v>
      </c>
      <c r="AL207" s="275"/>
      <c r="AM207" s="276">
        <f>Потребление!M20</f>
        <v>4650.2269910181185</v>
      </c>
      <c r="AN207" s="274">
        <f>SUM(AN208:AN209)</f>
        <v>5175.6390000000001</v>
      </c>
      <c r="AO207" s="275"/>
      <c r="AP207" s="276">
        <f>Потребление!N20</f>
        <v>4928.3984659505804</v>
      </c>
      <c r="AQ207" s="274">
        <f>SUM(AQ208:AQ209)</f>
        <v>5543.5939599999992</v>
      </c>
      <c r="AR207" s="275"/>
      <c r="AS207" s="276">
        <f>Потребление!O20</f>
        <v>5465.8625424747606</v>
      </c>
      <c r="AT207" s="274">
        <f>SUM(AT208:AT209)</f>
        <v>52014.47901599999</v>
      </c>
      <c r="AU207" s="275"/>
      <c r="AV207" s="278">
        <f>L207+O207+R207+U207+X207+AA207+AD207+AG207+AJ207+AM207+AP207+AS207</f>
        <v>53628.556577768861</v>
      </c>
      <c r="AW207" s="279"/>
      <c r="AX207" s="280"/>
      <c r="AY207" s="298">
        <f>AY208+AY209</f>
        <v>51493.682542000002</v>
      </c>
      <c r="AZ207" s="261"/>
      <c r="BA207" s="261"/>
      <c r="BB207" s="261"/>
      <c r="BC207" s="261"/>
    </row>
    <row r="208" spans="2:55">
      <c r="B208" s="179"/>
      <c r="C208" s="179"/>
      <c r="D208" s="181"/>
      <c r="E208" s="181"/>
      <c r="F208" s="181"/>
      <c r="G208" s="181"/>
      <c r="H208" s="10" t="s">
        <v>173</v>
      </c>
      <c r="I208" s="10"/>
      <c r="J208" s="223">
        <f>J210+J211+J212+J215+J216+J219+J222+J225+J228+J231+J232+SUM(J235:J238)+J241+J242+J243</f>
        <v>5499.2661599999992</v>
      </c>
      <c r="K208" s="271"/>
      <c r="L208" s="224"/>
      <c r="M208" s="270">
        <f>M210+M211+M212+M215+M216+M219+M222+M225+M228+M231+M232+SUM(M235:M238)+M241+M242+M243</f>
        <v>5476.9228800000001</v>
      </c>
      <c r="N208" s="271"/>
      <c r="O208" s="224"/>
      <c r="P208" s="270">
        <f>P210+P211+P212+P215+P216+P219+P222+P225+P228+P231+P232+SUM(P235:P238)+P241+P242+P243</f>
        <v>5147.3540000000003</v>
      </c>
      <c r="Q208" s="271"/>
      <c r="R208" s="224"/>
      <c r="S208" s="270">
        <f>S210+S211+S212+S215+S216+S219+S222+S225+S228+S231+S232+SUM(S235:S238)+S241+S242+S243</f>
        <v>4048.8602000000001</v>
      </c>
      <c r="T208" s="271"/>
      <c r="U208" s="224"/>
      <c r="V208" s="270">
        <f>V210+V211+V212+V215+V216+V219+V222+V225+V228+V231+V232+SUM(V235:V238)+V241+V242+V243</f>
        <v>3212.4007999999999</v>
      </c>
      <c r="W208" s="271"/>
      <c r="X208" s="224"/>
      <c r="Y208" s="270">
        <f>Y210+Y211+Y212+Y215+Y216+Y219+Y222+Y225+Y228+Y231+Y232+SUM(Y235:Y238)+Y241+Y242+Y243</f>
        <v>3073.5640000000003</v>
      </c>
      <c r="Z208" s="271"/>
      <c r="AA208" s="224"/>
      <c r="AB208" s="270">
        <f>AB210+AB211+AB212+AB215+AB216+AB219+AB222+AB225+AB228+AB231+AB232+SUM(AB235:AB238)+AB241+AB242+AB243</f>
        <v>3361.9084000000003</v>
      </c>
      <c r="AC208" s="271"/>
      <c r="AD208" s="224"/>
      <c r="AE208" s="270">
        <f>AE210+AE211+AE212+AE215+AE216+AE219+AE222+AE225+AE228+AE231+AE232+SUM(AE235:AE238)+AE241+AE242+AE243</f>
        <v>3386.7216159999998</v>
      </c>
      <c r="AF208" s="271"/>
      <c r="AG208" s="224"/>
      <c r="AH208" s="270">
        <f>AH210+AH211+AH212+AH215+AH216+AH219+AH222+AH225+AH228+AH231+AH232+SUM(AH235:AH238)+AH241+AH242+AH243</f>
        <v>3634.6584000000003</v>
      </c>
      <c r="AI208" s="271"/>
      <c r="AJ208" s="224"/>
      <c r="AK208" s="270">
        <f>AK210+AK211+AK212+AK215+AK216+AK219+AK222+AK225+AK228+AK231+AK232+SUM(AK235:AK238)+AK241+AK242+AK243</f>
        <v>4238.8895999999995</v>
      </c>
      <c r="AL208" s="271"/>
      <c r="AM208" s="224"/>
      <c r="AN208" s="270">
        <f>AN210+AN211+AN212+AN215+AN216+AN219+AN222+AN225+AN228+AN231+AN232+SUM(AN235:AN238)+AN241+AN242+AN243</f>
        <v>5155.5690000000004</v>
      </c>
      <c r="AO208" s="271"/>
      <c r="AP208" s="224"/>
      <c r="AQ208" s="270">
        <f>AQ210+AQ211+AQ212+AQ215+AQ216+AQ219+AQ222+AQ225+AQ228+AQ231+AQ232+SUM(AQ235:AQ238)+AQ241+AQ242+AQ243</f>
        <v>5522.0239599999995</v>
      </c>
      <c r="AR208" s="271"/>
      <c r="AS208" s="224"/>
      <c r="AT208" s="270">
        <f>AT210+AT211+AT212+AT215+AT216+AT219+AT222+AT225+AT228+AT231+AT232+SUM(AT235:AT238)+AT241+AT242+AT243</f>
        <v>51758.139015999994</v>
      </c>
      <c r="AU208" s="271"/>
      <c r="AV208" s="229"/>
      <c r="AW208" s="226"/>
      <c r="AX208" s="230"/>
      <c r="AY208" s="231">
        <f>AY210+AY211+AY212+AY215+AY216+AY219+AY222+AY225+AY228+AY231+AY232+SUM(AY235:AY238)+AY241+AY242+AY243</f>
        <v>51069.673495000003</v>
      </c>
      <c r="AZ208" s="261"/>
      <c r="BA208" s="261"/>
      <c r="BB208" s="261"/>
      <c r="BC208" s="261"/>
    </row>
    <row r="209" spans="2:55">
      <c r="B209" s="179"/>
      <c r="C209" s="179"/>
      <c r="D209" s="181"/>
      <c r="E209" s="181"/>
      <c r="F209" s="181"/>
      <c r="G209" s="181"/>
      <c r="H209" s="10" t="s">
        <v>99</v>
      </c>
      <c r="I209" s="10"/>
      <c r="J209" s="223">
        <f>J244</f>
        <v>21.93</v>
      </c>
      <c r="K209" s="271"/>
      <c r="L209" s="224"/>
      <c r="M209" s="270">
        <f>M244</f>
        <v>21.380000000000003</v>
      </c>
      <c r="N209" s="271"/>
      <c r="O209" s="224"/>
      <c r="P209" s="270">
        <f>P244</f>
        <v>22.740000000000002</v>
      </c>
      <c r="Q209" s="271"/>
      <c r="R209" s="224"/>
      <c r="S209" s="270">
        <f>S244</f>
        <v>21.33</v>
      </c>
      <c r="T209" s="271"/>
      <c r="U209" s="224"/>
      <c r="V209" s="270">
        <f>V244</f>
        <v>21.39</v>
      </c>
      <c r="W209" s="271"/>
      <c r="X209" s="224"/>
      <c r="Y209" s="270">
        <f>Y244</f>
        <v>21.73</v>
      </c>
      <c r="Z209" s="271"/>
      <c r="AA209" s="224"/>
      <c r="AB209" s="270">
        <f>AB244</f>
        <v>21.6</v>
      </c>
      <c r="AC209" s="271"/>
      <c r="AD209" s="224"/>
      <c r="AE209" s="270">
        <f>AE244</f>
        <v>20.5</v>
      </c>
      <c r="AF209" s="271"/>
      <c r="AG209" s="224"/>
      <c r="AH209" s="270">
        <f>AH244</f>
        <v>21</v>
      </c>
      <c r="AI209" s="271"/>
      <c r="AJ209" s="224"/>
      <c r="AK209" s="270">
        <f>AK244</f>
        <v>21.1</v>
      </c>
      <c r="AL209" s="271"/>
      <c r="AM209" s="224"/>
      <c r="AN209" s="270">
        <f>AN244</f>
        <v>20.07</v>
      </c>
      <c r="AO209" s="271"/>
      <c r="AP209" s="224"/>
      <c r="AQ209" s="270">
        <f>AQ244</f>
        <v>21.57</v>
      </c>
      <c r="AR209" s="271"/>
      <c r="AS209" s="224"/>
      <c r="AT209" s="270">
        <f>AT244</f>
        <v>256.34000000000003</v>
      </c>
      <c r="AU209" s="271"/>
      <c r="AV209" s="229"/>
      <c r="AW209" s="226"/>
      <c r="AX209" s="230"/>
      <c r="AY209" s="231">
        <f>AY244</f>
        <v>424.00904700000001</v>
      </c>
      <c r="AZ209" s="261"/>
      <c r="BA209" s="261"/>
      <c r="BB209" s="261"/>
      <c r="BC209" s="261"/>
    </row>
    <row r="210" spans="2:55">
      <c r="B210" s="179"/>
      <c r="C210" s="179"/>
      <c r="D210" s="181"/>
      <c r="E210" s="181"/>
      <c r="F210" s="181"/>
      <c r="G210" s="1110">
        <v>310123</v>
      </c>
      <c r="H210" s="123" t="s">
        <v>547</v>
      </c>
      <c r="I210" s="516" t="s">
        <v>364</v>
      </c>
      <c r="J210" s="244">
        <v>30.4</v>
      </c>
      <c r="K210" s="246"/>
      <c r="L210" s="282"/>
      <c r="M210" s="244">
        <v>27.552</v>
      </c>
      <c r="N210" s="246"/>
      <c r="O210" s="282"/>
      <c r="P210" s="244">
        <v>24.3</v>
      </c>
      <c r="Q210" s="246"/>
      <c r="R210" s="282"/>
      <c r="S210" s="244">
        <v>23.2</v>
      </c>
      <c r="T210" s="246"/>
      <c r="U210" s="282"/>
      <c r="V210" s="244">
        <v>11.8</v>
      </c>
      <c r="W210" s="246"/>
      <c r="X210" s="282"/>
      <c r="Y210" s="244">
        <v>10.7</v>
      </c>
      <c r="Z210" s="246"/>
      <c r="AA210" s="282"/>
      <c r="AB210" s="244">
        <v>0</v>
      </c>
      <c r="AC210" s="246"/>
      <c r="AD210" s="282"/>
      <c r="AE210" s="244">
        <v>2.6</v>
      </c>
      <c r="AF210" s="246"/>
      <c r="AG210" s="282"/>
      <c r="AH210" s="244">
        <v>10.7</v>
      </c>
      <c r="AI210" s="246"/>
      <c r="AJ210" s="282"/>
      <c r="AK210" s="244">
        <v>23</v>
      </c>
      <c r="AL210" s="246"/>
      <c r="AM210" s="282"/>
      <c r="AN210" s="244">
        <v>27.3</v>
      </c>
      <c r="AO210" s="246"/>
      <c r="AP210" s="282"/>
      <c r="AQ210" s="244">
        <v>31.2</v>
      </c>
      <c r="AR210" s="283"/>
      <c r="AS210" s="299"/>
      <c r="AT210" s="244">
        <f t="shared" ref="AT210:AT251" si="9">J210+M210+P210+S210+V210+Y210+AB210+AE210+AH210+AK210+AN210+AQ210</f>
        <v>222.75199999999998</v>
      </c>
      <c r="AU210" s="283"/>
      <c r="AV210" s="284"/>
      <c r="AW210" s="285"/>
      <c r="AX210" s="321"/>
      <c r="AY210" s="435">
        <v>229.40562199999999</v>
      </c>
      <c r="AZ210" s="261"/>
      <c r="BA210" s="261"/>
      <c r="BB210" s="261"/>
      <c r="BC210" s="261"/>
    </row>
    <row r="211" spans="2:55">
      <c r="B211" s="179"/>
      <c r="C211" s="179"/>
      <c r="D211" s="181"/>
      <c r="E211" s="181"/>
      <c r="F211" s="181"/>
      <c r="G211" s="1110">
        <v>310119</v>
      </c>
      <c r="H211" s="123" t="s">
        <v>548</v>
      </c>
      <c r="I211" s="516" t="s">
        <v>364</v>
      </c>
      <c r="J211" s="244">
        <v>232.12799999999999</v>
      </c>
      <c r="K211" s="246"/>
      <c r="L211" s="282"/>
      <c r="M211" s="244">
        <v>214</v>
      </c>
      <c r="N211" s="246"/>
      <c r="O211" s="282"/>
      <c r="P211" s="244">
        <v>203</v>
      </c>
      <c r="Q211" s="246"/>
      <c r="R211" s="282"/>
      <c r="S211" s="320">
        <f>184-30</f>
        <v>154</v>
      </c>
      <c r="T211" s="246"/>
      <c r="U211" s="282"/>
      <c r="V211" s="320">
        <f>146-20</f>
        <v>126</v>
      </c>
      <c r="W211" s="246"/>
      <c r="X211" s="282"/>
      <c r="Y211" s="244">
        <v>97.2</v>
      </c>
      <c r="Z211" s="246"/>
      <c r="AA211" s="282"/>
      <c r="AB211" s="244">
        <v>110</v>
      </c>
      <c r="AC211" s="246"/>
      <c r="AD211" s="282"/>
      <c r="AE211" s="244">
        <v>124</v>
      </c>
      <c r="AF211" s="246"/>
      <c r="AG211" s="282"/>
      <c r="AH211" s="244">
        <v>133</v>
      </c>
      <c r="AI211" s="246"/>
      <c r="AJ211" s="282"/>
      <c r="AK211" s="244">
        <v>156.24</v>
      </c>
      <c r="AL211" s="246"/>
      <c r="AM211" s="282"/>
      <c r="AN211" s="320">
        <f>207-10</f>
        <v>197</v>
      </c>
      <c r="AO211" s="246"/>
      <c r="AP211" s="282"/>
      <c r="AQ211" s="320">
        <f>226-6</f>
        <v>220</v>
      </c>
      <c r="AR211" s="283"/>
      <c r="AS211" s="299"/>
      <c r="AT211" s="244">
        <f t="shared" si="9"/>
        <v>1966.568</v>
      </c>
      <c r="AU211" s="283"/>
      <c r="AV211" s="284"/>
      <c r="AW211" s="285"/>
      <c r="AX211" s="321"/>
      <c r="AY211" s="435">
        <v>2060.276132</v>
      </c>
      <c r="AZ211" s="261"/>
      <c r="BA211" s="261"/>
      <c r="BB211" s="261"/>
      <c r="BC211" s="261"/>
    </row>
    <row r="212" spans="2:55">
      <c r="B212" s="179"/>
      <c r="C212" s="179"/>
      <c r="D212" s="181"/>
      <c r="E212" s="181"/>
      <c r="F212" s="181"/>
      <c r="G212" s="1110">
        <v>310118</v>
      </c>
      <c r="H212" s="137" t="s">
        <v>549</v>
      </c>
      <c r="I212" s="516" t="s">
        <v>364</v>
      </c>
      <c r="J212" s="238">
        <f>SUM(J213:J214)</f>
        <v>154.08240000000001</v>
      </c>
      <c r="K212" s="283"/>
      <c r="L212" s="299"/>
      <c r="M212" s="314">
        <f>SUM(M213:M214)</f>
        <v>140.88</v>
      </c>
      <c r="N212" s="283"/>
      <c r="O212" s="299"/>
      <c r="P212" s="314">
        <f>SUM(P213:P214)</f>
        <v>131.76240000000001</v>
      </c>
      <c r="Q212" s="283"/>
      <c r="R212" s="299"/>
      <c r="S212" s="314">
        <f>SUM(S213:S214)</f>
        <v>92.311999999999998</v>
      </c>
      <c r="T212" s="283"/>
      <c r="U212" s="299"/>
      <c r="V212" s="314">
        <f>SUM(V213:V214)</f>
        <v>113.16240000000001</v>
      </c>
      <c r="W212" s="283"/>
      <c r="X212" s="299"/>
      <c r="Y212" s="314">
        <f>SUM(Y213:Y214)</f>
        <v>109.512</v>
      </c>
      <c r="Z212" s="283"/>
      <c r="AA212" s="299"/>
      <c r="AB212" s="314">
        <f>SUM(AB213:AB214)</f>
        <v>113.16240000000001</v>
      </c>
      <c r="AC212" s="283"/>
      <c r="AD212" s="299"/>
      <c r="AE212" s="314">
        <f>SUM(AE213:AE214)</f>
        <v>102.954616</v>
      </c>
      <c r="AF212" s="283"/>
      <c r="AG212" s="299"/>
      <c r="AH212" s="314">
        <f>SUM(AH213:AH214)</f>
        <v>109.512</v>
      </c>
      <c r="AI212" s="283"/>
      <c r="AJ212" s="299"/>
      <c r="AK212" s="314">
        <f>SUM(AK213:AK214)</f>
        <v>109.3224</v>
      </c>
      <c r="AL212" s="283"/>
      <c r="AM212" s="299"/>
      <c r="AN212" s="314">
        <f>SUM(AN213:AN214)</f>
        <v>113</v>
      </c>
      <c r="AO212" s="283"/>
      <c r="AP212" s="299"/>
      <c r="AQ212" s="314">
        <f>SUM(AQ213:AQ214)</f>
        <v>139.04000000000002</v>
      </c>
      <c r="AR212" s="283"/>
      <c r="AS212" s="299"/>
      <c r="AT212" s="317">
        <f>SUM(AT213:AT214)</f>
        <v>1428.7026160000003</v>
      </c>
      <c r="AU212" s="283"/>
      <c r="AV212" s="284"/>
      <c r="AW212" s="285"/>
      <c r="AX212" s="321"/>
      <c r="AY212" s="888">
        <v>1054.0110709999999</v>
      </c>
      <c r="AZ212" s="261"/>
      <c r="BA212" s="261"/>
      <c r="BB212" s="261"/>
      <c r="BC212" s="261"/>
    </row>
    <row r="213" spans="2:55">
      <c r="B213" s="179"/>
      <c r="C213" s="179"/>
      <c r="D213" s="181"/>
      <c r="E213" s="181"/>
      <c r="F213" s="181"/>
      <c r="G213" s="1110"/>
      <c r="H213" s="123" t="s">
        <v>552</v>
      </c>
      <c r="I213" s="123"/>
      <c r="J213" s="244">
        <v>122.76</v>
      </c>
      <c r="K213" s="246"/>
      <c r="L213" s="282"/>
      <c r="M213" s="244">
        <v>110.88</v>
      </c>
      <c r="N213" s="246"/>
      <c r="O213" s="282"/>
      <c r="P213" s="244">
        <v>100.44</v>
      </c>
      <c r="Q213" s="246"/>
      <c r="R213" s="282"/>
      <c r="S213" s="320">
        <f>72-10</f>
        <v>62</v>
      </c>
      <c r="T213" s="246"/>
      <c r="U213" s="282"/>
      <c r="V213" s="244">
        <v>81.84</v>
      </c>
      <c r="W213" s="246"/>
      <c r="X213" s="282"/>
      <c r="Y213" s="244">
        <v>79.2</v>
      </c>
      <c r="Z213" s="246"/>
      <c r="AA213" s="282"/>
      <c r="AB213" s="244">
        <v>81.84</v>
      </c>
      <c r="AC213" s="246"/>
      <c r="AD213" s="282"/>
      <c r="AE213" s="244">
        <v>81.84</v>
      </c>
      <c r="AF213" s="246"/>
      <c r="AG213" s="282"/>
      <c r="AH213" s="244">
        <v>79.2</v>
      </c>
      <c r="AI213" s="246"/>
      <c r="AJ213" s="282"/>
      <c r="AK213" s="320">
        <f>88-10</f>
        <v>78</v>
      </c>
      <c r="AL213" s="246"/>
      <c r="AM213" s="282"/>
      <c r="AN213" s="320">
        <f>105-10</f>
        <v>95</v>
      </c>
      <c r="AO213" s="246"/>
      <c r="AP213" s="282"/>
      <c r="AQ213" s="244">
        <v>119.04</v>
      </c>
      <c r="AR213" s="283"/>
      <c r="AS213" s="299"/>
      <c r="AT213" s="244">
        <f t="shared" si="9"/>
        <v>1092.0400000000002</v>
      </c>
      <c r="AU213" s="283"/>
      <c r="AV213" s="284"/>
      <c r="AW213" s="285"/>
      <c r="AX213" s="321"/>
      <c r="AY213" s="300"/>
      <c r="AZ213" s="261"/>
      <c r="BA213" s="261"/>
      <c r="BB213" s="261"/>
      <c r="BC213" s="261"/>
    </row>
    <row r="214" spans="2:55">
      <c r="B214" s="179"/>
      <c r="C214" s="179"/>
      <c r="D214" s="181"/>
      <c r="E214" s="181"/>
      <c r="F214" s="181"/>
      <c r="G214" s="1110"/>
      <c r="H214" s="123" t="s">
        <v>550</v>
      </c>
      <c r="I214" s="123"/>
      <c r="J214" s="244">
        <v>31.322400000000002</v>
      </c>
      <c r="K214" s="246"/>
      <c r="L214" s="282"/>
      <c r="M214" s="244">
        <v>30</v>
      </c>
      <c r="N214" s="246"/>
      <c r="O214" s="282"/>
      <c r="P214" s="244">
        <v>31.322400000000002</v>
      </c>
      <c r="Q214" s="246"/>
      <c r="R214" s="282"/>
      <c r="S214" s="244">
        <v>30.312000000000001</v>
      </c>
      <c r="T214" s="246"/>
      <c r="U214" s="282"/>
      <c r="V214" s="244">
        <v>31.322400000000002</v>
      </c>
      <c r="W214" s="246"/>
      <c r="X214" s="282"/>
      <c r="Y214" s="244">
        <v>30.312000000000001</v>
      </c>
      <c r="Z214" s="246"/>
      <c r="AA214" s="282"/>
      <c r="AB214" s="244">
        <v>31.322400000000002</v>
      </c>
      <c r="AC214" s="246"/>
      <c r="AD214" s="282"/>
      <c r="AE214" s="345">
        <f>11.114616+10</f>
        <v>21.114615999999998</v>
      </c>
      <c r="AF214" s="246"/>
      <c r="AG214" s="282"/>
      <c r="AH214" s="244">
        <v>30.312000000000001</v>
      </c>
      <c r="AI214" s="246"/>
      <c r="AJ214" s="282"/>
      <c r="AK214" s="244">
        <v>31.322400000000002</v>
      </c>
      <c r="AL214" s="246"/>
      <c r="AM214" s="282"/>
      <c r="AN214" s="244">
        <v>18</v>
      </c>
      <c r="AO214" s="246"/>
      <c r="AP214" s="282"/>
      <c r="AQ214" s="244">
        <v>20</v>
      </c>
      <c r="AR214" s="283"/>
      <c r="AS214" s="299"/>
      <c r="AT214" s="244">
        <f t="shared" si="9"/>
        <v>336.66261600000007</v>
      </c>
      <c r="AU214" s="283"/>
      <c r="AV214" s="284"/>
      <c r="AW214" s="285"/>
      <c r="AX214" s="321"/>
      <c r="AY214" s="300"/>
      <c r="AZ214" s="261"/>
      <c r="BA214" s="261"/>
      <c r="BB214" s="261"/>
      <c r="BC214" s="261"/>
    </row>
    <row r="215" spans="2:55">
      <c r="B215" s="179"/>
      <c r="C215" s="179"/>
      <c r="D215" s="181"/>
      <c r="E215" s="181"/>
      <c r="F215" s="181"/>
      <c r="G215" s="1110">
        <v>310117</v>
      </c>
      <c r="H215" s="123" t="s">
        <v>551</v>
      </c>
      <c r="I215" s="516" t="s">
        <v>364</v>
      </c>
      <c r="J215" s="320">
        <f>185-10</f>
        <v>175</v>
      </c>
      <c r="K215" s="246"/>
      <c r="L215" s="282"/>
      <c r="M215" s="244">
        <v>174</v>
      </c>
      <c r="N215" s="246"/>
      <c r="O215" s="282"/>
      <c r="P215" s="244">
        <v>166</v>
      </c>
      <c r="Q215" s="246"/>
      <c r="R215" s="282"/>
      <c r="S215" s="244">
        <v>133.19999999999999</v>
      </c>
      <c r="T215" s="246"/>
      <c r="U215" s="282"/>
      <c r="V215" s="244">
        <v>104.16</v>
      </c>
      <c r="W215" s="246"/>
      <c r="X215" s="282"/>
      <c r="Y215" s="244">
        <v>100.8</v>
      </c>
      <c r="Z215" s="246"/>
      <c r="AA215" s="282"/>
      <c r="AB215" s="244">
        <v>104.16</v>
      </c>
      <c r="AC215" s="246"/>
      <c r="AD215" s="282"/>
      <c r="AE215" s="244">
        <v>104.16</v>
      </c>
      <c r="AF215" s="246"/>
      <c r="AG215" s="282"/>
      <c r="AH215" s="244">
        <v>104</v>
      </c>
      <c r="AI215" s="246"/>
      <c r="AJ215" s="282"/>
      <c r="AK215" s="244">
        <v>127.224</v>
      </c>
      <c r="AL215" s="246"/>
      <c r="AM215" s="282"/>
      <c r="AN215" s="244">
        <v>174</v>
      </c>
      <c r="AO215" s="246"/>
      <c r="AP215" s="282"/>
      <c r="AQ215" s="244">
        <v>186</v>
      </c>
      <c r="AR215" s="283"/>
      <c r="AS215" s="299"/>
      <c r="AT215" s="244">
        <f t="shared" si="9"/>
        <v>1652.704</v>
      </c>
      <c r="AU215" s="283"/>
      <c r="AV215" s="284"/>
      <c r="AW215" s="285"/>
      <c r="AX215" s="321"/>
      <c r="AY215" s="435">
        <v>1613.3159639999999</v>
      </c>
      <c r="AZ215" s="261"/>
      <c r="BA215" s="261"/>
      <c r="BB215" s="261"/>
      <c r="BC215" s="261"/>
    </row>
    <row r="216" spans="2:55">
      <c r="B216" s="179"/>
      <c r="C216" s="179"/>
      <c r="D216" s="181"/>
      <c r="E216" s="181"/>
      <c r="F216" s="181"/>
      <c r="G216" s="1110">
        <v>310115</v>
      </c>
      <c r="H216" s="137" t="s">
        <v>553</v>
      </c>
      <c r="I216" s="516" t="s">
        <v>364</v>
      </c>
      <c r="J216" s="262">
        <f>J217+J218</f>
        <v>250</v>
      </c>
      <c r="K216" s="246"/>
      <c r="L216" s="282"/>
      <c r="M216" s="317">
        <f>M217+M218</f>
        <v>218</v>
      </c>
      <c r="N216" s="246"/>
      <c r="O216" s="282"/>
      <c r="P216" s="317">
        <f>P217+P218</f>
        <v>253</v>
      </c>
      <c r="Q216" s="246"/>
      <c r="R216" s="282"/>
      <c r="S216" s="317">
        <f>S217+S218</f>
        <v>208</v>
      </c>
      <c r="T216" s="246"/>
      <c r="U216" s="282"/>
      <c r="V216" s="317">
        <f>V217+V218</f>
        <v>179.56</v>
      </c>
      <c r="W216" s="246"/>
      <c r="X216" s="282"/>
      <c r="Y216" s="317">
        <f>Y217+Y218</f>
        <v>190.8</v>
      </c>
      <c r="Z216" s="246"/>
      <c r="AA216" s="282"/>
      <c r="AB216" s="317">
        <f>AB217+AB218</f>
        <v>202.56</v>
      </c>
      <c r="AC216" s="246"/>
      <c r="AD216" s="282"/>
      <c r="AE216" s="317">
        <f>AE217+AE218</f>
        <v>196.56</v>
      </c>
      <c r="AF216" s="246"/>
      <c r="AG216" s="282"/>
      <c r="AH216" s="317">
        <f>AH217+AH218</f>
        <v>200</v>
      </c>
      <c r="AI216" s="246"/>
      <c r="AJ216" s="282"/>
      <c r="AK216" s="317">
        <f>AK217+AK218</f>
        <v>225.76</v>
      </c>
      <c r="AL216" s="246"/>
      <c r="AM216" s="282"/>
      <c r="AN216" s="317">
        <f>AN217+AN218</f>
        <v>270</v>
      </c>
      <c r="AO216" s="246"/>
      <c r="AP216" s="282"/>
      <c r="AQ216" s="317">
        <f>AQ217+AQ218</f>
        <v>290.88</v>
      </c>
      <c r="AR216" s="283"/>
      <c r="AS216" s="299"/>
      <c r="AT216" s="317">
        <f>AT217+AT218</f>
        <v>2685.12</v>
      </c>
      <c r="AU216" s="283"/>
      <c r="AV216" s="284"/>
      <c r="AW216" s="285"/>
      <c r="AX216" s="321"/>
      <c r="AY216" s="888">
        <v>2812.8432389999998</v>
      </c>
      <c r="AZ216" s="261"/>
      <c r="BA216" s="261"/>
      <c r="BB216" s="261"/>
      <c r="BC216" s="261"/>
    </row>
    <row r="217" spans="2:55">
      <c r="B217" s="179"/>
      <c r="C217" s="179"/>
      <c r="D217" s="181"/>
      <c r="E217" s="181"/>
      <c r="F217" s="181"/>
      <c r="G217" s="1110"/>
      <c r="H217" s="123" t="s">
        <v>1699</v>
      </c>
      <c r="I217" s="123"/>
      <c r="J217" s="244">
        <v>205</v>
      </c>
      <c r="K217" s="246"/>
      <c r="L217" s="282"/>
      <c r="M217" s="345">
        <f>188+30</f>
        <v>218</v>
      </c>
      <c r="N217" s="246"/>
      <c r="O217" s="282"/>
      <c r="P217" s="244">
        <v>166</v>
      </c>
      <c r="Q217" s="246"/>
      <c r="R217" s="282"/>
      <c r="S217" s="320">
        <f>135-17</f>
        <v>118</v>
      </c>
      <c r="T217" s="246"/>
      <c r="U217" s="282"/>
      <c r="V217" s="244">
        <v>85.56</v>
      </c>
      <c r="W217" s="246"/>
      <c r="X217" s="282"/>
      <c r="Y217" s="244">
        <v>82.8</v>
      </c>
      <c r="Z217" s="246"/>
      <c r="AA217" s="282"/>
      <c r="AB217" s="244">
        <v>85.56</v>
      </c>
      <c r="AC217" s="246"/>
      <c r="AD217" s="282"/>
      <c r="AE217" s="244">
        <v>85.56</v>
      </c>
      <c r="AF217" s="246"/>
      <c r="AG217" s="282"/>
      <c r="AH217" s="244">
        <v>85</v>
      </c>
      <c r="AI217" s="246"/>
      <c r="AJ217" s="282"/>
      <c r="AK217" s="244">
        <v>122.76</v>
      </c>
      <c r="AL217" s="246"/>
      <c r="AM217" s="282"/>
      <c r="AN217" s="320">
        <f>165-5</f>
        <v>160</v>
      </c>
      <c r="AO217" s="246"/>
      <c r="AP217" s="282"/>
      <c r="AQ217" s="244">
        <v>200.88</v>
      </c>
      <c r="AR217" s="283"/>
      <c r="AS217" s="299"/>
      <c r="AT217" s="244">
        <f t="shared" si="9"/>
        <v>1615.12</v>
      </c>
      <c r="AU217" s="283"/>
      <c r="AV217" s="284"/>
      <c r="AW217" s="285"/>
      <c r="AX217" s="321"/>
      <c r="AY217" s="300"/>
      <c r="AZ217" s="261"/>
      <c r="BA217" s="261"/>
      <c r="BB217" s="261"/>
      <c r="BC217" s="261"/>
    </row>
    <row r="218" spans="2:55">
      <c r="B218" s="179"/>
      <c r="C218" s="179"/>
      <c r="D218" s="181"/>
      <c r="E218" s="181"/>
      <c r="F218" s="181"/>
      <c r="G218" s="1110"/>
      <c r="H218" s="123" t="s">
        <v>554</v>
      </c>
      <c r="I218" s="123"/>
      <c r="J218" s="244">
        <v>45</v>
      </c>
      <c r="K218" s="246"/>
      <c r="L218" s="282"/>
      <c r="M218" s="244">
        <v>0</v>
      </c>
      <c r="N218" s="246"/>
      <c r="O218" s="282"/>
      <c r="P218" s="320">
        <f>107-20</f>
        <v>87</v>
      </c>
      <c r="Q218" s="246"/>
      <c r="R218" s="282"/>
      <c r="S218" s="320">
        <f>102-12</f>
        <v>90</v>
      </c>
      <c r="T218" s="246"/>
      <c r="U218" s="282"/>
      <c r="V218" s="320">
        <f>104-10</f>
        <v>94</v>
      </c>
      <c r="W218" s="246"/>
      <c r="X218" s="282"/>
      <c r="Y218" s="244">
        <v>108</v>
      </c>
      <c r="Z218" s="246"/>
      <c r="AA218" s="282"/>
      <c r="AB218" s="244">
        <v>117</v>
      </c>
      <c r="AC218" s="246"/>
      <c r="AD218" s="282"/>
      <c r="AE218" s="244">
        <v>111</v>
      </c>
      <c r="AF218" s="246"/>
      <c r="AG218" s="282"/>
      <c r="AH218" s="244">
        <v>115</v>
      </c>
      <c r="AI218" s="246"/>
      <c r="AJ218" s="282"/>
      <c r="AK218" s="320">
        <f>113-10</f>
        <v>103</v>
      </c>
      <c r="AL218" s="246"/>
      <c r="AM218" s="282"/>
      <c r="AN218" s="244">
        <v>110</v>
      </c>
      <c r="AO218" s="246"/>
      <c r="AP218" s="282"/>
      <c r="AQ218" s="244">
        <v>90</v>
      </c>
      <c r="AR218" s="283"/>
      <c r="AS218" s="299"/>
      <c r="AT218" s="244">
        <f t="shared" si="9"/>
        <v>1070</v>
      </c>
      <c r="AU218" s="283"/>
      <c r="AV218" s="284"/>
      <c r="AW218" s="285"/>
      <c r="AX218" s="321"/>
      <c r="AY218" s="300"/>
      <c r="AZ218" s="261"/>
      <c r="BA218" s="261"/>
      <c r="BB218" s="261"/>
      <c r="BC218" s="261"/>
    </row>
    <row r="219" spans="2:55">
      <c r="B219" s="179"/>
      <c r="C219" s="179"/>
      <c r="D219" s="181"/>
      <c r="E219" s="181"/>
      <c r="F219" s="181"/>
      <c r="G219" s="1110">
        <v>310116</v>
      </c>
      <c r="H219" s="137" t="s">
        <v>555</v>
      </c>
      <c r="I219" s="516" t="s">
        <v>364</v>
      </c>
      <c r="J219" s="262">
        <f>J220+J221</f>
        <v>253.04</v>
      </c>
      <c r="K219" s="246"/>
      <c r="L219" s="282"/>
      <c r="M219" s="317">
        <f>M220+M221</f>
        <v>377</v>
      </c>
      <c r="N219" s="246"/>
      <c r="O219" s="282"/>
      <c r="P219" s="317">
        <f>P220+P221</f>
        <v>393</v>
      </c>
      <c r="Q219" s="246"/>
      <c r="R219" s="282"/>
      <c r="S219" s="317">
        <f>S220+S221</f>
        <v>308.39999999999998</v>
      </c>
      <c r="T219" s="246"/>
      <c r="U219" s="282"/>
      <c r="V219" s="317">
        <f>V220+V221</f>
        <v>255.2</v>
      </c>
      <c r="W219" s="246"/>
      <c r="X219" s="282"/>
      <c r="Y219" s="317">
        <f>Y220+Y221</f>
        <v>245</v>
      </c>
      <c r="Z219" s="246"/>
      <c r="AA219" s="282"/>
      <c r="AB219" s="317">
        <f>AB220+AB221</f>
        <v>250</v>
      </c>
      <c r="AC219" s="246"/>
      <c r="AD219" s="282"/>
      <c r="AE219" s="317">
        <f>AE220+AE221</f>
        <v>74.400000000000006</v>
      </c>
      <c r="AF219" s="246"/>
      <c r="AG219" s="282"/>
      <c r="AH219" s="317">
        <f>AH220+AH221</f>
        <v>246</v>
      </c>
      <c r="AI219" s="246"/>
      <c r="AJ219" s="282"/>
      <c r="AK219" s="317">
        <f>AK220+AK221</f>
        <v>274</v>
      </c>
      <c r="AL219" s="246"/>
      <c r="AM219" s="282"/>
      <c r="AN219" s="317">
        <f>AN220+AN221</f>
        <v>312</v>
      </c>
      <c r="AO219" s="246"/>
      <c r="AP219" s="282"/>
      <c r="AQ219" s="317">
        <f>AQ220+AQ221</f>
        <v>360</v>
      </c>
      <c r="AR219" s="283"/>
      <c r="AS219" s="299"/>
      <c r="AT219" s="317">
        <f>AT220+AT221</f>
        <v>3348.04</v>
      </c>
      <c r="AU219" s="283"/>
      <c r="AV219" s="284"/>
      <c r="AW219" s="285"/>
      <c r="AX219" s="321"/>
      <c r="AY219" s="888">
        <v>3831.640218</v>
      </c>
      <c r="AZ219" s="261"/>
      <c r="BA219" s="261"/>
      <c r="BB219" s="261"/>
      <c r="BC219" s="261"/>
    </row>
    <row r="220" spans="2:55">
      <c r="B220" s="179"/>
      <c r="C220" s="179"/>
      <c r="D220" s="181"/>
      <c r="E220" s="181"/>
      <c r="F220" s="181"/>
      <c r="G220" s="1110"/>
      <c r="H220" s="123" t="s">
        <v>1700</v>
      </c>
      <c r="I220" s="123"/>
      <c r="J220" s="320">
        <f>152-30</f>
        <v>122</v>
      </c>
      <c r="K220" s="246"/>
      <c r="L220" s="282"/>
      <c r="M220" s="244">
        <v>145</v>
      </c>
      <c r="N220" s="246"/>
      <c r="O220" s="282"/>
      <c r="P220" s="320">
        <f>153-10</f>
        <v>143</v>
      </c>
      <c r="Q220" s="246"/>
      <c r="R220" s="282"/>
      <c r="S220" s="244">
        <v>104.4</v>
      </c>
      <c r="T220" s="246"/>
      <c r="U220" s="282"/>
      <c r="V220" s="244">
        <v>37.200000000000003</v>
      </c>
      <c r="W220" s="246"/>
      <c r="X220" s="282"/>
      <c r="Y220" s="244">
        <v>0</v>
      </c>
      <c r="Z220" s="246"/>
      <c r="AA220" s="282"/>
      <c r="AB220" s="244">
        <v>0</v>
      </c>
      <c r="AC220" s="246"/>
      <c r="AD220" s="282"/>
      <c r="AE220" s="244">
        <v>74.400000000000006</v>
      </c>
      <c r="AF220" s="246"/>
      <c r="AG220" s="282"/>
      <c r="AH220" s="244">
        <v>0</v>
      </c>
      <c r="AI220" s="246"/>
      <c r="AJ220" s="282"/>
      <c r="AK220" s="320">
        <f>114-7</f>
        <v>107</v>
      </c>
      <c r="AL220" s="246"/>
      <c r="AM220" s="282"/>
      <c r="AN220" s="320">
        <f>148-20</f>
        <v>128</v>
      </c>
      <c r="AO220" s="246"/>
      <c r="AP220" s="282"/>
      <c r="AQ220" s="320">
        <f>150-30</f>
        <v>120</v>
      </c>
      <c r="AR220" s="283"/>
      <c r="AS220" s="299"/>
      <c r="AT220" s="244">
        <f t="shared" si="9"/>
        <v>981</v>
      </c>
      <c r="AU220" s="283"/>
      <c r="AV220" s="284"/>
      <c r="AW220" s="285"/>
      <c r="AX220" s="321"/>
      <c r="AY220" s="300"/>
      <c r="AZ220" s="261"/>
      <c r="BA220" s="261"/>
      <c r="BB220" s="261"/>
      <c r="BC220" s="261"/>
    </row>
    <row r="221" spans="2:55">
      <c r="B221" s="179"/>
      <c r="C221" s="179"/>
      <c r="D221" s="181"/>
      <c r="E221" s="181"/>
      <c r="F221" s="181"/>
      <c r="G221" s="1110"/>
      <c r="H221" s="123" t="s">
        <v>1701</v>
      </c>
      <c r="I221" s="123"/>
      <c r="J221" s="244">
        <v>131.04</v>
      </c>
      <c r="K221" s="246"/>
      <c r="L221" s="282"/>
      <c r="M221" s="244">
        <v>232</v>
      </c>
      <c r="N221" s="246"/>
      <c r="O221" s="282"/>
      <c r="P221" s="244">
        <v>250</v>
      </c>
      <c r="Q221" s="246"/>
      <c r="R221" s="282"/>
      <c r="S221" s="320">
        <f>244-30-10</f>
        <v>204</v>
      </c>
      <c r="T221" s="246"/>
      <c r="U221" s="282"/>
      <c r="V221" s="320">
        <f>248-30</f>
        <v>218</v>
      </c>
      <c r="W221" s="246"/>
      <c r="X221" s="282"/>
      <c r="Y221" s="244">
        <v>245</v>
      </c>
      <c r="Z221" s="246"/>
      <c r="AA221" s="282"/>
      <c r="AB221" s="244">
        <v>250</v>
      </c>
      <c r="AC221" s="246"/>
      <c r="AD221" s="282"/>
      <c r="AE221" s="244">
        <v>0</v>
      </c>
      <c r="AF221" s="246"/>
      <c r="AG221" s="282"/>
      <c r="AH221" s="244">
        <v>246</v>
      </c>
      <c r="AI221" s="246"/>
      <c r="AJ221" s="282"/>
      <c r="AK221" s="320">
        <f>247-80</f>
        <v>167</v>
      </c>
      <c r="AL221" s="246"/>
      <c r="AM221" s="282"/>
      <c r="AN221" s="244">
        <v>184</v>
      </c>
      <c r="AO221" s="246"/>
      <c r="AP221" s="282"/>
      <c r="AQ221" s="244">
        <v>240</v>
      </c>
      <c r="AR221" s="283"/>
      <c r="AS221" s="299"/>
      <c r="AT221" s="244">
        <f t="shared" si="9"/>
        <v>2367.04</v>
      </c>
      <c r="AU221" s="283"/>
      <c r="AV221" s="284"/>
      <c r="AW221" s="285"/>
      <c r="AX221" s="321"/>
      <c r="AY221" s="300"/>
      <c r="AZ221" s="261"/>
      <c r="BA221" s="261"/>
      <c r="BB221" s="261"/>
      <c r="BC221" s="261"/>
    </row>
    <row r="222" spans="2:55">
      <c r="B222" s="179"/>
      <c r="C222" s="179"/>
      <c r="D222" s="181"/>
      <c r="E222" s="181"/>
      <c r="F222" s="181"/>
      <c r="G222" s="1110">
        <v>310111</v>
      </c>
      <c r="H222" s="137" t="s">
        <v>556</v>
      </c>
      <c r="I222" s="516" t="s">
        <v>364</v>
      </c>
      <c r="J222" s="262">
        <f>J223+J224</f>
        <v>560.928</v>
      </c>
      <c r="K222" s="246"/>
      <c r="L222" s="282"/>
      <c r="M222" s="317">
        <f>M223+M224</f>
        <v>544.06400000000008</v>
      </c>
      <c r="N222" s="246"/>
      <c r="O222" s="282"/>
      <c r="P222" s="317">
        <f>P223+P224</f>
        <v>546.30399999999997</v>
      </c>
      <c r="Q222" s="246"/>
      <c r="R222" s="282"/>
      <c r="S222" s="317">
        <f>S223+S224</f>
        <v>428</v>
      </c>
      <c r="T222" s="246"/>
      <c r="U222" s="282"/>
      <c r="V222" s="317">
        <f>V223+V224</f>
        <v>350</v>
      </c>
      <c r="W222" s="246"/>
      <c r="X222" s="282"/>
      <c r="Y222" s="317">
        <f>Y223+Y224</f>
        <v>255</v>
      </c>
      <c r="Z222" s="246"/>
      <c r="AA222" s="282"/>
      <c r="AB222" s="317">
        <f>AB223+AB224</f>
        <v>360</v>
      </c>
      <c r="AC222" s="246"/>
      <c r="AD222" s="282"/>
      <c r="AE222" s="317">
        <f>AE223+AE224</f>
        <v>322</v>
      </c>
      <c r="AF222" s="246"/>
      <c r="AG222" s="282"/>
      <c r="AH222" s="317">
        <f>AH223+AH224</f>
        <v>310</v>
      </c>
      <c r="AI222" s="246"/>
      <c r="AJ222" s="282"/>
      <c r="AK222" s="317">
        <f>AK223+AK224</f>
        <v>394</v>
      </c>
      <c r="AL222" s="246"/>
      <c r="AM222" s="282"/>
      <c r="AN222" s="317">
        <f>AN223+AN224</f>
        <v>528</v>
      </c>
      <c r="AO222" s="246"/>
      <c r="AP222" s="282"/>
      <c r="AQ222" s="317">
        <f>AQ223+AQ224</f>
        <v>525</v>
      </c>
      <c r="AR222" s="283"/>
      <c r="AS222" s="299"/>
      <c r="AT222" s="317">
        <f>AT223+AT224</f>
        <v>5123.2960000000003</v>
      </c>
      <c r="AU222" s="283"/>
      <c r="AV222" s="284"/>
      <c r="AW222" s="285"/>
      <c r="AX222" s="321"/>
      <c r="AY222" s="888">
        <v>5112.3709399999998</v>
      </c>
      <c r="AZ222" s="261"/>
      <c r="BA222" s="261"/>
      <c r="BB222" s="261"/>
      <c r="BC222" s="261"/>
    </row>
    <row r="223" spans="2:55">
      <c r="B223" s="179"/>
      <c r="C223" s="179"/>
      <c r="D223" s="181"/>
      <c r="E223" s="181"/>
      <c r="F223" s="181"/>
      <c r="G223" s="1110"/>
      <c r="H223" s="123" t="s">
        <v>1702</v>
      </c>
      <c r="I223" s="123"/>
      <c r="J223" s="244">
        <v>380.928</v>
      </c>
      <c r="K223" s="246"/>
      <c r="L223" s="282"/>
      <c r="M223" s="345">
        <f>344.064+20</f>
        <v>364.06400000000002</v>
      </c>
      <c r="N223" s="246"/>
      <c r="O223" s="282"/>
      <c r="P223" s="244">
        <v>338.30399999999997</v>
      </c>
      <c r="Q223" s="246"/>
      <c r="R223" s="282"/>
      <c r="S223" s="320">
        <f>266-40</f>
        <v>226</v>
      </c>
      <c r="T223" s="246"/>
      <c r="U223" s="282"/>
      <c r="V223" s="320">
        <f>167-10</f>
        <v>157</v>
      </c>
      <c r="W223" s="246"/>
      <c r="X223" s="282"/>
      <c r="Y223" s="244">
        <v>145</v>
      </c>
      <c r="Z223" s="246"/>
      <c r="AA223" s="282"/>
      <c r="AB223" s="244">
        <v>140</v>
      </c>
      <c r="AC223" s="246"/>
      <c r="AD223" s="282"/>
      <c r="AE223" s="244">
        <v>110</v>
      </c>
      <c r="AF223" s="246"/>
      <c r="AG223" s="282"/>
      <c r="AH223" s="244">
        <v>165</v>
      </c>
      <c r="AI223" s="246"/>
      <c r="AJ223" s="282"/>
      <c r="AK223" s="320">
        <f>237-25</f>
        <v>212</v>
      </c>
      <c r="AL223" s="246"/>
      <c r="AM223" s="282"/>
      <c r="AN223" s="320">
        <f>315-10</f>
        <v>305</v>
      </c>
      <c r="AO223" s="246"/>
      <c r="AP223" s="282"/>
      <c r="AQ223" s="320">
        <f>320-20</f>
        <v>300</v>
      </c>
      <c r="AR223" s="283"/>
      <c r="AS223" s="299"/>
      <c r="AT223" s="244">
        <f t="shared" si="9"/>
        <v>2843.2959999999998</v>
      </c>
      <c r="AU223" s="283"/>
      <c r="AV223" s="284"/>
      <c r="AW223" s="285"/>
      <c r="AX223" s="321"/>
      <c r="AY223" s="300"/>
      <c r="AZ223" s="261"/>
      <c r="BA223" s="261"/>
      <c r="BB223" s="261"/>
      <c r="BC223" s="261"/>
    </row>
    <row r="224" spans="2:55">
      <c r="B224" s="179"/>
      <c r="C224" s="179"/>
      <c r="D224" s="181"/>
      <c r="E224" s="181"/>
      <c r="F224" s="181"/>
      <c r="G224" s="1110"/>
      <c r="H224" s="123" t="s">
        <v>557</v>
      </c>
      <c r="I224" s="123"/>
      <c r="J224" s="320">
        <f>195-15</f>
        <v>180</v>
      </c>
      <c r="K224" s="246"/>
      <c r="L224" s="282"/>
      <c r="M224" s="345">
        <f>155+25</f>
        <v>180</v>
      </c>
      <c r="N224" s="246"/>
      <c r="O224" s="282"/>
      <c r="P224" s="244">
        <v>208</v>
      </c>
      <c r="Q224" s="246"/>
      <c r="R224" s="282"/>
      <c r="S224" s="320">
        <f>212-10</f>
        <v>202</v>
      </c>
      <c r="T224" s="246"/>
      <c r="U224" s="282"/>
      <c r="V224" s="320">
        <f>213-20</f>
        <v>193</v>
      </c>
      <c r="W224" s="246"/>
      <c r="X224" s="282"/>
      <c r="Y224" s="244">
        <v>110</v>
      </c>
      <c r="Z224" s="246"/>
      <c r="AA224" s="282"/>
      <c r="AB224" s="345">
        <f>200+20</f>
        <v>220</v>
      </c>
      <c r="AC224" s="246"/>
      <c r="AD224" s="282"/>
      <c r="AE224" s="244">
        <v>212</v>
      </c>
      <c r="AF224" s="246"/>
      <c r="AG224" s="282"/>
      <c r="AH224" s="244">
        <v>145</v>
      </c>
      <c r="AI224" s="246"/>
      <c r="AJ224" s="282"/>
      <c r="AK224" s="320">
        <f>202-20</f>
        <v>182</v>
      </c>
      <c r="AL224" s="246"/>
      <c r="AM224" s="282"/>
      <c r="AN224" s="244">
        <v>223</v>
      </c>
      <c r="AO224" s="246"/>
      <c r="AP224" s="282"/>
      <c r="AQ224" s="244">
        <v>225</v>
      </c>
      <c r="AR224" s="283"/>
      <c r="AS224" s="299"/>
      <c r="AT224" s="244">
        <f t="shared" si="9"/>
        <v>2280</v>
      </c>
      <c r="AU224" s="283"/>
      <c r="AV224" s="284"/>
      <c r="AW224" s="285"/>
      <c r="AX224" s="321"/>
      <c r="AY224" s="300"/>
      <c r="AZ224" s="261"/>
      <c r="BA224" s="261"/>
      <c r="BB224" s="261"/>
      <c r="BC224" s="261"/>
    </row>
    <row r="225" spans="2:55">
      <c r="B225" s="179"/>
      <c r="C225" s="179"/>
      <c r="D225" s="181"/>
      <c r="E225" s="181"/>
      <c r="F225" s="181"/>
      <c r="G225" s="1110">
        <v>310112</v>
      </c>
      <c r="H225" s="137" t="s">
        <v>558</v>
      </c>
      <c r="I225" s="516" t="s">
        <v>364</v>
      </c>
      <c r="J225" s="262">
        <f>SUM(J226:J227)</f>
        <v>960</v>
      </c>
      <c r="K225" s="246"/>
      <c r="L225" s="282"/>
      <c r="M225" s="317">
        <f>SUM(M226:M227)</f>
        <v>973</v>
      </c>
      <c r="N225" s="246"/>
      <c r="O225" s="282"/>
      <c r="P225" s="317">
        <f>SUM(P226:P227)</f>
        <v>836.32799999999997</v>
      </c>
      <c r="Q225" s="283"/>
      <c r="R225" s="299"/>
      <c r="S225" s="317">
        <f>SUM(S226:S227)</f>
        <v>580</v>
      </c>
      <c r="T225" s="283"/>
      <c r="U225" s="299"/>
      <c r="V225" s="317">
        <f>SUM(V226:V227)</f>
        <v>473</v>
      </c>
      <c r="W225" s="246"/>
      <c r="X225" s="282"/>
      <c r="Y225" s="317">
        <f>SUM(Y226:Y227)</f>
        <v>467</v>
      </c>
      <c r="Z225" s="246"/>
      <c r="AA225" s="282"/>
      <c r="AB225" s="317">
        <f>SUM(AB226:AB227)</f>
        <v>459</v>
      </c>
      <c r="AC225" s="246"/>
      <c r="AD225" s="282"/>
      <c r="AE225" s="317">
        <f>SUM(AE226:AE227)</f>
        <v>509</v>
      </c>
      <c r="AF225" s="343"/>
      <c r="AG225" s="344"/>
      <c r="AH225" s="317">
        <f>SUM(AH226:AH227)</f>
        <v>591</v>
      </c>
      <c r="AI225" s="343"/>
      <c r="AJ225" s="344"/>
      <c r="AK225" s="317">
        <f>SUM(AK226:AK227)</f>
        <v>651.48</v>
      </c>
      <c r="AL225" s="283"/>
      <c r="AM225" s="299"/>
      <c r="AN225" s="317">
        <f>SUM(AN226:AN227)</f>
        <v>825</v>
      </c>
      <c r="AO225" s="283"/>
      <c r="AP225" s="299"/>
      <c r="AQ225" s="317">
        <f>SUM(AQ226:AQ227)</f>
        <v>873</v>
      </c>
      <c r="AR225" s="283"/>
      <c r="AS225" s="299"/>
      <c r="AT225" s="317">
        <f>SUM(AT226:AT227)</f>
        <v>8197.8079999999991</v>
      </c>
      <c r="AU225" s="283"/>
      <c r="AV225" s="284"/>
      <c r="AW225" s="285"/>
      <c r="AX225" s="321"/>
      <c r="AY225" s="888">
        <v>7949.8163679999998</v>
      </c>
      <c r="AZ225" s="261"/>
      <c r="BA225" s="261"/>
      <c r="BB225" s="261"/>
      <c r="BC225" s="261"/>
    </row>
    <row r="226" spans="2:55">
      <c r="B226" s="179"/>
      <c r="C226" s="179"/>
      <c r="D226" s="181"/>
      <c r="E226" s="181"/>
      <c r="F226" s="181"/>
      <c r="G226" s="1110"/>
      <c r="H226" s="123" t="s">
        <v>559</v>
      </c>
      <c r="I226" s="123"/>
      <c r="J226" s="320">
        <f>720-10</f>
        <v>710</v>
      </c>
      <c r="K226" s="246"/>
      <c r="L226" s="282"/>
      <c r="M226" s="345">
        <f>630+60</f>
        <v>690</v>
      </c>
      <c r="N226" s="246"/>
      <c r="O226" s="282"/>
      <c r="P226" s="244">
        <v>734.32799999999997</v>
      </c>
      <c r="Q226" s="246"/>
      <c r="R226" s="282"/>
      <c r="S226" s="320">
        <f>656-56-20</f>
        <v>580</v>
      </c>
      <c r="T226" s="246"/>
      <c r="U226" s="282"/>
      <c r="V226" s="320">
        <f>250-20</f>
        <v>230</v>
      </c>
      <c r="W226" s="246"/>
      <c r="X226" s="282"/>
      <c r="Y226" s="244">
        <v>225</v>
      </c>
      <c r="Z226" s="246"/>
      <c r="AA226" s="282"/>
      <c r="AB226" s="244">
        <v>214</v>
      </c>
      <c r="AC226" s="246"/>
      <c r="AD226" s="282"/>
      <c r="AE226" s="345">
        <f>194+60</f>
        <v>254</v>
      </c>
      <c r="AF226" s="246"/>
      <c r="AG226" s="282"/>
      <c r="AH226" s="345">
        <f>380+65</f>
        <v>445</v>
      </c>
      <c r="AI226" s="246"/>
      <c r="AJ226" s="282"/>
      <c r="AK226" s="320">
        <f>575-50</f>
        <v>525</v>
      </c>
      <c r="AL226" s="246"/>
      <c r="AM226" s="282"/>
      <c r="AN226" s="320">
        <f>725-30</f>
        <v>695</v>
      </c>
      <c r="AO226" s="246"/>
      <c r="AP226" s="282"/>
      <c r="AQ226" s="320">
        <f>738-5</f>
        <v>733</v>
      </c>
      <c r="AR226" s="283"/>
      <c r="AS226" s="299"/>
      <c r="AT226" s="244">
        <f t="shared" si="9"/>
        <v>6035.3279999999995</v>
      </c>
      <c r="AU226" s="283"/>
      <c r="AV226" s="284"/>
      <c r="AW226" s="285"/>
      <c r="AX226" s="321"/>
      <c r="AY226" s="300"/>
      <c r="AZ226" s="261"/>
      <c r="BA226" s="261"/>
      <c r="BB226" s="261"/>
      <c r="BC226" s="261"/>
    </row>
    <row r="227" spans="2:55">
      <c r="B227" s="179"/>
      <c r="C227" s="179"/>
      <c r="D227" s="181"/>
      <c r="E227" s="181"/>
      <c r="F227" s="181"/>
      <c r="G227" s="1110"/>
      <c r="H227" s="123" t="s">
        <v>560</v>
      </c>
      <c r="I227" s="123"/>
      <c r="J227" s="244">
        <v>250</v>
      </c>
      <c r="K227" s="246"/>
      <c r="L227" s="282"/>
      <c r="M227" s="345">
        <f>238+45</f>
        <v>283</v>
      </c>
      <c r="N227" s="246"/>
      <c r="O227" s="282"/>
      <c r="P227" s="320">
        <f>122-20</f>
        <v>102</v>
      </c>
      <c r="Q227" s="246"/>
      <c r="R227" s="282"/>
      <c r="S227" s="244">
        <v>0</v>
      </c>
      <c r="T227" s="246"/>
      <c r="U227" s="282"/>
      <c r="V227" s="244">
        <v>243</v>
      </c>
      <c r="W227" s="246"/>
      <c r="X227" s="282"/>
      <c r="Y227" s="244">
        <v>242</v>
      </c>
      <c r="Z227" s="246"/>
      <c r="AA227" s="282"/>
      <c r="AB227" s="244">
        <v>245</v>
      </c>
      <c r="AC227" s="246"/>
      <c r="AD227" s="282"/>
      <c r="AE227" s="244">
        <v>255</v>
      </c>
      <c r="AF227" s="246"/>
      <c r="AG227" s="282"/>
      <c r="AH227" s="345">
        <f>126+20</f>
        <v>146</v>
      </c>
      <c r="AI227" s="246"/>
      <c r="AJ227" s="282"/>
      <c r="AK227" s="244">
        <v>126.48</v>
      </c>
      <c r="AL227" s="246"/>
      <c r="AM227" s="282"/>
      <c r="AN227" s="244">
        <v>130</v>
      </c>
      <c r="AO227" s="246"/>
      <c r="AP227" s="282"/>
      <c r="AQ227" s="244">
        <v>140</v>
      </c>
      <c r="AR227" s="283"/>
      <c r="AS227" s="299"/>
      <c r="AT227" s="244">
        <f t="shared" si="9"/>
        <v>2162.48</v>
      </c>
      <c r="AU227" s="283"/>
      <c r="AV227" s="284"/>
      <c r="AW227" s="285"/>
      <c r="AX227" s="321"/>
      <c r="AY227" s="300"/>
      <c r="AZ227" s="261"/>
      <c r="BA227" s="261"/>
      <c r="BB227" s="261"/>
      <c r="BC227" s="261"/>
    </row>
    <row r="228" spans="2:55">
      <c r="B228" s="179"/>
      <c r="C228" s="179"/>
      <c r="D228" s="181"/>
      <c r="E228" s="181"/>
      <c r="F228" s="181"/>
      <c r="G228" s="1110">
        <v>310113</v>
      </c>
      <c r="H228" s="137" t="s">
        <v>561</v>
      </c>
      <c r="I228" s="516" t="s">
        <v>364</v>
      </c>
      <c r="J228" s="262">
        <f>SUM(J229:J230)</f>
        <v>658</v>
      </c>
      <c r="K228" s="246"/>
      <c r="L228" s="282"/>
      <c r="M228" s="317">
        <f>SUM(M229:M230)</f>
        <v>745.85599999999999</v>
      </c>
      <c r="N228" s="246"/>
      <c r="O228" s="282"/>
      <c r="P228" s="317">
        <f>SUM(P229:P230)</f>
        <v>623.47199999999998</v>
      </c>
      <c r="Q228" s="283"/>
      <c r="R228" s="299"/>
      <c r="S228" s="317">
        <f>SUM(S229:S230)</f>
        <v>515</v>
      </c>
      <c r="T228" s="283"/>
      <c r="U228" s="299"/>
      <c r="V228" s="317">
        <f>SUM(V229:V230)</f>
        <v>505.92</v>
      </c>
      <c r="W228" s="283"/>
      <c r="X228" s="299"/>
      <c r="Y228" s="317">
        <f>SUM(Y229:Y230)</f>
        <v>482.40000000000003</v>
      </c>
      <c r="Z228" s="283"/>
      <c r="AA228" s="299"/>
      <c r="AB228" s="317">
        <f>SUM(AB229:AB230)</f>
        <v>528.24</v>
      </c>
      <c r="AC228" s="283"/>
      <c r="AD228" s="299"/>
      <c r="AE228" s="317">
        <f>SUM(AE229:AE230)</f>
        <v>558.24</v>
      </c>
      <c r="AF228" s="283"/>
      <c r="AG228" s="299"/>
      <c r="AH228" s="317">
        <f>SUM(AH229:AH230)</f>
        <v>552.43200000000002</v>
      </c>
      <c r="AI228" s="283"/>
      <c r="AJ228" s="299"/>
      <c r="AK228" s="317">
        <f>SUM(AK229:AK230)</f>
        <v>550.79999999999995</v>
      </c>
      <c r="AL228" s="283"/>
      <c r="AM228" s="299"/>
      <c r="AN228" s="317">
        <f>SUM(AN229:AN230)</f>
        <v>651</v>
      </c>
      <c r="AO228" s="283"/>
      <c r="AP228" s="299"/>
      <c r="AQ228" s="317">
        <f>SUM(AQ229:AQ230)</f>
        <v>710</v>
      </c>
      <c r="AR228" s="283"/>
      <c r="AS228" s="299"/>
      <c r="AT228" s="317">
        <f>SUM(AT229:AT230)</f>
        <v>7081.36</v>
      </c>
      <c r="AU228" s="283"/>
      <c r="AV228" s="284"/>
      <c r="AW228" s="285"/>
      <c r="AX228" s="321"/>
      <c r="AY228" s="888">
        <v>6705.1729240000004</v>
      </c>
      <c r="AZ228" s="261"/>
      <c r="BA228" s="261"/>
      <c r="BB228" s="261"/>
      <c r="BC228" s="261"/>
    </row>
    <row r="229" spans="2:55">
      <c r="B229" s="179"/>
      <c r="C229" s="179"/>
      <c r="D229" s="181"/>
      <c r="E229" s="181"/>
      <c r="F229" s="181"/>
      <c r="G229" s="1110"/>
      <c r="H229" s="123" t="s">
        <v>564</v>
      </c>
      <c r="I229" s="123"/>
      <c r="J229" s="320">
        <f>660-60</f>
        <v>600</v>
      </c>
      <c r="K229" s="246"/>
      <c r="L229" s="282"/>
      <c r="M229" s="345">
        <f>605+70</f>
        <v>675</v>
      </c>
      <c r="N229" s="246"/>
      <c r="O229" s="282"/>
      <c r="P229" s="244">
        <v>552.79200000000003</v>
      </c>
      <c r="Q229" s="246"/>
      <c r="R229" s="282"/>
      <c r="S229" s="320">
        <f>520-40-15</f>
        <v>465</v>
      </c>
      <c r="T229" s="246"/>
      <c r="U229" s="282"/>
      <c r="V229" s="244">
        <v>457.56</v>
      </c>
      <c r="W229" s="246"/>
      <c r="X229" s="282"/>
      <c r="Y229" s="244">
        <v>435.6</v>
      </c>
      <c r="Z229" s="246"/>
      <c r="AA229" s="282"/>
      <c r="AB229" s="244">
        <v>479.88</v>
      </c>
      <c r="AC229" s="246"/>
      <c r="AD229" s="282"/>
      <c r="AE229" s="345">
        <f>479.88+30</f>
        <v>509.88</v>
      </c>
      <c r="AF229" s="246"/>
      <c r="AG229" s="282"/>
      <c r="AH229" s="345">
        <f>511.2+30</f>
        <v>541.20000000000005</v>
      </c>
      <c r="AI229" s="246"/>
      <c r="AJ229" s="282"/>
      <c r="AK229" s="320">
        <f>520-25</f>
        <v>495</v>
      </c>
      <c r="AL229" s="246"/>
      <c r="AM229" s="282"/>
      <c r="AN229" s="320">
        <f>594-10</f>
        <v>584</v>
      </c>
      <c r="AO229" s="246"/>
      <c r="AP229" s="282"/>
      <c r="AQ229" s="320">
        <f>685-40</f>
        <v>645</v>
      </c>
      <c r="AR229" s="246"/>
      <c r="AS229" s="282"/>
      <c r="AT229" s="244">
        <f t="shared" si="9"/>
        <v>6440.9119999999994</v>
      </c>
      <c r="AU229" s="246"/>
      <c r="AV229" s="336"/>
      <c r="AW229" s="285"/>
      <c r="AX229" s="337"/>
      <c r="AY229" s="338"/>
      <c r="AZ229" s="261"/>
      <c r="BA229" s="261"/>
      <c r="BB229" s="261"/>
      <c r="BC229" s="261"/>
    </row>
    <row r="230" spans="2:55">
      <c r="B230" s="179"/>
      <c r="C230" s="179"/>
      <c r="D230" s="181"/>
      <c r="E230" s="181"/>
      <c r="F230" s="181"/>
      <c r="G230" s="1110"/>
      <c r="H230" s="123" t="s">
        <v>565</v>
      </c>
      <c r="I230" s="123"/>
      <c r="J230" s="244">
        <v>58</v>
      </c>
      <c r="K230" s="246"/>
      <c r="L230" s="282"/>
      <c r="M230" s="345">
        <f>65.856+5</f>
        <v>70.855999999999995</v>
      </c>
      <c r="N230" s="246"/>
      <c r="O230" s="282"/>
      <c r="P230" s="244">
        <v>70.680000000000007</v>
      </c>
      <c r="Q230" s="246"/>
      <c r="R230" s="282"/>
      <c r="S230" s="244">
        <v>50</v>
      </c>
      <c r="T230" s="246"/>
      <c r="U230" s="282"/>
      <c r="V230" s="244">
        <v>48.36</v>
      </c>
      <c r="W230" s="246"/>
      <c r="X230" s="282"/>
      <c r="Y230" s="244">
        <v>46.8</v>
      </c>
      <c r="Z230" s="246"/>
      <c r="AA230" s="282"/>
      <c r="AB230" s="244">
        <v>48.36</v>
      </c>
      <c r="AC230" s="246"/>
      <c r="AD230" s="282"/>
      <c r="AE230" s="244">
        <v>48.36</v>
      </c>
      <c r="AF230" s="246"/>
      <c r="AG230" s="282"/>
      <c r="AH230" s="244">
        <v>11.231999999999999</v>
      </c>
      <c r="AI230" s="246"/>
      <c r="AJ230" s="282"/>
      <c r="AK230" s="244">
        <v>55.8</v>
      </c>
      <c r="AL230" s="246"/>
      <c r="AM230" s="282"/>
      <c r="AN230" s="244">
        <v>67</v>
      </c>
      <c r="AO230" s="246"/>
      <c r="AP230" s="282"/>
      <c r="AQ230" s="244">
        <v>65</v>
      </c>
      <c r="AR230" s="246"/>
      <c r="AS230" s="282"/>
      <c r="AT230" s="244">
        <f t="shared" si="9"/>
        <v>640.44800000000009</v>
      </c>
      <c r="AU230" s="246"/>
      <c r="AV230" s="336"/>
      <c r="AW230" s="285"/>
      <c r="AX230" s="337"/>
      <c r="AY230" s="338"/>
      <c r="AZ230" s="261"/>
      <c r="BA230" s="261"/>
      <c r="BB230" s="261"/>
      <c r="BC230" s="261"/>
    </row>
    <row r="231" spans="2:55">
      <c r="B231" s="179"/>
      <c r="C231" s="179"/>
      <c r="D231" s="181"/>
      <c r="E231" s="181"/>
      <c r="F231" s="181"/>
      <c r="G231" s="1110">
        <v>310124</v>
      </c>
      <c r="H231" s="123" t="s">
        <v>562</v>
      </c>
      <c r="I231" s="516" t="s">
        <v>364</v>
      </c>
      <c r="J231" s="244">
        <v>784.17600000000004</v>
      </c>
      <c r="K231" s="246"/>
      <c r="L231" s="282"/>
      <c r="M231" s="345">
        <f>648.48+43.83</f>
        <v>692.31000000000006</v>
      </c>
      <c r="N231" s="246"/>
      <c r="O231" s="282"/>
      <c r="P231" s="244">
        <v>685.22400000000005</v>
      </c>
      <c r="Q231" s="246"/>
      <c r="R231" s="282"/>
      <c r="S231" s="244">
        <v>567.36</v>
      </c>
      <c r="T231" s="246"/>
      <c r="U231" s="282"/>
      <c r="V231" s="244">
        <v>378</v>
      </c>
      <c r="W231" s="246"/>
      <c r="X231" s="282"/>
      <c r="Y231" s="244">
        <v>350</v>
      </c>
      <c r="Z231" s="246"/>
      <c r="AA231" s="282"/>
      <c r="AB231" s="345">
        <f>355+25</f>
        <v>380</v>
      </c>
      <c r="AC231" s="246"/>
      <c r="AD231" s="282"/>
      <c r="AE231" s="345">
        <f>390+50</f>
        <v>440</v>
      </c>
      <c r="AF231" s="246"/>
      <c r="AG231" s="282"/>
      <c r="AH231" s="244">
        <v>430</v>
      </c>
      <c r="AI231" s="246"/>
      <c r="AJ231" s="282"/>
      <c r="AK231" s="244">
        <v>599.66399999999999</v>
      </c>
      <c r="AL231" s="246"/>
      <c r="AM231" s="282"/>
      <c r="AN231" s="244">
        <v>730.8</v>
      </c>
      <c r="AO231" s="246"/>
      <c r="AP231" s="282"/>
      <c r="AQ231" s="244">
        <v>810.96</v>
      </c>
      <c r="AR231" s="283"/>
      <c r="AS231" s="299"/>
      <c r="AT231" s="244">
        <f t="shared" si="9"/>
        <v>6848.4939999999997</v>
      </c>
      <c r="AU231" s="283"/>
      <c r="AV231" s="284"/>
      <c r="AW231" s="285"/>
      <c r="AX231" s="321"/>
      <c r="AY231" s="435">
        <v>6740.2815119999996</v>
      </c>
      <c r="AZ231" s="261"/>
      <c r="BA231" s="261"/>
      <c r="BB231" s="261"/>
      <c r="BC231" s="261"/>
    </row>
    <row r="232" spans="2:55">
      <c r="B232" s="179"/>
      <c r="C232" s="179"/>
      <c r="D232" s="181"/>
      <c r="E232" s="181"/>
      <c r="F232" s="181"/>
      <c r="G232" s="1110">
        <v>310125</v>
      </c>
      <c r="H232" s="137" t="s">
        <v>563</v>
      </c>
      <c r="I232" s="516" t="s">
        <v>364</v>
      </c>
      <c r="J232" s="262">
        <f>SUM(J233:J234)</f>
        <v>1057.088</v>
      </c>
      <c r="K232" s="246"/>
      <c r="L232" s="282"/>
      <c r="M232" s="317">
        <f>SUM(M233:M234)</f>
        <v>1019.144</v>
      </c>
      <c r="N232" s="246"/>
      <c r="O232" s="282"/>
      <c r="P232" s="317">
        <f>SUM(P233:P234)</f>
        <v>933.16800000000001</v>
      </c>
      <c r="Q232" s="283"/>
      <c r="R232" s="299"/>
      <c r="S232" s="317">
        <f>SUM(S233:S234)</f>
        <v>726.4</v>
      </c>
      <c r="T232" s="283"/>
      <c r="U232" s="299"/>
      <c r="V232" s="317">
        <f>SUM(V233:V234)</f>
        <v>468.1764</v>
      </c>
      <c r="W232" s="283"/>
      <c r="X232" s="299"/>
      <c r="Y232" s="317">
        <f>SUM(Y233:Y234)</f>
        <v>545</v>
      </c>
      <c r="Z232" s="283"/>
      <c r="AA232" s="299"/>
      <c r="AB232" s="317">
        <f>SUM(AB233:AB234)</f>
        <v>590</v>
      </c>
      <c r="AC232" s="283"/>
      <c r="AD232" s="299"/>
      <c r="AE232" s="317">
        <f>SUM(AE233:AE234)</f>
        <v>700</v>
      </c>
      <c r="AF232" s="283"/>
      <c r="AG232" s="299"/>
      <c r="AH232" s="317">
        <f>SUM(AH233:AH234)</f>
        <v>750</v>
      </c>
      <c r="AI232" s="283"/>
      <c r="AJ232" s="299"/>
      <c r="AK232" s="317">
        <f>SUM(AK233:AK234)</f>
        <v>796</v>
      </c>
      <c r="AL232" s="283"/>
      <c r="AM232" s="299"/>
      <c r="AN232" s="317">
        <f>SUM(AN233:AN234)</f>
        <v>962.92</v>
      </c>
      <c r="AO232" s="283"/>
      <c r="AP232" s="299"/>
      <c r="AQ232" s="317">
        <f>SUM(AQ233:AQ234)</f>
        <v>995.54399999999998</v>
      </c>
      <c r="AR232" s="283"/>
      <c r="AS232" s="299"/>
      <c r="AT232" s="317">
        <f>SUM(AT233:AT234)</f>
        <v>9543.4403999999995</v>
      </c>
      <c r="AU232" s="283"/>
      <c r="AV232" s="284"/>
      <c r="AW232" s="285"/>
      <c r="AX232" s="321"/>
      <c r="AY232" s="888">
        <v>9455.1822919999995</v>
      </c>
      <c r="AZ232" s="261"/>
      <c r="BA232" s="261"/>
      <c r="BB232" s="261"/>
      <c r="BC232" s="261"/>
    </row>
    <row r="233" spans="2:55">
      <c r="B233" s="179"/>
      <c r="C233" s="179"/>
      <c r="D233" s="181"/>
      <c r="E233" s="181"/>
      <c r="F233" s="181"/>
      <c r="G233" s="1110"/>
      <c r="H233" s="123" t="s">
        <v>566</v>
      </c>
      <c r="I233" s="123"/>
      <c r="J233" s="244">
        <v>857.08799999999997</v>
      </c>
      <c r="K233" s="246"/>
      <c r="L233" s="282"/>
      <c r="M233" s="345">
        <f>774.144+25</f>
        <v>799.14400000000001</v>
      </c>
      <c r="N233" s="246"/>
      <c r="O233" s="282"/>
      <c r="P233" s="244">
        <v>723.16800000000001</v>
      </c>
      <c r="Q233" s="246"/>
      <c r="R233" s="282"/>
      <c r="S233" s="244">
        <v>536.4</v>
      </c>
      <c r="T233" s="246"/>
      <c r="U233" s="282"/>
      <c r="V233" s="244">
        <v>318</v>
      </c>
      <c r="W233" s="246"/>
      <c r="X233" s="282"/>
      <c r="Y233" s="244">
        <v>305</v>
      </c>
      <c r="Z233" s="246"/>
      <c r="AA233" s="282"/>
      <c r="AB233" s="244">
        <v>320</v>
      </c>
      <c r="AC233" s="246"/>
      <c r="AD233" s="282"/>
      <c r="AE233" s="345">
        <f>380+80</f>
        <v>460</v>
      </c>
      <c r="AF233" s="246"/>
      <c r="AG233" s="282"/>
      <c r="AH233" s="345">
        <f>455+60</f>
        <v>515</v>
      </c>
      <c r="AI233" s="246"/>
      <c r="AJ233" s="282"/>
      <c r="AK233" s="320">
        <f>640-30</f>
        <v>610</v>
      </c>
      <c r="AL233" s="246"/>
      <c r="AM233" s="282"/>
      <c r="AN233" s="244">
        <v>727.92</v>
      </c>
      <c r="AO233" s="246"/>
      <c r="AP233" s="282"/>
      <c r="AQ233" s="244">
        <v>800.54399999999998</v>
      </c>
      <c r="AR233" s="283"/>
      <c r="AS233" s="299"/>
      <c r="AT233" s="244">
        <f t="shared" si="9"/>
        <v>6972.2640000000001</v>
      </c>
      <c r="AU233" s="283"/>
      <c r="AV233" s="284"/>
      <c r="AW233" s="285"/>
      <c r="AX233" s="321"/>
      <c r="AY233" s="300"/>
      <c r="AZ233" s="261"/>
      <c r="BA233" s="261"/>
      <c r="BB233" s="261"/>
      <c r="BC233" s="261"/>
    </row>
    <row r="234" spans="2:55">
      <c r="B234" s="179"/>
      <c r="C234" s="179"/>
      <c r="D234" s="181"/>
      <c r="E234" s="181"/>
      <c r="F234" s="181"/>
      <c r="G234" s="1110"/>
      <c r="H234" s="123" t="s">
        <v>567</v>
      </c>
      <c r="I234" s="123"/>
      <c r="J234" s="320">
        <f>250-50</f>
        <v>200</v>
      </c>
      <c r="K234" s="246"/>
      <c r="L234" s="282"/>
      <c r="M234" s="345">
        <f>185+35</f>
        <v>220</v>
      </c>
      <c r="N234" s="246"/>
      <c r="O234" s="282"/>
      <c r="P234" s="320">
        <f>230-20</f>
        <v>210</v>
      </c>
      <c r="Q234" s="246"/>
      <c r="R234" s="282"/>
      <c r="S234" s="320">
        <f>245-45-10</f>
        <v>190</v>
      </c>
      <c r="T234" s="246"/>
      <c r="U234" s="282"/>
      <c r="V234" s="244">
        <v>150.1764</v>
      </c>
      <c r="W234" s="246"/>
      <c r="X234" s="282"/>
      <c r="Y234" s="244">
        <v>240</v>
      </c>
      <c r="Z234" s="246"/>
      <c r="AA234" s="282"/>
      <c r="AB234" s="345">
        <f>250+20</f>
        <v>270</v>
      </c>
      <c r="AC234" s="246"/>
      <c r="AD234" s="282"/>
      <c r="AE234" s="345">
        <f>190+50</f>
        <v>240</v>
      </c>
      <c r="AF234" s="246"/>
      <c r="AG234" s="282"/>
      <c r="AH234" s="244">
        <v>235</v>
      </c>
      <c r="AI234" s="246"/>
      <c r="AJ234" s="282"/>
      <c r="AK234" s="320">
        <f>228-42</f>
        <v>186</v>
      </c>
      <c r="AL234" s="246"/>
      <c r="AM234" s="282"/>
      <c r="AN234" s="244">
        <v>235</v>
      </c>
      <c r="AO234" s="246"/>
      <c r="AP234" s="282"/>
      <c r="AQ234" s="244">
        <v>195</v>
      </c>
      <c r="AR234" s="283"/>
      <c r="AS234" s="299"/>
      <c r="AT234" s="244">
        <f t="shared" si="9"/>
        <v>2571.1764000000003</v>
      </c>
      <c r="AU234" s="283"/>
      <c r="AV234" s="284"/>
      <c r="AW234" s="285"/>
      <c r="AX234" s="321"/>
      <c r="AY234" s="300"/>
      <c r="AZ234" s="261"/>
      <c r="BA234" s="261"/>
      <c r="BB234" s="261"/>
      <c r="BC234" s="261"/>
    </row>
    <row r="235" spans="2:55">
      <c r="B235" s="179"/>
      <c r="C235" s="179"/>
      <c r="D235" s="181"/>
      <c r="E235" s="181"/>
      <c r="F235" s="181"/>
      <c r="G235" s="1110">
        <v>710117</v>
      </c>
      <c r="H235" s="123" t="s">
        <v>378</v>
      </c>
      <c r="I235" s="519" t="s">
        <v>365</v>
      </c>
      <c r="J235" s="244">
        <v>61.32</v>
      </c>
      <c r="K235" s="246"/>
      <c r="L235" s="282"/>
      <c r="M235" s="244">
        <v>53.567999999999998</v>
      </c>
      <c r="N235" s="246"/>
      <c r="O235" s="282"/>
      <c r="P235" s="244">
        <v>39.167999999999999</v>
      </c>
      <c r="Q235" s="246"/>
      <c r="R235" s="282"/>
      <c r="S235" s="244">
        <v>22.648</v>
      </c>
      <c r="T235" s="246"/>
      <c r="U235" s="282"/>
      <c r="V235" s="244">
        <v>15.263999999999999</v>
      </c>
      <c r="W235" s="246"/>
      <c r="X235" s="282"/>
      <c r="Y235" s="244">
        <v>10.92</v>
      </c>
      <c r="Z235" s="246"/>
      <c r="AA235" s="282"/>
      <c r="AB235" s="244">
        <v>6.72</v>
      </c>
      <c r="AC235" s="246"/>
      <c r="AD235" s="282"/>
      <c r="AE235" s="244">
        <v>6.6</v>
      </c>
      <c r="AF235" s="246"/>
      <c r="AG235" s="282"/>
      <c r="AH235" s="244">
        <v>16.128</v>
      </c>
      <c r="AI235" s="246"/>
      <c r="AJ235" s="282"/>
      <c r="AK235" s="244">
        <v>32.4</v>
      </c>
      <c r="AL235" s="246"/>
      <c r="AM235" s="282"/>
      <c r="AN235" s="244">
        <v>55.02</v>
      </c>
      <c r="AO235" s="246"/>
      <c r="AP235" s="282"/>
      <c r="AQ235" s="244">
        <v>64.319999999999993</v>
      </c>
      <c r="AR235" s="283"/>
      <c r="AS235" s="299"/>
      <c r="AT235" s="244">
        <f t="shared" si="9"/>
        <v>384.07599999999996</v>
      </c>
      <c r="AU235" s="283"/>
      <c r="AV235" s="284"/>
      <c r="AW235" s="285"/>
      <c r="AX235" s="321"/>
      <c r="AY235" s="435">
        <v>376.89265599999999</v>
      </c>
      <c r="AZ235" s="261"/>
      <c r="BA235" s="261"/>
      <c r="BB235" s="261"/>
      <c r="BC235" s="261"/>
    </row>
    <row r="236" spans="2:55">
      <c r="B236" s="179"/>
      <c r="C236" s="179"/>
      <c r="D236" s="181"/>
      <c r="E236" s="181"/>
      <c r="F236" s="181"/>
      <c r="G236" s="1110" t="s">
        <v>308</v>
      </c>
      <c r="H236" s="123" t="s">
        <v>379</v>
      </c>
      <c r="I236" s="516" t="s">
        <v>364</v>
      </c>
      <c r="J236" s="244">
        <v>116.80800000000001</v>
      </c>
      <c r="K236" s="246"/>
      <c r="L236" s="282"/>
      <c r="M236" s="244">
        <v>106.176</v>
      </c>
      <c r="N236" s="246"/>
      <c r="O236" s="282"/>
      <c r="P236" s="244">
        <v>119.04</v>
      </c>
      <c r="Q236" s="246"/>
      <c r="R236" s="282"/>
      <c r="S236" s="244">
        <v>105.7824</v>
      </c>
      <c r="T236" s="246"/>
      <c r="U236" s="282"/>
      <c r="V236" s="244">
        <v>112.34399999999999</v>
      </c>
      <c r="W236" s="246"/>
      <c r="X236" s="282"/>
      <c r="Y236" s="244">
        <v>108.72</v>
      </c>
      <c r="Z236" s="246"/>
      <c r="AA236" s="282"/>
      <c r="AB236" s="244">
        <v>112.34399999999999</v>
      </c>
      <c r="AC236" s="246"/>
      <c r="AD236" s="282"/>
      <c r="AE236" s="244">
        <v>92.376000000000005</v>
      </c>
      <c r="AF236" s="246"/>
      <c r="AG236" s="282"/>
      <c r="AH236" s="244">
        <v>69.566399999999987</v>
      </c>
      <c r="AI236" s="246"/>
      <c r="AJ236" s="282"/>
      <c r="AK236" s="244">
        <v>102.18719999999999</v>
      </c>
      <c r="AL236" s="246"/>
      <c r="AM236" s="282"/>
      <c r="AN236" s="244">
        <v>115.2</v>
      </c>
      <c r="AO236" s="246"/>
      <c r="AP236" s="282"/>
      <c r="AQ236" s="244">
        <v>119.04</v>
      </c>
      <c r="AR236" s="283"/>
      <c r="AS236" s="299"/>
      <c r="AT236" s="244">
        <f>J236+M236+P236+S236+V236+Y236+AB236+AE236+AH236+AK236+AN236+AQ236</f>
        <v>1279.5840000000001</v>
      </c>
      <c r="AU236" s="283"/>
      <c r="AV236" s="284"/>
      <c r="AW236" s="285"/>
      <c r="AX236" s="321"/>
      <c r="AY236" s="435">
        <v>1374.2358019999999</v>
      </c>
      <c r="AZ236" s="261"/>
      <c r="BA236" s="261"/>
      <c r="BB236" s="261"/>
      <c r="BC236" s="261"/>
    </row>
    <row r="237" spans="2:55">
      <c r="B237" s="179"/>
      <c r="C237" s="179"/>
      <c r="D237" s="181"/>
      <c r="E237" s="181"/>
      <c r="F237" s="181"/>
      <c r="G237" s="1110">
        <v>310146</v>
      </c>
      <c r="H237" s="123" t="s">
        <v>380</v>
      </c>
      <c r="I237" s="519" t="s">
        <v>365</v>
      </c>
      <c r="J237" s="244">
        <v>4.24</v>
      </c>
      <c r="K237" s="246"/>
      <c r="L237" s="282"/>
      <c r="M237" s="244">
        <v>3.83</v>
      </c>
      <c r="N237" s="246"/>
      <c r="O237" s="282"/>
      <c r="P237" s="244">
        <v>4.24</v>
      </c>
      <c r="Q237" s="246"/>
      <c r="R237" s="282"/>
      <c r="S237" s="244">
        <v>3.96</v>
      </c>
      <c r="T237" s="246"/>
      <c r="U237" s="282"/>
      <c r="V237" s="244">
        <v>3.75</v>
      </c>
      <c r="W237" s="246"/>
      <c r="X237" s="282"/>
      <c r="Y237" s="244">
        <v>0</v>
      </c>
      <c r="Z237" s="246"/>
      <c r="AA237" s="282"/>
      <c r="AB237" s="244">
        <v>1.73</v>
      </c>
      <c r="AC237" s="246"/>
      <c r="AD237" s="282"/>
      <c r="AE237" s="244">
        <v>3.72</v>
      </c>
      <c r="AF237" s="246"/>
      <c r="AG237" s="282"/>
      <c r="AH237" s="244">
        <v>3.6</v>
      </c>
      <c r="AI237" s="246"/>
      <c r="AJ237" s="282"/>
      <c r="AK237" s="244">
        <v>4.24</v>
      </c>
      <c r="AL237" s="246"/>
      <c r="AM237" s="282"/>
      <c r="AN237" s="244">
        <v>4.0999999999999996</v>
      </c>
      <c r="AO237" s="246"/>
      <c r="AP237" s="282"/>
      <c r="AQ237" s="244">
        <v>4.24</v>
      </c>
      <c r="AR237" s="283"/>
      <c r="AS237" s="299"/>
      <c r="AT237" s="244">
        <f t="shared" si="9"/>
        <v>41.650000000000006</v>
      </c>
      <c r="AU237" s="283"/>
      <c r="AV237" s="284"/>
      <c r="AW237" s="285"/>
      <c r="AX237" s="321"/>
      <c r="AY237" s="435">
        <v>37.510848000000003</v>
      </c>
      <c r="AZ237" s="261"/>
      <c r="BA237" s="261"/>
      <c r="BB237" s="261"/>
      <c r="BC237" s="261"/>
    </row>
    <row r="238" spans="2:55">
      <c r="B238" s="179"/>
      <c r="C238" s="179"/>
      <c r="D238" s="181"/>
      <c r="E238" s="181"/>
      <c r="F238" s="181"/>
      <c r="G238" s="1110"/>
      <c r="H238" s="137" t="s">
        <v>381</v>
      </c>
      <c r="I238" s="516" t="s">
        <v>364</v>
      </c>
      <c r="J238" s="238">
        <f>J239+J240</f>
        <v>156.27000000000001</v>
      </c>
      <c r="K238" s="256"/>
      <c r="L238" s="302"/>
      <c r="M238" s="314">
        <f>M239+M240</f>
        <v>146.18799999999999</v>
      </c>
      <c r="N238" s="256"/>
      <c r="O238" s="302"/>
      <c r="P238" s="314">
        <f>P239+P240</f>
        <v>149.24600000000001</v>
      </c>
      <c r="Q238" s="256"/>
      <c r="R238" s="302"/>
      <c r="S238" s="314">
        <f>S239+S240</f>
        <v>147.773</v>
      </c>
      <c r="T238" s="256"/>
      <c r="U238" s="302"/>
      <c r="V238" s="314">
        <f>V239+V240</f>
        <v>116.06400000000001</v>
      </c>
      <c r="W238" s="256"/>
      <c r="X238" s="302"/>
      <c r="Y238" s="314">
        <f>Y239+Y240</f>
        <v>100.512</v>
      </c>
      <c r="Z238" s="256"/>
      <c r="AA238" s="302"/>
      <c r="AB238" s="314">
        <f>AB239+AB240</f>
        <v>143.99199999999999</v>
      </c>
      <c r="AC238" s="256"/>
      <c r="AD238" s="302"/>
      <c r="AE238" s="314">
        <f>AE239+AE240</f>
        <v>150.11099999999999</v>
      </c>
      <c r="AF238" s="256"/>
      <c r="AG238" s="302"/>
      <c r="AH238" s="314">
        <f>AH239+AH240</f>
        <v>108.72</v>
      </c>
      <c r="AI238" s="256"/>
      <c r="AJ238" s="302"/>
      <c r="AK238" s="314">
        <f>AK239+AK240</f>
        <v>159.75200000000001</v>
      </c>
      <c r="AL238" s="256"/>
      <c r="AM238" s="302"/>
      <c r="AN238" s="314">
        <f>AN239+AN240</f>
        <v>154.12099999999998</v>
      </c>
      <c r="AO238" s="256"/>
      <c r="AP238" s="302"/>
      <c r="AQ238" s="314">
        <f>AQ239+AQ240</f>
        <v>158.881</v>
      </c>
      <c r="AR238" s="256"/>
      <c r="AS238" s="302"/>
      <c r="AT238" s="314">
        <f>AT239+AT240</f>
        <v>1691.63</v>
      </c>
      <c r="AU238" s="256"/>
      <c r="AV238" s="315"/>
      <c r="AW238" s="226"/>
      <c r="AX238" s="340"/>
      <c r="AY238" s="888">
        <v>1716.717907</v>
      </c>
      <c r="AZ238" s="261"/>
      <c r="BA238" s="261"/>
      <c r="BB238" s="261"/>
      <c r="BC238" s="261"/>
    </row>
    <row r="239" spans="2:55">
      <c r="B239" s="179"/>
      <c r="C239" s="179"/>
      <c r="D239" s="181"/>
      <c r="E239" s="181"/>
      <c r="F239" s="181"/>
      <c r="G239" s="1211">
        <v>710122</v>
      </c>
      <c r="H239" s="123" t="s">
        <v>382</v>
      </c>
      <c r="I239" s="123"/>
      <c r="J239" s="244">
        <v>76.811000000000007</v>
      </c>
      <c r="K239" s="246"/>
      <c r="L239" s="282"/>
      <c r="M239" s="244">
        <v>71.855000000000004</v>
      </c>
      <c r="N239" s="246"/>
      <c r="O239" s="282"/>
      <c r="P239" s="244">
        <v>73.358000000000004</v>
      </c>
      <c r="Q239" s="246"/>
      <c r="R239" s="282"/>
      <c r="S239" s="244">
        <v>74.332999999999998</v>
      </c>
      <c r="T239" s="246"/>
      <c r="U239" s="282"/>
      <c r="V239" s="244">
        <v>44.64</v>
      </c>
      <c r="W239" s="246"/>
      <c r="X239" s="282"/>
      <c r="Y239" s="244">
        <v>66.816000000000003</v>
      </c>
      <c r="Z239" s="246"/>
      <c r="AA239" s="282"/>
      <c r="AB239" s="244">
        <v>71.674999999999997</v>
      </c>
      <c r="AC239" s="246"/>
      <c r="AD239" s="282"/>
      <c r="AE239" s="244">
        <v>74.222999999999999</v>
      </c>
      <c r="AF239" s="246"/>
      <c r="AG239" s="282"/>
      <c r="AH239" s="244">
        <v>54.287999999999997</v>
      </c>
      <c r="AI239" s="246"/>
      <c r="AJ239" s="282"/>
      <c r="AK239" s="244">
        <v>79.400000000000006</v>
      </c>
      <c r="AL239" s="246"/>
      <c r="AM239" s="282"/>
      <c r="AN239" s="244">
        <v>76.837999999999994</v>
      </c>
      <c r="AO239" s="246"/>
      <c r="AP239" s="282"/>
      <c r="AQ239" s="244">
        <v>77.674000000000007</v>
      </c>
      <c r="AR239" s="283"/>
      <c r="AS239" s="299"/>
      <c r="AT239" s="244">
        <f t="shared" si="9"/>
        <v>841.91099999999994</v>
      </c>
      <c r="AU239" s="283"/>
      <c r="AV239" s="284"/>
      <c r="AW239" s="285"/>
      <c r="AX239" s="321"/>
      <c r="AY239" s="435"/>
      <c r="AZ239" s="261"/>
      <c r="BA239" s="261"/>
      <c r="BB239" s="261"/>
      <c r="BC239" s="261"/>
    </row>
    <row r="240" spans="2:55">
      <c r="B240" s="179"/>
      <c r="C240" s="179"/>
      <c r="D240" s="181"/>
      <c r="E240" s="181"/>
      <c r="F240" s="181"/>
      <c r="G240" s="1211">
        <v>710114</v>
      </c>
      <c r="H240" s="123" t="s">
        <v>383</v>
      </c>
      <c r="I240" s="123"/>
      <c r="J240" s="244">
        <v>79.459000000000003</v>
      </c>
      <c r="K240" s="246"/>
      <c r="L240" s="282"/>
      <c r="M240" s="244">
        <v>74.332999999999998</v>
      </c>
      <c r="N240" s="246"/>
      <c r="O240" s="282"/>
      <c r="P240" s="244">
        <v>75.888000000000005</v>
      </c>
      <c r="Q240" s="246"/>
      <c r="R240" s="282"/>
      <c r="S240" s="244">
        <v>73.44</v>
      </c>
      <c r="T240" s="246"/>
      <c r="U240" s="282"/>
      <c r="V240" s="244">
        <v>71.424000000000007</v>
      </c>
      <c r="W240" s="246"/>
      <c r="X240" s="282"/>
      <c r="Y240" s="244">
        <v>33.695999999999998</v>
      </c>
      <c r="Z240" s="246"/>
      <c r="AA240" s="282"/>
      <c r="AB240" s="244">
        <v>72.316999999999993</v>
      </c>
      <c r="AC240" s="246"/>
      <c r="AD240" s="282"/>
      <c r="AE240" s="244">
        <v>75.888000000000005</v>
      </c>
      <c r="AF240" s="246"/>
      <c r="AG240" s="282"/>
      <c r="AH240" s="244">
        <v>54.432000000000002</v>
      </c>
      <c r="AI240" s="246"/>
      <c r="AJ240" s="282"/>
      <c r="AK240" s="244">
        <v>80.352000000000004</v>
      </c>
      <c r="AL240" s="246"/>
      <c r="AM240" s="282"/>
      <c r="AN240" s="244">
        <v>77.283000000000001</v>
      </c>
      <c r="AO240" s="246"/>
      <c r="AP240" s="282"/>
      <c r="AQ240" s="244">
        <v>81.206999999999994</v>
      </c>
      <c r="AR240" s="283"/>
      <c r="AS240" s="299"/>
      <c r="AT240" s="244">
        <f t="shared" si="9"/>
        <v>849.71900000000005</v>
      </c>
      <c r="AU240" s="283"/>
      <c r="AV240" s="284"/>
      <c r="AW240" s="285"/>
      <c r="AX240" s="321"/>
      <c r="AY240" s="435"/>
      <c r="AZ240" s="261"/>
      <c r="BA240" s="261"/>
      <c r="BB240" s="261"/>
      <c r="BC240" s="261"/>
    </row>
    <row r="241" spans="2:55">
      <c r="B241" s="179"/>
      <c r="C241" s="179"/>
      <c r="D241" s="181"/>
      <c r="E241" s="181"/>
      <c r="F241" s="181"/>
      <c r="G241" s="1110">
        <v>710180</v>
      </c>
      <c r="H241" s="123" t="s">
        <v>1077</v>
      </c>
      <c r="I241" s="519" t="s">
        <v>365</v>
      </c>
      <c r="J241" s="244">
        <v>0</v>
      </c>
      <c r="K241" s="246"/>
      <c r="L241" s="282"/>
      <c r="M241" s="244">
        <v>0</v>
      </c>
      <c r="N241" s="246"/>
      <c r="O241" s="282"/>
      <c r="P241" s="244">
        <v>0</v>
      </c>
      <c r="Q241" s="246"/>
      <c r="R241" s="282"/>
      <c r="S241" s="244">
        <v>0</v>
      </c>
      <c r="T241" s="246"/>
      <c r="U241" s="282"/>
      <c r="V241" s="244">
        <v>0</v>
      </c>
      <c r="W241" s="246"/>
      <c r="X241" s="282"/>
      <c r="Y241" s="244">
        <v>0</v>
      </c>
      <c r="Z241" s="246"/>
      <c r="AA241" s="282"/>
      <c r="AB241" s="244">
        <v>0</v>
      </c>
      <c r="AC241" s="246"/>
      <c r="AD241" s="282"/>
      <c r="AE241" s="244">
        <v>0</v>
      </c>
      <c r="AF241" s="246"/>
      <c r="AG241" s="282"/>
      <c r="AH241" s="244">
        <v>0</v>
      </c>
      <c r="AI241" s="246"/>
      <c r="AJ241" s="282"/>
      <c r="AK241" s="244">
        <v>0</v>
      </c>
      <c r="AL241" s="246"/>
      <c r="AM241" s="282"/>
      <c r="AN241" s="244">
        <v>0</v>
      </c>
      <c r="AO241" s="246"/>
      <c r="AP241" s="282"/>
      <c r="AQ241" s="244">
        <v>0</v>
      </c>
      <c r="AR241" s="283"/>
      <c r="AS241" s="299"/>
      <c r="AT241" s="244">
        <f t="shared" si="9"/>
        <v>0</v>
      </c>
      <c r="AU241" s="283"/>
      <c r="AV241" s="284"/>
      <c r="AW241" s="285"/>
      <c r="AX241" s="321"/>
      <c r="AY241" s="435">
        <v>0</v>
      </c>
      <c r="AZ241" s="261"/>
      <c r="BA241" s="261"/>
      <c r="BB241" s="261"/>
      <c r="BC241" s="261"/>
    </row>
    <row r="242" spans="2:55">
      <c r="B242" s="179"/>
      <c r="C242" s="179"/>
      <c r="D242" s="181"/>
      <c r="E242" s="181"/>
      <c r="F242" s="181"/>
      <c r="G242" s="1110">
        <v>710118</v>
      </c>
      <c r="H242" s="123" t="s">
        <v>384</v>
      </c>
      <c r="I242" s="519" t="s">
        <v>365</v>
      </c>
      <c r="J242" s="244">
        <v>45.785760000000003</v>
      </c>
      <c r="K242" s="246"/>
      <c r="L242" s="282"/>
      <c r="M242" s="244">
        <v>41.354879999999994</v>
      </c>
      <c r="N242" s="246"/>
      <c r="O242" s="282"/>
      <c r="P242" s="244">
        <v>40.101599999999998</v>
      </c>
      <c r="Q242" s="246"/>
      <c r="R242" s="282"/>
      <c r="S242" s="244">
        <v>32.824800000000003</v>
      </c>
      <c r="T242" s="246"/>
      <c r="U242" s="282"/>
      <c r="V242" s="244">
        <v>0</v>
      </c>
      <c r="W242" s="246"/>
      <c r="X242" s="282"/>
      <c r="Y242" s="244">
        <v>0</v>
      </c>
      <c r="Z242" s="246"/>
      <c r="AA242" s="282"/>
      <c r="AB242" s="244">
        <v>0</v>
      </c>
      <c r="AC242" s="246"/>
      <c r="AD242" s="282"/>
      <c r="AE242" s="244">
        <v>0</v>
      </c>
      <c r="AF242" s="246"/>
      <c r="AG242" s="282"/>
      <c r="AH242" s="244">
        <v>0</v>
      </c>
      <c r="AI242" s="246"/>
      <c r="AJ242" s="282"/>
      <c r="AK242" s="244">
        <v>32.82</v>
      </c>
      <c r="AL242" s="246"/>
      <c r="AM242" s="282"/>
      <c r="AN242" s="244">
        <v>36.107999999999997</v>
      </c>
      <c r="AO242" s="246"/>
      <c r="AP242" s="282"/>
      <c r="AQ242" s="244">
        <v>33.918960000000006</v>
      </c>
      <c r="AR242" s="283"/>
      <c r="AS242" s="299"/>
      <c r="AT242" s="244">
        <f t="shared" si="9"/>
        <v>262.91399999999999</v>
      </c>
      <c r="AU242" s="283"/>
      <c r="AV242" s="284"/>
      <c r="AW242" s="285"/>
      <c r="AX242" s="321"/>
      <c r="AY242" s="435">
        <v>0</v>
      </c>
      <c r="AZ242" s="261"/>
      <c r="BA242" s="261"/>
      <c r="BB242" s="261"/>
      <c r="BC242" s="261"/>
    </row>
    <row r="243" spans="2:55">
      <c r="B243" s="179"/>
      <c r="C243" s="179"/>
      <c r="D243" s="181"/>
      <c r="E243" s="181"/>
      <c r="F243" s="181"/>
      <c r="G243" s="1110">
        <v>310140</v>
      </c>
      <c r="H243" s="123" t="s">
        <v>309</v>
      </c>
      <c r="I243" s="519" t="s">
        <v>365</v>
      </c>
      <c r="J243" s="244">
        <v>0</v>
      </c>
      <c r="K243" s="246"/>
      <c r="L243" s="282"/>
      <c r="M243" s="244">
        <v>0</v>
      </c>
      <c r="N243" s="246"/>
      <c r="O243" s="282"/>
      <c r="P243" s="244">
        <v>0</v>
      </c>
      <c r="Q243" s="246"/>
      <c r="R243" s="282"/>
      <c r="S243" s="244">
        <v>0</v>
      </c>
      <c r="T243" s="246"/>
      <c r="U243" s="282"/>
      <c r="V243" s="244">
        <v>0</v>
      </c>
      <c r="W243" s="246"/>
      <c r="X243" s="282"/>
      <c r="Y243" s="244">
        <v>0</v>
      </c>
      <c r="Z243" s="246"/>
      <c r="AA243" s="282"/>
      <c r="AB243" s="244">
        <v>0</v>
      </c>
      <c r="AC243" s="246"/>
      <c r="AD243" s="282"/>
      <c r="AE243" s="244">
        <v>0</v>
      </c>
      <c r="AF243" s="246"/>
      <c r="AG243" s="282"/>
      <c r="AH243" s="244">
        <v>0</v>
      </c>
      <c r="AI243" s="246"/>
      <c r="AJ243" s="282"/>
      <c r="AK243" s="244">
        <v>0</v>
      </c>
      <c r="AL243" s="246"/>
      <c r="AM243" s="282"/>
      <c r="AN243" s="244">
        <v>0</v>
      </c>
      <c r="AO243" s="246"/>
      <c r="AP243" s="282"/>
      <c r="AQ243" s="244">
        <v>0</v>
      </c>
      <c r="AR243" s="283"/>
      <c r="AS243" s="299"/>
      <c r="AT243" s="244">
        <f t="shared" si="9"/>
        <v>0</v>
      </c>
      <c r="AU243" s="283"/>
      <c r="AV243" s="284"/>
      <c r="AW243" s="285"/>
      <c r="AX243" s="321"/>
      <c r="AY243" s="435">
        <v>0</v>
      </c>
      <c r="AZ243" s="261"/>
      <c r="BA243" s="261"/>
      <c r="BB243" s="261"/>
      <c r="BC243" s="261"/>
    </row>
    <row r="244" spans="2:55">
      <c r="B244" s="179"/>
      <c r="C244" s="179"/>
      <c r="D244" s="181"/>
      <c r="E244" s="181"/>
      <c r="F244" s="181"/>
      <c r="G244" s="1110"/>
      <c r="H244" s="138" t="s">
        <v>174</v>
      </c>
      <c r="I244" s="138"/>
      <c r="J244" s="319">
        <f>SUM(J245:J251)</f>
        <v>21.93</v>
      </c>
      <c r="K244" s="288"/>
      <c r="L244" s="289"/>
      <c r="M244" s="287">
        <f>SUM(M245:M251)</f>
        <v>21.380000000000003</v>
      </c>
      <c r="N244" s="288"/>
      <c r="O244" s="289"/>
      <c r="P244" s="287">
        <f>SUM(P245:P251)</f>
        <v>22.740000000000002</v>
      </c>
      <c r="Q244" s="288"/>
      <c r="R244" s="289"/>
      <c r="S244" s="287">
        <f>SUM(S245:S251)</f>
        <v>21.33</v>
      </c>
      <c r="T244" s="288"/>
      <c r="U244" s="289"/>
      <c r="V244" s="287">
        <f>SUM(V245:V251)</f>
        <v>21.39</v>
      </c>
      <c r="W244" s="288"/>
      <c r="X244" s="289"/>
      <c r="Y244" s="287">
        <f>SUM(Y245:Y251)</f>
        <v>21.73</v>
      </c>
      <c r="Z244" s="288"/>
      <c r="AA244" s="289"/>
      <c r="AB244" s="287">
        <f>SUM(AB245:AB251)</f>
        <v>21.6</v>
      </c>
      <c r="AC244" s="288"/>
      <c r="AD244" s="289"/>
      <c r="AE244" s="287">
        <f>SUM(AE245:AE251)</f>
        <v>20.5</v>
      </c>
      <c r="AF244" s="288"/>
      <c r="AG244" s="289"/>
      <c r="AH244" s="287">
        <f>SUM(AH245:AH251)</f>
        <v>21</v>
      </c>
      <c r="AI244" s="288"/>
      <c r="AJ244" s="289"/>
      <c r="AK244" s="287">
        <f>SUM(AK245:AK251)</f>
        <v>21.1</v>
      </c>
      <c r="AL244" s="288"/>
      <c r="AM244" s="289"/>
      <c r="AN244" s="287">
        <f>SUM(AN245:AN251)</f>
        <v>20.07</v>
      </c>
      <c r="AO244" s="288"/>
      <c r="AP244" s="289"/>
      <c r="AQ244" s="287">
        <f>SUM(AQ245:AQ251)</f>
        <v>21.57</v>
      </c>
      <c r="AR244" s="288"/>
      <c r="AS244" s="289"/>
      <c r="AT244" s="287">
        <f>SUM(AT245:AT251)</f>
        <v>256.34000000000003</v>
      </c>
      <c r="AU244" s="288"/>
      <c r="AV244" s="290"/>
      <c r="AW244" s="285"/>
      <c r="AX244" s="296"/>
      <c r="AY244" s="436">
        <v>424.00904700000001</v>
      </c>
      <c r="AZ244" s="261"/>
      <c r="BA244" s="261"/>
      <c r="BB244" s="261"/>
      <c r="BC244" s="261"/>
    </row>
    <row r="245" spans="2:55">
      <c r="B245" s="179"/>
      <c r="C245" s="179"/>
      <c r="D245" s="181"/>
      <c r="E245" s="181"/>
      <c r="F245" s="181"/>
      <c r="G245" s="1110">
        <v>530063</v>
      </c>
      <c r="H245" s="135" t="s">
        <v>1471</v>
      </c>
      <c r="I245" s="518" t="s">
        <v>365</v>
      </c>
      <c r="J245" s="294">
        <v>0</v>
      </c>
      <c r="K245" s="288"/>
      <c r="L245" s="289"/>
      <c r="M245" s="294">
        <v>0</v>
      </c>
      <c r="N245" s="288"/>
      <c r="O245" s="289"/>
      <c r="P245" s="294">
        <v>0</v>
      </c>
      <c r="Q245" s="288"/>
      <c r="R245" s="289"/>
      <c r="S245" s="294">
        <v>0</v>
      </c>
      <c r="T245" s="288"/>
      <c r="U245" s="289"/>
      <c r="V245" s="294">
        <v>0</v>
      </c>
      <c r="W245" s="288"/>
      <c r="X245" s="289"/>
      <c r="Y245" s="294">
        <v>0</v>
      </c>
      <c r="Z245" s="288"/>
      <c r="AA245" s="289"/>
      <c r="AB245" s="294">
        <v>0</v>
      </c>
      <c r="AC245" s="288"/>
      <c r="AD245" s="289"/>
      <c r="AE245" s="294">
        <v>0</v>
      </c>
      <c r="AF245" s="288"/>
      <c r="AG245" s="289"/>
      <c r="AH245" s="294">
        <v>0</v>
      </c>
      <c r="AI245" s="288"/>
      <c r="AJ245" s="289"/>
      <c r="AK245" s="294">
        <v>0</v>
      </c>
      <c r="AL245" s="288"/>
      <c r="AM245" s="289"/>
      <c r="AN245" s="294">
        <v>0</v>
      </c>
      <c r="AO245" s="288"/>
      <c r="AP245" s="289"/>
      <c r="AQ245" s="294">
        <v>0</v>
      </c>
      <c r="AR245" s="288"/>
      <c r="AS245" s="289"/>
      <c r="AT245" s="294">
        <f t="shared" si="9"/>
        <v>0</v>
      </c>
      <c r="AU245" s="288"/>
      <c r="AV245" s="290"/>
      <c r="AW245" s="285"/>
      <c r="AX245" s="296"/>
      <c r="AY245" s="313"/>
      <c r="AZ245" s="261"/>
      <c r="BA245" s="261"/>
      <c r="BB245" s="261"/>
      <c r="BC245" s="261"/>
    </row>
    <row r="246" spans="2:55">
      <c r="B246" s="179"/>
      <c r="C246" s="179"/>
      <c r="D246" s="181"/>
      <c r="E246" s="181"/>
      <c r="F246" s="181"/>
      <c r="G246" s="1110">
        <v>530047</v>
      </c>
      <c r="H246" s="135" t="s">
        <v>1472</v>
      </c>
      <c r="I246" s="518" t="s">
        <v>365</v>
      </c>
      <c r="J246" s="294">
        <v>0</v>
      </c>
      <c r="K246" s="288"/>
      <c r="L246" s="289"/>
      <c r="M246" s="294">
        <v>0</v>
      </c>
      <c r="N246" s="288"/>
      <c r="O246" s="289"/>
      <c r="P246" s="294">
        <v>0</v>
      </c>
      <c r="Q246" s="288"/>
      <c r="R246" s="289"/>
      <c r="S246" s="294">
        <v>0</v>
      </c>
      <c r="T246" s="288"/>
      <c r="U246" s="289"/>
      <c r="V246" s="294">
        <v>0</v>
      </c>
      <c r="W246" s="288"/>
      <c r="X246" s="289"/>
      <c r="Y246" s="294">
        <v>0</v>
      </c>
      <c r="Z246" s="288"/>
      <c r="AA246" s="289"/>
      <c r="AB246" s="294">
        <v>0</v>
      </c>
      <c r="AC246" s="288"/>
      <c r="AD246" s="289"/>
      <c r="AE246" s="294">
        <v>0</v>
      </c>
      <c r="AF246" s="288"/>
      <c r="AG246" s="289"/>
      <c r="AH246" s="294">
        <v>0</v>
      </c>
      <c r="AI246" s="288"/>
      <c r="AJ246" s="289"/>
      <c r="AK246" s="294">
        <v>0</v>
      </c>
      <c r="AL246" s="288"/>
      <c r="AM246" s="289"/>
      <c r="AN246" s="294">
        <v>0</v>
      </c>
      <c r="AO246" s="288"/>
      <c r="AP246" s="289"/>
      <c r="AQ246" s="294">
        <v>0</v>
      </c>
      <c r="AR246" s="288"/>
      <c r="AS246" s="289"/>
      <c r="AT246" s="294">
        <f t="shared" si="9"/>
        <v>0</v>
      </c>
      <c r="AU246" s="288"/>
      <c r="AV246" s="290"/>
      <c r="AW246" s="285"/>
      <c r="AX246" s="296"/>
      <c r="AY246" s="313"/>
      <c r="AZ246" s="261"/>
      <c r="BA246" s="261"/>
      <c r="BB246" s="261"/>
      <c r="BC246" s="261"/>
    </row>
    <row r="247" spans="2:55">
      <c r="B247" s="179"/>
      <c r="C247" s="179"/>
      <c r="D247" s="181"/>
      <c r="E247" s="181"/>
      <c r="F247" s="181"/>
      <c r="G247" s="1110">
        <v>530054</v>
      </c>
      <c r="H247" s="135" t="s">
        <v>1078</v>
      </c>
      <c r="I247" s="518" t="s">
        <v>365</v>
      </c>
      <c r="J247" s="294">
        <v>3.85</v>
      </c>
      <c r="K247" s="288"/>
      <c r="L247" s="289"/>
      <c r="M247" s="294">
        <v>5.0999999999999996</v>
      </c>
      <c r="N247" s="288"/>
      <c r="O247" s="289"/>
      <c r="P247" s="294">
        <v>5.0999999999999996</v>
      </c>
      <c r="Q247" s="288"/>
      <c r="R247" s="289"/>
      <c r="S247" s="294">
        <v>5.0999999999999996</v>
      </c>
      <c r="T247" s="288"/>
      <c r="U247" s="289"/>
      <c r="V247" s="294">
        <v>5.5</v>
      </c>
      <c r="W247" s="288"/>
      <c r="X247" s="289"/>
      <c r="Y247" s="294">
        <v>5.5</v>
      </c>
      <c r="Z247" s="288"/>
      <c r="AA247" s="289"/>
      <c r="AB247" s="294">
        <v>5.5</v>
      </c>
      <c r="AC247" s="288"/>
      <c r="AD247" s="289"/>
      <c r="AE247" s="294">
        <v>4.4000000000000004</v>
      </c>
      <c r="AF247" s="288"/>
      <c r="AG247" s="289"/>
      <c r="AH247" s="294">
        <v>4.4000000000000004</v>
      </c>
      <c r="AI247" s="288"/>
      <c r="AJ247" s="289"/>
      <c r="AK247" s="294">
        <v>4.4000000000000004</v>
      </c>
      <c r="AL247" s="288"/>
      <c r="AM247" s="289"/>
      <c r="AN247" s="294">
        <v>3.2</v>
      </c>
      <c r="AO247" s="288"/>
      <c r="AP247" s="289"/>
      <c r="AQ247" s="294">
        <v>3.95</v>
      </c>
      <c r="AR247" s="288"/>
      <c r="AS247" s="289"/>
      <c r="AT247" s="294">
        <f t="shared" si="9"/>
        <v>56</v>
      </c>
      <c r="AU247" s="288"/>
      <c r="AV247" s="290"/>
      <c r="AW247" s="285"/>
      <c r="AX247" s="296"/>
      <c r="AY247" s="313"/>
      <c r="AZ247" s="261"/>
      <c r="BA247" s="261"/>
      <c r="BB247" s="261"/>
      <c r="BC247" s="261"/>
    </row>
    <row r="248" spans="2:55">
      <c r="B248" s="179"/>
      <c r="C248" s="179"/>
      <c r="D248" s="181"/>
      <c r="E248" s="181"/>
      <c r="F248" s="181"/>
      <c r="G248" s="1110">
        <v>530055</v>
      </c>
      <c r="H248" s="135" t="s">
        <v>1473</v>
      </c>
      <c r="I248" s="518" t="s">
        <v>365</v>
      </c>
      <c r="J248" s="294">
        <v>4.68</v>
      </c>
      <c r="K248" s="288"/>
      <c r="L248" s="289"/>
      <c r="M248" s="294">
        <v>4.38</v>
      </c>
      <c r="N248" s="288"/>
      <c r="O248" s="289"/>
      <c r="P248" s="294">
        <v>4.76</v>
      </c>
      <c r="Q248" s="288"/>
      <c r="R248" s="289"/>
      <c r="S248" s="294">
        <v>4.75</v>
      </c>
      <c r="T248" s="288"/>
      <c r="U248" s="289"/>
      <c r="V248" s="294">
        <v>4.03</v>
      </c>
      <c r="W248" s="288"/>
      <c r="X248" s="289"/>
      <c r="Y248" s="294">
        <v>5.17</v>
      </c>
      <c r="Z248" s="288"/>
      <c r="AA248" s="289"/>
      <c r="AB248" s="294">
        <v>5.24</v>
      </c>
      <c r="AC248" s="288"/>
      <c r="AD248" s="289"/>
      <c r="AE248" s="294">
        <v>5.24</v>
      </c>
      <c r="AF248" s="288"/>
      <c r="AG248" s="289"/>
      <c r="AH248" s="294">
        <v>5.04</v>
      </c>
      <c r="AI248" s="288"/>
      <c r="AJ248" s="289"/>
      <c r="AK248" s="294">
        <v>4.76</v>
      </c>
      <c r="AL248" s="288"/>
      <c r="AM248" s="289"/>
      <c r="AN248" s="294">
        <v>4.53</v>
      </c>
      <c r="AO248" s="288"/>
      <c r="AP248" s="289"/>
      <c r="AQ248" s="294">
        <v>4.68</v>
      </c>
      <c r="AR248" s="288"/>
      <c r="AS248" s="289"/>
      <c r="AT248" s="294">
        <f t="shared" si="9"/>
        <v>57.260000000000005</v>
      </c>
      <c r="AU248" s="288"/>
      <c r="AV248" s="290"/>
      <c r="AW248" s="285"/>
      <c r="AX248" s="296"/>
      <c r="AY248" s="313"/>
      <c r="AZ248" s="261"/>
      <c r="BA248" s="261"/>
      <c r="BB248" s="261"/>
      <c r="BC248" s="261"/>
    </row>
    <row r="249" spans="2:55">
      <c r="B249" s="179"/>
      <c r="C249" s="179"/>
      <c r="D249" s="181"/>
      <c r="E249" s="181"/>
      <c r="F249" s="181"/>
      <c r="G249" s="1110">
        <v>530056</v>
      </c>
      <c r="H249" s="135" t="s">
        <v>1474</v>
      </c>
      <c r="I249" s="518" t="s">
        <v>365</v>
      </c>
      <c r="J249" s="294">
        <v>7.23</v>
      </c>
      <c r="K249" s="288"/>
      <c r="L249" s="289"/>
      <c r="M249" s="294">
        <v>6.53</v>
      </c>
      <c r="N249" s="288"/>
      <c r="O249" s="289"/>
      <c r="P249" s="294">
        <v>7.17</v>
      </c>
      <c r="Q249" s="288"/>
      <c r="R249" s="289"/>
      <c r="S249" s="294">
        <v>6.14</v>
      </c>
      <c r="T249" s="288"/>
      <c r="U249" s="289"/>
      <c r="V249" s="294">
        <v>6.15</v>
      </c>
      <c r="W249" s="288"/>
      <c r="X249" s="289"/>
      <c r="Y249" s="294">
        <v>5.72</v>
      </c>
      <c r="Z249" s="288"/>
      <c r="AA249" s="289"/>
      <c r="AB249" s="294">
        <v>5.15</v>
      </c>
      <c r="AC249" s="288"/>
      <c r="AD249" s="289"/>
      <c r="AE249" s="294">
        <v>5.15</v>
      </c>
      <c r="AF249" s="288"/>
      <c r="AG249" s="289"/>
      <c r="AH249" s="294">
        <v>6.22</v>
      </c>
      <c r="AI249" s="288"/>
      <c r="AJ249" s="289"/>
      <c r="AK249" s="294">
        <v>6.23</v>
      </c>
      <c r="AL249" s="288"/>
      <c r="AM249" s="289"/>
      <c r="AN249" s="294">
        <v>7</v>
      </c>
      <c r="AO249" s="288"/>
      <c r="AP249" s="289"/>
      <c r="AQ249" s="294">
        <v>7.23</v>
      </c>
      <c r="AR249" s="288"/>
      <c r="AS249" s="289"/>
      <c r="AT249" s="294">
        <f t="shared" si="9"/>
        <v>75.92</v>
      </c>
      <c r="AU249" s="288"/>
      <c r="AV249" s="290"/>
      <c r="AW249" s="285"/>
      <c r="AX249" s="296"/>
      <c r="AY249" s="313"/>
      <c r="AZ249" s="261"/>
      <c r="BA249" s="261"/>
      <c r="BB249" s="261"/>
      <c r="BC249" s="261"/>
    </row>
    <row r="250" spans="2:55">
      <c r="B250" s="179"/>
      <c r="C250" s="179"/>
      <c r="D250" s="181"/>
      <c r="E250" s="181"/>
      <c r="F250" s="181"/>
      <c r="G250" s="1110">
        <v>710149</v>
      </c>
      <c r="H250" s="135" t="s">
        <v>1475</v>
      </c>
      <c r="I250" s="518" t="s">
        <v>365</v>
      </c>
      <c r="J250" s="294">
        <v>0</v>
      </c>
      <c r="K250" s="288"/>
      <c r="L250" s="289"/>
      <c r="M250" s="294">
        <v>0</v>
      </c>
      <c r="N250" s="288"/>
      <c r="O250" s="289"/>
      <c r="P250" s="294">
        <v>0</v>
      </c>
      <c r="Q250" s="288"/>
      <c r="R250" s="289"/>
      <c r="S250" s="294">
        <v>0</v>
      </c>
      <c r="T250" s="288"/>
      <c r="U250" s="289"/>
      <c r="V250" s="294">
        <v>0</v>
      </c>
      <c r="W250" s="288"/>
      <c r="X250" s="289"/>
      <c r="Y250" s="294">
        <v>0</v>
      </c>
      <c r="Z250" s="288"/>
      <c r="AA250" s="289"/>
      <c r="AB250" s="294">
        <v>0</v>
      </c>
      <c r="AC250" s="288"/>
      <c r="AD250" s="289"/>
      <c r="AE250" s="294">
        <v>0</v>
      </c>
      <c r="AF250" s="288"/>
      <c r="AG250" s="289"/>
      <c r="AH250" s="294">
        <v>0</v>
      </c>
      <c r="AI250" s="288"/>
      <c r="AJ250" s="289"/>
      <c r="AK250" s="294">
        <v>0</v>
      </c>
      <c r="AL250" s="288"/>
      <c r="AM250" s="289"/>
      <c r="AN250" s="294">
        <v>0</v>
      </c>
      <c r="AO250" s="288"/>
      <c r="AP250" s="289"/>
      <c r="AQ250" s="294">
        <v>0</v>
      </c>
      <c r="AR250" s="288"/>
      <c r="AS250" s="289"/>
      <c r="AT250" s="294">
        <f t="shared" si="9"/>
        <v>0</v>
      </c>
      <c r="AU250" s="288"/>
      <c r="AV250" s="290"/>
      <c r="AW250" s="285"/>
      <c r="AX250" s="296"/>
      <c r="AY250" s="313"/>
      <c r="AZ250" s="261"/>
      <c r="BA250" s="261"/>
      <c r="BB250" s="261"/>
      <c r="BC250" s="261"/>
    </row>
    <row r="251" spans="2:55">
      <c r="B251" s="179"/>
      <c r="C251" s="179"/>
      <c r="D251" s="181"/>
      <c r="E251" s="181"/>
      <c r="F251" s="181"/>
      <c r="G251" s="1110">
        <v>530057</v>
      </c>
      <c r="H251" s="135" t="s">
        <v>1476</v>
      </c>
      <c r="I251" s="518" t="s">
        <v>365</v>
      </c>
      <c r="J251" s="294">
        <v>6.17</v>
      </c>
      <c r="K251" s="288"/>
      <c r="L251" s="289"/>
      <c r="M251" s="294">
        <v>5.37</v>
      </c>
      <c r="N251" s="288"/>
      <c r="O251" s="289"/>
      <c r="P251" s="294">
        <v>5.71</v>
      </c>
      <c r="Q251" s="288"/>
      <c r="R251" s="289"/>
      <c r="S251" s="294">
        <v>5.34</v>
      </c>
      <c r="T251" s="288"/>
      <c r="U251" s="289"/>
      <c r="V251" s="294">
        <v>5.71</v>
      </c>
      <c r="W251" s="288"/>
      <c r="X251" s="289"/>
      <c r="Y251" s="294">
        <v>5.34</v>
      </c>
      <c r="Z251" s="288"/>
      <c r="AA251" s="289"/>
      <c r="AB251" s="294">
        <v>5.71</v>
      </c>
      <c r="AC251" s="288"/>
      <c r="AD251" s="289"/>
      <c r="AE251" s="294">
        <v>5.71</v>
      </c>
      <c r="AF251" s="288"/>
      <c r="AG251" s="289"/>
      <c r="AH251" s="294">
        <v>5.34</v>
      </c>
      <c r="AI251" s="288"/>
      <c r="AJ251" s="289"/>
      <c r="AK251" s="294">
        <v>5.71</v>
      </c>
      <c r="AL251" s="288"/>
      <c r="AM251" s="289"/>
      <c r="AN251" s="294">
        <v>5.34</v>
      </c>
      <c r="AO251" s="288"/>
      <c r="AP251" s="289"/>
      <c r="AQ251" s="294">
        <v>5.71</v>
      </c>
      <c r="AR251" s="288"/>
      <c r="AS251" s="289"/>
      <c r="AT251" s="294">
        <f t="shared" si="9"/>
        <v>67.16</v>
      </c>
      <c r="AU251" s="288"/>
      <c r="AV251" s="290"/>
      <c r="AW251" s="285"/>
      <c r="AX251" s="296"/>
      <c r="AY251" s="313"/>
      <c r="AZ251" s="261"/>
      <c r="BA251" s="261"/>
      <c r="BB251" s="261"/>
      <c r="BC251" s="261"/>
    </row>
    <row r="252" spans="2:55">
      <c r="B252" s="179"/>
      <c r="C252" s="179"/>
      <c r="D252" s="181"/>
      <c r="E252" s="181"/>
      <c r="F252" s="181"/>
      <c r="G252" s="181"/>
      <c r="H252" s="108" t="s">
        <v>179</v>
      </c>
      <c r="I252" s="108"/>
      <c r="J252" s="277">
        <f>SUM(J253:J255)</f>
        <v>1844.7698015624999</v>
      </c>
      <c r="K252" s="275"/>
      <c r="L252" s="276">
        <f>Потребление!D21</f>
        <v>5439.0656996207053</v>
      </c>
      <c r="M252" s="277">
        <f>SUM(M253:M255)</f>
        <v>1923.3422297475001</v>
      </c>
      <c r="N252" s="275"/>
      <c r="O252" s="276">
        <f>Потребление!E21</f>
        <v>5175.5135605057494</v>
      </c>
      <c r="P252" s="277">
        <f>SUM(P253:P255)</f>
        <v>1669.9995427199999</v>
      </c>
      <c r="Q252" s="275"/>
      <c r="R252" s="276">
        <f>Потребление!F21</f>
        <v>5112.0972065445194</v>
      </c>
      <c r="S252" s="277">
        <f>SUM(S253:S255)</f>
        <v>1618.4900565450002</v>
      </c>
      <c r="T252" s="275"/>
      <c r="U252" s="276">
        <f>Потребление!G21</f>
        <v>4443.0753638399656</v>
      </c>
      <c r="V252" s="277">
        <f>SUM(V253:V255)</f>
        <v>1499.900957300001</v>
      </c>
      <c r="W252" s="275"/>
      <c r="X252" s="276">
        <f>Потребление!H21</f>
        <v>4016.7022637322557</v>
      </c>
      <c r="Y252" s="277">
        <f>SUM(Y253:Y255)</f>
        <v>1452.6487936850099</v>
      </c>
      <c r="Z252" s="275"/>
      <c r="AA252" s="276">
        <f>Потребление!I21</f>
        <v>3821.3501922238279</v>
      </c>
      <c r="AB252" s="277">
        <f>SUM(AB253:AB255)</f>
        <v>1409.4945848999998</v>
      </c>
      <c r="AC252" s="275"/>
      <c r="AD252" s="276">
        <f>Потребление!J21</f>
        <v>3856.0505195478108</v>
      </c>
      <c r="AE252" s="277">
        <f>SUM(AE253:AE255)</f>
        <v>1637.5838812999998</v>
      </c>
      <c r="AF252" s="275"/>
      <c r="AG252" s="276">
        <f>Потребление!K21</f>
        <v>3894.8836928408737</v>
      </c>
      <c r="AH252" s="277">
        <f>SUM(AH253:AH255)</f>
        <v>1636.646428435</v>
      </c>
      <c r="AI252" s="275"/>
      <c r="AJ252" s="276">
        <f>Потребление!L21</f>
        <v>4083.2602454355092</v>
      </c>
      <c r="AK252" s="277">
        <f>SUM(AK253:AK255)</f>
        <v>1670.2414795500001</v>
      </c>
      <c r="AL252" s="275"/>
      <c r="AM252" s="276">
        <f>Потребление!M21</f>
        <v>4879.3004842540977</v>
      </c>
      <c r="AN252" s="277">
        <f>SUM(AN253:AN255)</f>
        <v>1630.3582279349998</v>
      </c>
      <c r="AO252" s="275"/>
      <c r="AP252" s="276">
        <f>Потребление!N21</f>
        <v>5161.7534679969967</v>
      </c>
      <c r="AQ252" s="277">
        <f>SUM(AQ253:AQ255)</f>
        <v>1863.5855707999999</v>
      </c>
      <c r="AR252" s="275"/>
      <c r="AS252" s="276">
        <f>Потребление!O21</f>
        <v>5504.3907256888278</v>
      </c>
      <c r="AT252" s="277">
        <f>SUM(AT253:AT255)</f>
        <v>19857.061554480009</v>
      </c>
      <c r="AU252" s="275"/>
      <c r="AV252" s="278">
        <f>L252+O252+R252+U252+X252+AA252+AD252+AG252+AJ252+AM252+AP252+AS252</f>
        <v>55387.443422231139</v>
      </c>
      <c r="AW252" s="279"/>
      <c r="AX252" s="280"/>
      <c r="AY252" s="298">
        <f>AY253+AY254+AY255</f>
        <v>19950.034828</v>
      </c>
      <c r="AZ252" s="261"/>
      <c r="BA252" s="261"/>
      <c r="BB252" s="261"/>
      <c r="BC252" s="261"/>
    </row>
    <row r="253" spans="2:55">
      <c r="B253" s="179"/>
      <c r="C253" s="179"/>
      <c r="D253" s="181"/>
      <c r="E253" s="181"/>
      <c r="F253" s="181"/>
      <c r="G253" s="181"/>
      <c r="H253" s="10" t="s">
        <v>173</v>
      </c>
      <c r="I253" s="10"/>
      <c r="J253" s="223">
        <f>SUM(J256:J262)+J266+J269+SUM(J273:J278)</f>
        <v>1647.6214</v>
      </c>
      <c r="K253" s="271"/>
      <c r="L253" s="224"/>
      <c r="M253" s="223">
        <f>SUM(M256:M262)+M266+M269+SUM(M273:M278)</f>
        <v>1743.7324000000001</v>
      </c>
      <c r="N253" s="271"/>
      <c r="O253" s="224"/>
      <c r="P253" s="223">
        <f>SUM(P256:P262)+P266+P269+SUM(P273:P278)</f>
        <v>1480.5011999999999</v>
      </c>
      <c r="Q253" s="271"/>
      <c r="R253" s="224"/>
      <c r="S253" s="223">
        <f>SUM(S256:S262)+S266+S269+SUM(S273:S278)</f>
        <v>1436.1678000000002</v>
      </c>
      <c r="T253" s="271"/>
      <c r="U253" s="224"/>
      <c r="V253" s="223">
        <f>SUM(V256:V262)+V266+V269+SUM(V273:V278)</f>
        <v>1331.1510320000011</v>
      </c>
      <c r="W253" s="271"/>
      <c r="X253" s="224"/>
      <c r="Y253" s="223">
        <f>SUM(Y256:Y262)+Y266+Y269+SUM(Y273:Y278)</f>
        <v>1295.41696000001</v>
      </c>
      <c r="Z253" s="271"/>
      <c r="AA253" s="224"/>
      <c r="AB253" s="223">
        <f>SUM(AB256:AB262)+AB266+AB269+SUM(AB273:AB278)</f>
        <v>1224.9492319999999</v>
      </c>
      <c r="AC253" s="271"/>
      <c r="AD253" s="224"/>
      <c r="AE253" s="223">
        <f>SUM(AE256:AE262)+AE266+AE269+SUM(AE273:AE278)</f>
        <v>1488.3763319999998</v>
      </c>
      <c r="AF253" s="271"/>
      <c r="AG253" s="224"/>
      <c r="AH253" s="223">
        <f>SUM(AH256:AH262)+AH266+AH269+SUM(AH273:AH278)</f>
        <v>1458.62996</v>
      </c>
      <c r="AI253" s="271"/>
      <c r="AJ253" s="224"/>
      <c r="AK253" s="223">
        <f>SUM(AK256:AK262)+AK266+AK269+SUM(AK273:AK278)</f>
        <v>1479.3439760000001</v>
      </c>
      <c r="AL253" s="271"/>
      <c r="AM253" s="224"/>
      <c r="AN253" s="223">
        <f>SUM(AN256:AN262)+AN266+AN269+SUM(AN273:AN278)</f>
        <v>1437.85268</v>
      </c>
      <c r="AO253" s="271"/>
      <c r="AP253" s="224"/>
      <c r="AQ253" s="223">
        <f>SUM(AQ256:AQ262)+AQ266+AQ269+SUM(AQ273:AQ278)</f>
        <v>1663.0257999999999</v>
      </c>
      <c r="AR253" s="271"/>
      <c r="AS253" s="224"/>
      <c r="AT253" s="223">
        <f>SUM(AT256:AT262)+AT266+AT269+SUM(AT273:AT278)</f>
        <v>17686.76877200001</v>
      </c>
      <c r="AU253" s="271"/>
      <c r="AV253" s="229"/>
      <c r="AW253" s="226"/>
      <c r="AX253" s="230"/>
      <c r="AY253" s="231">
        <f>SUM(AY256:AY262)+AY266+AY269+SUM(AY273:AY277)</f>
        <v>17869.826173000001</v>
      </c>
      <c r="AZ253" s="261"/>
      <c r="BA253" s="261"/>
      <c r="BB253" s="261"/>
      <c r="BC253" s="261"/>
    </row>
    <row r="254" spans="2:55">
      <c r="B254" s="179"/>
      <c r="C254" s="179"/>
      <c r="D254" s="181"/>
      <c r="E254" s="181"/>
      <c r="F254" s="181"/>
      <c r="G254" s="181"/>
      <c r="H254" s="10" t="s">
        <v>177</v>
      </c>
      <c r="I254" s="10"/>
      <c r="J254" s="223">
        <f>SUM(J272,J279:J280)</f>
        <v>178.82982799999999</v>
      </c>
      <c r="K254" s="271"/>
      <c r="L254" s="224"/>
      <c r="M254" s="223">
        <f>SUM(M272,M279:M280)</f>
        <v>164.091003</v>
      </c>
      <c r="N254" s="271"/>
      <c r="O254" s="224"/>
      <c r="P254" s="223">
        <f>SUM(P272,P279:P280)</f>
        <v>174.26915299999999</v>
      </c>
      <c r="Q254" s="271"/>
      <c r="R254" s="224"/>
      <c r="S254" s="223">
        <f>SUM(S272,S279:S280)</f>
        <v>169.13423</v>
      </c>
      <c r="T254" s="271"/>
      <c r="U254" s="224"/>
      <c r="V254" s="223">
        <f>SUM(V272,V279:V280)</f>
        <v>158.73238599999999</v>
      </c>
      <c r="W254" s="271"/>
      <c r="X254" s="224"/>
      <c r="Y254" s="223">
        <f>SUM(Y272,Y279:Y280)</f>
        <v>147.48983999999999</v>
      </c>
      <c r="Z254" s="271"/>
      <c r="AA254" s="224"/>
      <c r="AB254" s="223">
        <f>SUM(AB272,AB279:AB280)</f>
        <v>177.230728</v>
      </c>
      <c r="AC254" s="271"/>
      <c r="AD254" s="224"/>
      <c r="AE254" s="223">
        <f>SUM(AE272,AE279:AE280)</f>
        <v>139.07386</v>
      </c>
      <c r="AF254" s="271"/>
      <c r="AG254" s="224"/>
      <c r="AH254" s="223">
        <f>SUM(AH272,AH279:AH280)</f>
        <v>167.87289999999999</v>
      </c>
      <c r="AI254" s="271"/>
      <c r="AJ254" s="224"/>
      <c r="AK254" s="223">
        <f>SUM(AK272,AK279:AK280)</f>
        <v>179.45299</v>
      </c>
      <c r="AL254" s="271"/>
      <c r="AM254" s="224"/>
      <c r="AN254" s="223">
        <f>SUM(AN272,AN279:AN280)</f>
        <v>176.58179999999999</v>
      </c>
      <c r="AO254" s="271"/>
      <c r="AP254" s="224"/>
      <c r="AQ254" s="223">
        <f>SUM(AQ272,AQ279:AQ280)</f>
        <v>182.50074799999999</v>
      </c>
      <c r="AR254" s="271"/>
      <c r="AS254" s="224"/>
      <c r="AT254" s="223">
        <f>SUM(AT272,AT279:AT280)</f>
        <v>2015.259466</v>
      </c>
      <c r="AU254" s="271"/>
      <c r="AV254" s="229"/>
      <c r="AW254" s="226"/>
      <c r="AX254" s="230"/>
      <c r="AY254" s="231">
        <f>SUM(AY272,AY279:AY280)</f>
        <v>2080.2086549999999</v>
      </c>
      <c r="AZ254" s="261"/>
      <c r="BA254" s="261"/>
      <c r="BB254" s="261"/>
      <c r="BC254" s="261"/>
    </row>
    <row r="255" spans="2:55">
      <c r="B255" s="179"/>
      <c r="C255" s="179"/>
      <c r="D255" s="181"/>
      <c r="E255" s="181"/>
      <c r="F255" s="181"/>
      <c r="G255" s="181"/>
      <c r="H255" s="10" t="s">
        <v>99</v>
      </c>
      <c r="I255" s="10"/>
      <c r="J255" s="223">
        <f>J281</f>
        <v>18.318573562499999</v>
      </c>
      <c r="K255" s="271"/>
      <c r="L255" s="224"/>
      <c r="M255" s="223">
        <f>M281</f>
        <v>15.518826747499997</v>
      </c>
      <c r="N255" s="271"/>
      <c r="O255" s="224"/>
      <c r="P255" s="223">
        <f>P281</f>
        <v>15.229189720000001</v>
      </c>
      <c r="Q255" s="271"/>
      <c r="R255" s="224"/>
      <c r="S255" s="223">
        <f>S281</f>
        <v>13.188026545</v>
      </c>
      <c r="T255" s="271"/>
      <c r="U255" s="224"/>
      <c r="V255" s="223">
        <f>V281</f>
        <v>10.017539300000001</v>
      </c>
      <c r="W255" s="271"/>
      <c r="X255" s="224"/>
      <c r="Y255" s="223">
        <f>Y281</f>
        <v>9.7419936849999988</v>
      </c>
      <c r="Z255" s="271"/>
      <c r="AA255" s="224"/>
      <c r="AB255" s="223">
        <f>AB281</f>
        <v>7.314624900000001</v>
      </c>
      <c r="AC255" s="271"/>
      <c r="AD255" s="224"/>
      <c r="AE255" s="223">
        <f>AE281</f>
        <v>10.1336893</v>
      </c>
      <c r="AF255" s="271"/>
      <c r="AG255" s="224"/>
      <c r="AH255" s="223">
        <f>AH281</f>
        <v>10.143568435000001</v>
      </c>
      <c r="AI255" s="271"/>
      <c r="AJ255" s="224"/>
      <c r="AK255" s="223">
        <f>AK281</f>
        <v>11.44451355</v>
      </c>
      <c r="AL255" s="271"/>
      <c r="AM255" s="224"/>
      <c r="AN255" s="223">
        <f>AN281</f>
        <v>15.923747935</v>
      </c>
      <c r="AO255" s="271"/>
      <c r="AP255" s="224"/>
      <c r="AQ255" s="223">
        <f>AQ281</f>
        <v>18.059022800000001</v>
      </c>
      <c r="AR255" s="271"/>
      <c r="AS255" s="224"/>
      <c r="AT255" s="223">
        <f>AT281</f>
        <v>155.03331648</v>
      </c>
      <c r="AU255" s="271"/>
      <c r="AV255" s="229"/>
      <c r="AW255" s="226"/>
      <c r="AX255" s="230"/>
      <c r="AY255" s="231">
        <f>AY281</f>
        <v>0</v>
      </c>
      <c r="AZ255" s="261"/>
      <c r="BA255" s="261"/>
      <c r="BB255" s="261"/>
      <c r="BC255" s="261"/>
    </row>
    <row r="256" spans="2:55">
      <c r="B256" s="179"/>
      <c r="C256" s="179"/>
      <c r="D256" s="181"/>
      <c r="E256" s="181"/>
      <c r="F256" s="181"/>
      <c r="G256" s="1110">
        <v>310127</v>
      </c>
      <c r="H256" s="123" t="s">
        <v>568</v>
      </c>
      <c r="I256" s="516" t="s">
        <v>364</v>
      </c>
      <c r="J256" s="244">
        <v>12.86</v>
      </c>
      <c r="K256" s="246"/>
      <c r="L256" s="282"/>
      <c r="M256" s="244">
        <v>12.4</v>
      </c>
      <c r="N256" s="246"/>
      <c r="O256" s="282"/>
      <c r="P256" s="244">
        <v>11.3</v>
      </c>
      <c r="Q256" s="246"/>
      <c r="R256" s="282"/>
      <c r="S256" s="244">
        <v>8.1999999999999993</v>
      </c>
      <c r="T256" s="246"/>
      <c r="U256" s="282"/>
      <c r="V256" s="244">
        <v>9.9999999999999998E-13</v>
      </c>
      <c r="W256" s="246"/>
      <c r="X256" s="282"/>
      <c r="Y256" s="244">
        <v>9.9999999999999994E-12</v>
      </c>
      <c r="Z256" s="246"/>
      <c r="AA256" s="282"/>
      <c r="AB256" s="244">
        <v>9.9999999999999998E-17</v>
      </c>
      <c r="AC256" s="246"/>
      <c r="AD256" s="282"/>
      <c r="AE256" s="244">
        <v>1.0000000000000001E-17</v>
      </c>
      <c r="AF256" s="246"/>
      <c r="AG256" s="282"/>
      <c r="AH256" s="244">
        <v>1.0000000000000001E-17</v>
      </c>
      <c r="AI256" s="246"/>
      <c r="AJ256" s="282"/>
      <c r="AK256" s="244">
        <v>8.1839999999999993</v>
      </c>
      <c r="AL256" s="246"/>
      <c r="AM256" s="282"/>
      <c r="AN256" s="244">
        <v>13.4</v>
      </c>
      <c r="AO256" s="246"/>
      <c r="AP256" s="282"/>
      <c r="AQ256" s="244">
        <v>13.739999999999998</v>
      </c>
      <c r="AR256" s="246"/>
      <c r="AS256" s="282"/>
      <c r="AT256" s="244">
        <f t="shared" ref="AT256:AT283" si="10">J256+M256+P256+S256+V256+Y256+AB256+AE256+AH256+AK256+AN256+AQ256</f>
        <v>80.084000000011002</v>
      </c>
      <c r="AU256" s="283"/>
      <c r="AV256" s="284"/>
      <c r="AW256" s="285"/>
      <c r="AX256" s="321"/>
      <c r="AY256" s="435">
        <v>74.733283</v>
      </c>
      <c r="AZ256" s="261"/>
      <c r="BA256" s="261"/>
      <c r="BB256" s="261"/>
      <c r="BC256" s="261"/>
    </row>
    <row r="257" spans="2:55">
      <c r="B257" s="179"/>
      <c r="C257" s="179"/>
      <c r="D257" s="181"/>
      <c r="E257" s="181"/>
      <c r="F257" s="181"/>
      <c r="G257" s="1110">
        <v>310114</v>
      </c>
      <c r="H257" s="123" t="s">
        <v>569</v>
      </c>
      <c r="I257" s="519" t="s">
        <v>365</v>
      </c>
      <c r="J257" s="244">
        <v>12.202</v>
      </c>
      <c r="K257" s="246"/>
      <c r="L257" s="282"/>
      <c r="M257" s="244">
        <v>11.135999999999999</v>
      </c>
      <c r="N257" s="246"/>
      <c r="O257" s="282"/>
      <c r="P257" s="244">
        <v>11.904</v>
      </c>
      <c r="Q257" s="246"/>
      <c r="R257" s="282"/>
      <c r="S257" s="244">
        <v>10.44</v>
      </c>
      <c r="T257" s="246"/>
      <c r="U257" s="282"/>
      <c r="V257" s="244">
        <v>8.7360000000000007</v>
      </c>
      <c r="W257" s="246"/>
      <c r="X257" s="282"/>
      <c r="Y257" s="244">
        <v>10.08</v>
      </c>
      <c r="Z257" s="246"/>
      <c r="AA257" s="282"/>
      <c r="AB257" s="244">
        <v>8.7360000000000007</v>
      </c>
      <c r="AC257" s="246"/>
      <c r="AD257" s="282"/>
      <c r="AE257" s="244">
        <v>10.416</v>
      </c>
      <c r="AF257" s="246"/>
      <c r="AG257" s="282"/>
      <c r="AH257" s="244">
        <v>10.08</v>
      </c>
      <c r="AI257" s="246"/>
      <c r="AJ257" s="282"/>
      <c r="AK257" s="244">
        <v>9.36</v>
      </c>
      <c r="AL257" s="246"/>
      <c r="AM257" s="282"/>
      <c r="AN257" s="244">
        <v>11.52</v>
      </c>
      <c r="AO257" s="246"/>
      <c r="AP257" s="282"/>
      <c r="AQ257" s="244">
        <v>12.276</v>
      </c>
      <c r="AR257" s="246"/>
      <c r="AS257" s="282"/>
      <c r="AT257" s="244">
        <f t="shared" si="10"/>
        <v>126.886</v>
      </c>
      <c r="AU257" s="283"/>
      <c r="AV257" s="284"/>
      <c r="AW257" s="285"/>
      <c r="AX257" s="321"/>
      <c r="AY257" s="435">
        <v>119.33085699999999</v>
      </c>
      <c r="AZ257" s="261"/>
      <c r="BA257" s="261"/>
      <c r="BB257" s="261"/>
      <c r="BC257" s="261"/>
    </row>
    <row r="258" spans="2:55">
      <c r="B258" s="179"/>
      <c r="C258" s="179"/>
      <c r="D258" s="181"/>
      <c r="E258" s="181"/>
      <c r="F258" s="181"/>
      <c r="G258" s="1110">
        <v>310121</v>
      </c>
      <c r="H258" s="123" t="s">
        <v>570</v>
      </c>
      <c r="I258" s="519" t="s">
        <v>365</v>
      </c>
      <c r="J258" s="244">
        <v>4.5</v>
      </c>
      <c r="K258" s="246"/>
      <c r="L258" s="282"/>
      <c r="M258" s="244">
        <v>3.75</v>
      </c>
      <c r="N258" s="246"/>
      <c r="O258" s="282"/>
      <c r="P258" s="244">
        <v>3.3</v>
      </c>
      <c r="Q258" s="246"/>
      <c r="R258" s="282"/>
      <c r="S258" s="244">
        <v>2.96</v>
      </c>
      <c r="T258" s="246"/>
      <c r="U258" s="282"/>
      <c r="V258" s="244">
        <v>1.75</v>
      </c>
      <c r="W258" s="246"/>
      <c r="X258" s="282"/>
      <c r="Y258" s="244">
        <v>0.9</v>
      </c>
      <c r="Z258" s="246"/>
      <c r="AA258" s="282"/>
      <c r="AB258" s="244">
        <v>1.4</v>
      </c>
      <c r="AC258" s="246"/>
      <c r="AD258" s="282"/>
      <c r="AE258" s="244">
        <v>1.79</v>
      </c>
      <c r="AF258" s="246"/>
      <c r="AG258" s="282"/>
      <c r="AH258" s="244">
        <v>1.8</v>
      </c>
      <c r="AI258" s="246"/>
      <c r="AJ258" s="282"/>
      <c r="AK258" s="244">
        <v>3.1</v>
      </c>
      <c r="AL258" s="246"/>
      <c r="AM258" s="282"/>
      <c r="AN258" s="244">
        <v>3.2</v>
      </c>
      <c r="AO258" s="246"/>
      <c r="AP258" s="282"/>
      <c r="AQ258" s="244">
        <v>4.16</v>
      </c>
      <c r="AR258" s="246"/>
      <c r="AS258" s="282"/>
      <c r="AT258" s="244">
        <f t="shared" si="10"/>
        <v>32.61</v>
      </c>
      <c r="AU258" s="283"/>
      <c r="AV258" s="284"/>
      <c r="AW258" s="285"/>
      <c r="AX258" s="321"/>
      <c r="AY258" s="435">
        <v>33.769821999999998</v>
      </c>
      <c r="AZ258" s="261"/>
      <c r="BA258" s="261"/>
      <c r="BB258" s="261"/>
      <c r="BC258" s="261"/>
    </row>
    <row r="259" spans="2:55">
      <c r="B259" s="179"/>
      <c r="C259" s="179"/>
      <c r="D259" s="181"/>
      <c r="E259" s="181"/>
      <c r="F259" s="181"/>
      <c r="G259" s="1110">
        <v>310134</v>
      </c>
      <c r="H259" s="123" t="s">
        <v>571</v>
      </c>
      <c r="I259" s="516" t="s">
        <v>364</v>
      </c>
      <c r="J259" s="244">
        <v>5.9148000000000005</v>
      </c>
      <c r="K259" s="246"/>
      <c r="L259" s="282"/>
      <c r="M259" s="244">
        <v>5.04</v>
      </c>
      <c r="N259" s="246"/>
      <c r="O259" s="282"/>
      <c r="P259" s="244">
        <v>4.0999999999999996</v>
      </c>
      <c r="Q259" s="246"/>
      <c r="R259" s="282"/>
      <c r="S259" s="244">
        <v>3.4</v>
      </c>
      <c r="T259" s="246"/>
      <c r="U259" s="282"/>
      <c r="V259" s="244">
        <v>3.4246319999999995</v>
      </c>
      <c r="W259" s="246"/>
      <c r="X259" s="282"/>
      <c r="Y259" s="244">
        <v>3.3141599999999998</v>
      </c>
      <c r="Z259" s="246"/>
      <c r="AA259" s="282"/>
      <c r="AB259" s="244">
        <v>3.4246319999999995</v>
      </c>
      <c r="AC259" s="246"/>
      <c r="AD259" s="282"/>
      <c r="AE259" s="244">
        <v>3.4246319999999995</v>
      </c>
      <c r="AF259" s="246"/>
      <c r="AG259" s="282"/>
      <c r="AH259" s="244">
        <v>3.3141599999999998</v>
      </c>
      <c r="AI259" s="246"/>
      <c r="AJ259" s="282"/>
      <c r="AK259" s="244">
        <v>3.4067759999999998</v>
      </c>
      <c r="AL259" s="246"/>
      <c r="AM259" s="282"/>
      <c r="AN259" s="244">
        <v>3.2968799999999998</v>
      </c>
      <c r="AO259" s="246"/>
      <c r="AP259" s="282"/>
      <c r="AQ259" s="244">
        <v>4.6128</v>
      </c>
      <c r="AR259" s="246"/>
      <c r="AS259" s="282"/>
      <c r="AT259" s="244">
        <f t="shared" si="10"/>
        <v>46.673472000000004</v>
      </c>
      <c r="AU259" s="283"/>
      <c r="AV259" s="284"/>
      <c r="AW259" s="285"/>
      <c r="AX259" s="321"/>
      <c r="AY259" s="435">
        <v>34.376474999999999</v>
      </c>
      <c r="AZ259" s="261"/>
      <c r="BA259" s="261"/>
      <c r="BB259" s="261"/>
      <c r="BC259" s="261"/>
    </row>
    <row r="260" spans="2:55">
      <c r="B260" s="179"/>
      <c r="C260" s="179"/>
      <c r="D260" s="181"/>
      <c r="E260" s="181"/>
      <c r="F260" s="181"/>
      <c r="G260" s="1110">
        <v>310128</v>
      </c>
      <c r="H260" s="123" t="s">
        <v>572</v>
      </c>
      <c r="I260" s="516" t="s">
        <v>364</v>
      </c>
      <c r="J260" s="244">
        <v>32</v>
      </c>
      <c r="K260" s="246"/>
      <c r="L260" s="282"/>
      <c r="M260" s="244">
        <v>31</v>
      </c>
      <c r="N260" s="246"/>
      <c r="O260" s="282"/>
      <c r="P260" s="244">
        <v>31.992000000000001</v>
      </c>
      <c r="Q260" s="246"/>
      <c r="R260" s="282"/>
      <c r="S260" s="244">
        <v>37.46</v>
      </c>
      <c r="T260" s="246"/>
      <c r="U260" s="282"/>
      <c r="V260" s="244">
        <v>1.0999999999999998E-21</v>
      </c>
      <c r="W260" s="246"/>
      <c r="X260" s="282"/>
      <c r="Y260" s="244">
        <v>1.0000009999999999E-16</v>
      </c>
      <c r="Z260" s="246"/>
      <c r="AA260" s="282"/>
      <c r="AB260" s="244">
        <v>1.01E-17</v>
      </c>
      <c r="AC260" s="246"/>
      <c r="AD260" s="282"/>
      <c r="AE260" s="244">
        <v>1.000001E-17</v>
      </c>
      <c r="AF260" s="246"/>
      <c r="AG260" s="282"/>
      <c r="AH260" s="244">
        <v>0.7</v>
      </c>
      <c r="AI260" s="246"/>
      <c r="AJ260" s="282"/>
      <c r="AK260" s="244">
        <v>31.992000000000001</v>
      </c>
      <c r="AL260" s="246"/>
      <c r="AM260" s="282"/>
      <c r="AN260" s="244">
        <v>30.96</v>
      </c>
      <c r="AO260" s="246"/>
      <c r="AP260" s="282"/>
      <c r="AQ260" s="244">
        <v>36.492000000000004</v>
      </c>
      <c r="AR260" s="246"/>
      <c r="AS260" s="282"/>
      <c r="AT260" s="244">
        <f t="shared" si="10"/>
        <v>232.596</v>
      </c>
      <c r="AU260" s="283"/>
      <c r="AV260" s="284"/>
      <c r="AW260" s="285"/>
      <c r="AX260" s="321"/>
      <c r="AY260" s="435">
        <v>208.64391800000001</v>
      </c>
      <c r="AZ260" s="261"/>
      <c r="BA260" s="261"/>
      <c r="BB260" s="261"/>
      <c r="BC260" s="261"/>
    </row>
    <row r="261" spans="2:55">
      <c r="B261" s="179"/>
      <c r="C261" s="179"/>
      <c r="D261" s="181"/>
      <c r="E261" s="181"/>
      <c r="F261" s="181"/>
      <c r="G261" s="1110">
        <v>310110</v>
      </c>
      <c r="H261" s="123" t="s">
        <v>573</v>
      </c>
      <c r="I261" s="516" t="s">
        <v>364</v>
      </c>
      <c r="J261" s="320">
        <f>620-40</f>
        <v>580</v>
      </c>
      <c r="K261" s="246"/>
      <c r="L261" s="282"/>
      <c r="M261" s="345">
        <f>570+40</f>
        <v>610</v>
      </c>
      <c r="N261" s="246"/>
      <c r="O261" s="282"/>
      <c r="P261" s="244">
        <v>535.67999999999995</v>
      </c>
      <c r="Q261" s="246"/>
      <c r="R261" s="282"/>
      <c r="S261" s="244">
        <v>504</v>
      </c>
      <c r="T261" s="246"/>
      <c r="U261" s="282"/>
      <c r="V261" s="244">
        <v>372</v>
      </c>
      <c r="W261" s="246"/>
      <c r="X261" s="282"/>
      <c r="Y261" s="244">
        <v>331.2</v>
      </c>
      <c r="Z261" s="246"/>
      <c r="AA261" s="282"/>
      <c r="AB261" s="244">
        <v>342.24</v>
      </c>
      <c r="AC261" s="246"/>
      <c r="AD261" s="282"/>
      <c r="AE261" s="345">
        <f>427.8+30</f>
        <v>457.8</v>
      </c>
      <c r="AF261" s="246"/>
      <c r="AG261" s="282"/>
      <c r="AH261" s="244">
        <v>349.2</v>
      </c>
      <c r="AI261" s="246"/>
      <c r="AJ261" s="282"/>
      <c r="AK261" s="320">
        <f>534-20</f>
        <v>514</v>
      </c>
      <c r="AL261" s="246"/>
      <c r="AM261" s="282"/>
      <c r="AN261" s="320">
        <f>545-10</f>
        <v>535</v>
      </c>
      <c r="AO261" s="246"/>
      <c r="AP261" s="282"/>
      <c r="AQ261" s="320">
        <f>608-10</f>
        <v>598</v>
      </c>
      <c r="AR261" s="246"/>
      <c r="AS261" s="282"/>
      <c r="AT261" s="244">
        <f t="shared" si="10"/>
        <v>5729.12</v>
      </c>
      <c r="AU261" s="283"/>
      <c r="AV261" s="284"/>
      <c r="AW261" s="285"/>
      <c r="AX261" s="321"/>
      <c r="AY261" s="435">
        <v>4852.5396199999996</v>
      </c>
      <c r="AZ261" s="261"/>
      <c r="BA261" s="261"/>
      <c r="BB261" s="261"/>
      <c r="BC261" s="261"/>
    </row>
    <row r="262" spans="2:55">
      <c r="B262" s="179"/>
      <c r="C262" s="179"/>
      <c r="D262" s="181"/>
      <c r="E262" s="181"/>
      <c r="F262" s="181"/>
      <c r="G262" s="1110">
        <v>310120</v>
      </c>
      <c r="H262" s="137" t="s">
        <v>574</v>
      </c>
      <c r="I262" s="516" t="s">
        <v>364</v>
      </c>
      <c r="J262" s="262">
        <f>SUM(J263:J265)</f>
        <v>555</v>
      </c>
      <c r="K262" s="283"/>
      <c r="L262" s="299"/>
      <c r="M262" s="262">
        <f>SUM(M263:M265)</f>
        <v>598</v>
      </c>
      <c r="N262" s="283"/>
      <c r="O262" s="299"/>
      <c r="P262" s="262">
        <f>SUM(P263:P265)</f>
        <v>499.952</v>
      </c>
      <c r="Q262" s="283"/>
      <c r="R262" s="299"/>
      <c r="S262" s="262">
        <f>SUM(S263:S265)</f>
        <v>448</v>
      </c>
      <c r="T262" s="283"/>
      <c r="U262" s="299"/>
      <c r="V262" s="262">
        <f>SUM(V263:V265)</f>
        <v>523</v>
      </c>
      <c r="W262" s="283"/>
      <c r="X262" s="299"/>
      <c r="Y262" s="262">
        <f>SUM(Y263:Y265)</f>
        <v>415</v>
      </c>
      <c r="Z262" s="283"/>
      <c r="AA262" s="299"/>
      <c r="AB262" s="262">
        <f>SUM(AB263:AB265)</f>
        <v>328.48</v>
      </c>
      <c r="AC262" s="283"/>
      <c r="AD262" s="299"/>
      <c r="AE262" s="262">
        <f>SUM(AE263:AE265)</f>
        <v>408.48</v>
      </c>
      <c r="AF262" s="283"/>
      <c r="AG262" s="299"/>
      <c r="AH262" s="262">
        <f>SUM(AH263:AH265)</f>
        <v>388</v>
      </c>
      <c r="AI262" s="283"/>
      <c r="AJ262" s="299"/>
      <c r="AK262" s="262">
        <f>SUM(AK263:AK265)</f>
        <v>261.88800000000003</v>
      </c>
      <c r="AL262" s="283"/>
      <c r="AM262" s="299"/>
      <c r="AN262" s="262">
        <f>SUM(AN263:AN265)</f>
        <v>354.48</v>
      </c>
      <c r="AO262" s="283"/>
      <c r="AP262" s="299"/>
      <c r="AQ262" s="262">
        <f>SUM(AQ263:AQ265)</f>
        <v>447.18399999999997</v>
      </c>
      <c r="AR262" s="283"/>
      <c r="AS262" s="299"/>
      <c r="AT262" s="262">
        <f>SUM(AT263:AT265)</f>
        <v>5227.4639999999999</v>
      </c>
      <c r="AU262" s="283"/>
      <c r="AV262" s="284"/>
      <c r="AW262" s="285"/>
      <c r="AX262" s="321"/>
      <c r="AY262" s="888">
        <v>5606.8467870000004</v>
      </c>
      <c r="AZ262" s="261"/>
      <c r="BA262" s="261"/>
      <c r="BB262" s="261"/>
      <c r="BC262" s="261"/>
    </row>
    <row r="263" spans="2:55">
      <c r="B263" s="179"/>
      <c r="C263" s="179"/>
      <c r="D263" s="181"/>
      <c r="E263" s="181"/>
      <c r="F263" s="181"/>
      <c r="G263" s="1110"/>
      <c r="H263" s="123" t="s">
        <v>575</v>
      </c>
      <c r="I263" s="123"/>
      <c r="J263" s="320">
        <f>90-20</f>
        <v>70</v>
      </c>
      <c r="K263" s="246"/>
      <c r="L263" s="282"/>
      <c r="M263" s="244">
        <v>93</v>
      </c>
      <c r="N263" s="246"/>
      <c r="O263" s="282"/>
      <c r="P263" s="320">
        <f>88-10-10</f>
        <v>68</v>
      </c>
      <c r="Q263" s="246"/>
      <c r="R263" s="282"/>
      <c r="S263" s="244">
        <v>48</v>
      </c>
      <c r="T263" s="246"/>
      <c r="U263" s="282"/>
      <c r="V263" s="244">
        <v>30</v>
      </c>
      <c r="W263" s="246"/>
      <c r="X263" s="282"/>
      <c r="Y263" s="244">
        <v>1.0000000000000001E-18</v>
      </c>
      <c r="Z263" s="246"/>
      <c r="AA263" s="282"/>
      <c r="AB263" s="345">
        <f>33.48+20</f>
        <v>53.48</v>
      </c>
      <c r="AC263" s="246"/>
      <c r="AD263" s="282"/>
      <c r="AE263" s="345">
        <f>33.48+80</f>
        <v>113.47999999999999</v>
      </c>
      <c r="AF263" s="246"/>
      <c r="AG263" s="282"/>
      <c r="AH263" s="345">
        <f>43+50</f>
        <v>93</v>
      </c>
      <c r="AI263" s="246"/>
      <c r="AJ263" s="282"/>
      <c r="AK263" s="244">
        <v>75.888000000000005</v>
      </c>
      <c r="AL263" s="246"/>
      <c r="AM263" s="282"/>
      <c r="AN263" s="244">
        <v>96.48</v>
      </c>
      <c r="AO263" s="246"/>
      <c r="AP263" s="282"/>
      <c r="AQ263" s="244">
        <v>101.184</v>
      </c>
      <c r="AR263" s="283"/>
      <c r="AS263" s="299"/>
      <c r="AT263" s="244">
        <f t="shared" si="10"/>
        <v>842.51200000000006</v>
      </c>
      <c r="AU263" s="283"/>
      <c r="AV263" s="284"/>
      <c r="AW263" s="285"/>
      <c r="AX263" s="321"/>
      <c r="AY263" s="300"/>
      <c r="AZ263" s="261"/>
      <c r="BA263" s="261"/>
      <c r="BB263" s="261"/>
      <c r="BC263" s="261"/>
    </row>
    <row r="264" spans="2:55">
      <c r="B264" s="179"/>
      <c r="C264" s="179"/>
      <c r="D264" s="181"/>
      <c r="E264" s="181"/>
      <c r="F264" s="181"/>
      <c r="G264" s="1110"/>
      <c r="H264" s="127" t="s">
        <v>576</v>
      </c>
      <c r="I264" s="127"/>
      <c r="J264" s="320">
        <f>265-20</f>
        <v>245</v>
      </c>
      <c r="K264" s="246"/>
      <c r="L264" s="282"/>
      <c r="M264" s="244">
        <v>260</v>
      </c>
      <c r="N264" s="246"/>
      <c r="O264" s="282"/>
      <c r="P264" s="320">
        <f>270-10-20</f>
        <v>240</v>
      </c>
      <c r="Q264" s="246"/>
      <c r="R264" s="282"/>
      <c r="S264" s="320">
        <f>263-63</f>
        <v>200</v>
      </c>
      <c r="T264" s="246"/>
      <c r="U264" s="282"/>
      <c r="V264" s="244">
        <v>268</v>
      </c>
      <c r="W264" s="246"/>
      <c r="X264" s="282"/>
      <c r="Y264" s="244">
        <v>180</v>
      </c>
      <c r="Z264" s="246"/>
      <c r="AA264" s="282"/>
      <c r="AB264" s="244">
        <v>0</v>
      </c>
      <c r="AC264" s="246"/>
      <c r="AD264" s="282"/>
      <c r="AE264" s="244">
        <v>0</v>
      </c>
      <c r="AF264" s="246"/>
      <c r="AG264" s="282"/>
      <c r="AH264" s="244">
        <v>0</v>
      </c>
      <c r="AI264" s="246"/>
      <c r="AJ264" s="282"/>
      <c r="AK264" s="244">
        <v>0</v>
      </c>
      <c r="AL264" s="246"/>
      <c r="AM264" s="282"/>
      <c r="AN264" s="244">
        <v>0</v>
      </c>
      <c r="AO264" s="246"/>
      <c r="AP264" s="282"/>
      <c r="AQ264" s="244">
        <v>84</v>
      </c>
      <c r="AR264" s="283"/>
      <c r="AS264" s="299"/>
      <c r="AT264" s="244">
        <f t="shared" si="10"/>
        <v>1477</v>
      </c>
      <c r="AU264" s="283"/>
      <c r="AV264" s="284"/>
      <c r="AW264" s="285"/>
      <c r="AX264" s="321"/>
      <c r="AY264" s="300"/>
      <c r="AZ264" s="261"/>
      <c r="BA264" s="261"/>
      <c r="BB264" s="261"/>
      <c r="BC264" s="261"/>
    </row>
    <row r="265" spans="2:55">
      <c r="B265" s="179"/>
      <c r="C265" s="179"/>
      <c r="D265" s="181"/>
      <c r="E265" s="181"/>
      <c r="F265" s="181"/>
      <c r="G265" s="1110"/>
      <c r="H265" s="127" t="s">
        <v>577</v>
      </c>
      <c r="I265" s="127"/>
      <c r="J265" s="320">
        <f>250-10</f>
        <v>240</v>
      </c>
      <c r="K265" s="246"/>
      <c r="L265" s="282"/>
      <c r="M265" s="244">
        <v>245</v>
      </c>
      <c r="N265" s="246"/>
      <c r="O265" s="282"/>
      <c r="P265" s="244">
        <v>191.952</v>
      </c>
      <c r="Q265" s="246"/>
      <c r="R265" s="282"/>
      <c r="S265" s="320">
        <f>230-30</f>
        <v>200</v>
      </c>
      <c r="T265" s="246"/>
      <c r="U265" s="282"/>
      <c r="V265" s="244">
        <v>225</v>
      </c>
      <c r="W265" s="246"/>
      <c r="X265" s="282"/>
      <c r="Y265" s="244">
        <v>235</v>
      </c>
      <c r="Z265" s="246"/>
      <c r="AA265" s="282"/>
      <c r="AB265" s="345">
        <f>235+40</f>
        <v>275</v>
      </c>
      <c r="AC265" s="246"/>
      <c r="AD265" s="282"/>
      <c r="AE265" s="345">
        <f>245+50</f>
        <v>295</v>
      </c>
      <c r="AF265" s="246"/>
      <c r="AG265" s="282"/>
      <c r="AH265" s="345">
        <f>245+50</f>
        <v>295</v>
      </c>
      <c r="AI265" s="246"/>
      <c r="AJ265" s="282"/>
      <c r="AK265" s="244">
        <v>186</v>
      </c>
      <c r="AL265" s="246"/>
      <c r="AM265" s="282"/>
      <c r="AN265" s="244">
        <v>258</v>
      </c>
      <c r="AO265" s="246"/>
      <c r="AP265" s="282"/>
      <c r="AQ265" s="244">
        <v>262</v>
      </c>
      <c r="AR265" s="283"/>
      <c r="AS265" s="299"/>
      <c r="AT265" s="244">
        <f t="shared" si="10"/>
        <v>2907.9520000000002</v>
      </c>
      <c r="AU265" s="283"/>
      <c r="AV265" s="284"/>
      <c r="AW265" s="285"/>
      <c r="AX265" s="321"/>
      <c r="AY265" s="300"/>
      <c r="AZ265" s="261"/>
      <c r="BA265" s="261"/>
      <c r="BB265" s="261"/>
      <c r="BC265" s="261"/>
    </row>
    <row r="266" spans="2:55">
      <c r="B266" s="179"/>
      <c r="C266" s="179"/>
      <c r="D266" s="181"/>
      <c r="E266" s="181"/>
      <c r="F266" s="181"/>
      <c r="G266" s="1110">
        <v>310126</v>
      </c>
      <c r="H266" s="137" t="s">
        <v>910</v>
      </c>
      <c r="I266" s="516" t="s">
        <v>364</v>
      </c>
      <c r="J266" s="238">
        <f>SUM(J267:J268)</f>
        <v>39.5</v>
      </c>
      <c r="K266" s="283"/>
      <c r="L266" s="299"/>
      <c r="M266" s="238">
        <f>SUM(M267:M268)</f>
        <v>39.5</v>
      </c>
      <c r="N266" s="283"/>
      <c r="O266" s="299"/>
      <c r="P266" s="238">
        <f>SUM(P267:P268)</f>
        <v>39.5</v>
      </c>
      <c r="Q266" s="283"/>
      <c r="R266" s="299"/>
      <c r="S266" s="238">
        <f>SUM(S267:S268)</f>
        <v>39.5</v>
      </c>
      <c r="T266" s="283"/>
      <c r="U266" s="299"/>
      <c r="V266" s="238">
        <f>SUM(V267:V268)</f>
        <v>102.95999999999998</v>
      </c>
      <c r="W266" s="283"/>
      <c r="X266" s="299"/>
      <c r="Y266" s="238">
        <f>SUM(Y267:Y268)</f>
        <v>165.6</v>
      </c>
      <c r="Z266" s="283"/>
      <c r="AA266" s="299"/>
      <c r="AB266" s="238">
        <f>SUM(AB267:AB268)</f>
        <v>171.12</v>
      </c>
      <c r="AC266" s="283"/>
      <c r="AD266" s="299"/>
      <c r="AE266" s="238">
        <f>SUM(AE267:AE268)</f>
        <v>201.12</v>
      </c>
      <c r="AF266" s="283"/>
      <c r="AG266" s="299"/>
      <c r="AH266" s="238">
        <f>SUM(AH267:AH268)</f>
        <v>205.6</v>
      </c>
      <c r="AI266" s="283"/>
      <c r="AJ266" s="299"/>
      <c r="AK266" s="238">
        <f>SUM(AK267:AK268)</f>
        <v>171.12</v>
      </c>
      <c r="AL266" s="283"/>
      <c r="AM266" s="299"/>
      <c r="AN266" s="238">
        <f>SUM(AN267:AN268)</f>
        <v>39.5</v>
      </c>
      <c r="AO266" s="283"/>
      <c r="AP266" s="299"/>
      <c r="AQ266" s="238">
        <f>SUM(AQ267:AQ268)</f>
        <v>39.5</v>
      </c>
      <c r="AR266" s="283"/>
      <c r="AS266" s="299"/>
      <c r="AT266" s="238">
        <f>SUM(AT267:AT268)</f>
        <v>1254.52</v>
      </c>
      <c r="AU266" s="283"/>
      <c r="AV266" s="284"/>
      <c r="AW266" s="285"/>
      <c r="AX266" s="321"/>
      <c r="AY266" s="888">
        <v>2065.8892540000002</v>
      </c>
      <c r="AZ266" s="261"/>
      <c r="BA266" s="261"/>
      <c r="BB266" s="261"/>
      <c r="BC266" s="261"/>
    </row>
    <row r="267" spans="2:55">
      <c r="B267" s="179"/>
      <c r="C267" s="179"/>
      <c r="D267" s="181"/>
      <c r="E267" s="181"/>
      <c r="F267" s="181"/>
      <c r="G267" s="1110"/>
      <c r="H267" s="123" t="s">
        <v>911</v>
      </c>
      <c r="I267" s="123"/>
      <c r="J267" s="244">
        <v>0</v>
      </c>
      <c r="K267" s="246"/>
      <c r="L267" s="282"/>
      <c r="M267" s="244">
        <v>0</v>
      </c>
      <c r="N267" s="246"/>
      <c r="O267" s="282"/>
      <c r="P267" s="244">
        <v>0</v>
      </c>
      <c r="Q267" s="246"/>
      <c r="R267" s="282"/>
      <c r="S267" s="244">
        <v>0</v>
      </c>
      <c r="T267" s="246"/>
      <c r="U267" s="282"/>
      <c r="V267" s="244">
        <v>0</v>
      </c>
      <c r="W267" s="246"/>
      <c r="X267" s="282"/>
      <c r="Y267" s="244">
        <v>0</v>
      </c>
      <c r="Z267" s="246"/>
      <c r="AA267" s="282"/>
      <c r="AB267" s="244">
        <v>0</v>
      </c>
      <c r="AC267" s="246"/>
      <c r="AD267" s="282"/>
      <c r="AE267" s="244">
        <v>0</v>
      </c>
      <c r="AF267" s="246"/>
      <c r="AG267" s="282"/>
      <c r="AH267" s="244">
        <v>0</v>
      </c>
      <c r="AI267" s="246"/>
      <c r="AJ267" s="282"/>
      <c r="AK267" s="244">
        <v>0</v>
      </c>
      <c r="AL267" s="246"/>
      <c r="AM267" s="282"/>
      <c r="AN267" s="244">
        <v>0</v>
      </c>
      <c r="AO267" s="246"/>
      <c r="AP267" s="282"/>
      <c r="AQ267" s="244">
        <v>0</v>
      </c>
      <c r="AR267" s="283"/>
      <c r="AS267" s="299"/>
      <c r="AT267" s="244">
        <f t="shared" si="10"/>
        <v>0</v>
      </c>
      <c r="AU267" s="283"/>
      <c r="AV267" s="284"/>
      <c r="AW267" s="285"/>
      <c r="AX267" s="321"/>
      <c r="AY267" s="300"/>
      <c r="AZ267" s="261"/>
      <c r="BA267" s="261"/>
      <c r="BB267" s="261"/>
      <c r="BC267" s="261"/>
    </row>
    <row r="268" spans="2:55">
      <c r="B268" s="179"/>
      <c r="C268" s="179"/>
      <c r="D268" s="181"/>
      <c r="E268" s="181"/>
      <c r="F268" s="181"/>
      <c r="G268" s="1110"/>
      <c r="H268" s="127" t="s">
        <v>1080</v>
      </c>
      <c r="I268" s="127"/>
      <c r="J268" s="244">
        <v>39.5</v>
      </c>
      <c r="K268" s="246"/>
      <c r="L268" s="282"/>
      <c r="M268" s="244">
        <v>39.5</v>
      </c>
      <c r="N268" s="246"/>
      <c r="O268" s="282"/>
      <c r="P268" s="244">
        <v>39.5</v>
      </c>
      <c r="Q268" s="246"/>
      <c r="R268" s="282"/>
      <c r="S268" s="244">
        <v>39.5</v>
      </c>
      <c r="T268" s="246"/>
      <c r="U268" s="282"/>
      <c r="V268" s="244">
        <v>102.95999999999998</v>
      </c>
      <c r="W268" s="246"/>
      <c r="X268" s="282"/>
      <c r="Y268" s="244">
        <v>165.6</v>
      </c>
      <c r="Z268" s="246"/>
      <c r="AA268" s="282"/>
      <c r="AB268" s="244">
        <v>171.12</v>
      </c>
      <c r="AC268" s="246"/>
      <c r="AD268" s="282"/>
      <c r="AE268" s="345">
        <f>171.12+30</f>
        <v>201.12</v>
      </c>
      <c r="AF268" s="246"/>
      <c r="AG268" s="282"/>
      <c r="AH268" s="345">
        <f>165.6+40</f>
        <v>205.6</v>
      </c>
      <c r="AI268" s="246"/>
      <c r="AJ268" s="282"/>
      <c r="AK268" s="244">
        <v>171.12</v>
      </c>
      <c r="AL268" s="246"/>
      <c r="AM268" s="282"/>
      <c r="AN268" s="244">
        <v>39.5</v>
      </c>
      <c r="AO268" s="246"/>
      <c r="AP268" s="282"/>
      <c r="AQ268" s="244">
        <v>39.5</v>
      </c>
      <c r="AR268" s="283"/>
      <c r="AS268" s="299"/>
      <c r="AT268" s="244">
        <f t="shared" si="10"/>
        <v>1254.52</v>
      </c>
      <c r="AU268" s="283"/>
      <c r="AV268" s="284"/>
      <c r="AW268" s="285"/>
      <c r="AX268" s="321"/>
      <c r="AY268" s="300"/>
      <c r="AZ268" s="261"/>
      <c r="BA268" s="261"/>
      <c r="BB268" s="261"/>
      <c r="BC268" s="261"/>
    </row>
    <row r="269" spans="2:55">
      <c r="B269" s="179"/>
      <c r="C269" s="179"/>
      <c r="D269" s="181"/>
      <c r="E269" s="181"/>
      <c r="F269" s="181"/>
      <c r="G269" s="1110">
        <v>310101</v>
      </c>
      <c r="H269" s="137" t="s">
        <v>912</v>
      </c>
      <c r="I269" s="516" t="s">
        <v>364</v>
      </c>
      <c r="J269" s="238">
        <f>SUM(J270:J271)</f>
        <v>380.63</v>
      </c>
      <c r="K269" s="283"/>
      <c r="L269" s="299"/>
      <c r="M269" s="238">
        <f>SUM(M270:M271)</f>
        <v>414.21000000000004</v>
      </c>
      <c r="N269" s="283"/>
      <c r="O269" s="299"/>
      <c r="P269" s="238">
        <f>SUM(P270:P271)</f>
        <v>322.94799999999998</v>
      </c>
      <c r="Q269" s="283"/>
      <c r="R269" s="299"/>
      <c r="S269" s="238">
        <f>SUM(S270:S271)</f>
        <v>364.66999999999996</v>
      </c>
      <c r="T269" s="283"/>
      <c r="U269" s="299"/>
      <c r="V269" s="238">
        <f>SUM(V270:V271)</f>
        <v>303.47000000000003</v>
      </c>
      <c r="W269" s="283"/>
      <c r="X269" s="299"/>
      <c r="Y269" s="238">
        <f>SUM(Y270:Y271)</f>
        <v>354.39</v>
      </c>
      <c r="Z269" s="283"/>
      <c r="AA269" s="299"/>
      <c r="AB269" s="238">
        <f>SUM(AB270:AB271)</f>
        <v>354.25</v>
      </c>
      <c r="AC269" s="283"/>
      <c r="AD269" s="299"/>
      <c r="AE269" s="238">
        <f>SUM(AE270:AE271)</f>
        <v>390.08</v>
      </c>
      <c r="AF269" s="283"/>
      <c r="AG269" s="299"/>
      <c r="AH269" s="238">
        <f>SUM(AH270:AH271)</f>
        <v>483.93</v>
      </c>
      <c r="AI269" s="283"/>
      <c r="AJ269" s="299"/>
      <c r="AK269" s="238">
        <f>SUM(AK270:AK271)</f>
        <v>457.39800000000002</v>
      </c>
      <c r="AL269" s="283"/>
      <c r="AM269" s="299"/>
      <c r="AN269" s="238">
        <f>SUM(AN270:AN271)</f>
        <v>427.11</v>
      </c>
      <c r="AO269" s="283"/>
      <c r="AP269" s="299"/>
      <c r="AQ269" s="238">
        <f>SUM(AQ270:AQ271)</f>
        <v>485.91399999999999</v>
      </c>
      <c r="AR269" s="283"/>
      <c r="AS269" s="299"/>
      <c r="AT269" s="238">
        <f>SUM(AT270:AT271)</f>
        <v>4739</v>
      </c>
      <c r="AU269" s="283"/>
      <c r="AV269" s="284"/>
      <c r="AW269" s="285"/>
      <c r="AX269" s="321"/>
      <c r="AY269" s="888">
        <v>4669.343554</v>
      </c>
      <c r="AZ269" s="261"/>
      <c r="BA269" s="261"/>
      <c r="BB269" s="261"/>
      <c r="BC269" s="261"/>
    </row>
    <row r="270" spans="2:55">
      <c r="B270" s="179"/>
      <c r="C270" s="179"/>
      <c r="D270" s="181"/>
      <c r="E270" s="181"/>
      <c r="F270" s="181"/>
      <c r="G270" s="1110"/>
      <c r="H270" s="123" t="s">
        <v>913</v>
      </c>
      <c r="I270" s="123"/>
      <c r="J270" s="320">
        <f>179.16-50</f>
        <v>129.16</v>
      </c>
      <c r="K270" s="246"/>
      <c r="L270" s="282"/>
      <c r="M270" s="244">
        <v>179.86</v>
      </c>
      <c r="N270" s="246"/>
      <c r="O270" s="282"/>
      <c r="P270" s="244">
        <v>132.62799999999999</v>
      </c>
      <c r="Q270" s="246"/>
      <c r="R270" s="282"/>
      <c r="S270" s="320">
        <f>156.19-10</f>
        <v>146.19</v>
      </c>
      <c r="T270" s="246"/>
      <c r="U270" s="282"/>
      <c r="V270" s="244">
        <v>123.73</v>
      </c>
      <c r="W270" s="246"/>
      <c r="X270" s="282"/>
      <c r="Y270" s="244">
        <v>128.28</v>
      </c>
      <c r="Z270" s="246"/>
      <c r="AA270" s="282"/>
      <c r="AB270" s="345">
        <f>254.25+100</f>
        <v>354.25</v>
      </c>
      <c r="AC270" s="246"/>
      <c r="AD270" s="282"/>
      <c r="AE270" s="345">
        <f>258.82+50</f>
        <v>308.82</v>
      </c>
      <c r="AF270" s="246"/>
      <c r="AG270" s="282"/>
      <c r="AH270" s="244">
        <v>221.93</v>
      </c>
      <c r="AI270" s="246"/>
      <c r="AJ270" s="282"/>
      <c r="AK270" s="320">
        <f>241.468-40</f>
        <v>201.46799999999999</v>
      </c>
      <c r="AL270" s="246"/>
      <c r="AM270" s="282"/>
      <c r="AN270" s="244">
        <v>247.81</v>
      </c>
      <c r="AO270" s="246"/>
      <c r="AP270" s="282"/>
      <c r="AQ270" s="244">
        <v>241.874</v>
      </c>
      <c r="AR270" s="283"/>
      <c r="AS270" s="299"/>
      <c r="AT270" s="244">
        <f t="shared" si="10"/>
        <v>2416</v>
      </c>
      <c r="AU270" s="283"/>
      <c r="AV270" s="284"/>
      <c r="AW270" s="285"/>
      <c r="AX270" s="321"/>
      <c r="AY270" s="300"/>
      <c r="AZ270" s="261"/>
      <c r="BA270" s="261"/>
      <c r="BB270" s="261"/>
      <c r="BC270" s="261"/>
    </row>
    <row r="271" spans="2:55">
      <c r="B271" s="179"/>
      <c r="C271" s="179"/>
      <c r="D271" s="181"/>
      <c r="E271" s="181"/>
      <c r="F271" s="181"/>
      <c r="G271" s="1110"/>
      <c r="H271" s="127" t="s">
        <v>1079</v>
      </c>
      <c r="I271" s="127"/>
      <c r="J271" s="244">
        <v>251.47</v>
      </c>
      <c r="K271" s="246"/>
      <c r="L271" s="282"/>
      <c r="M271" s="244">
        <v>234.35</v>
      </c>
      <c r="N271" s="246"/>
      <c r="O271" s="282"/>
      <c r="P271" s="244">
        <v>190.32</v>
      </c>
      <c r="Q271" s="246"/>
      <c r="R271" s="282"/>
      <c r="S271" s="320">
        <f>238.48-20</f>
        <v>218.48</v>
      </c>
      <c r="T271" s="246"/>
      <c r="U271" s="282"/>
      <c r="V271" s="244">
        <v>179.74</v>
      </c>
      <c r="W271" s="246"/>
      <c r="X271" s="282"/>
      <c r="Y271" s="244">
        <v>226.11</v>
      </c>
      <c r="Z271" s="246"/>
      <c r="AA271" s="282"/>
      <c r="AB271" s="244">
        <v>0</v>
      </c>
      <c r="AC271" s="246"/>
      <c r="AD271" s="282"/>
      <c r="AE271" s="345">
        <f>61.26+20</f>
        <v>81.259999999999991</v>
      </c>
      <c r="AF271" s="246"/>
      <c r="AG271" s="282"/>
      <c r="AH271" s="345">
        <f>242+20</f>
        <v>262</v>
      </c>
      <c r="AI271" s="246"/>
      <c r="AJ271" s="282"/>
      <c r="AK271" s="244">
        <v>255.93</v>
      </c>
      <c r="AL271" s="246"/>
      <c r="AM271" s="282"/>
      <c r="AN271" s="244">
        <v>179.3</v>
      </c>
      <c r="AO271" s="246"/>
      <c r="AP271" s="282"/>
      <c r="AQ271" s="244">
        <v>244.04</v>
      </c>
      <c r="AR271" s="283"/>
      <c r="AS271" s="299"/>
      <c r="AT271" s="244">
        <f t="shared" si="10"/>
        <v>2323.0000000000005</v>
      </c>
      <c r="AU271" s="283"/>
      <c r="AV271" s="284"/>
      <c r="AW271" s="285"/>
      <c r="AX271" s="321"/>
      <c r="AY271" s="300"/>
      <c r="AZ271" s="261"/>
      <c r="BA271" s="261"/>
      <c r="BB271" s="261"/>
      <c r="BC271" s="261"/>
    </row>
    <row r="272" spans="2:55">
      <c r="B272" s="179"/>
      <c r="C272" s="179"/>
      <c r="D272" s="181"/>
      <c r="E272" s="181"/>
      <c r="F272" s="181"/>
      <c r="G272" s="1110">
        <v>310135</v>
      </c>
      <c r="H272" s="123" t="s">
        <v>578</v>
      </c>
      <c r="I272" s="516" t="s">
        <v>364</v>
      </c>
      <c r="J272" s="638">
        <f>ГЭС!C13</f>
        <v>160</v>
      </c>
      <c r="K272" s="246"/>
      <c r="L272" s="282"/>
      <c r="M272" s="638">
        <f>ГЭС!D13</f>
        <v>147</v>
      </c>
      <c r="N272" s="246"/>
      <c r="O272" s="282"/>
      <c r="P272" s="638">
        <f>ГЭС!E13</f>
        <v>158</v>
      </c>
      <c r="Q272" s="246"/>
      <c r="R272" s="282"/>
      <c r="S272" s="638">
        <f>ГЭС!G13</f>
        <v>154</v>
      </c>
      <c r="T272" s="246"/>
      <c r="U272" s="282"/>
      <c r="V272" s="638">
        <f>ГЭС!H13</f>
        <v>144</v>
      </c>
      <c r="W272" s="246"/>
      <c r="X272" s="282"/>
      <c r="Y272" s="638">
        <f>ГЭС!I13</f>
        <v>134</v>
      </c>
      <c r="Z272" s="246"/>
      <c r="AA272" s="282"/>
      <c r="AB272" s="638">
        <f>ГЭС!K13</f>
        <v>164</v>
      </c>
      <c r="AC272" s="246"/>
      <c r="AD272" s="282"/>
      <c r="AE272" s="638">
        <f>ГЭС!L13</f>
        <v>126</v>
      </c>
      <c r="AF272" s="246"/>
      <c r="AG272" s="282"/>
      <c r="AH272" s="638">
        <f>ГЭС!M13</f>
        <v>154</v>
      </c>
      <c r="AI272" s="246"/>
      <c r="AJ272" s="282"/>
      <c r="AK272" s="638">
        <f>ГЭС!O13</f>
        <v>164</v>
      </c>
      <c r="AL272" s="246"/>
      <c r="AM272" s="282"/>
      <c r="AN272" s="638">
        <f>ГЭС!P13</f>
        <v>159</v>
      </c>
      <c r="AO272" s="246"/>
      <c r="AP272" s="282"/>
      <c r="AQ272" s="638">
        <f>ГЭС!Q13</f>
        <v>163</v>
      </c>
      <c r="AR272" s="283"/>
      <c r="AS272" s="299"/>
      <c r="AT272" s="638">
        <f t="shared" si="10"/>
        <v>1827</v>
      </c>
      <c r="AU272" s="283"/>
      <c r="AV272" s="284"/>
      <c r="AW272" s="285"/>
      <c r="AX272" s="321"/>
      <c r="AY272" s="435">
        <v>1871.2121059999999</v>
      </c>
      <c r="AZ272" s="261"/>
      <c r="BA272" s="261"/>
      <c r="BB272" s="261"/>
      <c r="BC272" s="261"/>
    </row>
    <row r="273" spans="2:55">
      <c r="B273" s="179"/>
      <c r="C273" s="179"/>
      <c r="D273" s="181"/>
      <c r="E273" s="181"/>
      <c r="F273" s="181"/>
      <c r="G273" s="1110">
        <v>710148</v>
      </c>
      <c r="H273" s="123" t="s">
        <v>1317</v>
      </c>
      <c r="I273" s="516" t="s">
        <v>364</v>
      </c>
      <c r="J273" s="244">
        <v>12.509600000000001</v>
      </c>
      <c r="K273" s="246"/>
      <c r="L273" s="282"/>
      <c r="M273" s="244">
        <v>6.8773999999999997</v>
      </c>
      <c r="N273" s="246"/>
      <c r="O273" s="282"/>
      <c r="P273" s="244">
        <v>6.6592000000000002</v>
      </c>
      <c r="Q273" s="246"/>
      <c r="R273" s="282"/>
      <c r="S273" s="244">
        <v>6.1668000000000003</v>
      </c>
      <c r="T273" s="246"/>
      <c r="U273" s="282"/>
      <c r="V273" s="244">
        <v>6.1463999999999999</v>
      </c>
      <c r="W273" s="246"/>
      <c r="X273" s="282"/>
      <c r="Y273" s="244">
        <v>5.2817999999999996</v>
      </c>
      <c r="Z273" s="246"/>
      <c r="AA273" s="282"/>
      <c r="AB273" s="244">
        <v>5.5646000000000004</v>
      </c>
      <c r="AC273" s="246"/>
      <c r="AD273" s="282"/>
      <c r="AE273" s="244">
        <v>5.6696999999999997</v>
      </c>
      <c r="AF273" s="246"/>
      <c r="AG273" s="282"/>
      <c r="AH273" s="244">
        <v>5.9447999999999999</v>
      </c>
      <c r="AI273" s="246"/>
      <c r="AJ273" s="282"/>
      <c r="AK273" s="244">
        <v>6.3672000000000004</v>
      </c>
      <c r="AL273" s="246"/>
      <c r="AM273" s="282"/>
      <c r="AN273" s="244">
        <v>6.3007999999999997</v>
      </c>
      <c r="AO273" s="246"/>
      <c r="AP273" s="282"/>
      <c r="AQ273" s="244">
        <v>7.5209999999999999</v>
      </c>
      <c r="AR273" s="283"/>
      <c r="AS273" s="299"/>
      <c r="AT273" s="244">
        <f t="shared" si="10"/>
        <v>81.009299999999996</v>
      </c>
      <c r="AU273" s="283"/>
      <c r="AV273" s="284"/>
      <c r="AW273" s="285"/>
      <c r="AX273" s="321"/>
      <c r="AY273" s="435">
        <v>132.12805900000001</v>
      </c>
      <c r="AZ273" s="261"/>
      <c r="BA273" s="261"/>
      <c r="BB273" s="261"/>
      <c r="BC273" s="261"/>
    </row>
    <row r="274" spans="2:55">
      <c r="B274" s="179"/>
      <c r="C274" s="179"/>
      <c r="D274" s="181"/>
      <c r="E274" s="181"/>
      <c r="F274" s="181"/>
      <c r="G274" s="1110">
        <v>310142</v>
      </c>
      <c r="H274" s="123" t="s">
        <v>387</v>
      </c>
      <c r="I274" s="519" t="s">
        <v>365</v>
      </c>
      <c r="J274" s="244">
        <v>0</v>
      </c>
      <c r="K274" s="246"/>
      <c r="L274" s="282"/>
      <c r="M274" s="244">
        <v>0</v>
      </c>
      <c r="N274" s="246"/>
      <c r="O274" s="282"/>
      <c r="P274" s="244">
        <v>0</v>
      </c>
      <c r="Q274" s="246"/>
      <c r="R274" s="282"/>
      <c r="S274" s="244">
        <v>0</v>
      </c>
      <c r="T274" s="246"/>
      <c r="U274" s="282"/>
      <c r="V274" s="244">
        <v>0</v>
      </c>
      <c r="W274" s="246"/>
      <c r="X274" s="282"/>
      <c r="Y274" s="244">
        <v>0</v>
      </c>
      <c r="Z274" s="246"/>
      <c r="AA274" s="282"/>
      <c r="AB274" s="244">
        <v>0</v>
      </c>
      <c r="AC274" s="246"/>
      <c r="AD274" s="282"/>
      <c r="AE274" s="244">
        <v>0</v>
      </c>
      <c r="AF274" s="246"/>
      <c r="AG274" s="282"/>
      <c r="AH274" s="244">
        <v>0</v>
      </c>
      <c r="AI274" s="246"/>
      <c r="AJ274" s="282"/>
      <c r="AK274" s="244">
        <v>0</v>
      </c>
      <c r="AL274" s="246"/>
      <c r="AM274" s="282"/>
      <c r="AN274" s="244">
        <v>0</v>
      </c>
      <c r="AO274" s="246"/>
      <c r="AP274" s="282"/>
      <c r="AQ274" s="244">
        <v>0</v>
      </c>
      <c r="AR274" s="283"/>
      <c r="AS274" s="299"/>
      <c r="AT274" s="244">
        <f t="shared" si="10"/>
        <v>0</v>
      </c>
      <c r="AU274" s="283"/>
      <c r="AV274" s="284"/>
      <c r="AW274" s="285"/>
      <c r="AX274" s="321"/>
      <c r="AY274" s="435">
        <v>0</v>
      </c>
      <c r="AZ274" s="261"/>
      <c r="BA274" s="261"/>
      <c r="BB274" s="261"/>
      <c r="BC274" s="261"/>
    </row>
    <row r="275" spans="2:55">
      <c r="B275" s="179"/>
      <c r="C275" s="179"/>
      <c r="D275" s="181"/>
      <c r="E275" s="181"/>
      <c r="F275" s="181"/>
      <c r="G275" s="1110">
        <v>310141</v>
      </c>
      <c r="H275" s="123" t="s">
        <v>1318</v>
      </c>
      <c r="I275" s="519" t="s">
        <v>365</v>
      </c>
      <c r="J275" s="244">
        <v>6.9189999999999996</v>
      </c>
      <c r="K275" s="246"/>
      <c r="L275" s="282"/>
      <c r="M275" s="244">
        <v>6.5179999999999998</v>
      </c>
      <c r="N275" s="246"/>
      <c r="O275" s="282"/>
      <c r="P275" s="244">
        <v>7.5140000000000002</v>
      </c>
      <c r="Q275" s="246"/>
      <c r="R275" s="282"/>
      <c r="S275" s="244">
        <v>6.3360000000000003</v>
      </c>
      <c r="T275" s="246"/>
      <c r="U275" s="282"/>
      <c r="V275" s="244">
        <v>4.7240000000000002</v>
      </c>
      <c r="W275" s="246"/>
      <c r="X275" s="282"/>
      <c r="Y275" s="244">
        <v>4.7160000000000002</v>
      </c>
      <c r="Z275" s="246"/>
      <c r="AA275" s="282"/>
      <c r="AB275" s="244">
        <v>4.4640000000000004</v>
      </c>
      <c r="AC275" s="246"/>
      <c r="AD275" s="282"/>
      <c r="AE275" s="244">
        <v>4.3159999999999998</v>
      </c>
      <c r="AF275" s="246"/>
      <c r="AG275" s="282"/>
      <c r="AH275" s="244">
        <v>5.17</v>
      </c>
      <c r="AI275" s="246"/>
      <c r="AJ275" s="282"/>
      <c r="AK275" s="244">
        <v>7.3659999999999997</v>
      </c>
      <c r="AL275" s="246"/>
      <c r="AM275" s="282"/>
      <c r="AN275" s="244">
        <v>7.4880000000000004</v>
      </c>
      <c r="AO275" s="246"/>
      <c r="AP275" s="282"/>
      <c r="AQ275" s="244">
        <v>7.8860000000000001</v>
      </c>
      <c r="AR275" s="283"/>
      <c r="AS275" s="299"/>
      <c r="AT275" s="244">
        <f t="shared" si="10"/>
        <v>73.417000000000002</v>
      </c>
      <c r="AU275" s="283"/>
      <c r="AV275" s="284"/>
      <c r="AW275" s="285"/>
      <c r="AX275" s="321"/>
      <c r="AY275" s="435">
        <v>72.224543999999995</v>
      </c>
      <c r="AZ275" s="261"/>
      <c r="BA275" s="261"/>
      <c r="BB275" s="261"/>
      <c r="BC275" s="261"/>
    </row>
    <row r="276" spans="2:55">
      <c r="B276" s="179"/>
      <c r="C276" s="179"/>
      <c r="D276" s="181"/>
      <c r="E276" s="181"/>
      <c r="F276" s="181"/>
      <c r="G276" s="1110">
        <v>710140</v>
      </c>
      <c r="H276" s="123" t="s">
        <v>1319</v>
      </c>
      <c r="I276" s="519" t="s">
        <v>365</v>
      </c>
      <c r="J276" s="244">
        <v>2.78</v>
      </c>
      <c r="K276" s="246"/>
      <c r="L276" s="282"/>
      <c r="M276" s="244">
        <v>2.62</v>
      </c>
      <c r="N276" s="246"/>
      <c r="O276" s="282"/>
      <c r="P276" s="244">
        <v>2.85</v>
      </c>
      <c r="Q276" s="246"/>
      <c r="R276" s="282"/>
      <c r="S276" s="244">
        <v>2.29</v>
      </c>
      <c r="T276" s="246"/>
      <c r="U276" s="282"/>
      <c r="V276" s="244">
        <v>2.16</v>
      </c>
      <c r="W276" s="246"/>
      <c r="X276" s="282"/>
      <c r="Y276" s="244">
        <v>2.2200000000000002</v>
      </c>
      <c r="Z276" s="246"/>
      <c r="AA276" s="282"/>
      <c r="AB276" s="244">
        <v>2.48</v>
      </c>
      <c r="AC276" s="246"/>
      <c r="AD276" s="282"/>
      <c r="AE276" s="244">
        <v>2.4900000000000002</v>
      </c>
      <c r="AF276" s="246"/>
      <c r="AG276" s="282"/>
      <c r="AH276" s="244">
        <v>2.16</v>
      </c>
      <c r="AI276" s="246"/>
      <c r="AJ276" s="282"/>
      <c r="AK276" s="244">
        <v>2.3800000000000003</v>
      </c>
      <c r="AL276" s="246"/>
      <c r="AM276" s="282"/>
      <c r="AN276" s="244">
        <v>2.86</v>
      </c>
      <c r="AO276" s="246"/>
      <c r="AP276" s="282"/>
      <c r="AQ276" s="244">
        <v>2.95</v>
      </c>
      <c r="AR276" s="246"/>
      <c r="AS276" s="282"/>
      <c r="AT276" s="244">
        <f>J276+M276+P276+S276+V276+Y276+AB276+AE276+AH276+AK276+AN276+AQ276</f>
        <v>30.24</v>
      </c>
      <c r="AU276" s="246"/>
      <c r="AV276" s="336"/>
      <c r="AW276" s="285"/>
      <c r="AX276" s="337"/>
      <c r="AY276" s="438">
        <v>0</v>
      </c>
      <c r="AZ276" s="261"/>
      <c r="BA276" s="261"/>
      <c r="BB276" s="261"/>
      <c r="BC276" s="261"/>
    </row>
    <row r="277" spans="2:55">
      <c r="B277" s="179"/>
      <c r="C277" s="179"/>
      <c r="D277" s="181"/>
      <c r="E277" s="181"/>
      <c r="F277" s="181"/>
      <c r="G277" s="1110">
        <v>710140</v>
      </c>
      <c r="H277" s="123" t="s">
        <v>1320</v>
      </c>
      <c r="I277" s="519" t="s">
        <v>365</v>
      </c>
      <c r="J277" s="244">
        <v>1.095</v>
      </c>
      <c r="K277" s="246"/>
      <c r="L277" s="282"/>
      <c r="M277" s="244">
        <v>1.095</v>
      </c>
      <c r="N277" s="246"/>
      <c r="O277" s="282"/>
      <c r="P277" s="244">
        <v>1.095</v>
      </c>
      <c r="Q277" s="246"/>
      <c r="R277" s="282"/>
      <c r="S277" s="244">
        <v>1.095</v>
      </c>
      <c r="T277" s="246"/>
      <c r="U277" s="282"/>
      <c r="V277" s="244">
        <v>1.095</v>
      </c>
      <c r="W277" s="246"/>
      <c r="X277" s="282"/>
      <c r="Y277" s="244">
        <v>1.095</v>
      </c>
      <c r="Z277" s="246"/>
      <c r="AA277" s="282"/>
      <c r="AB277" s="244">
        <v>1.095</v>
      </c>
      <c r="AC277" s="246"/>
      <c r="AD277" s="282"/>
      <c r="AE277" s="244">
        <v>1.095</v>
      </c>
      <c r="AF277" s="246"/>
      <c r="AG277" s="282"/>
      <c r="AH277" s="244">
        <v>1.095</v>
      </c>
      <c r="AI277" s="246"/>
      <c r="AJ277" s="282"/>
      <c r="AK277" s="244">
        <v>1.095</v>
      </c>
      <c r="AL277" s="246"/>
      <c r="AM277" s="282"/>
      <c r="AN277" s="244">
        <v>1.095</v>
      </c>
      <c r="AO277" s="246"/>
      <c r="AP277" s="282"/>
      <c r="AQ277" s="244">
        <v>1.095</v>
      </c>
      <c r="AR277" s="246"/>
      <c r="AS277" s="282"/>
      <c r="AT277" s="244">
        <f>J277+M277+P277+S277+V277+Y277+AB277+AE277+AH277+AK277+AN277+AQ277</f>
        <v>13.140000000000002</v>
      </c>
      <c r="AU277" s="246"/>
      <c r="AV277" s="336"/>
      <c r="AW277" s="285"/>
      <c r="AX277" s="337"/>
      <c r="AY277" s="438"/>
      <c r="AZ277" s="261"/>
      <c r="BA277" s="261"/>
      <c r="BB277" s="261"/>
      <c r="BC277" s="261"/>
    </row>
    <row r="278" spans="2:55">
      <c r="B278" s="179"/>
      <c r="C278" s="179"/>
      <c r="D278" s="181"/>
      <c r="E278" s="181"/>
      <c r="F278" s="181"/>
      <c r="G278" s="1110">
        <v>777188</v>
      </c>
      <c r="H278" s="123" t="s">
        <v>1323</v>
      </c>
      <c r="I278" s="519" t="s">
        <v>365</v>
      </c>
      <c r="J278" s="244">
        <v>1.7110000000000001</v>
      </c>
      <c r="K278" s="246"/>
      <c r="L278" s="282"/>
      <c r="M278" s="244">
        <v>1.5860000000000001</v>
      </c>
      <c r="N278" s="246"/>
      <c r="O278" s="282"/>
      <c r="P278" s="244">
        <v>1.7070000000000001</v>
      </c>
      <c r="Q278" s="246"/>
      <c r="R278" s="282"/>
      <c r="S278" s="244">
        <v>1.65</v>
      </c>
      <c r="T278" s="246"/>
      <c r="U278" s="282"/>
      <c r="V278" s="244">
        <v>1.6850000000000001</v>
      </c>
      <c r="W278" s="246"/>
      <c r="X278" s="282"/>
      <c r="Y278" s="244">
        <v>1.62</v>
      </c>
      <c r="Z278" s="246"/>
      <c r="AA278" s="282"/>
      <c r="AB278" s="244">
        <v>1.6950000000000001</v>
      </c>
      <c r="AC278" s="246"/>
      <c r="AD278" s="282"/>
      <c r="AE278" s="244">
        <v>1.6950000000000001</v>
      </c>
      <c r="AF278" s="246"/>
      <c r="AG278" s="282"/>
      <c r="AH278" s="244">
        <v>1.6359999999999999</v>
      </c>
      <c r="AI278" s="246"/>
      <c r="AJ278" s="282"/>
      <c r="AK278" s="244">
        <v>1.6870000000000001</v>
      </c>
      <c r="AL278" s="246"/>
      <c r="AM278" s="282"/>
      <c r="AN278" s="244">
        <v>1.6419999999999999</v>
      </c>
      <c r="AO278" s="246"/>
      <c r="AP278" s="282"/>
      <c r="AQ278" s="244">
        <v>1.6950000000000001</v>
      </c>
      <c r="AR278" s="246"/>
      <c r="AS278" s="282"/>
      <c r="AT278" s="244">
        <f>J278+M278+P278+S278+V278+Y278+AB278+AE278+AH278+AK278+AN278+AQ278</f>
        <v>20.009</v>
      </c>
      <c r="AU278" s="246"/>
      <c r="AV278" s="336"/>
      <c r="AW278" s="285"/>
      <c r="AX278" s="337"/>
      <c r="AY278" s="438"/>
      <c r="AZ278" s="261"/>
      <c r="BA278" s="261"/>
      <c r="BB278" s="261"/>
      <c r="BC278" s="261"/>
    </row>
    <row r="279" spans="2:55">
      <c r="B279" s="179"/>
      <c r="C279" s="179"/>
      <c r="D279" s="181"/>
      <c r="E279" s="181"/>
      <c r="F279" s="181"/>
      <c r="G279" s="1110">
        <v>310137</v>
      </c>
      <c r="H279" s="123" t="s">
        <v>385</v>
      </c>
      <c r="I279" s="519" t="s">
        <v>365</v>
      </c>
      <c r="J279" s="587">
        <v>16.5</v>
      </c>
      <c r="K279" s="246"/>
      <c r="L279" s="282"/>
      <c r="M279" s="587">
        <v>15.069900000000001</v>
      </c>
      <c r="N279" s="246"/>
      <c r="O279" s="282"/>
      <c r="P279" s="587">
        <v>14.355</v>
      </c>
      <c r="Q279" s="246"/>
      <c r="R279" s="282"/>
      <c r="S279" s="587">
        <v>13.213699999999999</v>
      </c>
      <c r="T279" s="246"/>
      <c r="U279" s="282"/>
      <c r="V279" s="587">
        <v>12.512600000000001</v>
      </c>
      <c r="W279" s="246"/>
      <c r="X279" s="282"/>
      <c r="Y279" s="587">
        <v>11.151199999999999</v>
      </c>
      <c r="Z279" s="246"/>
      <c r="AA279" s="282"/>
      <c r="AB279" s="587">
        <v>11.385</v>
      </c>
      <c r="AC279" s="246"/>
      <c r="AD279" s="282"/>
      <c r="AE279" s="587">
        <v>11.6051</v>
      </c>
      <c r="AF279" s="246"/>
      <c r="AG279" s="282"/>
      <c r="AH279" s="587">
        <v>12.512600000000001</v>
      </c>
      <c r="AI279" s="246"/>
      <c r="AJ279" s="282"/>
      <c r="AK279" s="587">
        <v>14.1075</v>
      </c>
      <c r="AL279" s="246"/>
      <c r="AM279" s="282"/>
      <c r="AN279" s="587">
        <v>15.5649</v>
      </c>
      <c r="AO279" s="246"/>
      <c r="AP279" s="282"/>
      <c r="AQ279" s="587">
        <v>17.022200000000002</v>
      </c>
      <c r="AR279" s="283"/>
      <c r="AS279" s="299"/>
      <c r="AT279" s="587">
        <f t="shared" si="10"/>
        <v>164.99970000000002</v>
      </c>
      <c r="AU279" s="283"/>
      <c r="AV279" s="284"/>
      <c r="AW279" s="285"/>
      <c r="AX279" s="321"/>
      <c r="AY279" s="435">
        <v>184.95971599999999</v>
      </c>
      <c r="AZ279" s="261"/>
      <c r="BA279" s="261"/>
      <c r="BB279" s="261"/>
      <c r="BC279" s="261"/>
    </row>
    <row r="280" spans="2:55">
      <c r="B280" s="179"/>
      <c r="C280" s="179"/>
      <c r="D280" s="181"/>
      <c r="E280" s="181"/>
      <c r="F280" s="181"/>
      <c r="G280" s="1110">
        <v>710158</v>
      </c>
      <c r="H280" s="123" t="s">
        <v>386</v>
      </c>
      <c r="I280" s="519" t="s">
        <v>365</v>
      </c>
      <c r="J280" s="587">
        <v>2.329828</v>
      </c>
      <c r="K280" s="246"/>
      <c r="L280" s="282"/>
      <c r="M280" s="587">
        <v>2.0211030000000001</v>
      </c>
      <c r="N280" s="246"/>
      <c r="O280" s="282"/>
      <c r="P280" s="587">
        <v>1.914153</v>
      </c>
      <c r="Q280" s="246"/>
      <c r="R280" s="282"/>
      <c r="S280" s="587">
        <v>1.9205300000000001</v>
      </c>
      <c r="T280" s="246"/>
      <c r="U280" s="282"/>
      <c r="V280" s="587">
        <v>2.219786</v>
      </c>
      <c r="W280" s="246"/>
      <c r="X280" s="282"/>
      <c r="Y280" s="587">
        <v>2.3386399999999998</v>
      </c>
      <c r="Z280" s="246"/>
      <c r="AA280" s="282"/>
      <c r="AB280" s="587">
        <v>1.845728</v>
      </c>
      <c r="AC280" s="246"/>
      <c r="AD280" s="282"/>
      <c r="AE280" s="587">
        <v>1.4687600000000001</v>
      </c>
      <c r="AF280" s="246"/>
      <c r="AG280" s="282"/>
      <c r="AH280" s="587">
        <v>1.3603000000000001</v>
      </c>
      <c r="AI280" s="246"/>
      <c r="AJ280" s="282"/>
      <c r="AK280" s="587">
        <v>1.3454900000000001</v>
      </c>
      <c r="AL280" s="246"/>
      <c r="AM280" s="282"/>
      <c r="AN280" s="587">
        <v>2.0169000000000001</v>
      </c>
      <c r="AO280" s="246"/>
      <c r="AP280" s="282"/>
      <c r="AQ280" s="587">
        <v>2.478548</v>
      </c>
      <c r="AR280" s="283"/>
      <c r="AS280" s="299"/>
      <c r="AT280" s="587">
        <f t="shared" si="10"/>
        <v>23.259765999999999</v>
      </c>
      <c r="AU280" s="283"/>
      <c r="AV280" s="284"/>
      <c r="AW280" s="285"/>
      <c r="AX280" s="321"/>
      <c r="AY280" s="435">
        <v>24.036833000000001</v>
      </c>
      <c r="AZ280" s="261"/>
      <c r="BA280" s="261"/>
      <c r="BB280" s="261"/>
      <c r="BC280" s="261"/>
    </row>
    <row r="281" spans="2:55">
      <c r="B281" s="179"/>
      <c r="C281" s="179"/>
      <c r="D281" s="181"/>
      <c r="E281" s="181"/>
      <c r="F281" s="181"/>
      <c r="G281" s="1110"/>
      <c r="H281" s="138" t="s">
        <v>174</v>
      </c>
      <c r="I281" s="138"/>
      <c r="J281" s="319">
        <f>SUM(J282:J283)</f>
        <v>18.318573562499999</v>
      </c>
      <c r="K281" s="288"/>
      <c r="L281" s="289"/>
      <c r="M281" s="319">
        <f>SUM(M282:M283)</f>
        <v>15.518826747499997</v>
      </c>
      <c r="N281" s="288"/>
      <c r="O281" s="289"/>
      <c r="P281" s="319">
        <f>SUM(P282:P283)</f>
        <v>15.229189720000001</v>
      </c>
      <c r="Q281" s="288"/>
      <c r="R281" s="289"/>
      <c r="S281" s="319">
        <f>SUM(S282:S283)</f>
        <v>13.188026545</v>
      </c>
      <c r="T281" s="288"/>
      <c r="U281" s="289"/>
      <c r="V281" s="319">
        <f>SUM(V282:V283)</f>
        <v>10.017539300000001</v>
      </c>
      <c r="W281" s="288"/>
      <c r="X281" s="289"/>
      <c r="Y281" s="319">
        <f>SUM(Y282:Y283)</f>
        <v>9.7419936849999988</v>
      </c>
      <c r="Z281" s="288"/>
      <c r="AA281" s="289"/>
      <c r="AB281" s="319">
        <f>SUM(AB282:AB283)</f>
        <v>7.314624900000001</v>
      </c>
      <c r="AC281" s="288"/>
      <c r="AD281" s="289"/>
      <c r="AE281" s="319">
        <f>SUM(AE282:AE283)</f>
        <v>10.1336893</v>
      </c>
      <c r="AF281" s="288"/>
      <c r="AG281" s="289"/>
      <c r="AH281" s="319">
        <f>SUM(AH282:AH283)</f>
        <v>10.143568435000001</v>
      </c>
      <c r="AI281" s="288"/>
      <c r="AJ281" s="289"/>
      <c r="AK281" s="319">
        <f>SUM(AK282:AK283)</f>
        <v>11.44451355</v>
      </c>
      <c r="AL281" s="288"/>
      <c r="AM281" s="289"/>
      <c r="AN281" s="319">
        <f>SUM(AN282:AN283)</f>
        <v>15.923747935</v>
      </c>
      <c r="AO281" s="288"/>
      <c r="AP281" s="289"/>
      <c r="AQ281" s="319">
        <f>SUM(AQ282:AQ283)</f>
        <v>18.059022800000001</v>
      </c>
      <c r="AR281" s="288"/>
      <c r="AS281" s="289"/>
      <c r="AT281" s="319">
        <f>SUM(AT282:AT283)</f>
        <v>155.03331648</v>
      </c>
      <c r="AU281" s="288"/>
      <c r="AV281" s="290"/>
      <c r="AW281" s="285"/>
      <c r="AX281" s="296"/>
      <c r="AY281" s="313"/>
      <c r="AZ281" s="261"/>
      <c r="BA281" s="261"/>
      <c r="BB281" s="261"/>
      <c r="BC281" s="261"/>
    </row>
    <row r="282" spans="2:55">
      <c r="B282" s="179"/>
      <c r="C282" s="179"/>
      <c r="D282" s="181"/>
      <c r="E282" s="181"/>
      <c r="F282" s="181"/>
      <c r="G282" s="1110">
        <v>310144</v>
      </c>
      <c r="H282" s="135" t="s">
        <v>1321</v>
      </c>
      <c r="I282" s="518" t="s">
        <v>365</v>
      </c>
      <c r="J282" s="294">
        <v>10.153600000000001</v>
      </c>
      <c r="K282" s="288"/>
      <c r="L282" s="289"/>
      <c r="M282" s="294">
        <v>8.1588999999999992</v>
      </c>
      <c r="N282" s="288"/>
      <c r="O282" s="289"/>
      <c r="P282" s="294">
        <v>7.7897999999999996</v>
      </c>
      <c r="Q282" s="288"/>
      <c r="R282" s="289"/>
      <c r="S282" s="294">
        <v>6.1940499999999998</v>
      </c>
      <c r="T282" s="288"/>
      <c r="U282" s="289"/>
      <c r="V282" s="294">
        <v>2.9774500000000002</v>
      </c>
      <c r="W282" s="288"/>
      <c r="X282" s="289"/>
      <c r="Y282" s="294">
        <v>2.7780999999999998</v>
      </c>
      <c r="Z282" s="288"/>
      <c r="AA282" s="289"/>
      <c r="AB282" s="294">
        <v>0.10965</v>
      </c>
      <c r="AC282" s="288"/>
      <c r="AD282" s="289"/>
      <c r="AE282" s="294">
        <v>2.8160409999999998</v>
      </c>
      <c r="AF282" s="288"/>
      <c r="AG282" s="289"/>
      <c r="AH282" s="294">
        <v>3.1127500000000001</v>
      </c>
      <c r="AI282" s="288"/>
      <c r="AJ282" s="289"/>
      <c r="AK282" s="294">
        <v>4.0064500000000001</v>
      </c>
      <c r="AL282" s="288"/>
      <c r="AM282" s="289"/>
      <c r="AN282" s="294">
        <v>8.3104499999999994</v>
      </c>
      <c r="AO282" s="288"/>
      <c r="AP282" s="289"/>
      <c r="AQ282" s="294">
        <v>9.8557000000000006</v>
      </c>
      <c r="AR282" s="288"/>
      <c r="AS282" s="289"/>
      <c r="AT282" s="294">
        <f t="shared" si="10"/>
        <v>66.262940999999998</v>
      </c>
      <c r="AU282" s="288"/>
      <c r="AV282" s="290"/>
      <c r="AW282" s="285"/>
      <c r="AX282" s="296"/>
      <c r="AY282" s="313"/>
      <c r="AZ282" s="261"/>
      <c r="BA282" s="261"/>
      <c r="BB282" s="261"/>
      <c r="BC282" s="261"/>
    </row>
    <row r="283" spans="2:55">
      <c r="B283" s="179"/>
      <c r="C283" s="179"/>
      <c r="D283" s="181"/>
      <c r="E283" s="181"/>
      <c r="F283" s="181"/>
      <c r="G283" s="1110">
        <v>310143</v>
      </c>
      <c r="H283" s="135" t="s">
        <v>1322</v>
      </c>
      <c r="I283" s="518" t="s">
        <v>365</v>
      </c>
      <c r="J283" s="294">
        <v>8.1649735625000002</v>
      </c>
      <c r="K283" s="288"/>
      <c r="L283" s="289"/>
      <c r="M283" s="294">
        <v>7.3599267474999985</v>
      </c>
      <c r="N283" s="288"/>
      <c r="O283" s="289"/>
      <c r="P283" s="294">
        <v>7.4393897200000003</v>
      </c>
      <c r="Q283" s="288"/>
      <c r="R283" s="289"/>
      <c r="S283" s="294">
        <v>6.9939765449999998</v>
      </c>
      <c r="T283" s="288"/>
      <c r="U283" s="289"/>
      <c r="V283" s="294">
        <v>7.0400893000000009</v>
      </c>
      <c r="W283" s="288"/>
      <c r="X283" s="289"/>
      <c r="Y283" s="294">
        <v>6.9638936849999995</v>
      </c>
      <c r="Z283" s="288"/>
      <c r="AA283" s="289"/>
      <c r="AB283" s="294">
        <v>7.2049749000000007</v>
      </c>
      <c r="AC283" s="288"/>
      <c r="AD283" s="289"/>
      <c r="AE283" s="294">
        <v>7.3176483000000001</v>
      </c>
      <c r="AF283" s="288"/>
      <c r="AG283" s="289"/>
      <c r="AH283" s="294">
        <v>7.0308184350000005</v>
      </c>
      <c r="AI283" s="288"/>
      <c r="AJ283" s="289"/>
      <c r="AK283" s="294">
        <v>7.4380635499999999</v>
      </c>
      <c r="AL283" s="288"/>
      <c r="AM283" s="289"/>
      <c r="AN283" s="294">
        <v>7.6132979350000003</v>
      </c>
      <c r="AO283" s="288"/>
      <c r="AP283" s="289"/>
      <c r="AQ283" s="294">
        <v>8.2033228000000005</v>
      </c>
      <c r="AR283" s="288"/>
      <c r="AS283" s="289"/>
      <c r="AT283" s="294">
        <f t="shared" si="10"/>
        <v>88.770375480000013</v>
      </c>
      <c r="AU283" s="288"/>
      <c r="AV283" s="290"/>
      <c r="AW283" s="285"/>
      <c r="AX283" s="296"/>
      <c r="AY283" s="313"/>
      <c r="AZ283" s="261"/>
      <c r="BA283" s="261"/>
      <c r="BB283" s="261"/>
      <c r="BC283" s="261"/>
    </row>
    <row r="284" spans="2:55" ht="18.75">
      <c r="B284" s="179"/>
      <c r="C284" s="179"/>
      <c r="D284" s="181">
        <v>311000</v>
      </c>
      <c r="E284" s="181"/>
      <c r="F284" s="181"/>
      <c r="G284" s="181">
        <v>311000</v>
      </c>
      <c r="H284" s="471" t="s">
        <v>1579</v>
      </c>
      <c r="I284" s="471"/>
      <c r="J284" s="277">
        <f>SUM(J285:J287)</f>
        <v>151.79239999999999</v>
      </c>
      <c r="K284" s="275">
        <f>L284-J284</f>
        <v>120.38643987720997</v>
      </c>
      <c r="L284" s="276">
        <f>Потребление!D22</f>
        <v>272.17883987720995</v>
      </c>
      <c r="M284" s="274">
        <f>SUM(M285:M287)</f>
        <v>146.05519999999999</v>
      </c>
      <c r="N284" s="275">
        <f>O284-M284</f>
        <v>114.72808618184925</v>
      </c>
      <c r="O284" s="276">
        <f>Потребление!E22</f>
        <v>260.78328618184923</v>
      </c>
      <c r="P284" s="274">
        <f>SUM(P285:P287)</f>
        <v>129.52509999999998</v>
      </c>
      <c r="Q284" s="275">
        <f>R284-P284</f>
        <v>136.59957297546819</v>
      </c>
      <c r="R284" s="276">
        <f>Потребление!F22</f>
        <v>266.12467297546817</v>
      </c>
      <c r="S284" s="274">
        <f>SUM(S285:S287)</f>
        <v>108.81330000000001</v>
      </c>
      <c r="T284" s="275">
        <f>U284-S284</f>
        <v>119.70309268502156</v>
      </c>
      <c r="U284" s="276">
        <f>Потребление!G22</f>
        <v>228.51639268502157</v>
      </c>
      <c r="V284" s="274">
        <f>SUM(V285:V287)</f>
        <v>71.467600000000004</v>
      </c>
      <c r="W284" s="275">
        <f>X284-V284</f>
        <v>135.07276793311772</v>
      </c>
      <c r="X284" s="276">
        <f>Потребление!H22</f>
        <v>206.54036793311772</v>
      </c>
      <c r="Y284" s="274">
        <f>SUM(Y285:Y287)</f>
        <v>67.183000000000007</v>
      </c>
      <c r="Z284" s="275">
        <f>AA284-Y284</f>
        <v>131.47961018087295</v>
      </c>
      <c r="AA284" s="276">
        <f>Потребление!I22</f>
        <v>198.66261018087297</v>
      </c>
      <c r="AB284" s="274">
        <f>SUM(AB285:AB287)</f>
        <v>82.304299999999998</v>
      </c>
      <c r="AC284" s="275">
        <f>AD284-AB284</f>
        <v>116.94917024338578</v>
      </c>
      <c r="AD284" s="276">
        <f>Потребление!J22</f>
        <v>199.25347024338578</v>
      </c>
      <c r="AE284" s="274">
        <f>SUM(AE285:AE287)</f>
        <v>74.751800000000003</v>
      </c>
      <c r="AF284" s="275">
        <f>AG284-AE284</f>
        <v>132.37982825268347</v>
      </c>
      <c r="AG284" s="276">
        <f>Потребление!K22</f>
        <v>207.13162825268347</v>
      </c>
      <c r="AH284" s="274">
        <f>SUM(AH285:AH287)</f>
        <v>70.92649999999999</v>
      </c>
      <c r="AI284" s="275">
        <f>AJ284-AH284</f>
        <v>141.4438161417691</v>
      </c>
      <c r="AJ284" s="276">
        <f>Потребление!L22</f>
        <v>212.37031614176911</v>
      </c>
      <c r="AK284" s="274">
        <f>SUM(AK285:AK287)</f>
        <v>104.75220000000002</v>
      </c>
      <c r="AL284" s="275">
        <f>AM284-AK284</f>
        <v>144.6308342284764</v>
      </c>
      <c r="AM284" s="276">
        <f>Потребление!M22</f>
        <v>249.38303422847642</v>
      </c>
      <c r="AN284" s="274">
        <f>SUM(AN285:AN287)</f>
        <v>134.65419999999997</v>
      </c>
      <c r="AO284" s="275">
        <f>AP284-AN284</f>
        <v>125.03375298095111</v>
      </c>
      <c r="AP284" s="276">
        <f>Потребление!N22</f>
        <v>259.68795298095108</v>
      </c>
      <c r="AQ284" s="274">
        <f>SUM(AQ285:AQ287)</f>
        <v>152.68129999999999</v>
      </c>
      <c r="AR284" s="275">
        <f>AS284-AQ284</f>
        <v>124.91112831919438</v>
      </c>
      <c r="AS284" s="276">
        <f>Потребление!O22</f>
        <v>277.59242831919437</v>
      </c>
      <c r="AT284" s="274">
        <f>SUM(AT285:AT287)</f>
        <v>1294.9069</v>
      </c>
      <c r="AU284" s="275">
        <f>AV284-AT284</f>
        <v>1543.3181</v>
      </c>
      <c r="AV284" s="278">
        <f>L284+O284+R284+U284+X284+AA284+AD284+AG284+AJ284+AM284+AP284+AS284</f>
        <v>2838.2249999999999</v>
      </c>
      <c r="AW284" s="279"/>
      <c r="AX284" s="1067">
        <v>2840.8982329999999</v>
      </c>
      <c r="AY284" s="298">
        <f>AY285+AY286+AY287</f>
        <v>1255.0558140000003</v>
      </c>
      <c r="AZ284" s="261"/>
      <c r="BA284" s="261"/>
      <c r="BB284" s="261"/>
      <c r="BC284" s="261"/>
    </row>
    <row r="285" spans="2:55" ht="15" customHeight="1">
      <c r="B285" s="179"/>
      <c r="C285" s="179"/>
      <c r="D285" s="181"/>
      <c r="E285" s="181"/>
      <c r="F285" s="181"/>
      <c r="G285" s="181"/>
      <c r="H285" s="10" t="s">
        <v>173</v>
      </c>
      <c r="I285" s="10"/>
      <c r="J285" s="223">
        <f>SUM(J288:J289)+J292</f>
        <v>149.71289999999999</v>
      </c>
      <c r="K285" s="271"/>
      <c r="L285" s="224"/>
      <c r="M285" s="270">
        <f>SUM(M288:M289)+M292</f>
        <v>144.0479</v>
      </c>
      <c r="N285" s="271"/>
      <c r="O285" s="224"/>
      <c r="P285" s="270">
        <f>SUM(P288:P289)+P292</f>
        <v>127.4671</v>
      </c>
      <c r="Q285" s="271"/>
      <c r="R285" s="224"/>
      <c r="S285" s="270">
        <f>SUM(S288:S289)+S292</f>
        <v>106.6482</v>
      </c>
      <c r="T285" s="271"/>
      <c r="U285" s="224"/>
      <c r="V285" s="270">
        <f>SUM(V288:V289)+V292</f>
        <v>69.242599999999996</v>
      </c>
      <c r="W285" s="271"/>
      <c r="X285" s="224"/>
      <c r="Y285" s="270">
        <f>SUM(Y288:Y289)+Y292</f>
        <v>65.120800000000003</v>
      </c>
      <c r="Z285" s="271"/>
      <c r="AA285" s="224"/>
      <c r="AB285" s="270">
        <f>SUM(AB288:AB289)+AB292</f>
        <v>80.27579999999999</v>
      </c>
      <c r="AC285" s="271"/>
      <c r="AD285" s="224"/>
      <c r="AE285" s="270">
        <f>SUM(AE288:AE289)+AE292</f>
        <v>72.735399999999998</v>
      </c>
      <c r="AF285" s="271"/>
      <c r="AG285" s="224"/>
      <c r="AH285" s="270">
        <f>SUM(AH288:AH289)+AH292</f>
        <v>68.953299999999984</v>
      </c>
      <c r="AI285" s="271"/>
      <c r="AJ285" s="224"/>
      <c r="AK285" s="270">
        <f>SUM(AK288:AK289)+AK292</f>
        <v>102.75110000000001</v>
      </c>
      <c r="AL285" s="271"/>
      <c r="AM285" s="224"/>
      <c r="AN285" s="270">
        <f>SUM(AN288:AN289)+AN292</f>
        <v>132.70149999999998</v>
      </c>
      <c r="AO285" s="223"/>
      <c r="AP285" s="224"/>
      <c r="AQ285" s="270">
        <f>SUM(AQ288:AQ289)+AQ292</f>
        <v>150.69800000000001</v>
      </c>
      <c r="AR285" s="223"/>
      <c r="AS285" s="224"/>
      <c r="AT285" s="270">
        <f>SUM(AT288:AT289)+AT292</f>
        <v>1270.3545999999999</v>
      </c>
      <c r="AU285" s="271"/>
      <c r="AV285" s="229"/>
      <c r="AW285" s="226"/>
      <c r="AX285" s="230"/>
      <c r="AY285" s="231">
        <f>SUM(AY288:AY292)</f>
        <v>1236.7121120000002</v>
      </c>
      <c r="AZ285" s="261"/>
      <c r="BA285" s="261"/>
      <c r="BB285" s="261"/>
      <c r="BC285" s="261"/>
    </row>
    <row r="286" spans="2:55" ht="15" customHeight="1">
      <c r="B286" s="179"/>
      <c r="C286" s="179"/>
      <c r="D286" s="181"/>
      <c r="E286" s="181"/>
      <c r="F286" s="181"/>
      <c r="G286" s="181"/>
      <c r="H286" s="10" t="s">
        <v>177</v>
      </c>
      <c r="I286" s="10"/>
      <c r="J286" s="223">
        <f>J293</f>
        <v>0.62949999999999995</v>
      </c>
      <c r="K286" s="271"/>
      <c r="L286" s="224"/>
      <c r="M286" s="223">
        <f>M293</f>
        <v>0.55730000000000002</v>
      </c>
      <c r="N286" s="271"/>
      <c r="O286" s="224"/>
      <c r="P286" s="223">
        <f>P293</f>
        <v>0.60799999999999998</v>
      </c>
      <c r="Q286" s="271"/>
      <c r="R286" s="224"/>
      <c r="S286" s="223">
        <f>S293</f>
        <v>0.71509999999999996</v>
      </c>
      <c r="T286" s="271"/>
      <c r="U286" s="224"/>
      <c r="V286" s="223">
        <f>V293</f>
        <v>0.77500000000000002</v>
      </c>
      <c r="W286" s="271"/>
      <c r="X286" s="224"/>
      <c r="Y286" s="223">
        <f>Y293</f>
        <v>0.61219999999999997</v>
      </c>
      <c r="Z286" s="271"/>
      <c r="AA286" s="224"/>
      <c r="AB286" s="223">
        <f>AB293</f>
        <v>0.57850000000000001</v>
      </c>
      <c r="AC286" s="271"/>
      <c r="AD286" s="224"/>
      <c r="AE286" s="223">
        <f>AE293</f>
        <v>0.56640000000000001</v>
      </c>
      <c r="AF286" s="271"/>
      <c r="AG286" s="224"/>
      <c r="AH286" s="223">
        <f>AH293</f>
        <v>0.5232</v>
      </c>
      <c r="AI286" s="271"/>
      <c r="AJ286" s="224"/>
      <c r="AK286" s="223">
        <f>AK293</f>
        <v>0.55110000000000003</v>
      </c>
      <c r="AL286" s="271"/>
      <c r="AM286" s="224"/>
      <c r="AN286" s="223">
        <f>AN293</f>
        <v>0.50270000000000004</v>
      </c>
      <c r="AO286" s="223"/>
      <c r="AP286" s="224"/>
      <c r="AQ286" s="223">
        <f>AQ293</f>
        <v>0.5333</v>
      </c>
      <c r="AR286" s="223"/>
      <c r="AS286" s="224"/>
      <c r="AT286" s="223">
        <f>AT293</f>
        <v>7.1522999999999994</v>
      </c>
      <c r="AU286" s="271"/>
      <c r="AV286" s="229"/>
      <c r="AW286" s="226"/>
      <c r="AX286" s="230"/>
      <c r="AY286" s="231">
        <f>AY293</f>
        <v>7.1247020000000001</v>
      </c>
      <c r="AZ286" s="261"/>
      <c r="BA286" s="261"/>
      <c r="BB286" s="261"/>
      <c r="BC286" s="261"/>
    </row>
    <row r="287" spans="2:55">
      <c r="B287" s="179"/>
      <c r="C287" s="179"/>
      <c r="D287" s="181"/>
      <c r="E287" s="181"/>
      <c r="F287" s="181"/>
      <c r="G287" s="181"/>
      <c r="H287" s="10" t="s">
        <v>99</v>
      </c>
      <c r="I287" s="10"/>
      <c r="J287" s="223">
        <f>J294</f>
        <v>1.45</v>
      </c>
      <c r="K287" s="271"/>
      <c r="L287" s="224"/>
      <c r="M287" s="270">
        <f>M294</f>
        <v>1.45</v>
      </c>
      <c r="N287" s="271"/>
      <c r="O287" s="224"/>
      <c r="P287" s="270">
        <f>P294</f>
        <v>1.45</v>
      </c>
      <c r="Q287" s="271"/>
      <c r="R287" s="224"/>
      <c r="S287" s="270">
        <f>S294</f>
        <v>1.45</v>
      </c>
      <c r="T287" s="271"/>
      <c r="U287" s="224"/>
      <c r="V287" s="270">
        <f>V294</f>
        <v>1.45</v>
      </c>
      <c r="W287" s="271"/>
      <c r="X287" s="224"/>
      <c r="Y287" s="270">
        <f>Y294</f>
        <v>1.45</v>
      </c>
      <c r="Z287" s="271"/>
      <c r="AA287" s="224"/>
      <c r="AB287" s="270">
        <f>AB294</f>
        <v>1.45</v>
      </c>
      <c r="AC287" s="271"/>
      <c r="AD287" s="224"/>
      <c r="AE287" s="270">
        <f>AE294</f>
        <v>1.45</v>
      </c>
      <c r="AF287" s="271"/>
      <c r="AG287" s="224"/>
      <c r="AH287" s="270">
        <f>AH294</f>
        <v>1.45</v>
      </c>
      <c r="AI287" s="271"/>
      <c r="AJ287" s="224"/>
      <c r="AK287" s="270">
        <f>AK294</f>
        <v>1.45</v>
      </c>
      <c r="AL287" s="271"/>
      <c r="AM287" s="224"/>
      <c r="AN287" s="270">
        <f>AN294</f>
        <v>1.45</v>
      </c>
      <c r="AO287" s="223"/>
      <c r="AP287" s="224"/>
      <c r="AQ287" s="270">
        <f>AQ294</f>
        <v>1.45</v>
      </c>
      <c r="AR287" s="223"/>
      <c r="AS287" s="224"/>
      <c r="AT287" s="270">
        <f>AT294</f>
        <v>17.399999999999995</v>
      </c>
      <c r="AU287" s="271"/>
      <c r="AV287" s="229"/>
      <c r="AW287" s="226"/>
      <c r="AX287" s="230"/>
      <c r="AY287" s="231">
        <f>AY294</f>
        <v>11.218999999999999</v>
      </c>
      <c r="AZ287" s="261"/>
      <c r="BA287" s="261"/>
      <c r="BB287" s="261"/>
      <c r="BC287" s="261"/>
    </row>
    <row r="288" spans="2:55">
      <c r="B288" s="179"/>
      <c r="C288" s="179"/>
      <c r="D288" s="181">
        <v>311010</v>
      </c>
      <c r="E288" s="181"/>
      <c r="F288" s="181"/>
      <c r="G288" s="1110">
        <v>311010</v>
      </c>
      <c r="H288" s="123" t="s">
        <v>532</v>
      </c>
      <c r="I288" s="516" t="s">
        <v>364</v>
      </c>
      <c r="J288" s="244">
        <v>120</v>
      </c>
      <c r="K288" s="246"/>
      <c r="L288" s="282"/>
      <c r="M288" s="244">
        <v>117</v>
      </c>
      <c r="N288" s="246"/>
      <c r="O288" s="282"/>
      <c r="P288" s="244">
        <v>100</v>
      </c>
      <c r="Q288" s="246"/>
      <c r="R288" s="282"/>
      <c r="S288" s="244">
        <v>87</v>
      </c>
      <c r="T288" s="246"/>
      <c r="U288" s="282"/>
      <c r="V288" s="244">
        <v>55</v>
      </c>
      <c r="W288" s="246"/>
      <c r="X288" s="282"/>
      <c r="Y288" s="244">
        <v>51</v>
      </c>
      <c r="Z288" s="246"/>
      <c r="AA288" s="282"/>
      <c r="AB288" s="244">
        <v>65</v>
      </c>
      <c r="AC288" s="246"/>
      <c r="AD288" s="282"/>
      <c r="AE288" s="345">
        <f>47+10</f>
        <v>57</v>
      </c>
      <c r="AF288" s="246"/>
      <c r="AG288" s="282"/>
      <c r="AH288" s="244">
        <v>53</v>
      </c>
      <c r="AI288" s="246"/>
      <c r="AJ288" s="282"/>
      <c r="AK288" s="244">
        <v>78.12</v>
      </c>
      <c r="AL288" s="246"/>
      <c r="AM288" s="282"/>
      <c r="AN288" s="244">
        <v>104</v>
      </c>
      <c r="AO288" s="246"/>
      <c r="AP288" s="282"/>
      <c r="AQ288" s="244">
        <v>121</v>
      </c>
      <c r="AR288" s="283"/>
      <c r="AS288" s="299"/>
      <c r="AT288" s="244">
        <f>J288+M288+P288+S288+V288+Y288+AB288+AE288+AH288+AK288+AN288+AQ288</f>
        <v>1008.12</v>
      </c>
      <c r="AU288" s="283"/>
      <c r="AV288" s="284"/>
      <c r="AW288" s="285"/>
      <c r="AX288" s="321"/>
      <c r="AY288" s="435">
        <v>1056.387968</v>
      </c>
      <c r="AZ288" s="261"/>
      <c r="BA288" s="261"/>
      <c r="BB288" s="261"/>
      <c r="BC288" s="261"/>
    </row>
    <row r="289" spans="2:55">
      <c r="B289" s="179"/>
      <c r="C289" s="179"/>
      <c r="D289" s="181">
        <v>311011</v>
      </c>
      <c r="E289" s="181"/>
      <c r="F289" s="181"/>
      <c r="G289" s="1110">
        <v>311011</v>
      </c>
      <c r="H289" s="137" t="s">
        <v>533</v>
      </c>
      <c r="I289" s="516" t="s">
        <v>364</v>
      </c>
      <c r="J289" s="238">
        <f>SUM(J290:J291)</f>
        <v>23.135999999999999</v>
      </c>
      <c r="K289" s="283"/>
      <c r="L289" s="299"/>
      <c r="M289" s="314">
        <f>SUM(M290:M291)</f>
        <v>20.927999999999997</v>
      </c>
      <c r="N289" s="283"/>
      <c r="O289" s="299"/>
      <c r="P289" s="314">
        <f>SUM(P290:P291)</f>
        <v>20.975999999999999</v>
      </c>
      <c r="Q289" s="283"/>
      <c r="R289" s="299"/>
      <c r="S289" s="314">
        <f>SUM(S290:S291)</f>
        <v>13.68</v>
      </c>
      <c r="T289" s="283"/>
      <c r="U289" s="299"/>
      <c r="V289" s="314">
        <f>SUM(V290:V291)</f>
        <v>13.56</v>
      </c>
      <c r="W289" s="283"/>
      <c r="X289" s="299"/>
      <c r="Y289" s="314">
        <f>SUM(Y290:Y291)</f>
        <v>13.68</v>
      </c>
      <c r="Z289" s="283"/>
      <c r="AA289" s="299"/>
      <c r="AB289" s="314">
        <f>SUM(AB290:AB291)</f>
        <v>14.135999999999999</v>
      </c>
      <c r="AC289" s="283"/>
      <c r="AD289" s="299"/>
      <c r="AE289" s="314">
        <f>SUM(AE290:AE291)</f>
        <v>14.135999999999999</v>
      </c>
      <c r="AF289" s="283"/>
      <c r="AG289" s="299"/>
      <c r="AH289" s="314">
        <f>SUM(AH290:AH291)</f>
        <v>14.015999999999998</v>
      </c>
      <c r="AI289" s="283"/>
      <c r="AJ289" s="299"/>
      <c r="AK289" s="314">
        <f>SUM(AK290:AK291)</f>
        <v>18.312000000000001</v>
      </c>
      <c r="AL289" s="283"/>
      <c r="AM289" s="299"/>
      <c r="AN289" s="314">
        <f>SUM(AN290:AN291)</f>
        <v>22.367999999999999</v>
      </c>
      <c r="AO289" s="283"/>
      <c r="AP289" s="299"/>
      <c r="AQ289" s="314">
        <f>SUM(AQ290:AQ291)</f>
        <v>23.135999999999999</v>
      </c>
      <c r="AR289" s="283"/>
      <c r="AS289" s="299"/>
      <c r="AT289" s="314">
        <f>SUM(AT290:AT291)</f>
        <v>212.06399999999999</v>
      </c>
      <c r="AU289" s="283"/>
      <c r="AV289" s="284"/>
      <c r="AW289" s="285"/>
      <c r="AX289" s="321"/>
      <c r="AY289" s="888">
        <v>129.34136599999999</v>
      </c>
      <c r="AZ289" s="261"/>
      <c r="BA289" s="261"/>
      <c r="BB289" s="261"/>
      <c r="BC289" s="261"/>
    </row>
    <row r="290" spans="2:55">
      <c r="B290" s="179"/>
      <c r="C290" s="179"/>
      <c r="D290" s="181"/>
      <c r="E290" s="181"/>
      <c r="F290" s="181"/>
      <c r="G290" s="1110"/>
      <c r="H290" s="123" t="s">
        <v>533</v>
      </c>
      <c r="I290" s="123"/>
      <c r="J290" s="244">
        <v>2.976</v>
      </c>
      <c r="K290" s="246"/>
      <c r="L290" s="282"/>
      <c r="M290" s="244">
        <v>2.7839999999999998</v>
      </c>
      <c r="N290" s="246"/>
      <c r="O290" s="282"/>
      <c r="P290" s="244">
        <v>2.976</v>
      </c>
      <c r="Q290" s="246"/>
      <c r="R290" s="282"/>
      <c r="S290" s="244">
        <v>2.88</v>
      </c>
      <c r="T290" s="246"/>
      <c r="U290" s="282"/>
      <c r="V290" s="244">
        <v>2.4</v>
      </c>
      <c r="W290" s="246"/>
      <c r="X290" s="282"/>
      <c r="Y290" s="244">
        <v>2.88</v>
      </c>
      <c r="Z290" s="246"/>
      <c r="AA290" s="282"/>
      <c r="AB290" s="244">
        <v>2.976</v>
      </c>
      <c r="AC290" s="246"/>
      <c r="AD290" s="282"/>
      <c r="AE290" s="244">
        <v>2.976</v>
      </c>
      <c r="AF290" s="246"/>
      <c r="AG290" s="282"/>
      <c r="AH290" s="244">
        <v>2.88</v>
      </c>
      <c r="AI290" s="246"/>
      <c r="AJ290" s="282"/>
      <c r="AK290" s="244">
        <v>2.976</v>
      </c>
      <c r="AL290" s="246"/>
      <c r="AM290" s="282"/>
      <c r="AN290" s="244">
        <v>2.88</v>
      </c>
      <c r="AO290" s="246"/>
      <c r="AP290" s="282"/>
      <c r="AQ290" s="244">
        <v>2.976</v>
      </c>
      <c r="AR290" s="283"/>
      <c r="AS290" s="299"/>
      <c r="AT290" s="244">
        <f>J290+M290+P290+S290+V290+Y290+AB290+AE290+AH290+AK290+AN290+AQ290</f>
        <v>34.559999999999995</v>
      </c>
      <c r="AU290" s="283"/>
      <c r="AV290" s="284"/>
      <c r="AW290" s="285"/>
      <c r="AX290" s="321"/>
      <c r="AY290" s="300"/>
      <c r="AZ290" s="261"/>
      <c r="BA290" s="261"/>
      <c r="BB290" s="261"/>
      <c r="BC290" s="261"/>
    </row>
    <row r="291" spans="2:55">
      <c r="B291" s="179"/>
      <c r="C291" s="179"/>
      <c r="D291" s="181"/>
      <c r="E291" s="181"/>
      <c r="F291" s="181"/>
      <c r="G291" s="1110"/>
      <c r="H291" s="123" t="s">
        <v>534</v>
      </c>
      <c r="I291" s="123"/>
      <c r="J291" s="244">
        <v>20.16</v>
      </c>
      <c r="K291" s="246"/>
      <c r="L291" s="282"/>
      <c r="M291" s="244">
        <v>18.143999999999998</v>
      </c>
      <c r="N291" s="246"/>
      <c r="O291" s="282"/>
      <c r="P291" s="244">
        <v>18</v>
      </c>
      <c r="Q291" s="246"/>
      <c r="R291" s="282"/>
      <c r="S291" s="244">
        <v>10.8</v>
      </c>
      <c r="T291" s="246"/>
      <c r="U291" s="282"/>
      <c r="V291" s="244">
        <v>11.16</v>
      </c>
      <c r="W291" s="246"/>
      <c r="X291" s="282"/>
      <c r="Y291" s="244">
        <v>10.8</v>
      </c>
      <c r="Z291" s="246"/>
      <c r="AA291" s="282"/>
      <c r="AB291" s="244">
        <v>11.16</v>
      </c>
      <c r="AC291" s="246"/>
      <c r="AD291" s="282"/>
      <c r="AE291" s="244">
        <v>11.16</v>
      </c>
      <c r="AF291" s="246"/>
      <c r="AG291" s="282"/>
      <c r="AH291" s="244">
        <v>11.135999999999999</v>
      </c>
      <c r="AI291" s="246"/>
      <c r="AJ291" s="282"/>
      <c r="AK291" s="244">
        <v>15.336</v>
      </c>
      <c r="AL291" s="246"/>
      <c r="AM291" s="282"/>
      <c r="AN291" s="244">
        <v>19.488</v>
      </c>
      <c r="AO291" s="246"/>
      <c r="AP291" s="282"/>
      <c r="AQ291" s="244">
        <v>20.16</v>
      </c>
      <c r="AR291" s="283"/>
      <c r="AS291" s="299"/>
      <c r="AT291" s="244">
        <f>J291+M291+P291+S291+V291+Y291+AB291+AE291+AH291+AK291+AN291+AQ291</f>
        <v>177.50399999999999</v>
      </c>
      <c r="AU291" s="283"/>
      <c r="AV291" s="284"/>
      <c r="AW291" s="285"/>
      <c r="AX291" s="321"/>
      <c r="AY291" s="300"/>
      <c r="AZ291" s="261"/>
      <c r="BA291" s="261"/>
      <c r="BB291" s="261"/>
      <c r="BC291" s="261"/>
    </row>
    <row r="292" spans="2:55">
      <c r="B292" s="179"/>
      <c r="C292" s="179"/>
      <c r="D292" s="181">
        <v>311002</v>
      </c>
      <c r="E292" s="181"/>
      <c r="F292" s="181"/>
      <c r="G292" s="1110">
        <v>311002</v>
      </c>
      <c r="H292" s="122" t="s">
        <v>908</v>
      </c>
      <c r="I292" s="516" t="s">
        <v>364</v>
      </c>
      <c r="J292" s="244">
        <v>6.5769000000000002</v>
      </c>
      <c r="K292" s="246"/>
      <c r="L292" s="282"/>
      <c r="M292" s="244">
        <v>6.1199000000000003</v>
      </c>
      <c r="N292" s="246"/>
      <c r="O292" s="282"/>
      <c r="P292" s="244">
        <v>6.4911000000000003</v>
      </c>
      <c r="Q292" s="246"/>
      <c r="R292" s="282"/>
      <c r="S292" s="244">
        <v>5.9682000000000004</v>
      </c>
      <c r="T292" s="246"/>
      <c r="U292" s="282"/>
      <c r="V292" s="244">
        <v>0.68259999999999998</v>
      </c>
      <c r="W292" s="246"/>
      <c r="X292" s="282"/>
      <c r="Y292" s="244">
        <v>0.44080000000000003</v>
      </c>
      <c r="Z292" s="246"/>
      <c r="AA292" s="282"/>
      <c r="AB292" s="244">
        <v>1.1397999999999999</v>
      </c>
      <c r="AC292" s="246"/>
      <c r="AD292" s="282"/>
      <c r="AE292" s="244">
        <v>1.5993999999999999</v>
      </c>
      <c r="AF292" s="246"/>
      <c r="AG292" s="282"/>
      <c r="AH292" s="244">
        <v>1.9373</v>
      </c>
      <c r="AI292" s="246"/>
      <c r="AJ292" s="282"/>
      <c r="AK292" s="244">
        <v>6.3190999999999997</v>
      </c>
      <c r="AL292" s="246"/>
      <c r="AM292" s="282"/>
      <c r="AN292" s="244">
        <v>6.3334999999999999</v>
      </c>
      <c r="AO292" s="246"/>
      <c r="AP292" s="282"/>
      <c r="AQ292" s="244">
        <v>6.5620000000000003</v>
      </c>
      <c r="AR292" s="283"/>
      <c r="AS292" s="299"/>
      <c r="AT292" s="244">
        <f>J292+M292+P292+S292+V292+Y292+AB292+AE292+AH292+AK292+AN292+AQ292</f>
        <v>50.1706</v>
      </c>
      <c r="AU292" s="283"/>
      <c r="AV292" s="284"/>
      <c r="AW292" s="285"/>
      <c r="AX292" s="321"/>
      <c r="AY292" s="435">
        <v>50.982778000000003</v>
      </c>
      <c r="AZ292" s="261"/>
      <c r="BA292" s="261"/>
      <c r="BB292" s="261"/>
      <c r="BC292" s="261"/>
    </row>
    <row r="293" spans="2:55">
      <c r="B293" s="179"/>
      <c r="C293" s="179"/>
      <c r="D293" s="181"/>
      <c r="E293" s="181"/>
      <c r="F293" s="181"/>
      <c r="G293" s="1211">
        <v>777323</v>
      </c>
      <c r="H293" s="919" t="s">
        <v>1103</v>
      </c>
      <c r="I293" s="516" t="s">
        <v>365</v>
      </c>
      <c r="J293" s="587">
        <v>0.62949999999999995</v>
      </c>
      <c r="K293" s="246"/>
      <c r="L293" s="282"/>
      <c r="M293" s="587">
        <v>0.55730000000000002</v>
      </c>
      <c r="N293" s="246"/>
      <c r="O293" s="282"/>
      <c r="P293" s="587">
        <v>0.60799999999999998</v>
      </c>
      <c r="Q293" s="246"/>
      <c r="R293" s="282"/>
      <c r="S293" s="587">
        <v>0.71509999999999996</v>
      </c>
      <c r="T293" s="246"/>
      <c r="U293" s="282"/>
      <c r="V293" s="587">
        <v>0.77500000000000002</v>
      </c>
      <c r="W293" s="246"/>
      <c r="X293" s="282"/>
      <c r="Y293" s="587">
        <v>0.61219999999999997</v>
      </c>
      <c r="Z293" s="246"/>
      <c r="AA293" s="282"/>
      <c r="AB293" s="587">
        <v>0.57850000000000001</v>
      </c>
      <c r="AC293" s="246"/>
      <c r="AD293" s="282"/>
      <c r="AE293" s="587">
        <v>0.56640000000000001</v>
      </c>
      <c r="AF293" s="246"/>
      <c r="AG293" s="282"/>
      <c r="AH293" s="587">
        <v>0.5232</v>
      </c>
      <c r="AI293" s="246"/>
      <c r="AJ293" s="282"/>
      <c r="AK293" s="587">
        <v>0.55110000000000003</v>
      </c>
      <c r="AL293" s="246"/>
      <c r="AM293" s="282"/>
      <c r="AN293" s="587">
        <v>0.50270000000000004</v>
      </c>
      <c r="AO293" s="246"/>
      <c r="AP293" s="282"/>
      <c r="AQ293" s="587">
        <v>0.5333</v>
      </c>
      <c r="AR293" s="283"/>
      <c r="AS293" s="299"/>
      <c r="AT293" s="587">
        <f>J293+M293+P293+S293+V293+Y293+AB293+AE293+AH293+AK293+AN293+AQ293</f>
        <v>7.1522999999999994</v>
      </c>
      <c r="AU293" s="283"/>
      <c r="AV293" s="284"/>
      <c r="AW293" s="285"/>
      <c r="AX293" s="321"/>
      <c r="AY293" s="435">
        <v>7.1247020000000001</v>
      </c>
      <c r="AZ293" s="261"/>
      <c r="BA293" s="261"/>
      <c r="BB293" s="261"/>
      <c r="BC293" s="261"/>
    </row>
    <row r="294" spans="2:55" ht="15" customHeight="1">
      <c r="B294" s="179"/>
      <c r="C294" s="179"/>
      <c r="D294" s="181">
        <v>311044</v>
      </c>
      <c r="E294" s="181"/>
      <c r="F294" s="181"/>
      <c r="G294" s="1110">
        <v>311044</v>
      </c>
      <c r="H294" s="135" t="s">
        <v>535</v>
      </c>
      <c r="I294" s="518" t="s">
        <v>365</v>
      </c>
      <c r="J294" s="294">
        <v>1.45</v>
      </c>
      <c r="K294" s="288"/>
      <c r="L294" s="289"/>
      <c r="M294" s="294">
        <v>1.45</v>
      </c>
      <c r="N294" s="288"/>
      <c r="O294" s="289"/>
      <c r="P294" s="294">
        <v>1.45</v>
      </c>
      <c r="Q294" s="288"/>
      <c r="R294" s="289"/>
      <c r="S294" s="294">
        <v>1.45</v>
      </c>
      <c r="T294" s="288"/>
      <c r="U294" s="289"/>
      <c r="V294" s="294">
        <v>1.45</v>
      </c>
      <c r="W294" s="288"/>
      <c r="X294" s="289"/>
      <c r="Y294" s="294">
        <v>1.45</v>
      </c>
      <c r="Z294" s="288"/>
      <c r="AA294" s="289"/>
      <c r="AB294" s="294">
        <v>1.45</v>
      </c>
      <c r="AC294" s="288"/>
      <c r="AD294" s="289"/>
      <c r="AE294" s="294">
        <v>1.45</v>
      </c>
      <c r="AF294" s="288"/>
      <c r="AG294" s="289"/>
      <c r="AH294" s="294">
        <v>1.45</v>
      </c>
      <c r="AI294" s="288"/>
      <c r="AJ294" s="289"/>
      <c r="AK294" s="294">
        <v>1.45</v>
      </c>
      <c r="AL294" s="288"/>
      <c r="AM294" s="289"/>
      <c r="AN294" s="294">
        <v>1.45</v>
      </c>
      <c r="AO294" s="288"/>
      <c r="AP294" s="289"/>
      <c r="AQ294" s="294">
        <v>1.45</v>
      </c>
      <c r="AR294" s="288"/>
      <c r="AS294" s="289"/>
      <c r="AT294" s="294">
        <f>J294+M294+P294+S294+V294+Y294+AB294+AE294+AH294+AK294+AN294+AQ294</f>
        <v>17.399999999999995</v>
      </c>
      <c r="AU294" s="288"/>
      <c r="AV294" s="290"/>
      <c r="AW294" s="285"/>
      <c r="AX294" s="296"/>
      <c r="AY294" s="437">
        <v>11.218999999999999</v>
      </c>
      <c r="AZ294" s="261"/>
      <c r="BA294" s="261"/>
      <c r="BB294" s="261"/>
      <c r="BC294" s="261"/>
    </row>
    <row r="295" spans="2:55" ht="18.75">
      <c r="B295" s="179"/>
      <c r="C295" s="179"/>
      <c r="D295" s="181">
        <v>313900</v>
      </c>
      <c r="E295" s="181"/>
      <c r="F295" s="181"/>
      <c r="G295" s="181">
        <v>313900</v>
      </c>
      <c r="H295" s="471" t="s">
        <v>1580</v>
      </c>
      <c r="I295" s="471"/>
      <c r="J295" s="277">
        <f>J297+J300+J303+J304+J305+J306</f>
        <v>677.4384</v>
      </c>
      <c r="K295" s="275">
        <f>L295-J295</f>
        <v>-61.213530300230104</v>
      </c>
      <c r="L295" s="276">
        <f>Потребление!D23</f>
        <v>616.2248696997699</v>
      </c>
      <c r="M295" s="277">
        <f>M297+M300+M303+M304+M305+M306</f>
        <v>610.47773103448276</v>
      </c>
      <c r="N295" s="275">
        <f>O295-M295</f>
        <v>-19.656101956883731</v>
      </c>
      <c r="O295" s="276">
        <f>Потребление!E23</f>
        <v>590.82162907759903</v>
      </c>
      <c r="P295" s="277">
        <f>P297+P300+P303+P304+P305+P306</f>
        <v>574.24565000000007</v>
      </c>
      <c r="Q295" s="275">
        <f>R295-P295</f>
        <v>24.216500272897179</v>
      </c>
      <c r="R295" s="276">
        <f>Потребление!F23</f>
        <v>598.46215027289725</v>
      </c>
      <c r="S295" s="277">
        <f>S297+S300+S303+S304+S305+S306</f>
        <v>435.65037999999993</v>
      </c>
      <c r="T295" s="275">
        <f>U295-S295</f>
        <v>83.97820473528634</v>
      </c>
      <c r="U295" s="276">
        <f>Потребление!G23</f>
        <v>519.62858473528627</v>
      </c>
      <c r="V295" s="277">
        <f>V297+V300+V303+V304+V305+V306</f>
        <v>340.65309999999999</v>
      </c>
      <c r="W295" s="275">
        <f>X295-V295</f>
        <v>139.52877843790873</v>
      </c>
      <c r="X295" s="276">
        <f>Потребление!H23</f>
        <v>480.18187843790872</v>
      </c>
      <c r="Y295" s="277">
        <f>Y297+Y300+Y303+Y304+Y305+Y306</f>
        <v>337.19310000000002</v>
      </c>
      <c r="Z295" s="275">
        <f>AA295-Y295</f>
        <v>147.49203095162312</v>
      </c>
      <c r="AA295" s="276">
        <f>Потребление!I23</f>
        <v>484.68513095162314</v>
      </c>
      <c r="AB295" s="277">
        <f>AB297+AB300+AB303+AB304+AB305+AB306</f>
        <v>373.58500000000004</v>
      </c>
      <c r="AC295" s="275">
        <f>AD295-AB295</f>
        <v>132.48821769782984</v>
      </c>
      <c r="AD295" s="276">
        <f>Потребление!J23</f>
        <v>506.07321769782988</v>
      </c>
      <c r="AE295" s="277">
        <f>AE297+AE300+AE303+AE304+AE305+AE306</f>
        <v>367.225548</v>
      </c>
      <c r="AF295" s="275">
        <f>AG295-AE295</f>
        <v>142.43424061933371</v>
      </c>
      <c r="AG295" s="276">
        <f>Потребление!K23</f>
        <v>509.65978861933371</v>
      </c>
      <c r="AH295" s="277">
        <f>AH297+AH300+AH303+AH304+AH305+AH306</f>
        <v>356.47505000000001</v>
      </c>
      <c r="AI295" s="275">
        <f>AJ295-AH295</f>
        <v>159.32340035639629</v>
      </c>
      <c r="AJ295" s="276">
        <f>Потребление!L23</f>
        <v>515.7984503563963</v>
      </c>
      <c r="AK295" s="277">
        <f>AK297+AK300+AK303+AK304+AK305+AK306</f>
        <v>426.20150000000001</v>
      </c>
      <c r="AL295" s="275">
        <f>AM295-AK295</f>
        <v>153.10396419446113</v>
      </c>
      <c r="AM295" s="276">
        <f>Потребление!M23</f>
        <v>579.30546419446114</v>
      </c>
      <c r="AN295" s="277">
        <f>AN297+AN300+AN303+AN304+AN305+AN306</f>
        <v>582.45719999999994</v>
      </c>
      <c r="AO295" s="275">
        <f>AP295-AN295</f>
        <v>8.9877109854013497</v>
      </c>
      <c r="AP295" s="276">
        <f>Потребление!N23</f>
        <v>591.44491098540129</v>
      </c>
      <c r="AQ295" s="277">
        <f>AQ297+AQ300+AQ303+AQ304+AQ305+AQ306</f>
        <v>637.22180000000003</v>
      </c>
      <c r="AR295" s="275">
        <f>AS295-AQ295</f>
        <v>1.4921249714924443</v>
      </c>
      <c r="AS295" s="276">
        <f>Потребление!O23</f>
        <v>638.71392497149247</v>
      </c>
      <c r="AT295" s="277">
        <f>AT297+AT300+AT303+AT304+AT305+AT306</f>
        <v>5718.824459034483</v>
      </c>
      <c r="AU295" s="275">
        <f>AV295-AT295</f>
        <v>912.17554096551703</v>
      </c>
      <c r="AV295" s="278">
        <f>L295+O295+R295+U295+X295+AA295+AD295+AG295+AJ295+AM295+AP295+AS295</f>
        <v>6631</v>
      </c>
      <c r="AW295" s="279"/>
      <c r="AX295" s="1067">
        <v>6508.8244420000001</v>
      </c>
      <c r="AY295" s="298">
        <f>AY296</f>
        <v>4513.4089050000002</v>
      </c>
      <c r="AZ295" s="261"/>
      <c r="BA295" s="261"/>
      <c r="BB295" s="261"/>
      <c r="BC295" s="261"/>
    </row>
    <row r="296" spans="2:55">
      <c r="B296" s="179"/>
      <c r="C296" s="179"/>
      <c r="D296" s="181"/>
      <c r="E296" s="181"/>
      <c r="F296" s="181"/>
      <c r="G296" s="181"/>
      <c r="H296" s="10" t="s">
        <v>173</v>
      </c>
      <c r="I296" s="10"/>
      <c r="J296" s="223">
        <f>J297+J300+SUM(J303:J306)</f>
        <v>677.4384</v>
      </c>
      <c r="K296" s="271"/>
      <c r="L296" s="224"/>
      <c r="M296" s="270">
        <f>M297+M300+SUM(M303:M306)</f>
        <v>610.47773103448276</v>
      </c>
      <c r="N296" s="271"/>
      <c r="O296" s="224"/>
      <c r="P296" s="270">
        <f>P297+P300+SUM(P303:P306)</f>
        <v>574.24565000000007</v>
      </c>
      <c r="Q296" s="271"/>
      <c r="R296" s="224"/>
      <c r="S296" s="270">
        <f>S297+S300+SUM(S303:S306)</f>
        <v>435.65037999999998</v>
      </c>
      <c r="T296" s="271"/>
      <c r="U296" s="224"/>
      <c r="V296" s="270">
        <f>V297+V300+SUM(V303:V306)</f>
        <v>340.65309999999999</v>
      </c>
      <c r="W296" s="271"/>
      <c r="X296" s="224"/>
      <c r="Y296" s="270">
        <f>Y297+Y300+SUM(Y303:Y306)</f>
        <v>337.19309999999996</v>
      </c>
      <c r="Z296" s="271"/>
      <c r="AA296" s="224"/>
      <c r="AB296" s="270">
        <f>AB297+AB300+SUM(AB303:AB306)</f>
        <v>373.58500000000004</v>
      </c>
      <c r="AC296" s="271"/>
      <c r="AD296" s="224"/>
      <c r="AE296" s="270">
        <f>AE297+AE300+SUM(AE303:AE306)</f>
        <v>367.225548</v>
      </c>
      <c r="AF296" s="271"/>
      <c r="AG296" s="224"/>
      <c r="AH296" s="270">
        <f>AH297+AH300+SUM(AH303:AH306)</f>
        <v>356.47505000000001</v>
      </c>
      <c r="AI296" s="271"/>
      <c r="AJ296" s="224"/>
      <c r="AK296" s="270">
        <f>AK297+AK300+SUM(AK303:AK306)</f>
        <v>426.20150000000001</v>
      </c>
      <c r="AL296" s="271"/>
      <c r="AM296" s="224"/>
      <c r="AN296" s="270">
        <f>AN297+AN300+SUM(AN303:AN306)</f>
        <v>582.45720000000006</v>
      </c>
      <c r="AO296" s="271"/>
      <c r="AP296" s="224"/>
      <c r="AQ296" s="270">
        <f>AQ297+AQ300+SUM(AQ303:AQ306)</f>
        <v>637.22180000000003</v>
      </c>
      <c r="AR296" s="271"/>
      <c r="AS296" s="224"/>
      <c r="AT296" s="270">
        <f>AT297+AT300+SUM(AT303:AT306)</f>
        <v>5718.824459034483</v>
      </c>
      <c r="AU296" s="271"/>
      <c r="AV296" s="229"/>
      <c r="AW296" s="226"/>
      <c r="AX296" s="230"/>
      <c r="AY296" s="231">
        <f>SUM(AY297:AY306)</f>
        <v>4513.4089050000002</v>
      </c>
      <c r="AZ296" s="261"/>
      <c r="BA296" s="261"/>
      <c r="BB296" s="261"/>
      <c r="BC296" s="261"/>
    </row>
    <row r="297" spans="2:55">
      <c r="B297" s="179"/>
      <c r="C297" s="179"/>
      <c r="D297" s="181">
        <v>313910</v>
      </c>
      <c r="E297" s="181"/>
      <c r="F297" s="181"/>
      <c r="G297" s="1110">
        <v>313910</v>
      </c>
      <c r="H297" s="137" t="s">
        <v>536</v>
      </c>
      <c r="I297" s="516" t="s">
        <v>364</v>
      </c>
      <c r="J297" s="238">
        <f>SUM(J298:J299)</f>
        <v>132.9</v>
      </c>
      <c r="K297" s="246"/>
      <c r="L297" s="282"/>
      <c r="M297" s="314">
        <f>SUM(M298:M299)</f>
        <v>92.3</v>
      </c>
      <c r="N297" s="246"/>
      <c r="O297" s="282"/>
      <c r="P297" s="314">
        <f>SUM(P298:P299)</f>
        <v>93.79</v>
      </c>
      <c r="Q297" s="246"/>
      <c r="R297" s="282"/>
      <c r="S297" s="314">
        <f>SUM(S298:S299)</f>
        <v>73.656880000000001</v>
      </c>
      <c r="T297" s="246"/>
      <c r="U297" s="282"/>
      <c r="V297" s="314">
        <f>SUM(V298:V299)</f>
        <v>73.95</v>
      </c>
      <c r="W297" s="246"/>
      <c r="X297" s="282"/>
      <c r="Y297" s="314">
        <f>SUM(Y298:Y299)</f>
        <v>66.8</v>
      </c>
      <c r="Z297" s="246"/>
      <c r="AA297" s="282"/>
      <c r="AB297" s="314">
        <f>SUM(AB298:AB299)</f>
        <v>73.95</v>
      </c>
      <c r="AC297" s="246"/>
      <c r="AD297" s="282"/>
      <c r="AE297" s="314">
        <f>SUM(AE298:AE299)</f>
        <v>68.465648000000002</v>
      </c>
      <c r="AF297" s="246"/>
      <c r="AG297" s="282"/>
      <c r="AH297" s="314">
        <f>SUM(AH298:AH299)</f>
        <v>71.569999999999993</v>
      </c>
      <c r="AI297" s="246"/>
      <c r="AJ297" s="282"/>
      <c r="AK297" s="314">
        <f>SUM(AK298:AK299)</f>
        <v>96.27000000000001</v>
      </c>
      <c r="AL297" s="246"/>
      <c r="AM297" s="282"/>
      <c r="AN297" s="314">
        <f>SUM(AN298:AN299)</f>
        <v>95.33</v>
      </c>
      <c r="AO297" s="246"/>
      <c r="AP297" s="282"/>
      <c r="AQ297" s="314">
        <f>SUM(AQ298:AQ299)</f>
        <v>97.640000000000015</v>
      </c>
      <c r="AR297" s="283"/>
      <c r="AS297" s="299"/>
      <c r="AT297" s="314">
        <f>SUM(AT298:AT299)</f>
        <v>1036.6225280000001</v>
      </c>
      <c r="AU297" s="283"/>
      <c r="AV297" s="284"/>
      <c r="AW297" s="285"/>
      <c r="AX297" s="321"/>
      <c r="AY297" s="888">
        <v>943.69323199999997</v>
      </c>
      <c r="AZ297" s="261"/>
      <c r="BA297" s="261"/>
      <c r="BB297" s="261"/>
      <c r="BC297" s="261"/>
    </row>
    <row r="298" spans="2:55">
      <c r="B298" s="179"/>
      <c r="C298" s="179"/>
      <c r="D298" s="181"/>
      <c r="E298" s="181"/>
      <c r="F298" s="181"/>
      <c r="G298" s="1110"/>
      <c r="H298" s="123" t="s">
        <v>536</v>
      </c>
      <c r="I298" s="123"/>
      <c r="J298" s="244">
        <v>62.22</v>
      </c>
      <c r="K298" s="246"/>
      <c r="L298" s="282"/>
      <c r="M298" s="244">
        <v>27.89</v>
      </c>
      <c r="N298" s="246"/>
      <c r="O298" s="282"/>
      <c r="P298" s="244">
        <v>24.61</v>
      </c>
      <c r="Q298" s="246"/>
      <c r="R298" s="282"/>
      <c r="S298" s="244">
        <v>24.1</v>
      </c>
      <c r="T298" s="246"/>
      <c r="U298" s="282"/>
      <c r="V298" s="244">
        <v>0</v>
      </c>
      <c r="W298" s="246"/>
      <c r="X298" s="282"/>
      <c r="Y298" s="244">
        <v>0</v>
      </c>
      <c r="Z298" s="246"/>
      <c r="AA298" s="282"/>
      <c r="AB298" s="244">
        <v>0</v>
      </c>
      <c r="AC298" s="246"/>
      <c r="AD298" s="282"/>
      <c r="AE298" s="345">
        <f>22.32+20</f>
        <v>42.32</v>
      </c>
      <c r="AF298" s="246"/>
      <c r="AG298" s="282"/>
      <c r="AH298" s="244">
        <v>0</v>
      </c>
      <c r="AI298" s="246"/>
      <c r="AJ298" s="282"/>
      <c r="AK298" s="244">
        <v>22.32</v>
      </c>
      <c r="AL298" s="246"/>
      <c r="AM298" s="282"/>
      <c r="AN298" s="244">
        <v>23.76</v>
      </c>
      <c r="AO298" s="246"/>
      <c r="AP298" s="282"/>
      <c r="AQ298" s="244">
        <v>28.46</v>
      </c>
      <c r="AR298" s="283"/>
      <c r="AS298" s="299"/>
      <c r="AT298" s="244">
        <f t="shared" ref="AT298:AT306" si="11">J298+M298+P298+S298+V298+Y298+AB298+AE298+AH298+AK298+AN298+AQ298</f>
        <v>255.67999999999998</v>
      </c>
      <c r="AU298" s="283"/>
      <c r="AV298" s="284"/>
      <c r="AW298" s="285"/>
      <c r="AX298" s="321"/>
      <c r="AY298" s="300"/>
      <c r="AZ298" s="261"/>
      <c r="BA298" s="261"/>
      <c r="BB298" s="261"/>
      <c r="BC298" s="261"/>
    </row>
    <row r="299" spans="2:55">
      <c r="B299" s="179"/>
      <c r="C299" s="179"/>
      <c r="D299" s="181"/>
      <c r="E299" s="181"/>
      <c r="F299" s="181"/>
      <c r="G299" s="1110"/>
      <c r="H299" s="123" t="s">
        <v>838</v>
      </c>
      <c r="I299" s="123"/>
      <c r="J299" s="244">
        <v>70.680000000000007</v>
      </c>
      <c r="K299" s="246"/>
      <c r="L299" s="282"/>
      <c r="M299" s="244">
        <v>64.41</v>
      </c>
      <c r="N299" s="246"/>
      <c r="O299" s="282"/>
      <c r="P299" s="244">
        <v>69.180000000000007</v>
      </c>
      <c r="Q299" s="246"/>
      <c r="R299" s="282"/>
      <c r="S299" s="244">
        <v>49.55688</v>
      </c>
      <c r="T299" s="246"/>
      <c r="U299" s="282"/>
      <c r="V299" s="244">
        <v>73.95</v>
      </c>
      <c r="W299" s="246"/>
      <c r="X299" s="282"/>
      <c r="Y299" s="244">
        <v>66.8</v>
      </c>
      <c r="Z299" s="246"/>
      <c r="AA299" s="282"/>
      <c r="AB299" s="244">
        <v>73.95</v>
      </c>
      <c r="AC299" s="246"/>
      <c r="AD299" s="282"/>
      <c r="AE299" s="244">
        <v>26.145647999999998</v>
      </c>
      <c r="AF299" s="246"/>
      <c r="AG299" s="282"/>
      <c r="AH299" s="244">
        <v>71.569999999999993</v>
      </c>
      <c r="AI299" s="246"/>
      <c r="AJ299" s="282"/>
      <c r="AK299" s="244">
        <v>73.95</v>
      </c>
      <c r="AL299" s="246"/>
      <c r="AM299" s="282"/>
      <c r="AN299" s="244">
        <v>71.569999999999993</v>
      </c>
      <c r="AO299" s="246"/>
      <c r="AP299" s="282"/>
      <c r="AQ299" s="244">
        <v>69.180000000000007</v>
      </c>
      <c r="AR299" s="283"/>
      <c r="AS299" s="299"/>
      <c r="AT299" s="244">
        <f t="shared" si="11"/>
        <v>780.94252800000004</v>
      </c>
      <c r="AU299" s="283"/>
      <c r="AV299" s="284"/>
      <c r="AW299" s="285"/>
      <c r="AX299" s="321"/>
      <c r="AY299" s="300"/>
      <c r="AZ299" s="261"/>
      <c r="BA299" s="261"/>
      <c r="BB299" s="261"/>
      <c r="BC299" s="261"/>
    </row>
    <row r="300" spans="2:55">
      <c r="B300" s="179"/>
      <c r="C300" s="179"/>
      <c r="D300" s="181">
        <v>313901</v>
      </c>
      <c r="E300" s="181"/>
      <c r="F300" s="181"/>
      <c r="G300" s="1110">
        <v>313901</v>
      </c>
      <c r="H300" s="137" t="s">
        <v>627</v>
      </c>
      <c r="I300" s="516" t="s">
        <v>364</v>
      </c>
      <c r="J300" s="262">
        <f>J301+J302</f>
        <v>286.92</v>
      </c>
      <c r="K300" s="246"/>
      <c r="L300" s="282"/>
      <c r="M300" s="317">
        <f>M301+M302</f>
        <v>275.57793103448279</v>
      </c>
      <c r="N300" s="246"/>
      <c r="O300" s="282"/>
      <c r="P300" s="317">
        <f>P301+P302</f>
        <v>254.88</v>
      </c>
      <c r="Q300" s="246"/>
      <c r="R300" s="282"/>
      <c r="S300" s="317">
        <f>S301+S302</f>
        <v>165.6</v>
      </c>
      <c r="T300" s="246"/>
      <c r="U300" s="282"/>
      <c r="V300" s="317">
        <f>V301+V302</f>
        <v>178.92</v>
      </c>
      <c r="W300" s="246"/>
      <c r="X300" s="282"/>
      <c r="Y300" s="317">
        <f>Y301+Y302</f>
        <v>172.6</v>
      </c>
      <c r="Z300" s="246"/>
      <c r="AA300" s="282"/>
      <c r="AB300" s="317">
        <f>AB301+AB302</f>
        <v>178.92</v>
      </c>
      <c r="AC300" s="246"/>
      <c r="AD300" s="282"/>
      <c r="AE300" s="317">
        <f>AE301+AE302</f>
        <v>198.92</v>
      </c>
      <c r="AF300" s="246"/>
      <c r="AG300" s="282"/>
      <c r="AH300" s="317">
        <f>AH301+AH302</f>
        <v>159.6</v>
      </c>
      <c r="AI300" s="246"/>
      <c r="AJ300" s="282"/>
      <c r="AK300" s="317">
        <f>AK301+AK302</f>
        <v>120.96000000000001</v>
      </c>
      <c r="AL300" s="246"/>
      <c r="AM300" s="282"/>
      <c r="AN300" s="317">
        <f>AN301+AN302</f>
        <v>254.88</v>
      </c>
      <c r="AO300" s="246"/>
      <c r="AP300" s="282"/>
      <c r="AQ300" s="317">
        <f>AQ301+AQ302</f>
        <v>297.88</v>
      </c>
      <c r="AR300" s="283"/>
      <c r="AS300" s="299"/>
      <c r="AT300" s="317">
        <f>AT301+AT302</f>
        <v>2545.6579310344828</v>
      </c>
      <c r="AU300" s="283"/>
      <c r="AV300" s="284"/>
      <c r="AW300" s="285"/>
      <c r="AX300" s="321"/>
      <c r="AY300" s="888">
        <v>1432.0919699999999</v>
      </c>
      <c r="AZ300" s="261"/>
      <c r="BA300" s="261"/>
      <c r="BB300" s="261"/>
      <c r="BC300" s="261"/>
    </row>
    <row r="301" spans="2:55">
      <c r="B301" s="179"/>
      <c r="C301" s="179"/>
      <c r="D301" s="181"/>
      <c r="E301" s="181"/>
      <c r="F301" s="181"/>
      <c r="G301" s="1110"/>
      <c r="H301" s="123" t="s">
        <v>626</v>
      </c>
      <c r="I301" s="123"/>
      <c r="J301" s="244">
        <v>241.92000000000002</v>
      </c>
      <c r="K301" s="246"/>
      <c r="L301" s="282"/>
      <c r="M301" s="244">
        <v>233.57793103448279</v>
      </c>
      <c r="N301" s="246"/>
      <c r="O301" s="282"/>
      <c r="P301" s="244">
        <v>254.88</v>
      </c>
      <c r="Q301" s="246"/>
      <c r="R301" s="282"/>
      <c r="S301" s="244">
        <v>129.6</v>
      </c>
      <c r="T301" s="246"/>
      <c r="U301" s="282"/>
      <c r="V301" s="244">
        <v>133.91999999999999</v>
      </c>
      <c r="W301" s="246"/>
      <c r="X301" s="282"/>
      <c r="Y301" s="244">
        <v>129.6</v>
      </c>
      <c r="Z301" s="246"/>
      <c r="AA301" s="282"/>
      <c r="AB301" s="244">
        <v>133.91999999999999</v>
      </c>
      <c r="AC301" s="246"/>
      <c r="AD301" s="282"/>
      <c r="AE301" s="345">
        <f>133.92+20</f>
        <v>153.91999999999999</v>
      </c>
      <c r="AF301" s="246"/>
      <c r="AG301" s="282"/>
      <c r="AH301" s="345">
        <f>129.6+30</f>
        <v>159.6</v>
      </c>
      <c r="AI301" s="246"/>
      <c r="AJ301" s="282"/>
      <c r="AK301" s="244">
        <v>120.96000000000001</v>
      </c>
      <c r="AL301" s="246"/>
      <c r="AM301" s="282"/>
      <c r="AN301" s="244">
        <v>254.88</v>
      </c>
      <c r="AO301" s="246"/>
      <c r="AP301" s="282"/>
      <c r="AQ301" s="244">
        <v>254.88</v>
      </c>
      <c r="AR301" s="283"/>
      <c r="AS301" s="299"/>
      <c r="AT301" s="244">
        <f t="shared" si="11"/>
        <v>2201.6579310344828</v>
      </c>
      <c r="AU301" s="283"/>
      <c r="AV301" s="284"/>
      <c r="AW301" s="285"/>
      <c r="AX301" s="321"/>
      <c r="AY301" s="300"/>
      <c r="AZ301" s="261"/>
      <c r="BA301" s="261"/>
      <c r="BB301" s="261"/>
      <c r="BC301" s="261"/>
    </row>
    <row r="302" spans="2:55">
      <c r="B302" s="179"/>
      <c r="C302" s="179"/>
      <c r="D302" s="181"/>
      <c r="E302" s="181"/>
      <c r="F302" s="181"/>
      <c r="G302" s="1110"/>
      <c r="H302" s="123" t="s">
        <v>538</v>
      </c>
      <c r="I302" s="123"/>
      <c r="J302" s="244">
        <v>45</v>
      </c>
      <c r="K302" s="246"/>
      <c r="L302" s="282"/>
      <c r="M302" s="244">
        <v>42</v>
      </c>
      <c r="N302" s="246"/>
      <c r="O302" s="282"/>
      <c r="P302" s="244">
        <v>0</v>
      </c>
      <c r="Q302" s="246"/>
      <c r="R302" s="282"/>
      <c r="S302" s="244">
        <v>36</v>
      </c>
      <c r="T302" s="246"/>
      <c r="U302" s="282"/>
      <c r="V302" s="244">
        <v>45</v>
      </c>
      <c r="W302" s="246"/>
      <c r="X302" s="282"/>
      <c r="Y302" s="244">
        <v>43</v>
      </c>
      <c r="Z302" s="246"/>
      <c r="AA302" s="282"/>
      <c r="AB302" s="244">
        <v>45</v>
      </c>
      <c r="AC302" s="246"/>
      <c r="AD302" s="282"/>
      <c r="AE302" s="345">
        <f>32+13</f>
        <v>45</v>
      </c>
      <c r="AF302" s="246"/>
      <c r="AG302" s="282"/>
      <c r="AH302" s="244">
        <v>0</v>
      </c>
      <c r="AI302" s="246"/>
      <c r="AJ302" s="282"/>
      <c r="AK302" s="244">
        <v>0</v>
      </c>
      <c r="AL302" s="246"/>
      <c r="AM302" s="282"/>
      <c r="AN302" s="244">
        <v>0</v>
      </c>
      <c r="AO302" s="246"/>
      <c r="AP302" s="282"/>
      <c r="AQ302" s="244">
        <v>43</v>
      </c>
      <c r="AR302" s="283"/>
      <c r="AS302" s="299"/>
      <c r="AT302" s="244">
        <f t="shared" si="11"/>
        <v>344</v>
      </c>
      <c r="AU302" s="283"/>
      <c r="AV302" s="284"/>
      <c r="AW302" s="285"/>
      <c r="AX302" s="321"/>
      <c r="AY302" s="300"/>
      <c r="AZ302" s="261"/>
      <c r="BA302" s="261"/>
      <c r="BB302" s="261"/>
      <c r="BC302" s="261"/>
    </row>
    <row r="303" spans="2:55" ht="15" customHeight="1">
      <c r="B303" s="179"/>
      <c r="C303" s="179"/>
      <c r="D303" s="181">
        <v>313912</v>
      </c>
      <c r="E303" s="181"/>
      <c r="F303" s="181"/>
      <c r="G303" s="1110">
        <v>313912</v>
      </c>
      <c r="H303" s="122" t="s">
        <v>537</v>
      </c>
      <c r="I303" s="516" t="s">
        <v>364</v>
      </c>
      <c r="J303" s="244">
        <v>30</v>
      </c>
      <c r="K303" s="246"/>
      <c r="L303" s="282"/>
      <c r="M303" s="244">
        <v>22</v>
      </c>
      <c r="N303" s="246"/>
      <c r="O303" s="282"/>
      <c r="P303" s="244">
        <v>30</v>
      </c>
      <c r="Q303" s="246"/>
      <c r="R303" s="282"/>
      <c r="S303" s="244">
        <v>29</v>
      </c>
      <c r="T303" s="246"/>
      <c r="U303" s="282"/>
      <c r="V303" s="244">
        <v>7</v>
      </c>
      <c r="W303" s="246"/>
      <c r="X303" s="282"/>
      <c r="Y303" s="244">
        <v>20</v>
      </c>
      <c r="Z303" s="246"/>
      <c r="AA303" s="282"/>
      <c r="AB303" s="244">
        <v>22</v>
      </c>
      <c r="AC303" s="246"/>
      <c r="AD303" s="282"/>
      <c r="AE303" s="244">
        <v>22</v>
      </c>
      <c r="AF303" s="246"/>
      <c r="AG303" s="282"/>
      <c r="AH303" s="244">
        <v>21</v>
      </c>
      <c r="AI303" s="246"/>
      <c r="AJ303" s="282"/>
      <c r="AK303" s="244">
        <v>22</v>
      </c>
      <c r="AL303" s="246"/>
      <c r="AM303" s="282"/>
      <c r="AN303" s="244">
        <v>21</v>
      </c>
      <c r="AO303" s="246"/>
      <c r="AP303" s="282"/>
      <c r="AQ303" s="244">
        <v>22</v>
      </c>
      <c r="AR303" s="283"/>
      <c r="AS303" s="299"/>
      <c r="AT303" s="244">
        <f t="shared" si="11"/>
        <v>268</v>
      </c>
      <c r="AU303" s="283"/>
      <c r="AV303" s="284"/>
      <c r="AW303" s="285"/>
      <c r="AX303" s="321"/>
      <c r="AY303" s="435">
        <v>321.13323300000002</v>
      </c>
      <c r="AZ303" s="261"/>
      <c r="BA303" s="261"/>
      <c r="BB303" s="261"/>
      <c r="BC303" s="261"/>
    </row>
    <row r="304" spans="2:55">
      <c r="B304" s="179"/>
      <c r="C304" s="179"/>
      <c r="D304" s="181">
        <v>313941</v>
      </c>
      <c r="E304" s="181"/>
      <c r="F304" s="181"/>
      <c r="G304" s="1110">
        <v>313941</v>
      </c>
      <c r="H304" s="122" t="s">
        <v>1308</v>
      </c>
      <c r="I304" s="516" t="s">
        <v>364</v>
      </c>
      <c r="J304" s="244">
        <v>12.231999999999999</v>
      </c>
      <c r="K304" s="246"/>
      <c r="L304" s="282"/>
      <c r="M304" s="244">
        <v>10.7614</v>
      </c>
      <c r="N304" s="246"/>
      <c r="O304" s="282"/>
      <c r="P304" s="244">
        <v>6.4368499999999997</v>
      </c>
      <c r="Q304" s="246"/>
      <c r="R304" s="282"/>
      <c r="S304" s="244">
        <v>5.9443999999999999</v>
      </c>
      <c r="T304" s="246"/>
      <c r="U304" s="282"/>
      <c r="V304" s="244">
        <v>6.0483000000000002</v>
      </c>
      <c r="W304" s="246"/>
      <c r="X304" s="282"/>
      <c r="Y304" s="244">
        <v>5.2706</v>
      </c>
      <c r="Z304" s="246"/>
      <c r="AA304" s="282"/>
      <c r="AB304" s="244">
        <v>5.3308</v>
      </c>
      <c r="AC304" s="246"/>
      <c r="AD304" s="282"/>
      <c r="AE304" s="244">
        <v>5.3846999999999996</v>
      </c>
      <c r="AF304" s="246"/>
      <c r="AG304" s="282"/>
      <c r="AH304" s="244">
        <v>5.4235499999999996</v>
      </c>
      <c r="AI304" s="246"/>
      <c r="AJ304" s="282"/>
      <c r="AK304" s="244">
        <v>6.0739999999999998</v>
      </c>
      <c r="AL304" s="246"/>
      <c r="AM304" s="282"/>
      <c r="AN304" s="244">
        <v>6.3929999999999998</v>
      </c>
      <c r="AO304" s="246"/>
      <c r="AP304" s="282"/>
      <c r="AQ304" s="244">
        <v>11.817399999999999</v>
      </c>
      <c r="AR304" s="283"/>
      <c r="AS304" s="299"/>
      <c r="AT304" s="244">
        <f t="shared" si="11"/>
        <v>87.11699999999999</v>
      </c>
      <c r="AU304" s="283"/>
      <c r="AV304" s="284"/>
      <c r="AW304" s="285"/>
      <c r="AX304" s="321"/>
      <c r="AY304" s="435">
        <v>121.79871</v>
      </c>
      <c r="AZ304" s="261"/>
      <c r="BA304" s="261"/>
      <c r="BB304" s="261"/>
      <c r="BC304" s="261"/>
    </row>
    <row r="305" spans="2:55">
      <c r="B305" s="179"/>
      <c r="C305" s="179"/>
      <c r="D305" s="181">
        <v>313942</v>
      </c>
      <c r="E305" s="181"/>
      <c r="F305" s="181"/>
      <c r="G305" s="1110">
        <v>313942</v>
      </c>
      <c r="H305" s="122" t="s">
        <v>1309</v>
      </c>
      <c r="I305" s="516" t="s">
        <v>364</v>
      </c>
      <c r="J305" s="244">
        <v>6.6943999999999999</v>
      </c>
      <c r="K305" s="246"/>
      <c r="L305" s="282"/>
      <c r="M305" s="244">
        <v>7.5583999999999998</v>
      </c>
      <c r="N305" s="246"/>
      <c r="O305" s="282"/>
      <c r="P305" s="244">
        <v>10.578799999999999</v>
      </c>
      <c r="Q305" s="246"/>
      <c r="R305" s="282"/>
      <c r="S305" s="244">
        <v>9.5290999999999997</v>
      </c>
      <c r="T305" s="246"/>
      <c r="U305" s="282"/>
      <c r="V305" s="244">
        <v>9.2647999999999993</v>
      </c>
      <c r="W305" s="246"/>
      <c r="X305" s="282"/>
      <c r="Y305" s="244">
        <v>10.602499999999999</v>
      </c>
      <c r="Z305" s="246"/>
      <c r="AA305" s="282"/>
      <c r="AB305" s="244">
        <v>10.1442</v>
      </c>
      <c r="AC305" s="246"/>
      <c r="AD305" s="282"/>
      <c r="AE305" s="244">
        <v>10.7052</v>
      </c>
      <c r="AF305" s="246"/>
      <c r="AG305" s="282"/>
      <c r="AH305" s="244">
        <v>9.7614999999999998</v>
      </c>
      <c r="AI305" s="246"/>
      <c r="AJ305" s="282"/>
      <c r="AK305" s="244">
        <v>6.4574999999999996</v>
      </c>
      <c r="AL305" s="246"/>
      <c r="AM305" s="282"/>
      <c r="AN305" s="244">
        <v>9.0142000000000007</v>
      </c>
      <c r="AO305" s="246"/>
      <c r="AP305" s="282"/>
      <c r="AQ305" s="244">
        <v>9.2363999999999997</v>
      </c>
      <c r="AR305" s="283"/>
      <c r="AS305" s="299"/>
      <c r="AT305" s="244">
        <f t="shared" si="11"/>
        <v>109.54700000000001</v>
      </c>
      <c r="AU305" s="283"/>
      <c r="AV305" s="284"/>
      <c r="AW305" s="285"/>
      <c r="AX305" s="321"/>
      <c r="AY305" s="435">
        <v>47.839500000000001</v>
      </c>
      <c r="AZ305" s="261"/>
      <c r="BA305" s="261"/>
      <c r="BB305" s="261"/>
      <c r="BC305" s="261"/>
    </row>
    <row r="306" spans="2:55">
      <c r="B306" s="179"/>
      <c r="C306" s="179"/>
      <c r="D306" s="181">
        <v>313911</v>
      </c>
      <c r="E306" s="181"/>
      <c r="F306" s="181"/>
      <c r="G306" s="1110">
        <v>313911</v>
      </c>
      <c r="H306" s="123" t="s">
        <v>539</v>
      </c>
      <c r="I306" s="516" t="s">
        <v>364</v>
      </c>
      <c r="J306" s="244">
        <v>208.69200000000001</v>
      </c>
      <c r="K306" s="246"/>
      <c r="L306" s="282"/>
      <c r="M306" s="244">
        <v>202.28</v>
      </c>
      <c r="N306" s="246"/>
      <c r="O306" s="282"/>
      <c r="P306" s="244">
        <v>178.56</v>
      </c>
      <c r="Q306" s="246"/>
      <c r="R306" s="282"/>
      <c r="S306" s="244">
        <v>151.91999999999999</v>
      </c>
      <c r="T306" s="246"/>
      <c r="U306" s="282"/>
      <c r="V306" s="244">
        <v>65.47</v>
      </c>
      <c r="W306" s="246"/>
      <c r="X306" s="282"/>
      <c r="Y306" s="244">
        <v>61.92</v>
      </c>
      <c r="Z306" s="246"/>
      <c r="AA306" s="282"/>
      <c r="AB306" s="345">
        <f>63.24+20</f>
        <v>83.240000000000009</v>
      </c>
      <c r="AC306" s="246"/>
      <c r="AD306" s="282"/>
      <c r="AE306" s="244">
        <v>61.75</v>
      </c>
      <c r="AF306" s="246"/>
      <c r="AG306" s="282"/>
      <c r="AH306" s="345">
        <f>69.12+20</f>
        <v>89.12</v>
      </c>
      <c r="AI306" s="246"/>
      <c r="AJ306" s="282"/>
      <c r="AK306" s="244">
        <v>174.44</v>
      </c>
      <c r="AL306" s="246"/>
      <c r="AM306" s="282"/>
      <c r="AN306" s="244">
        <v>195.84</v>
      </c>
      <c r="AO306" s="246"/>
      <c r="AP306" s="282"/>
      <c r="AQ306" s="244">
        <v>198.648</v>
      </c>
      <c r="AR306" s="283"/>
      <c r="AS306" s="299"/>
      <c r="AT306" s="244">
        <f t="shared" si="11"/>
        <v>1671.8799999999997</v>
      </c>
      <c r="AU306" s="283"/>
      <c r="AV306" s="284"/>
      <c r="AW306" s="285"/>
      <c r="AX306" s="321"/>
      <c r="AY306" s="435">
        <v>1646.8522599999999</v>
      </c>
      <c r="AZ306" s="261"/>
      <c r="BA306" s="261"/>
      <c r="BB306" s="261"/>
      <c r="BC306" s="261"/>
    </row>
    <row r="307" spans="2:55" ht="18.75">
      <c r="B307" s="179"/>
      <c r="C307" s="179"/>
      <c r="D307" s="181">
        <v>340800</v>
      </c>
      <c r="E307" s="181"/>
      <c r="F307" s="181"/>
      <c r="G307" s="181">
        <v>340800</v>
      </c>
      <c r="H307" s="471" t="s">
        <v>1581</v>
      </c>
      <c r="I307" s="471"/>
      <c r="J307" s="277">
        <f>J310+J311+J312+J313</f>
        <v>2194.0720000000001</v>
      </c>
      <c r="K307" s="275">
        <f>L307-J307</f>
        <v>-1583.8385677506026</v>
      </c>
      <c r="L307" s="276">
        <f>Потребление!D24</f>
        <v>610.23343224939742</v>
      </c>
      <c r="M307" s="277">
        <f>M310+M311+M312+M313</f>
        <v>1651.2417610062894</v>
      </c>
      <c r="N307" s="275">
        <f>O307-M307</f>
        <v>-1081.0043861401616</v>
      </c>
      <c r="O307" s="276">
        <f>Потребление!E24</f>
        <v>570.23737486612777</v>
      </c>
      <c r="P307" s="277">
        <f>P310+P311+P312+P313</f>
        <v>1959.8497230769233</v>
      </c>
      <c r="Q307" s="275">
        <f>R307-P307</f>
        <v>-1371.7368515806988</v>
      </c>
      <c r="R307" s="276">
        <f>Потребление!F24</f>
        <v>588.11287149622456</v>
      </c>
      <c r="S307" s="277">
        <f>S310+S311+S312+S313</f>
        <v>1737.2856605744125</v>
      </c>
      <c r="T307" s="275">
        <f>U307-S307</f>
        <v>-1240.3063288567798</v>
      </c>
      <c r="U307" s="276">
        <f>Потребление!G24</f>
        <v>496.97933171763265</v>
      </c>
      <c r="V307" s="277">
        <f>V310+V311+V312+V313</f>
        <v>1715.39</v>
      </c>
      <c r="W307" s="275">
        <f>X307-V307</f>
        <v>-1218.8099229789843</v>
      </c>
      <c r="X307" s="276">
        <f>Потребление!H24</f>
        <v>496.58007702101582</v>
      </c>
      <c r="Y307" s="277">
        <f>Y310+Y311+Y312+Y313</f>
        <v>1588.45</v>
      </c>
      <c r="Z307" s="275">
        <f>AA307-Y307</f>
        <v>-1110.1290778990008</v>
      </c>
      <c r="AA307" s="276">
        <f>Потребление!I24</f>
        <v>478.32092210099927</v>
      </c>
      <c r="AB307" s="277">
        <f>AB310+AB311+AB312+AB313</f>
        <v>1539.64912</v>
      </c>
      <c r="AC307" s="275">
        <f>AD307-AB307</f>
        <v>-1062.2009442712963</v>
      </c>
      <c r="AD307" s="276">
        <f>Потребление!J24</f>
        <v>477.44817572870375</v>
      </c>
      <c r="AE307" s="277">
        <f>AE310+AE311+AE312+AE313</f>
        <v>1628.64912</v>
      </c>
      <c r="AF307" s="275">
        <f>AG307-AE307</f>
        <v>-1149.1286891463933</v>
      </c>
      <c r="AG307" s="276">
        <f>Потребление!K24</f>
        <v>479.5204308536068</v>
      </c>
      <c r="AH307" s="277">
        <f>AH310+AH311+AH312+AH313</f>
        <v>1637.4</v>
      </c>
      <c r="AI307" s="275">
        <f>AJ307-AH307</f>
        <v>-1160.1331504107275</v>
      </c>
      <c r="AJ307" s="276">
        <f>Потребление!L24</f>
        <v>477.26684958927268</v>
      </c>
      <c r="AK307" s="277">
        <f>AK310+AK311+AK312+AK313</f>
        <v>1730.9441777777779</v>
      </c>
      <c r="AL307" s="275">
        <f>AM307-AK307</f>
        <v>-1178.1373687038554</v>
      </c>
      <c r="AM307" s="276">
        <f>Потребление!M24</f>
        <v>552.80680907392264</v>
      </c>
      <c r="AN307" s="277">
        <f>AN310+AN311+AN312+AN313</f>
        <v>1765.4977391304349</v>
      </c>
      <c r="AO307" s="275">
        <f>AP307-AN307</f>
        <v>-1206.5087954005971</v>
      </c>
      <c r="AP307" s="276">
        <f>Потребление!N24</f>
        <v>558.98894372983773</v>
      </c>
      <c r="AQ307" s="277">
        <f>AQ310+AQ311+AQ312+AQ313</f>
        <v>1909.8976783943328</v>
      </c>
      <c r="AR307" s="275">
        <f>AS307-AQ307</f>
        <v>-1319.015896821074</v>
      </c>
      <c r="AS307" s="276">
        <f>Потребление!O24</f>
        <v>590.88178157325899</v>
      </c>
      <c r="AT307" s="277">
        <f>AT310+AT311+AT312+AT313</f>
        <v>21058.326979960173</v>
      </c>
      <c r="AU307" s="275">
        <f>AV307-AT307</f>
        <v>-14680.949979960173</v>
      </c>
      <c r="AV307" s="278">
        <f>L307+O307+R307+U307+X307+AA307+AD307+AG307+AJ307+AM307+AP307+AS307</f>
        <v>6377.3770000000004</v>
      </c>
      <c r="AW307" s="279"/>
      <c r="AX307" s="1067">
        <v>6299.9067480000003</v>
      </c>
      <c r="AY307" s="298">
        <f>AY308+AY309</f>
        <v>21653.506155999999</v>
      </c>
      <c r="AZ307" s="261"/>
      <c r="BA307" s="261"/>
      <c r="BB307" s="261"/>
      <c r="BC307" s="261"/>
    </row>
    <row r="308" spans="2:55">
      <c r="B308" s="179"/>
      <c r="C308" s="179"/>
      <c r="D308" s="181"/>
      <c r="E308" s="181"/>
      <c r="F308" s="181"/>
      <c r="G308" s="181"/>
      <c r="H308" s="10" t="s">
        <v>173</v>
      </c>
      <c r="I308" s="10"/>
      <c r="J308" s="223">
        <f>SUM(J311:J313)</f>
        <v>297.072</v>
      </c>
      <c r="K308" s="271"/>
      <c r="L308" s="224"/>
      <c r="M308" s="223">
        <f>SUM(M311:M313)</f>
        <v>257.24176100628932</v>
      </c>
      <c r="N308" s="271"/>
      <c r="O308" s="224"/>
      <c r="P308" s="223">
        <f>SUM(P311:P313)</f>
        <v>252.84972307692306</v>
      </c>
      <c r="Q308" s="271"/>
      <c r="R308" s="224"/>
      <c r="S308" s="223">
        <f>SUM(S311:S313)</f>
        <v>247.28566057441253</v>
      </c>
      <c r="T308" s="271"/>
      <c r="U308" s="224"/>
      <c r="V308" s="223">
        <f>SUM(V311:V313)</f>
        <v>225.39</v>
      </c>
      <c r="W308" s="271"/>
      <c r="X308" s="224"/>
      <c r="Y308" s="223">
        <f>SUM(Y311:Y313)</f>
        <v>183.45</v>
      </c>
      <c r="Z308" s="271"/>
      <c r="AA308" s="224"/>
      <c r="AB308" s="223">
        <f>SUM(AB311:AB313)</f>
        <v>102.64912</v>
      </c>
      <c r="AC308" s="271"/>
      <c r="AD308" s="224"/>
      <c r="AE308" s="223">
        <f>SUM(AE311:AE313)</f>
        <v>191.64911999999998</v>
      </c>
      <c r="AF308" s="271"/>
      <c r="AG308" s="224"/>
      <c r="AH308" s="223">
        <f>SUM(AH311:AH313)</f>
        <v>195.4</v>
      </c>
      <c r="AI308" s="271"/>
      <c r="AJ308" s="224"/>
      <c r="AK308" s="223">
        <f>SUM(AK311:AK313)</f>
        <v>240.94417777777778</v>
      </c>
      <c r="AL308" s="271"/>
      <c r="AM308" s="224"/>
      <c r="AN308" s="223">
        <f>SUM(AN311:AN313)</f>
        <v>303.49773913043475</v>
      </c>
      <c r="AO308" s="271"/>
      <c r="AP308" s="224"/>
      <c r="AQ308" s="223">
        <f>SUM(AQ311:AQ313)</f>
        <v>300.89767839433296</v>
      </c>
      <c r="AR308" s="271"/>
      <c r="AS308" s="224"/>
      <c r="AT308" s="223">
        <f>SUM(AT311:AT313)</f>
        <v>2798.3269799601703</v>
      </c>
      <c r="AU308" s="271"/>
      <c r="AV308" s="229"/>
      <c r="AW308" s="226"/>
      <c r="AX308" s="230"/>
      <c r="AY308" s="231">
        <f>SUM(AY311:AY313)</f>
        <v>2641.5852399999999</v>
      </c>
      <c r="AZ308" s="261"/>
      <c r="BA308" s="261"/>
      <c r="BB308" s="261"/>
      <c r="BC308" s="261"/>
    </row>
    <row r="309" spans="2:55">
      <c r="B309" s="179"/>
      <c r="C309" s="179"/>
      <c r="D309" s="181"/>
      <c r="E309" s="181"/>
      <c r="F309" s="181"/>
      <c r="G309" s="181"/>
      <c r="H309" s="10" t="s">
        <v>176</v>
      </c>
      <c r="I309" s="10"/>
      <c r="J309" s="223">
        <f>J310</f>
        <v>1897</v>
      </c>
      <c r="K309" s="271"/>
      <c r="L309" s="224"/>
      <c r="M309" s="223">
        <f>M310</f>
        <v>1394</v>
      </c>
      <c r="N309" s="271"/>
      <c r="O309" s="224"/>
      <c r="P309" s="223">
        <f>P310</f>
        <v>1707</v>
      </c>
      <c r="Q309" s="271"/>
      <c r="R309" s="224"/>
      <c r="S309" s="223">
        <f>S310</f>
        <v>1490</v>
      </c>
      <c r="T309" s="271"/>
      <c r="U309" s="224"/>
      <c r="V309" s="223">
        <f>V310</f>
        <v>1490</v>
      </c>
      <c r="W309" s="271"/>
      <c r="X309" s="224"/>
      <c r="Y309" s="223">
        <f>Y310</f>
        <v>1405</v>
      </c>
      <c r="Z309" s="271"/>
      <c r="AA309" s="224"/>
      <c r="AB309" s="223">
        <f>AB310</f>
        <v>1437</v>
      </c>
      <c r="AC309" s="271"/>
      <c r="AD309" s="224"/>
      <c r="AE309" s="223">
        <f>AE310</f>
        <v>1437</v>
      </c>
      <c r="AF309" s="271"/>
      <c r="AG309" s="224"/>
      <c r="AH309" s="223">
        <f>AH310</f>
        <v>1442</v>
      </c>
      <c r="AI309" s="271"/>
      <c r="AJ309" s="224"/>
      <c r="AK309" s="223">
        <f>AK310</f>
        <v>1490</v>
      </c>
      <c r="AL309" s="271"/>
      <c r="AM309" s="224"/>
      <c r="AN309" s="223">
        <f>AN310</f>
        <v>1462</v>
      </c>
      <c r="AO309" s="271"/>
      <c r="AP309" s="224"/>
      <c r="AQ309" s="223">
        <f>AQ310</f>
        <v>1609</v>
      </c>
      <c r="AR309" s="271"/>
      <c r="AS309" s="224"/>
      <c r="AT309" s="223">
        <f>AT310</f>
        <v>18260</v>
      </c>
      <c r="AU309" s="271"/>
      <c r="AV309" s="229"/>
      <c r="AW309" s="226"/>
      <c r="AX309" s="230"/>
      <c r="AY309" s="231">
        <f>AY310</f>
        <v>19011.920915999999</v>
      </c>
      <c r="AZ309" s="261"/>
      <c r="BA309" s="261"/>
      <c r="BB309" s="261"/>
      <c r="BC309" s="261"/>
    </row>
    <row r="310" spans="2:55">
      <c r="B310" s="179"/>
      <c r="C310" s="179"/>
      <c r="D310" s="181">
        <v>370083</v>
      </c>
      <c r="E310" s="181"/>
      <c r="F310" s="181"/>
      <c r="G310" s="1110">
        <v>370083</v>
      </c>
      <c r="H310" s="123" t="s">
        <v>907</v>
      </c>
      <c r="I310" s="516" t="s">
        <v>364</v>
      </c>
      <c r="J310" s="320">
        <f>АЭС!C17</f>
        <v>1897</v>
      </c>
      <c r="K310" s="246"/>
      <c r="L310" s="282"/>
      <c r="M310" s="320">
        <f>АЭС!D17</f>
        <v>1394</v>
      </c>
      <c r="N310" s="246"/>
      <c r="O310" s="282"/>
      <c r="P310" s="320">
        <f>АЭС!E17</f>
        <v>1707</v>
      </c>
      <c r="Q310" s="246"/>
      <c r="R310" s="282"/>
      <c r="S310" s="320">
        <f>АЭС!F17</f>
        <v>1490</v>
      </c>
      <c r="T310" s="246"/>
      <c r="U310" s="282"/>
      <c r="V310" s="320">
        <f>АЭС!G17</f>
        <v>1490</v>
      </c>
      <c r="W310" s="246"/>
      <c r="X310" s="282"/>
      <c r="Y310" s="320">
        <f>АЭС!H17</f>
        <v>1405</v>
      </c>
      <c r="Z310" s="246"/>
      <c r="AA310" s="282"/>
      <c r="AB310" s="320">
        <f>АЭС!I17</f>
        <v>1437</v>
      </c>
      <c r="AC310" s="246"/>
      <c r="AD310" s="282"/>
      <c r="AE310" s="320">
        <f>АЭС!J17</f>
        <v>1437</v>
      </c>
      <c r="AF310" s="246"/>
      <c r="AG310" s="282"/>
      <c r="AH310" s="320">
        <f>АЭС!K17</f>
        <v>1442</v>
      </c>
      <c r="AI310" s="246"/>
      <c r="AJ310" s="282"/>
      <c r="AK310" s="320">
        <f>АЭС!L17</f>
        <v>1490</v>
      </c>
      <c r="AL310" s="246"/>
      <c r="AM310" s="282"/>
      <c r="AN310" s="320">
        <f>АЭС!M17</f>
        <v>1462</v>
      </c>
      <c r="AO310" s="246"/>
      <c r="AP310" s="282"/>
      <c r="AQ310" s="320">
        <f>АЭС!N17</f>
        <v>1609</v>
      </c>
      <c r="AR310" s="283"/>
      <c r="AS310" s="299"/>
      <c r="AT310" s="320">
        <f>J310+M310+P310+S310+V310+Y310+AB310+AE310+AH310+AK310+AN310+AQ310</f>
        <v>18260</v>
      </c>
      <c r="AU310" s="283"/>
      <c r="AV310" s="284"/>
      <c r="AW310" s="285"/>
      <c r="AX310" s="321"/>
      <c r="AY310" s="435">
        <v>19011.920915999999</v>
      </c>
      <c r="AZ310" s="261"/>
      <c r="BA310" s="261"/>
      <c r="BB310" s="261"/>
      <c r="BC310" s="261"/>
    </row>
    <row r="311" spans="2:55">
      <c r="B311" s="179"/>
      <c r="C311" s="179"/>
      <c r="D311" s="181">
        <v>340802</v>
      </c>
      <c r="E311" s="181"/>
      <c r="F311" s="181"/>
      <c r="G311" s="1110">
        <v>340802</v>
      </c>
      <c r="H311" s="123" t="s">
        <v>909</v>
      </c>
      <c r="I311" s="516" t="s">
        <v>364</v>
      </c>
      <c r="J311" s="244">
        <v>120</v>
      </c>
      <c r="K311" s="246"/>
      <c r="L311" s="282"/>
      <c r="M311" s="244">
        <v>100</v>
      </c>
      <c r="N311" s="246"/>
      <c r="O311" s="282"/>
      <c r="P311" s="244">
        <v>104</v>
      </c>
      <c r="Q311" s="246"/>
      <c r="R311" s="282"/>
      <c r="S311" s="244">
        <v>125</v>
      </c>
      <c r="T311" s="246"/>
      <c r="U311" s="282"/>
      <c r="V311" s="244">
        <v>180</v>
      </c>
      <c r="W311" s="246"/>
      <c r="X311" s="282"/>
      <c r="Y311" s="244">
        <v>145</v>
      </c>
      <c r="Z311" s="246"/>
      <c r="AA311" s="282"/>
      <c r="AB311" s="345">
        <f>36+25</f>
        <v>61</v>
      </c>
      <c r="AC311" s="246"/>
      <c r="AD311" s="282"/>
      <c r="AE311" s="345">
        <f>100+50</f>
        <v>150</v>
      </c>
      <c r="AF311" s="246"/>
      <c r="AG311" s="282"/>
      <c r="AH311" s="244">
        <v>155</v>
      </c>
      <c r="AI311" s="246"/>
      <c r="AJ311" s="282"/>
      <c r="AK311" s="320">
        <f>175-40</f>
        <v>135</v>
      </c>
      <c r="AL311" s="246"/>
      <c r="AM311" s="282"/>
      <c r="AN311" s="244">
        <v>150</v>
      </c>
      <c r="AO311" s="246"/>
      <c r="AP311" s="282"/>
      <c r="AQ311" s="244">
        <v>140</v>
      </c>
      <c r="AR311" s="283"/>
      <c r="AS311" s="299"/>
      <c r="AT311" s="244">
        <f>J311+M311+P311+S311+V311+Y311+AB311+AE311+AH311+AK311+AN311+AQ311</f>
        <v>1565</v>
      </c>
      <c r="AU311" s="283"/>
      <c r="AV311" s="284"/>
      <c r="AW311" s="285"/>
      <c r="AX311" s="321"/>
      <c r="AY311" s="435">
        <v>1511.8085659999999</v>
      </c>
      <c r="AZ311" s="261"/>
      <c r="BA311" s="261"/>
      <c r="BB311" s="261"/>
      <c r="BC311" s="261"/>
    </row>
    <row r="312" spans="2:55">
      <c r="B312" s="179"/>
      <c r="C312" s="179"/>
      <c r="D312" s="181">
        <v>340826</v>
      </c>
      <c r="E312" s="181"/>
      <c r="F312" s="181"/>
      <c r="G312" s="1110">
        <v>340826</v>
      </c>
      <c r="H312" s="123" t="s">
        <v>369</v>
      </c>
      <c r="I312" s="516" t="s">
        <v>364</v>
      </c>
      <c r="J312" s="244">
        <v>23.808</v>
      </c>
      <c r="K312" s="246"/>
      <c r="L312" s="282"/>
      <c r="M312" s="244">
        <v>21.081761006289309</v>
      </c>
      <c r="N312" s="246"/>
      <c r="O312" s="282"/>
      <c r="P312" s="244">
        <v>21.209723076923076</v>
      </c>
      <c r="Q312" s="246"/>
      <c r="R312" s="282"/>
      <c r="S312" s="244">
        <v>17.485660574412535</v>
      </c>
      <c r="T312" s="246"/>
      <c r="U312" s="282"/>
      <c r="V312" s="244">
        <v>4.47</v>
      </c>
      <c r="W312" s="246"/>
      <c r="X312" s="282"/>
      <c r="Y312" s="244">
        <v>2.4500000000000002</v>
      </c>
      <c r="Z312" s="246"/>
      <c r="AA312" s="282"/>
      <c r="AB312" s="244">
        <v>4.4491199999999997</v>
      </c>
      <c r="AC312" s="246"/>
      <c r="AD312" s="282"/>
      <c r="AE312" s="244">
        <v>4.4491199999999997</v>
      </c>
      <c r="AF312" s="246"/>
      <c r="AG312" s="282"/>
      <c r="AH312" s="244">
        <v>4.4000000000000004</v>
      </c>
      <c r="AI312" s="246"/>
      <c r="AJ312" s="282"/>
      <c r="AK312" s="244">
        <v>17.944177777777782</v>
      </c>
      <c r="AL312" s="246"/>
      <c r="AM312" s="282"/>
      <c r="AN312" s="244">
        <v>20.297739130434785</v>
      </c>
      <c r="AO312" s="246"/>
      <c r="AP312" s="282"/>
      <c r="AQ312" s="244">
        <v>22.097678394332938</v>
      </c>
      <c r="AR312" s="283"/>
      <c r="AS312" s="299"/>
      <c r="AT312" s="244">
        <f>J312+M312+P312+S312+V312+Y312+AB312+AE312+AH312+AK312+AN312+AQ312</f>
        <v>164.14297996017044</v>
      </c>
      <c r="AU312" s="283"/>
      <c r="AV312" s="284"/>
      <c r="AW312" s="285"/>
      <c r="AX312" s="321"/>
      <c r="AY312" s="435">
        <v>86.936501000000007</v>
      </c>
      <c r="AZ312" s="261"/>
      <c r="BA312" s="261"/>
      <c r="BB312" s="261"/>
      <c r="BC312" s="261"/>
    </row>
    <row r="313" spans="2:55">
      <c r="B313" s="179"/>
      <c r="C313" s="179"/>
      <c r="D313" s="181">
        <v>340811</v>
      </c>
      <c r="E313" s="181"/>
      <c r="F313" s="181"/>
      <c r="G313" s="1110">
        <v>340811</v>
      </c>
      <c r="H313" s="123" t="s">
        <v>540</v>
      </c>
      <c r="I313" s="516" t="s">
        <v>364</v>
      </c>
      <c r="J313" s="244">
        <v>153.26400000000001</v>
      </c>
      <c r="K313" s="246"/>
      <c r="L313" s="282"/>
      <c r="M313" s="244">
        <v>136.16</v>
      </c>
      <c r="N313" s="246"/>
      <c r="O313" s="282"/>
      <c r="P313" s="244">
        <v>127.64</v>
      </c>
      <c r="Q313" s="246"/>
      <c r="R313" s="282"/>
      <c r="S313" s="244">
        <v>104.8</v>
      </c>
      <c r="T313" s="246"/>
      <c r="U313" s="282"/>
      <c r="V313" s="244">
        <v>40.92</v>
      </c>
      <c r="W313" s="246"/>
      <c r="X313" s="282"/>
      <c r="Y313" s="244">
        <v>36</v>
      </c>
      <c r="Z313" s="246"/>
      <c r="AA313" s="282"/>
      <c r="AB313" s="244">
        <v>37.200000000000003</v>
      </c>
      <c r="AC313" s="246"/>
      <c r="AD313" s="282"/>
      <c r="AE313" s="244">
        <v>37.200000000000003</v>
      </c>
      <c r="AF313" s="246"/>
      <c r="AG313" s="282"/>
      <c r="AH313" s="244">
        <v>36</v>
      </c>
      <c r="AI313" s="246"/>
      <c r="AJ313" s="282"/>
      <c r="AK313" s="320">
        <f>116-28</f>
        <v>88</v>
      </c>
      <c r="AL313" s="246"/>
      <c r="AM313" s="282"/>
      <c r="AN313" s="244">
        <v>133.19999999999999</v>
      </c>
      <c r="AO313" s="246"/>
      <c r="AP313" s="282"/>
      <c r="AQ313" s="244">
        <v>138.80000000000001</v>
      </c>
      <c r="AR313" s="283"/>
      <c r="AS313" s="299"/>
      <c r="AT313" s="244">
        <f>J313+M313+P313+S313+V313+Y313+AB313+AE313+AH313+AK313+AN313+AQ313</f>
        <v>1069.184</v>
      </c>
      <c r="AU313" s="283"/>
      <c r="AV313" s="284"/>
      <c r="AW313" s="285"/>
      <c r="AX313" s="321"/>
      <c r="AY313" s="435">
        <v>1042.840173</v>
      </c>
      <c r="AZ313" s="261"/>
      <c r="BA313" s="261"/>
      <c r="BB313" s="261"/>
      <c r="BC313" s="261"/>
    </row>
    <row r="314" spans="2:55" ht="18.75">
      <c r="B314" s="179"/>
      <c r="C314" s="179"/>
      <c r="D314" s="181">
        <v>311500</v>
      </c>
      <c r="E314" s="181"/>
      <c r="F314" s="181"/>
      <c r="G314" s="181">
        <v>311500</v>
      </c>
      <c r="H314" s="470" t="s">
        <v>1582</v>
      </c>
      <c r="I314" s="470"/>
      <c r="J314" s="277">
        <f>J317+J318+J320</f>
        <v>151.90879999999999</v>
      </c>
      <c r="K314" s="275">
        <f>L314-J314</f>
        <v>190.37878244322854</v>
      </c>
      <c r="L314" s="276">
        <f>Потребление!D25</f>
        <v>342.28758244322853</v>
      </c>
      <c r="M314" s="277">
        <f>M317+M318+M320</f>
        <v>131.458</v>
      </c>
      <c r="N314" s="275">
        <f>O314-M314</f>
        <v>182.44041453316979</v>
      </c>
      <c r="O314" s="276">
        <f>Потребление!E25</f>
        <v>313.89841453316978</v>
      </c>
      <c r="P314" s="277">
        <f>P317+P318+P320</f>
        <v>110.7478</v>
      </c>
      <c r="Q314" s="275">
        <f>R314-P314</f>
        <v>212.81069335557669</v>
      </c>
      <c r="R314" s="276">
        <f>Потребление!F25</f>
        <v>323.55849335557667</v>
      </c>
      <c r="S314" s="277">
        <f>S317+S318+S320</f>
        <v>69.119299999999996</v>
      </c>
      <c r="T314" s="275">
        <f>U314-S314</f>
        <v>211.68162847805081</v>
      </c>
      <c r="U314" s="276">
        <f>Потребление!G25</f>
        <v>280.80092847805082</v>
      </c>
      <c r="V314" s="277">
        <f>V317+V318+V320</f>
        <v>64.888800000000003</v>
      </c>
      <c r="W314" s="275">
        <f>X314-V314</f>
        <v>190.54357985122405</v>
      </c>
      <c r="X314" s="276">
        <f>Потребление!H25</f>
        <v>255.43237985122406</v>
      </c>
      <c r="Y314" s="277">
        <f>Y317+Y318+Y320</f>
        <v>55.463050000000003</v>
      </c>
      <c r="Z314" s="275">
        <f>AA314-Y314</f>
        <v>190.23189803523832</v>
      </c>
      <c r="AA314" s="276">
        <f>Потребление!I25</f>
        <v>245.69494803523833</v>
      </c>
      <c r="AB314" s="277">
        <f>AB317+AB318+AB320</f>
        <v>29.901161999999999</v>
      </c>
      <c r="AC314" s="275">
        <f>AD314-AB314</f>
        <v>222.80245139802813</v>
      </c>
      <c r="AD314" s="276">
        <f>Потребление!J25</f>
        <v>252.70361339802812</v>
      </c>
      <c r="AE314" s="277">
        <f>AE317+AE318+AE320</f>
        <v>25.510300000000001</v>
      </c>
      <c r="AF314" s="275">
        <f>AG314-AE314</f>
        <v>232.67819401783984</v>
      </c>
      <c r="AG314" s="276">
        <f>Потребление!K25</f>
        <v>258.18849401783984</v>
      </c>
      <c r="AH314" s="277">
        <f>AH317+AH318+AH320</f>
        <v>34.902699999999996</v>
      </c>
      <c r="AI314" s="275">
        <f>AJ314-AH314</f>
        <v>234.87261250030582</v>
      </c>
      <c r="AJ314" s="276">
        <f>Потребление!L25</f>
        <v>269.7753125003058</v>
      </c>
      <c r="AK314" s="277">
        <f>AK317+AK318+AK320</f>
        <v>65.984999999999999</v>
      </c>
      <c r="AL314" s="275">
        <f>AM314-AK314</f>
        <v>256.70582433182716</v>
      </c>
      <c r="AM314" s="276">
        <f>Потребление!M25</f>
        <v>322.69082433182717</v>
      </c>
      <c r="AN314" s="277">
        <f>AN317+AN318+AN320</f>
        <v>122.3382</v>
      </c>
      <c r="AO314" s="275">
        <f>AP314-AN314</f>
        <v>211.18613341787957</v>
      </c>
      <c r="AP314" s="276">
        <f>Потребление!N25</f>
        <v>333.52433341787957</v>
      </c>
      <c r="AQ314" s="277">
        <f>AQ317+AQ318+AQ320</f>
        <v>157.72999999999999</v>
      </c>
      <c r="AR314" s="275">
        <f>AS314-AQ314</f>
        <v>199.71467563763119</v>
      </c>
      <c r="AS314" s="276">
        <f>Потребление!O25</f>
        <v>357.44467563763118</v>
      </c>
      <c r="AT314" s="277">
        <f>AT317+AT318+AT320</f>
        <v>1019.9531119999998</v>
      </c>
      <c r="AU314" s="275">
        <f>AV314-AT314</f>
        <v>2536.0468879999999</v>
      </c>
      <c r="AV314" s="278">
        <f>L314+O314+R314+U314+X314+AA314+AD314+AG314+AJ314+AM314+AP314+AS314</f>
        <v>3555.9999999999995</v>
      </c>
      <c r="AW314" s="279"/>
      <c r="AX314" s="1067">
        <v>3537.6436844999998</v>
      </c>
      <c r="AY314" s="298">
        <f>AY315+AY316</f>
        <v>901.46883649999995</v>
      </c>
      <c r="AZ314" s="261"/>
      <c r="BA314" s="261"/>
      <c r="BB314" s="261"/>
      <c r="BC314" s="261"/>
    </row>
    <row r="315" spans="2:55">
      <c r="B315" s="179"/>
      <c r="C315" s="179"/>
      <c r="D315" s="181"/>
      <c r="E315" s="181"/>
      <c r="F315" s="181"/>
      <c r="G315" s="181"/>
      <c r="H315" s="10" t="s">
        <v>173</v>
      </c>
      <c r="I315" s="826"/>
      <c r="J315" s="223">
        <f>SUM(J317:J318)</f>
        <v>147.77879999999999</v>
      </c>
      <c r="K315" s="271"/>
      <c r="L315" s="224"/>
      <c r="M315" s="223">
        <f>SUM(M317:M318)</f>
        <v>127.738</v>
      </c>
      <c r="N315" s="271"/>
      <c r="O315" s="224"/>
      <c r="P315" s="223">
        <f>SUM(P317:P318)</f>
        <v>104.9478</v>
      </c>
      <c r="Q315" s="271"/>
      <c r="R315" s="224"/>
      <c r="S315" s="223">
        <f>SUM(S317:S318)</f>
        <v>63.945299999999996</v>
      </c>
      <c r="T315" s="271"/>
      <c r="U315" s="224"/>
      <c r="V315" s="223">
        <f>SUM(V317:V318)</f>
        <v>62.388800000000003</v>
      </c>
      <c r="W315" s="271"/>
      <c r="X315" s="224"/>
      <c r="Y315" s="223">
        <f>SUM(Y317:Y318)</f>
        <v>53.063050000000004</v>
      </c>
      <c r="Z315" s="271"/>
      <c r="AA315" s="224"/>
      <c r="AB315" s="223">
        <f>SUM(AB317:AB318)</f>
        <v>26.901161999999999</v>
      </c>
      <c r="AC315" s="271"/>
      <c r="AD315" s="224"/>
      <c r="AE315" s="223">
        <f>SUM(AE317:AE318)</f>
        <v>20.4223</v>
      </c>
      <c r="AF315" s="271"/>
      <c r="AG315" s="224"/>
      <c r="AH315" s="223">
        <f>SUM(AH317:AH318)</f>
        <v>21.902699999999999</v>
      </c>
      <c r="AI315" s="271"/>
      <c r="AJ315" s="224"/>
      <c r="AK315" s="223">
        <f>SUM(AK317:AK318)</f>
        <v>51.285000000000004</v>
      </c>
      <c r="AL315" s="271"/>
      <c r="AM315" s="224"/>
      <c r="AN315" s="223">
        <f>SUM(AN317:AN318)</f>
        <v>107.0382</v>
      </c>
      <c r="AO315" s="271"/>
      <c r="AP315" s="224"/>
      <c r="AQ315" s="223">
        <f>SUM(AQ317:AQ318)</f>
        <v>142.42999999999998</v>
      </c>
      <c r="AR315" s="271"/>
      <c r="AS315" s="224"/>
      <c r="AT315" s="223">
        <f>SUM(AT317:AT318)</f>
        <v>929.84111199999984</v>
      </c>
      <c r="AU315" s="271"/>
      <c r="AV315" s="229"/>
      <c r="AW315" s="226"/>
      <c r="AX315" s="230"/>
      <c r="AY315" s="231">
        <f>SUM(AY317:AY319)</f>
        <v>833.76855699999999</v>
      </c>
      <c r="AZ315" s="261"/>
      <c r="BA315" s="261"/>
      <c r="BB315" s="261"/>
      <c r="BC315" s="261"/>
    </row>
    <row r="316" spans="2:55" ht="15" customHeight="1">
      <c r="B316" s="179"/>
      <c r="C316" s="179"/>
      <c r="D316" s="181"/>
      <c r="E316" s="181"/>
      <c r="F316" s="181"/>
      <c r="G316" s="181"/>
      <c r="H316" s="10" t="s">
        <v>99</v>
      </c>
      <c r="I316" s="826"/>
      <c r="J316" s="223">
        <f>J320</f>
        <v>4.13</v>
      </c>
      <c r="K316" s="271"/>
      <c r="L316" s="224"/>
      <c r="M316" s="223">
        <f>M320</f>
        <v>3.72</v>
      </c>
      <c r="N316" s="271"/>
      <c r="O316" s="224"/>
      <c r="P316" s="223">
        <f>P320</f>
        <v>5.8</v>
      </c>
      <c r="Q316" s="271"/>
      <c r="R316" s="224"/>
      <c r="S316" s="223">
        <f>S320</f>
        <v>5.1739999999999995</v>
      </c>
      <c r="T316" s="271"/>
      <c r="U316" s="224"/>
      <c r="V316" s="223">
        <f>V320</f>
        <v>2.5</v>
      </c>
      <c r="W316" s="271"/>
      <c r="X316" s="224"/>
      <c r="Y316" s="223">
        <f>Y320</f>
        <v>2.4</v>
      </c>
      <c r="Z316" s="271"/>
      <c r="AA316" s="224"/>
      <c r="AB316" s="223">
        <f>AB320</f>
        <v>3</v>
      </c>
      <c r="AC316" s="271"/>
      <c r="AD316" s="224"/>
      <c r="AE316" s="223">
        <f>AE320</f>
        <v>5.0880000000000001</v>
      </c>
      <c r="AF316" s="271"/>
      <c r="AG316" s="224"/>
      <c r="AH316" s="223">
        <f>AH320</f>
        <v>13</v>
      </c>
      <c r="AI316" s="271"/>
      <c r="AJ316" s="224"/>
      <c r="AK316" s="223">
        <f>AK320</f>
        <v>14.7</v>
      </c>
      <c r="AL316" s="271"/>
      <c r="AM316" s="224"/>
      <c r="AN316" s="223">
        <f>AN320</f>
        <v>15.3</v>
      </c>
      <c r="AO316" s="271"/>
      <c r="AP316" s="224"/>
      <c r="AQ316" s="223">
        <f>AQ320</f>
        <v>15.3</v>
      </c>
      <c r="AR316" s="271"/>
      <c r="AS316" s="224"/>
      <c r="AT316" s="223">
        <f>AT320</f>
        <v>90.111999999999995</v>
      </c>
      <c r="AU316" s="271"/>
      <c r="AV316" s="229"/>
      <c r="AW316" s="226"/>
      <c r="AX316" s="230"/>
      <c r="AY316" s="231">
        <f>AY320</f>
        <v>67.700279499999994</v>
      </c>
      <c r="AZ316" s="261"/>
      <c r="BA316" s="261"/>
      <c r="BB316" s="261"/>
      <c r="BC316" s="261"/>
    </row>
    <row r="317" spans="2:55">
      <c r="B317" s="179"/>
      <c r="C317" s="179"/>
      <c r="D317" s="181">
        <v>311511</v>
      </c>
      <c r="E317" s="181"/>
      <c r="F317" s="181"/>
      <c r="G317" s="1110">
        <v>311511</v>
      </c>
      <c r="H317" s="123" t="s">
        <v>541</v>
      </c>
      <c r="I317" s="516" t="s">
        <v>364</v>
      </c>
      <c r="J317" s="244">
        <v>135.40799999999999</v>
      </c>
      <c r="K317" s="246"/>
      <c r="L317" s="282"/>
      <c r="M317" s="345">
        <f>96.48+20</f>
        <v>116.48</v>
      </c>
      <c r="N317" s="246"/>
      <c r="O317" s="282"/>
      <c r="P317" s="244">
        <v>93</v>
      </c>
      <c r="Q317" s="246"/>
      <c r="R317" s="282"/>
      <c r="S317" s="244">
        <v>57.839999999999996</v>
      </c>
      <c r="T317" s="246"/>
      <c r="U317" s="282"/>
      <c r="V317" s="244">
        <v>59.52</v>
      </c>
      <c r="W317" s="246"/>
      <c r="X317" s="282"/>
      <c r="Y317" s="244">
        <v>50.400000000000006</v>
      </c>
      <c r="Z317" s="246"/>
      <c r="AA317" s="282"/>
      <c r="AB317" s="244">
        <v>23.999962</v>
      </c>
      <c r="AC317" s="246"/>
      <c r="AD317" s="282"/>
      <c r="AE317" s="244">
        <v>17.856000000000002</v>
      </c>
      <c r="AF317" s="246"/>
      <c r="AG317" s="282"/>
      <c r="AH317" s="244">
        <v>18.72</v>
      </c>
      <c r="AI317" s="246"/>
      <c r="AJ317" s="282"/>
      <c r="AK317" s="320">
        <f>67.92-23</f>
        <v>44.92</v>
      </c>
      <c r="AL317" s="246"/>
      <c r="AM317" s="282"/>
      <c r="AN317" s="244">
        <v>100.8</v>
      </c>
      <c r="AO317" s="246"/>
      <c r="AP317" s="282"/>
      <c r="AQ317" s="244">
        <v>130.19999999999999</v>
      </c>
      <c r="AR317" s="283"/>
      <c r="AS317" s="299"/>
      <c r="AT317" s="244">
        <f>J317+M317+P317+S317+V317+Y317+AB317+AE317+AH317+AK317+AN317+AQ317</f>
        <v>849.14396199999987</v>
      </c>
      <c r="AU317" s="283"/>
      <c r="AV317" s="284"/>
      <c r="AW317" s="285"/>
      <c r="AX317" s="321"/>
      <c r="AY317" s="435">
        <v>689.41218900000001</v>
      </c>
      <c r="AZ317" s="261"/>
      <c r="BA317" s="261"/>
      <c r="BB317" s="261"/>
      <c r="BC317" s="261"/>
    </row>
    <row r="318" spans="2:55">
      <c r="B318" s="179"/>
      <c r="C318" s="179"/>
      <c r="D318" s="181">
        <v>311544</v>
      </c>
      <c r="E318" s="181"/>
      <c r="F318" s="181"/>
      <c r="G318" s="1110">
        <v>311544</v>
      </c>
      <c r="H318" s="122" t="s">
        <v>1310</v>
      </c>
      <c r="I318" s="516" t="s">
        <v>364</v>
      </c>
      <c r="J318" s="244">
        <v>12.370799999999999</v>
      </c>
      <c r="K318" s="246"/>
      <c r="L318" s="282"/>
      <c r="M318" s="244">
        <v>11.257999999999999</v>
      </c>
      <c r="N318" s="246"/>
      <c r="O318" s="282"/>
      <c r="P318" s="244">
        <v>11.947800000000001</v>
      </c>
      <c r="Q318" s="246"/>
      <c r="R318" s="282"/>
      <c r="S318" s="244">
        <v>6.1052999999999997</v>
      </c>
      <c r="T318" s="246"/>
      <c r="U318" s="282"/>
      <c r="V318" s="244">
        <v>2.8687999999999998</v>
      </c>
      <c r="W318" s="246"/>
      <c r="X318" s="282"/>
      <c r="Y318" s="244">
        <v>2.6630500000000001</v>
      </c>
      <c r="Z318" s="246"/>
      <c r="AA318" s="282"/>
      <c r="AB318" s="244">
        <v>2.9011999999999998</v>
      </c>
      <c r="AC318" s="246"/>
      <c r="AD318" s="282"/>
      <c r="AE318" s="244">
        <v>2.5663</v>
      </c>
      <c r="AF318" s="246"/>
      <c r="AG318" s="282"/>
      <c r="AH318" s="244">
        <v>3.1827000000000001</v>
      </c>
      <c r="AI318" s="246"/>
      <c r="AJ318" s="282"/>
      <c r="AK318" s="244">
        <v>6.3650000000000002</v>
      </c>
      <c r="AL318" s="246"/>
      <c r="AM318" s="282"/>
      <c r="AN318" s="244">
        <v>6.2382</v>
      </c>
      <c r="AO318" s="246"/>
      <c r="AP318" s="282"/>
      <c r="AQ318" s="244">
        <v>12.23</v>
      </c>
      <c r="AR318" s="283"/>
      <c r="AS318" s="299"/>
      <c r="AT318" s="244">
        <f>J318+M318+P318+S318+V318+Y318+AB318+AE318+AH318+AK318+AN318+AQ318</f>
        <v>80.697150000000008</v>
      </c>
      <c r="AU318" s="283"/>
      <c r="AV318" s="284"/>
      <c r="AW318" s="285"/>
      <c r="AX318" s="321"/>
      <c r="AY318" s="435">
        <v>92.922336000000001</v>
      </c>
      <c r="AZ318" s="261"/>
      <c r="BA318" s="261"/>
      <c r="BB318" s="261"/>
      <c r="BC318" s="261"/>
    </row>
    <row r="319" spans="2:55">
      <c r="B319" s="179"/>
      <c r="C319" s="179"/>
      <c r="D319" s="181"/>
      <c r="E319" s="181"/>
      <c r="F319" s="181"/>
      <c r="G319" s="1110">
        <v>311510</v>
      </c>
      <c r="H319" s="1199" t="s">
        <v>1833</v>
      </c>
      <c r="I319" s="1200"/>
      <c r="J319" s="250">
        <v>0</v>
      </c>
      <c r="K319" s="1201"/>
      <c r="L319" s="1202"/>
      <c r="M319" s="250">
        <v>0</v>
      </c>
      <c r="N319" s="1201"/>
      <c r="O319" s="1202"/>
      <c r="P319" s="250">
        <v>0</v>
      </c>
      <c r="Q319" s="1201"/>
      <c r="R319" s="1202"/>
      <c r="S319" s="250">
        <v>0</v>
      </c>
      <c r="T319" s="1201"/>
      <c r="U319" s="1202"/>
      <c r="V319" s="250">
        <v>0</v>
      </c>
      <c r="W319" s="1201"/>
      <c r="X319" s="1202"/>
      <c r="Y319" s="250">
        <v>0</v>
      </c>
      <c r="Z319" s="1201"/>
      <c r="AA319" s="1202"/>
      <c r="AB319" s="250">
        <v>0</v>
      </c>
      <c r="AC319" s="1201"/>
      <c r="AD319" s="1202"/>
      <c r="AE319" s="250">
        <v>0</v>
      </c>
      <c r="AF319" s="1201"/>
      <c r="AG319" s="1202"/>
      <c r="AH319" s="250">
        <v>0</v>
      </c>
      <c r="AI319" s="1201"/>
      <c r="AJ319" s="1202"/>
      <c r="AK319" s="250">
        <v>0</v>
      </c>
      <c r="AL319" s="1201"/>
      <c r="AM319" s="1202"/>
      <c r="AN319" s="250">
        <v>0</v>
      </c>
      <c r="AO319" s="1201"/>
      <c r="AP319" s="1202"/>
      <c r="AQ319" s="250">
        <v>0</v>
      </c>
      <c r="AR319" s="1201"/>
      <c r="AS319" s="1202"/>
      <c r="AT319" s="250">
        <f>J319+M319+P319+S319+V319+Y319+AB319+AE319+AH319+AK319+AN319+AQ319</f>
        <v>0</v>
      </c>
      <c r="AU319" s="1201"/>
      <c r="AV319" s="1203"/>
      <c r="AW319" s="285"/>
      <c r="AX319" s="321"/>
      <c r="AY319" s="435">
        <v>51.434032000000002</v>
      </c>
      <c r="AZ319" s="261"/>
      <c r="BA319" s="261"/>
      <c r="BB319" s="261"/>
      <c r="BC319" s="261"/>
    </row>
    <row r="320" spans="2:55">
      <c r="B320" s="179"/>
      <c r="C320" s="179"/>
      <c r="D320" s="181">
        <v>340</v>
      </c>
      <c r="E320" s="181"/>
      <c r="F320" s="181"/>
      <c r="G320" s="1110">
        <v>340</v>
      </c>
      <c r="H320" s="135" t="s">
        <v>370</v>
      </c>
      <c r="I320" s="518" t="s">
        <v>365</v>
      </c>
      <c r="J320" s="294">
        <v>4.13</v>
      </c>
      <c r="K320" s="288"/>
      <c r="L320" s="289"/>
      <c r="M320" s="294">
        <v>3.72</v>
      </c>
      <c r="N320" s="288"/>
      <c r="O320" s="289"/>
      <c r="P320" s="294">
        <v>5.8</v>
      </c>
      <c r="Q320" s="288"/>
      <c r="R320" s="289"/>
      <c r="S320" s="294">
        <v>5.1739999999999995</v>
      </c>
      <c r="T320" s="288"/>
      <c r="U320" s="289"/>
      <c r="V320" s="294">
        <v>2.5</v>
      </c>
      <c r="W320" s="288"/>
      <c r="X320" s="289"/>
      <c r="Y320" s="294">
        <v>2.4</v>
      </c>
      <c r="Z320" s="288"/>
      <c r="AA320" s="289"/>
      <c r="AB320" s="294">
        <v>3</v>
      </c>
      <c r="AC320" s="288"/>
      <c r="AD320" s="289"/>
      <c r="AE320" s="294">
        <v>5.0880000000000001</v>
      </c>
      <c r="AF320" s="288"/>
      <c r="AG320" s="289"/>
      <c r="AH320" s="294">
        <v>13</v>
      </c>
      <c r="AI320" s="288"/>
      <c r="AJ320" s="289"/>
      <c r="AK320" s="294">
        <v>14.7</v>
      </c>
      <c r="AL320" s="288"/>
      <c r="AM320" s="289"/>
      <c r="AN320" s="294">
        <v>15.3</v>
      </c>
      <c r="AO320" s="288"/>
      <c r="AP320" s="289"/>
      <c r="AQ320" s="294">
        <v>15.3</v>
      </c>
      <c r="AR320" s="288"/>
      <c r="AS320" s="289"/>
      <c r="AT320" s="294">
        <f>J320+M320+P320+S320+V320+Y320+AB320+AE320+AH320+AK320+AN320+AQ320</f>
        <v>90.111999999999995</v>
      </c>
      <c r="AU320" s="288"/>
      <c r="AV320" s="290"/>
      <c r="AW320" s="285"/>
      <c r="AX320" s="296"/>
      <c r="AY320" s="437">
        <v>67.700279499999994</v>
      </c>
      <c r="AZ320" s="261"/>
      <c r="BA320" s="261"/>
      <c r="BB320" s="261"/>
      <c r="BC320" s="261"/>
    </row>
    <row r="321" spans="1:55" s="6" customFormat="1" ht="18.75">
      <c r="A321" s="179"/>
      <c r="B321" s="179"/>
      <c r="C321" s="179"/>
      <c r="D321" s="181">
        <v>310700</v>
      </c>
      <c r="E321" s="181"/>
      <c r="F321" s="181"/>
      <c r="G321" s="181">
        <v>310700</v>
      </c>
      <c r="H321" s="470" t="s">
        <v>1583</v>
      </c>
      <c r="I321" s="470"/>
      <c r="J321" s="277">
        <f>SUM(J322:J324)</f>
        <v>3057.8548000000001</v>
      </c>
      <c r="K321" s="275">
        <f>L321-J321</f>
        <v>-2223.8307645498203</v>
      </c>
      <c r="L321" s="276">
        <f>Потребление!D26</f>
        <v>834.02403545017978</v>
      </c>
      <c r="M321" s="274">
        <f>SUM(M322:M324)</f>
        <v>2871.1399000000001</v>
      </c>
      <c r="N321" s="275">
        <f>O321-M321</f>
        <v>-2093.1161165294616</v>
      </c>
      <c r="O321" s="276">
        <f>Потребление!E26</f>
        <v>778.02378347053855</v>
      </c>
      <c r="P321" s="274">
        <f>SUM(P322:P324)</f>
        <v>2959.2701999999999</v>
      </c>
      <c r="Q321" s="275">
        <f>R321-P321</f>
        <v>-2166.9378456216837</v>
      </c>
      <c r="R321" s="276">
        <f>Потребление!F26</f>
        <v>792.33235437831627</v>
      </c>
      <c r="S321" s="274">
        <f>SUM(S322:S324)</f>
        <v>2595.3119999999999</v>
      </c>
      <c r="T321" s="275">
        <f>U321-S321</f>
        <v>-1916.6497406541059</v>
      </c>
      <c r="U321" s="276">
        <f>Потребление!G26</f>
        <v>678.66225934589397</v>
      </c>
      <c r="V321" s="274">
        <f>SUM(V322:V324)</f>
        <v>2704.8382000000001</v>
      </c>
      <c r="W321" s="275">
        <f>X321-V321</f>
        <v>-2063.8615560212193</v>
      </c>
      <c r="X321" s="276">
        <f>Потребление!H26</f>
        <v>640.97664397878111</v>
      </c>
      <c r="Y321" s="274">
        <f>SUM(Y322:Y324)</f>
        <v>2709.3</v>
      </c>
      <c r="Z321" s="275">
        <f>AA321-Y321</f>
        <v>-2097.6124831897178</v>
      </c>
      <c r="AA321" s="276">
        <f>Потребление!I26</f>
        <v>611.68751681028232</v>
      </c>
      <c r="AB321" s="274">
        <f>SUM(AB322:AB324)</f>
        <v>2804.7539999999999</v>
      </c>
      <c r="AC321" s="275">
        <f>AD321-AB321</f>
        <v>-2184.5129908764939</v>
      </c>
      <c r="AD321" s="276">
        <f>Потребление!J26</f>
        <v>620.24100912350582</v>
      </c>
      <c r="AE321" s="274">
        <f>SUM(AE322:AE324)</f>
        <v>3215.7869999999998</v>
      </c>
      <c r="AF321" s="275">
        <f>AG321-AE321</f>
        <v>-2587.1522988232791</v>
      </c>
      <c r="AG321" s="276">
        <f>Потребление!K26</f>
        <v>628.63470117672045</v>
      </c>
      <c r="AH321" s="274">
        <f>SUM(AH322:AH324)</f>
        <v>2880.1190000000001</v>
      </c>
      <c r="AI321" s="275">
        <f>AJ321-AH321</f>
        <v>-2227.2480986272794</v>
      </c>
      <c r="AJ321" s="276">
        <f>Потребление!L26</f>
        <v>652.87090137272094</v>
      </c>
      <c r="AK321" s="274">
        <f>SUM(AK322:AK324)</f>
        <v>3627.3316199999999</v>
      </c>
      <c r="AL321" s="275">
        <f>AM321-AK321</f>
        <v>-2882.4377029584848</v>
      </c>
      <c r="AM321" s="276">
        <f>Потребление!M26</f>
        <v>744.89391704151501</v>
      </c>
      <c r="AN321" s="274">
        <f>SUM(AN322:AN324)</f>
        <v>3669.0221000000001</v>
      </c>
      <c r="AO321" s="275">
        <f>AP321-AN321</f>
        <v>-2896.2099514436131</v>
      </c>
      <c r="AP321" s="276">
        <f>Потребление!N26</f>
        <v>772.81214855638689</v>
      </c>
      <c r="AQ321" s="274">
        <f>SUM(AQ322:AQ324)</f>
        <v>3901.3723</v>
      </c>
      <c r="AR321" s="275">
        <f>AS321-AQ321</f>
        <v>-3053.5315707048426</v>
      </c>
      <c r="AS321" s="276">
        <f>Потребление!O26</f>
        <v>847.84072929515753</v>
      </c>
      <c r="AT321" s="274">
        <f>SUM(AT322:AT324)</f>
        <v>36996.101119999999</v>
      </c>
      <c r="AU321" s="275">
        <f>AV321-AT321</f>
        <v>-28393.101119999999</v>
      </c>
      <c r="AV321" s="278">
        <f>L321+O321+R321+U321+X321+AA321+AD321+AG321+AJ321+AM321+AP321+AS321</f>
        <v>8602.9999999999982</v>
      </c>
      <c r="AW321" s="279"/>
      <c r="AX321" s="1067">
        <v>8568.7590619999992</v>
      </c>
      <c r="AY321" s="298">
        <f>AY322+AY323+AY324</f>
        <v>43091.044520000003</v>
      </c>
      <c r="AZ321" s="322"/>
      <c r="BA321" s="322"/>
      <c r="BB321" s="322"/>
      <c r="BC321" s="322"/>
    </row>
    <row r="322" spans="1:55" s="6" customFormat="1">
      <c r="A322" s="179"/>
      <c r="B322" s="179"/>
      <c r="C322" s="179"/>
      <c r="D322" s="181"/>
      <c r="E322" s="181"/>
      <c r="F322" s="181"/>
      <c r="G322" s="181"/>
      <c r="H322" s="10" t="s">
        <v>173</v>
      </c>
      <c r="I322" s="10"/>
      <c r="J322" s="223">
        <f>SUM(J328:J332)</f>
        <v>785.15480000000014</v>
      </c>
      <c r="K322" s="271"/>
      <c r="L322" s="224"/>
      <c r="M322" s="270">
        <f>SUM(M328:M332)</f>
        <v>742.6398999999999</v>
      </c>
      <c r="N322" s="271"/>
      <c r="O322" s="224"/>
      <c r="P322" s="270">
        <f>SUM(P328:P332)</f>
        <v>683.83519999999999</v>
      </c>
      <c r="Q322" s="271"/>
      <c r="R322" s="224"/>
      <c r="S322" s="270">
        <f>SUM(S328:S332)</f>
        <v>636.59199999999998</v>
      </c>
      <c r="T322" s="271"/>
      <c r="U322" s="224"/>
      <c r="V322" s="270">
        <f>SUM(V328:V332)</f>
        <v>428.82819999999998</v>
      </c>
      <c r="W322" s="271"/>
      <c r="X322" s="224"/>
      <c r="Y322" s="270">
        <f>SUM(Y328:Y332)</f>
        <v>548.41999999999996</v>
      </c>
      <c r="Z322" s="271"/>
      <c r="AA322" s="224"/>
      <c r="AB322" s="270">
        <f>SUM(AB328:AB332)</f>
        <v>845.95399999999995</v>
      </c>
      <c r="AC322" s="271"/>
      <c r="AD322" s="224"/>
      <c r="AE322" s="270">
        <f>SUM(AE328:AE332)</f>
        <v>895.8069999999999</v>
      </c>
      <c r="AF322" s="271"/>
      <c r="AG322" s="224"/>
      <c r="AH322" s="270">
        <f>SUM(AH328:AH332)</f>
        <v>653.38900000000001</v>
      </c>
      <c r="AI322" s="271"/>
      <c r="AJ322" s="224"/>
      <c r="AK322" s="270">
        <f>SUM(AK328:AK332)</f>
        <v>593.46161999999993</v>
      </c>
      <c r="AL322" s="271"/>
      <c r="AM322" s="224"/>
      <c r="AN322" s="270">
        <f>SUM(AN328:AN332)</f>
        <v>732.14210000000003</v>
      </c>
      <c r="AO322" s="271"/>
      <c r="AP322" s="224"/>
      <c r="AQ322" s="270">
        <f>SUM(AQ328:AQ332)</f>
        <v>870.73230000000001</v>
      </c>
      <c r="AR322" s="271"/>
      <c r="AS322" s="224"/>
      <c r="AT322" s="270">
        <f>SUM(AT328:AT332)</f>
        <v>8416.9561200000007</v>
      </c>
      <c r="AU322" s="271"/>
      <c r="AV322" s="229"/>
      <c r="AW322" s="226"/>
      <c r="AX322" s="230"/>
      <c r="AY322" s="231">
        <f>SUM(AY328:AY332)</f>
        <v>7897.01091</v>
      </c>
      <c r="AZ322" s="322"/>
      <c r="BA322" s="322"/>
      <c r="BB322" s="322"/>
      <c r="BC322" s="322"/>
    </row>
    <row r="323" spans="1:55" s="6" customFormat="1">
      <c r="A323" s="179"/>
      <c r="B323" s="179"/>
      <c r="C323" s="179"/>
      <c r="D323" s="181"/>
      <c r="E323" s="181"/>
      <c r="F323" s="181"/>
      <c r="G323" s="181"/>
      <c r="H323" s="10" t="s">
        <v>177</v>
      </c>
      <c r="I323" s="10"/>
      <c r="J323" s="223">
        <f>J333+J334</f>
        <v>0.7</v>
      </c>
      <c r="K323" s="271"/>
      <c r="L323" s="224"/>
      <c r="M323" s="223">
        <f>M333+M334</f>
        <v>0.5</v>
      </c>
      <c r="N323" s="271"/>
      <c r="O323" s="224"/>
      <c r="P323" s="223">
        <f>P333+P334</f>
        <v>0.435</v>
      </c>
      <c r="Q323" s="271"/>
      <c r="R323" s="224"/>
      <c r="S323" s="223">
        <f>S333+S334</f>
        <v>0.72</v>
      </c>
      <c r="T323" s="271"/>
      <c r="U323" s="224"/>
      <c r="V323" s="223">
        <f>V333+V334</f>
        <v>1.01</v>
      </c>
      <c r="W323" s="271"/>
      <c r="X323" s="224"/>
      <c r="Y323" s="223">
        <f>Y333+Y334</f>
        <v>0.88</v>
      </c>
      <c r="Z323" s="271"/>
      <c r="AA323" s="224"/>
      <c r="AB323" s="223">
        <f>AB333+AB334</f>
        <v>0.79999999999999993</v>
      </c>
      <c r="AC323" s="271"/>
      <c r="AD323" s="224"/>
      <c r="AE323" s="223">
        <f>AE333+AE334</f>
        <v>0.98</v>
      </c>
      <c r="AF323" s="271"/>
      <c r="AG323" s="224"/>
      <c r="AH323" s="223">
        <f>AH333+AH334</f>
        <v>0.73</v>
      </c>
      <c r="AI323" s="271"/>
      <c r="AJ323" s="224"/>
      <c r="AK323" s="223">
        <f>AK333+AK334</f>
        <v>0.87</v>
      </c>
      <c r="AL323" s="271"/>
      <c r="AM323" s="224"/>
      <c r="AN323" s="223">
        <f>AN333+AN334</f>
        <v>0.88</v>
      </c>
      <c r="AO323" s="271"/>
      <c r="AP323" s="224"/>
      <c r="AQ323" s="223">
        <f>AQ333+AQ334</f>
        <v>0.64</v>
      </c>
      <c r="AR323" s="271"/>
      <c r="AS323" s="224"/>
      <c r="AT323" s="223">
        <f>AT333+AT334</f>
        <v>9.1450000000000014</v>
      </c>
      <c r="AU323" s="271"/>
      <c r="AV323" s="229"/>
      <c r="AW323" s="226"/>
      <c r="AX323" s="230"/>
      <c r="AY323" s="231">
        <f>AY333</f>
        <v>6.3815660000000003</v>
      </c>
      <c r="AZ323" s="322"/>
      <c r="BA323" s="322"/>
      <c r="BB323" s="322"/>
      <c r="BC323" s="322"/>
    </row>
    <row r="324" spans="1:55" s="6" customFormat="1">
      <c r="A324" s="179"/>
      <c r="B324" s="179"/>
      <c r="C324" s="179"/>
      <c r="D324" s="181"/>
      <c r="E324" s="181"/>
      <c r="F324" s="181"/>
      <c r="G324" s="181"/>
      <c r="H324" s="10" t="s">
        <v>98</v>
      </c>
      <c r="I324" s="10"/>
      <c r="J324" s="223">
        <f>J325</f>
        <v>2272</v>
      </c>
      <c r="K324" s="271"/>
      <c r="L324" s="224"/>
      <c r="M324" s="270">
        <f>M325</f>
        <v>2128</v>
      </c>
      <c r="N324" s="271"/>
      <c r="O324" s="224"/>
      <c r="P324" s="270">
        <f>P325</f>
        <v>2275</v>
      </c>
      <c r="Q324" s="271"/>
      <c r="R324" s="224"/>
      <c r="S324" s="270">
        <f>S325</f>
        <v>1958</v>
      </c>
      <c r="T324" s="271"/>
      <c r="U324" s="224"/>
      <c r="V324" s="270">
        <f>V325</f>
        <v>2275</v>
      </c>
      <c r="W324" s="271"/>
      <c r="X324" s="224"/>
      <c r="Y324" s="270">
        <f>Y325</f>
        <v>2160</v>
      </c>
      <c r="Z324" s="271"/>
      <c r="AA324" s="224"/>
      <c r="AB324" s="270">
        <f>AB325</f>
        <v>1958</v>
      </c>
      <c r="AC324" s="271"/>
      <c r="AD324" s="224"/>
      <c r="AE324" s="270">
        <f>AE325</f>
        <v>2319</v>
      </c>
      <c r="AF324" s="271"/>
      <c r="AG324" s="224"/>
      <c r="AH324" s="270">
        <f>AH325</f>
        <v>2226</v>
      </c>
      <c r="AI324" s="271"/>
      <c r="AJ324" s="224"/>
      <c r="AK324" s="270">
        <f>AK325</f>
        <v>3033</v>
      </c>
      <c r="AL324" s="271"/>
      <c r="AM324" s="224"/>
      <c r="AN324" s="270">
        <f>AN325</f>
        <v>2936</v>
      </c>
      <c r="AO324" s="271"/>
      <c r="AP324" s="224"/>
      <c r="AQ324" s="270">
        <f>AQ325</f>
        <v>3030</v>
      </c>
      <c r="AR324" s="271"/>
      <c r="AS324" s="224"/>
      <c r="AT324" s="270">
        <f>AT325</f>
        <v>28570</v>
      </c>
      <c r="AU324" s="271"/>
      <c r="AV324" s="229"/>
      <c r="AW324" s="226"/>
      <c r="AX324" s="230"/>
      <c r="AY324" s="231">
        <f>AY325</f>
        <v>35187.652044000002</v>
      </c>
      <c r="AZ324" s="322"/>
      <c r="BA324" s="322"/>
      <c r="BB324" s="322"/>
      <c r="BC324" s="322"/>
    </row>
    <row r="325" spans="1:55" s="6" customFormat="1">
      <c r="A325" s="179"/>
      <c r="B325" s="179"/>
      <c r="C325" s="179"/>
      <c r="D325" s="181">
        <v>370088</v>
      </c>
      <c r="E325" s="181"/>
      <c r="F325" s="181"/>
      <c r="G325" s="1110">
        <v>370088</v>
      </c>
      <c r="H325" s="137" t="s">
        <v>906</v>
      </c>
      <c r="I325" s="516" t="s">
        <v>364</v>
      </c>
      <c r="J325" s="238">
        <f>SUM(J326:J327)</f>
        <v>2272</v>
      </c>
      <c r="K325" s="283"/>
      <c r="L325" s="299"/>
      <c r="M325" s="314">
        <f>SUM(M326:M327)</f>
        <v>2128</v>
      </c>
      <c r="N325" s="283"/>
      <c r="O325" s="299"/>
      <c r="P325" s="314">
        <f>SUM(P326:P327)</f>
        <v>2275</v>
      </c>
      <c r="Q325" s="283"/>
      <c r="R325" s="299"/>
      <c r="S325" s="314">
        <f>SUM(S326:S327)</f>
        <v>1958</v>
      </c>
      <c r="T325" s="283"/>
      <c r="U325" s="299"/>
      <c r="V325" s="314">
        <f>SUM(V326:V327)</f>
        <v>2275</v>
      </c>
      <c r="W325" s="283"/>
      <c r="X325" s="299"/>
      <c r="Y325" s="314">
        <f>SUM(Y326:Y327)</f>
        <v>2160</v>
      </c>
      <c r="Z325" s="283"/>
      <c r="AA325" s="299"/>
      <c r="AB325" s="314">
        <f>SUM(AB326:AB327)</f>
        <v>1958</v>
      </c>
      <c r="AC325" s="283"/>
      <c r="AD325" s="299"/>
      <c r="AE325" s="314">
        <f>SUM(AE326:AE327)</f>
        <v>2319</v>
      </c>
      <c r="AF325" s="283"/>
      <c r="AG325" s="299"/>
      <c r="AH325" s="314">
        <f>SUM(AH326:AH327)</f>
        <v>2226</v>
      </c>
      <c r="AI325" s="283"/>
      <c r="AJ325" s="299"/>
      <c r="AK325" s="314">
        <f>SUM(AK326:AK327)</f>
        <v>3033</v>
      </c>
      <c r="AL325" s="283"/>
      <c r="AM325" s="299"/>
      <c r="AN325" s="314">
        <f>SUM(AN326:AN327)</f>
        <v>2936</v>
      </c>
      <c r="AO325" s="283"/>
      <c r="AP325" s="299"/>
      <c r="AQ325" s="314">
        <f>SUM(AQ326:AQ327)</f>
        <v>3030</v>
      </c>
      <c r="AR325" s="283"/>
      <c r="AS325" s="299"/>
      <c r="AT325" s="314">
        <f>SUM(AT326:AT327)</f>
        <v>28570</v>
      </c>
      <c r="AU325" s="283"/>
      <c r="AV325" s="284"/>
      <c r="AW325" s="285"/>
      <c r="AX325" s="321"/>
      <c r="AY325" s="888">
        <v>35187.652044000002</v>
      </c>
      <c r="AZ325" s="322"/>
      <c r="BA325" s="322"/>
      <c r="BB325" s="322"/>
      <c r="BC325" s="322"/>
    </row>
    <row r="326" spans="1:55" s="6" customFormat="1">
      <c r="A326" s="179"/>
      <c r="B326" s="179"/>
      <c r="C326" s="179"/>
      <c r="D326" s="181"/>
      <c r="E326" s="181"/>
      <c r="F326" s="181"/>
      <c r="G326" s="1110"/>
      <c r="H326" s="123" t="s">
        <v>906</v>
      </c>
      <c r="I326" s="123"/>
      <c r="J326" s="320">
        <f>АЭС!C19</f>
        <v>1514</v>
      </c>
      <c r="K326" s="246"/>
      <c r="L326" s="282"/>
      <c r="M326" s="320">
        <f>АЭС!D19</f>
        <v>1418</v>
      </c>
      <c r="N326" s="246"/>
      <c r="O326" s="282"/>
      <c r="P326" s="320">
        <f>АЭС!E19</f>
        <v>1516</v>
      </c>
      <c r="Q326" s="246"/>
      <c r="R326" s="282"/>
      <c r="S326" s="320">
        <f>АЭС!F19</f>
        <v>1468</v>
      </c>
      <c r="T326" s="246"/>
      <c r="U326" s="282"/>
      <c r="V326" s="320">
        <f>АЭС!G19</f>
        <v>1516</v>
      </c>
      <c r="W326" s="246"/>
      <c r="X326" s="282"/>
      <c r="Y326" s="320">
        <f>АЭС!H19</f>
        <v>1440</v>
      </c>
      <c r="Z326" s="246"/>
      <c r="AA326" s="282"/>
      <c r="AB326" s="320">
        <f>АЭС!I19</f>
        <v>1728</v>
      </c>
      <c r="AC326" s="246"/>
      <c r="AD326" s="282"/>
      <c r="AE326" s="320">
        <f>АЭС!J19</f>
        <v>2151</v>
      </c>
      <c r="AF326" s="246"/>
      <c r="AG326" s="282"/>
      <c r="AH326" s="320">
        <f>АЭС!K19</f>
        <v>1492</v>
      </c>
      <c r="AI326" s="246"/>
      <c r="AJ326" s="282"/>
      <c r="AK326" s="320">
        <f>АЭС!L19</f>
        <v>2274</v>
      </c>
      <c r="AL326" s="246"/>
      <c r="AM326" s="282"/>
      <c r="AN326" s="320">
        <f>АЭС!M19</f>
        <v>2202</v>
      </c>
      <c r="AO326" s="246"/>
      <c r="AP326" s="282"/>
      <c r="AQ326" s="320">
        <f>АЭС!N19</f>
        <v>2271</v>
      </c>
      <c r="AR326" s="283"/>
      <c r="AS326" s="299"/>
      <c r="AT326" s="320">
        <f t="shared" ref="AT326:AT334" si="12">J326+M326+P326+S326+V326+Y326+AB326+AE326+AH326+AK326+AN326+AQ326</f>
        <v>20990</v>
      </c>
      <c r="AU326" s="283"/>
      <c r="AV326" s="284"/>
      <c r="AW326" s="285"/>
      <c r="AX326" s="321"/>
      <c r="AY326" s="300"/>
      <c r="AZ326" s="322"/>
      <c r="BA326" s="322"/>
      <c r="BB326" s="322"/>
      <c r="BC326" s="322"/>
    </row>
    <row r="327" spans="1:55" s="6" customFormat="1">
      <c r="A327" s="179"/>
      <c r="B327" s="179"/>
      <c r="C327" s="179"/>
      <c r="D327" s="181"/>
      <c r="E327" s="181"/>
      <c r="F327" s="181"/>
      <c r="G327" s="1110"/>
      <c r="H327" s="123" t="s">
        <v>905</v>
      </c>
      <c r="I327" s="123"/>
      <c r="J327" s="320">
        <f>АЭС!C21</f>
        <v>758</v>
      </c>
      <c r="K327" s="246"/>
      <c r="L327" s="282"/>
      <c r="M327" s="320">
        <f>АЭС!D21</f>
        <v>710</v>
      </c>
      <c r="N327" s="246"/>
      <c r="O327" s="282"/>
      <c r="P327" s="320">
        <f>АЭС!E21</f>
        <v>759</v>
      </c>
      <c r="Q327" s="246"/>
      <c r="R327" s="282"/>
      <c r="S327" s="320">
        <f>АЭС!F21</f>
        <v>490</v>
      </c>
      <c r="T327" s="246"/>
      <c r="U327" s="282"/>
      <c r="V327" s="320">
        <f>АЭС!G21</f>
        <v>759</v>
      </c>
      <c r="W327" s="246"/>
      <c r="X327" s="282"/>
      <c r="Y327" s="320">
        <f>АЭС!H21</f>
        <v>720</v>
      </c>
      <c r="Z327" s="246"/>
      <c r="AA327" s="282"/>
      <c r="AB327" s="320">
        <f>АЭС!I21</f>
        <v>230</v>
      </c>
      <c r="AC327" s="246"/>
      <c r="AD327" s="282"/>
      <c r="AE327" s="320">
        <f>АЭС!J21</f>
        <v>168</v>
      </c>
      <c r="AF327" s="246"/>
      <c r="AG327" s="282"/>
      <c r="AH327" s="320">
        <f>АЭС!K21</f>
        <v>734</v>
      </c>
      <c r="AI327" s="246"/>
      <c r="AJ327" s="282"/>
      <c r="AK327" s="320">
        <f>АЭС!L21</f>
        <v>759</v>
      </c>
      <c r="AL327" s="246"/>
      <c r="AM327" s="282"/>
      <c r="AN327" s="320">
        <f>АЭС!M21</f>
        <v>734</v>
      </c>
      <c r="AO327" s="246"/>
      <c r="AP327" s="282"/>
      <c r="AQ327" s="320">
        <f>АЭС!N21</f>
        <v>759</v>
      </c>
      <c r="AR327" s="283"/>
      <c r="AS327" s="299"/>
      <c r="AT327" s="320">
        <f t="shared" si="12"/>
        <v>7580</v>
      </c>
      <c r="AU327" s="283"/>
      <c r="AV327" s="284"/>
      <c r="AW327" s="285"/>
      <c r="AX327" s="321"/>
      <c r="AY327" s="300"/>
      <c r="AZ327" s="322"/>
      <c r="BA327" s="322"/>
      <c r="BB327" s="322"/>
      <c r="BC327" s="322"/>
    </row>
    <row r="328" spans="1:55" s="6" customFormat="1">
      <c r="A328" s="179"/>
      <c r="B328" s="179"/>
      <c r="C328" s="179"/>
      <c r="D328" s="181">
        <v>310701</v>
      </c>
      <c r="E328" s="181"/>
      <c r="F328" s="181"/>
      <c r="G328" s="1110">
        <v>310701</v>
      </c>
      <c r="H328" s="123" t="s">
        <v>710</v>
      </c>
      <c r="I328" s="516" t="s">
        <v>364</v>
      </c>
      <c r="J328" s="244">
        <v>624.96</v>
      </c>
      <c r="K328" s="246"/>
      <c r="L328" s="282"/>
      <c r="M328" s="345">
        <f>564.48+30</f>
        <v>594.48</v>
      </c>
      <c r="N328" s="246"/>
      <c r="O328" s="282"/>
      <c r="P328" s="244">
        <v>535.67999999999995</v>
      </c>
      <c r="Q328" s="246"/>
      <c r="R328" s="282"/>
      <c r="S328" s="244">
        <v>518.4</v>
      </c>
      <c r="T328" s="246"/>
      <c r="U328" s="282"/>
      <c r="V328" s="244">
        <v>366.88099999999997</v>
      </c>
      <c r="W328" s="246"/>
      <c r="X328" s="282"/>
      <c r="Y328" s="244">
        <v>518.4</v>
      </c>
      <c r="Z328" s="246"/>
      <c r="AA328" s="282"/>
      <c r="AB328" s="345">
        <f>794.594+10</f>
        <v>804.59400000000005</v>
      </c>
      <c r="AC328" s="246"/>
      <c r="AD328" s="282"/>
      <c r="AE328" s="345">
        <f>828.857+20</f>
        <v>848.85699999999997</v>
      </c>
      <c r="AF328" s="246"/>
      <c r="AG328" s="282"/>
      <c r="AH328" s="345">
        <f>520.599+78.79</f>
        <v>599.38900000000001</v>
      </c>
      <c r="AI328" s="246"/>
      <c r="AJ328" s="282"/>
      <c r="AK328" s="320">
        <f>535.68-35</f>
        <v>500.67999999999995</v>
      </c>
      <c r="AL328" s="246"/>
      <c r="AM328" s="282"/>
      <c r="AN328" s="244">
        <v>604.79999999999995</v>
      </c>
      <c r="AO328" s="246"/>
      <c r="AP328" s="282"/>
      <c r="AQ328" s="244">
        <v>714.24</v>
      </c>
      <c r="AR328" s="283"/>
      <c r="AS328" s="299"/>
      <c r="AT328" s="244">
        <f t="shared" si="12"/>
        <v>7231.3610000000008</v>
      </c>
      <c r="AU328" s="283"/>
      <c r="AV328" s="284"/>
      <c r="AW328" s="285"/>
      <c r="AX328" s="321"/>
      <c r="AY328" s="435">
        <v>6748.3730400000004</v>
      </c>
      <c r="AZ328" s="322"/>
      <c r="BA328" s="322"/>
      <c r="BB328" s="322"/>
      <c r="BC328" s="322"/>
    </row>
    <row r="329" spans="1:55" s="6" customFormat="1">
      <c r="A329" s="179"/>
      <c r="B329" s="179"/>
      <c r="C329" s="179"/>
      <c r="D329" s="181">
        <v>310715</v>
      </c>
      <c r="E329" s="181"/>
      <c r="F329" s="181"/>
      <c r="G329" s="1110">
        <v>310715</v>
      </c>
      <c r="H329" s="123" t="s">
        <v>371</v>
      </c>
      <c r="I329" s="516" t="s">
        <v>364</v>
      </c>
      <c r="J329" s="244">
        <v>100</v>
      </c>
      <c r="K329" s="246"/>
      <c r="L329" s="282"/>
      <c r="M329" s="244">
        <v>93.3</v>
      </c>
      <c r="N329" s="246"/>
      <c r="O329" s="282"/>
      <c r="P329" s="244">
        <v>92.3</v>
      </c>
      <c r="Q329" s="246"/>
      <c r="R329" s="282"/>
      <c r="S329" s="244">
        <v>74.2</v>
      </c>
      <c r="T329" s="246"/>
      <c r="U329" s="282"/>
      <c r="V329" s="244">
        <v>43.9</v>
      </c>
      <c r="W329" s="246"/>
      <c r="X329" s="282"/>
      <c r="Y329" s="244">
        <v>18.5</v>
      </c>
      <c r="Z329" s="246"/>
      <c r="AA329" s="282"/>
      <c r="AB329" s="244">
        <v>34.299999999999997</v>
      </c>
      <c r="AC329" s="246"/>
      <c r="AD329" s="282"/>
      <c r="AE329" s="244">
        <v>34.299999999999997</v>
      </c>
      <c r="AF329" s="246"/>
      <c r="AG329" s="282"/>
      <c r="AH329" s="244">
        <v>36</v>
      </c>
      <c r="AI329" s="246"/>
      <c r="AJ329" s="282"/>
      <c r="AK329" s="244">
        <v>59.6</v>
      </c>
      <c r="AL329" s="246"/>
      <c r="AM329" s="282"/>
      <c r="AN329" s="244">
        <v>80.64</v>
      </c>
      <c r="AO329" s="246"/>
      <c r="AP329" s="282"/>
      <c r="AQ329" s="244">
        <v>98.21</v>
      </c>
      <c r="AR329" s="283"/>
      <c r="AS329" s="299"/>
      <c r="AT329" s="244">
        <f t="shared" si="12"/>
        <v>765.25</v>
      </c>
      <c r="AU329" s="283"/>
      <c r="AV329" s="284"/>
      <c r="AW329" s="285"/>
      <c r="AX329" s="321"/>
      <c r="AY329" s="435">
        <v>714.67800299999999</v>
      </c>
      <c r="AZ329" s="322"/>
      <c r="BA329" s="322"/>
      <c r="BB329" s="322"/>
      <c r="BC329" s="322"/>
    </row>
    <row r="330" spans="1:55" s="6" customFormat="1">
      <c r="A330" s="179"/>
      <c r="B330" s="179"/>
      <c r="C330" s="179"/>
      <c r="D330" s="181">
        <v>310710</v>
      </c>
      <c r="E330" s="181"/>
      <c r="F330" s="181"/>
      <c r="G330" s="1110">
        <v>310710</v>
      </c>
      <c r="H330" s="123" t="s">
        <v>372</v>
      </c>
      <c r="I330" s="516" t="s">
        <v>364</v>
      </c>
      <c r="J330" s="244">
        <v>51.34</v>
      </c>
      <c r="K330" s="246"/>
      <c r="L330" s="282"/>
      <c r="M330" s="244">
        <v>47.4</v>
      </c>
      <c r="N330" s="246"/>
      <c r="O330" s="282"/>
      <c r="P330" s="244">
        <v>48.5</v>
      </c>
      <c r="Q330" s="246"/>
      <c r="R330" s="282"/>
      <c r="S330" s="244">
        <v>38.159999999999997</v>
      </c>
      <c r="T330" s="246"/>
      <c r="U330" s="282"/>
      <c r="V330" s="244">
        <v>17.11</v>
      </c>
      <c r="W330" s="246"/>
      <c r="X330" s="282"/>
      <c r="Y330" s="244">
        <v>11.52</v>
      </c>
      <c r="Z330" s="246"/>
      <c r="AA330" s="282"/>
      <c r="AB330" s="244">
        <v>7.06</v>
      </c>
      <c r="AC330" s="246"/>
      <c r="AD330" s="282"/>
      <c r="AE330" s="244">
        <v>12.65</v>
      </c>
      <c r="AF330" s="246"/>
      <c r="AG330" s="282"/>
      <c r="AH330" s="244">
        <v>18</v>
      </c>
      <c r="AI330" s="246"/>
      <c r="AJ330" s="282"/>
      <c r="AK330" s="244">
        <v>30.5</v>
      </c>
      <c r="AL330" s="246"/>
      <c r="AM330" s="282"/>
      <c r="AN330" s="244">
        <v>40.32</v>
      </c>
      <c r="AO330" s="246"/>
      <c r="AP330" s="282"/>
      <c r="AQ330" s="244">
        <v>50.59</v>
      </c>
      <c r="AR330" s="283"/>
      <c r="AS330" s="299"/>
      <c r="AT330" s="244">
        <f t="shared" si="12"/>
        <v>373.15</v>
      </c>
      <c r="AU330" s="283"/>
      <c r="AV330" s="284"/>
      <c r="AW330" s="285"/>
      <c r="AX330" s="321"/>
      <c r="AY330" s="435">
        <v>383.28973500000001</v>
      </c>
      <c r="AZ330" s="322"/>
      <c r="BA330" s="322"/>
      <c r="BB330" s="322"/>
      <c r="BC330" s="322"/>
    </row>
    <row r="331" spans="1:55">
      <c r="B331" s="179"/>
      <c r="C331" s="179"/>
      <c r="D331" s="181">
        <v>310711</v>
      </c>
      <c r="E331" s="181"/>
      <c r="F331" s="181"/>
      <c r="G331" s="1110">
        <v>310711</v>
      </c>
      <c r="H331" s="123" t="s">
        <v>373</v>
      </c>
      <c r="I331" s="516" t="s">
        <v>364</v>
      </c>
      <c r="J331" s="244">
        <v>5.73</v>
      </c>
      <c r="K331" s="246"/>
      <c r="L331" s="282"/>
      <c r="M331" s="244">
        <v>4.5199999999999996</v>
      </c>
      <c r="N331" s="246"/>
      <c r="O331" s="282"/>
      <c r="P331" s="244">
        <v>4.2408000000000001</v>
      </c>
      <c r="Q331" s="246"/>
      <c r="R331" s="282"/>
      <c r="S331" s="244">
        <v>2.9519999999999995</v>
      </c>
      <c r="T331" s="246"/>
      <c r="U331" s="282"/>
      <c r="V331" s="244">
        <v>0</v>
      </c>
      <c r="W331" s="246"/>
      <c r="X331" s="282"/>
      <c r="Y331" s="244">
        <v>0</v>
      </c>
      <c r="Z331" s="246"/>
      <c r="AA331" s="282"/>
      <c r="AB331" s="244">
        <v>0</v>
      </c>
      <c r="AC331" s="246"/>
      <c r="AD331" s="282"/>
      <c r="AE331" s="244">
        <v>0</v>
      </c>
      <c r="AF331" s="246"/>
      <c r="AG331" s="282"/>
      <c r="AH331" s="244">
        <v>0</v>
      </c>
      <c r="AI331" s="246"/>
      <c r="AJ331" s="282"/>
      <c r="AK331" s="244">
        <v>1.3057200000000004</v>
      </c>
      <c r="AL331" s="246"/>
      <c r="AM331" s="282"/>
      <c r="AN331" s="244">
        <v>3.6</v>
      </c>
      <c r="AO331" s="246"/>
      <c r="AP331" s="282"/>
      <c r="AQ331" s="244">
        <v>4.54</v>
      </c>
      <c r="AR331" s="283"/>
      <c r="AS331" s="299"/>
      <c r="AT331" s="244">
        <f t="shared" si="12"/>
        <v>26.88852</v>
      </c>
      <c r="AU331" s="283"/>
      <c r="AV331" s="284"/>
      <c r="AW331" s="285"/>
      <c r="AX331" s="321"/>
      <c r="AY331" s="435">
        <v>29.708532000000002</v>
      </c>
      <c r="AZ331" s="261"/>
      <c r="BA331" s="261"/>
      <c r="BB331" s="261"/>
      <c r="BC331" s="261"/>
    </row>
    <row r="332" spans="1:55">
      <c r="B332" s="179"/>
      <c r="C332" s="179"/>
      <c r="D332" s="181">
        <v>310713</v>
      </c>
      <c r="E332" s="181"/>
      <c r="F332" s="181"/>
      <c r="G332" s="1110">
        <v>310713</v>
      </c>
      <c r="H332" s="123" t="s">
        <v>374</v>
      </c>
      <c r="I332" s="519" t="s">
        <v>365</v>
      </c>
      <c r="J332" s="244">
        <v>3.1248</v>
      </c>
      <c r="K332" s="246"/>
      <c r="L332" s="282"/>
      <c r="M332" s="244">
        <v>2.9399000000000002</v>
      </c>
      <c r="N332" s="246"/>
      <c r="O332" s="282"/>
      <c r="P332" s="244">
        <v>3.1143999999999998</v>
      </c>
      <c r="Q332" s="246"/>
      <c r="R332" s="282"/>
      <c r="S332" s="244">
        <v>2.88</v>
      </c>
      <c r="T332" s="246"/>
      <c r="U332" s="282"/>
      <c r="V332" s="244">
        <v>0.93720000000000003</v>
      </c>
      <c r="W332" s="246"/>
      <c r="X332" s="282"/>
      <c r="Y332" s="244">
        <v>0</v>
      </c>
      <c r="Z332" s="246"/>
      <c r="AA332" s="282"/>
      <c r="AB332" s="244">
        <v>0</v>
      </c>
      <c r="AC332" s="246"/>
      <c r="AD332" s="282"/>
      <c r="AE332" s="244">
        <v>0</v>
      </c>
      <c r="AF332" s="246"/>
      <c r="AG332" s="282"/>
      <c r="AH332" s="244">
        <v>0</v>
      </c>
      <c r="AI332" s="246"/>
      <c r="AJ332" s="282"/>
      <c r="AK332" s="244">
        <v>1.3758999999999999</v>
      </c>
      <c r="AL332" s="246"/>
      <c r="AM332" s="282"/>
      <c r="AN332" s="244">
        <v>2.7820999999999998</v>
      </c>
      <c r="AO332" s="246"/>
      <c r="AP332" s="282"/>
      <c r="AQ332" s="244">
        <v>3.1522999999999999</v>
      </c>
      <c r="AR332" s="246"/>
      <c r="AS332" s="282"/>
      <c r="AT332" s="244">
        <f t="shared" si="12"/>
        <v>20.3066</v>
      </c>
      <c r="AU332" s="246"/>
      <c r="AV332" s="336"/>
      <c r="AW332" s="285"/>
      <c r="AX332" s="337"/>
      <c r="AY332" s="438">
        <v>20.961600000000001</v>
      </c>
      <c r="AZ332" s="261"/>
      <c r="BA332" s="261"/>
      <c r="BB332" s="261"/>
      <c r="BC332" s="261"/>
    </row>
    <row r="333" spans="1:55">
      <c r="B333" s="179"/>
      <c r="C333" s="179"/>
      <c r="D333" s="181">
        <v>310749</v>
      </c>
      <c r="E333" s="181"/>
      <c r="F333" s="181"/>
      <c r="G333" s="1211">
        <v>777364</v>
      </c>
      <c r="H333" s="123" t="s">
        <v>375</v>
      </c>
      <c r="I333" s="519" t="s">
        <v>365</v>
      </c>
      <c r="J333" s="587">
        <v>0.59</v>
      </c>
      <c r="K333" s="246"/>
      <c r="L333" s="282"/>
      <c r="M333" s="587">
        <v>0.42</v>
      </c>
      <c r="N333" s="246"/>
      <c r="O333" s="282"/>
      <c r="P333" s="587">
        <v>0.38</v>
      </c>
      <c r="Q333" s="246"/>
      <c r="R333" s="282"/>
      <c r="S333" s="587">
        <v>0.64</v>
      </c>
      <c r="T333" s="246"/>
      <c r="U333" s="282"/>
      <c r="V333" s="587">
        <v>0.9</v>
      </c>
      <c r="W333" s="246"/>
      <c r="X333" s="282"/>
      <c r="Y333" s="587">
        <v>0.78</v>
      </c>
      <c r="Z333" s="246"/>
      <c r="AA333" s="282"/>
      <c r="AB333" s="587">
        <v>0.69</v>
      </c>
      <c r="AC333" s="246"/>
      <c r="AD333" s="282"/>
      <c r="AE333" s="587">
        <v>0.86</v>
      </c>
      <c r="AF333" s="246"/>
      <c r="AG333" s="282"/>
      <c r="AH333" s="587">
        <v>0.63</v>
      </c>
      <c r="AI333" s="246"/>
      <c r="AJ333" s="282"/>
      <c r="AK333" s="587">
        <v>0.76</v>
      </c>
      <c r="AL333" s="246"/>
      <c r="AM333" s="282"/>
      <c r="AN333" s="587">
        <v>0.78</v>
      </c>
      <c r="AO333" s="246"/>
      <c r="AP333" s="282"/>
      <c r="AQ333" s="587">
        <v>0.54</v>
      </c>
      <c r="AR333" s="246"/>
      <c r="AS333" s="282"/>
      <c r="AT333" s="587">
        <f t="shared" si="12"/>
        <v>7.9700000000000006</v>
      </c>
      <c r="AU333" s="246"/>
      <c r="AV333" s="336"/>
      <c r="AW333" s="285"/>
      <c r="AX333" s="337"/>
      <c r="AY333" s="1249">
        <v>6.3815660000000003</v>
      </c>
      <c r="AZ333" s="261"/>
      <c r="BA333" s="261"/>
      <c r="BB333" s="261"/>
      <c r="BC333" s="261"/>
    </row>
    <row r="334" spans="1:55">
      <c r="B334" s="179"/>
      <c r="C334" s="179"/>
      <c r="D334" s="181"/>
      <c r="E334" s="181"/>
      <c r="F334" s="181"/>
      <c r="G334" s="1211">
        <v>777365</v>
      </c>
      <c r="H334" s="172" t="s">
        <v>1267</v>
      </c>
      <c r="I334" s="519" t="s">
        <v>365</v>
      </c>
      <c r="J334" s="587">
        <v>0.11</v>
      </c>
      <c r="K334" s="246"/>
      <c r="L334" s="282"/>
      <c r="M334" s="587">
        <v>0.08</v>
      </c>
      <c r="N334" s="246"/>
      <c r="O334" s="282"/>
      <c r="P334" s="587">
        <v>5.5E-2</v>
      </c>
      <c r="Q334" s="246"/>
      <c r="R334" s="282"/>
      <c r="S334" s="587">
        <v>0.08</v>
      </c>
      <c r="T334" s="246"/>
      <c r="U334" s="282"/>
      <c r="V334" s="587">
        <v>0.11</v>
      </c>
      <c r="W334" s="246"/>
      <c r="X334" s="282"/>
      <c r="Y334" s="587">
        <v>0.1</v>
      </c>
      <c r="Z334" s="246"/>
      <c r="AA334" s="282"/>
      <c r="AB334" s="587">
        <v>0.11</v>
      </c>
      <c r="AC334" s="246"/>
      <c r="AD334" s="282"/>
      <c r="AE334" s="587">
        <v>0.12</v>
      </c>
      <c r="AF334" s="246"/>
      <c r="AG334" s="282"/>
      <c r="AH334" s="587">
        <v>0.1</v>
      </c>
      <c r="AI334" s="246"/>
      <c r="AJ334" s="282"/>
      <c r="AK334" s="587">
        <v>0.11</v>
      </c>
      <c r="AL334" s="246"/>
      <c r="AM334" s="282"/>
      <c r="AN334" s="587">
        <v>0.1</v>
      </c>
      <c r="AO334" s="246"/>
      <c r="AP334" s="282"/>
      <c r="AQ334" s="587">
        <v>0.1</v>
      </c>
      <c r="AR334" s="246"/>
      <c r="AS334" s="282"/>
      <c r="AT334" s="587">
        <f t="shared" si="12"/>
        <v>1.175</v>
      </c>
      <c r="AU334" s="246"/>
      <c r="AV334" s="336"/>
      <c r="AW334" s="285"/>
      <c r="AX334" s="337"/>
      <c r="AY334" s="1249"/>
      <c r="AZ334" s="261"/>
      <c r="BA334" s="261"/>
      <c r="BB334" s="261"/>
      <c r="BC334" s="261"/>
    </row>
    <row r="335" spans="1:55" ht="18.75">
      <c r="B335" s="179"/>
      <c r="C335" s="179"/>
      <c r="D335" s="181">
        <v>310200</v>
      </c>
      <c r="E335" s="181"/>
      <c r="F335" s="181"/>
      <c r="G335" s="181">
        <v>310200</v>
      </c>
      <c r="H335" s="471" t="s">
        <v>1584</v>
      </c>
      <c r="I335" s="471"/>
      <c r="J335" s="277">
        <f>SUM(J336:J337)</f>
        <v>614.55600000000004</v>
      </c>
      <c r="K335" s="275">
        <f>L335-J335</f>
        <v>361.49474026382711</v>
      </c>
      <c r="L335" s="276">
        <f>Потребление!D27</f>
        <v>976.05074026382715</v>
      </c>
      <c r="M335" s="274">
        <f>SUM(M336:M337)</f>
        <v>565.79000000000008</v>
      </c>
      <c r="N335" s="275">
        <f>O335-M335</f>
        <v>374.45357259979994</v>
      </c>
      <c r="O335" s="276">
        <f>Потребление!E27</f>
        <v>940.24357259980002</v>
      </c>
      <c r="P335" s="274">
        <f>SUM(P336:P337)</f>
        <v>595.298</v>
      </c>
      <c r="Q335" s="275">
        <f>R335-P335</f>
        <v>354.98749465835635</v>
      </c>
      <c r="R335" s="276">
        <f>Потребление!F27</f>
        <v>950.28549465835636</v>
      </c>
      <c r="S335" s="274">
        <f>SUM(S336:S337)</f>
        <v>510.48599999999999</v>
      </c>
      <c r="T335" s="275">
        <f>U335-S335</f>
        <v>318.50528358407007</v>
      </c>
      <c r="U335" s="276">
        <f>Потребление!G27</f>
        <v>828.99128358407006</v>
      </c>
      <c r="V335" s="274">
        <f>SUM(V336:V337)</f>
        <v>426.43560000000002</v>
      </c>
      <c r="W335" s="275">
        <f>X335-V335</f>
        <v>335.73809817103347</v>
      </c>
      <c r="X335" s="276">
        <f>Потребление!H27</f>
        <v>762.17369817103349</v>
      </c>
      <c r="Y335" s="274">
        <f>SUM(Y336:Y337)</f>
        <v>313.57000000000005</v>
      </c>
      <c r="Z335" s="275">
        <f>AA335-Y335</f>
        <v>415.61062150694374</v>
      </c>
      <c r="AA335" s="276">
        <f>Потребление!I27</f>
        <v>729.18062150694379</v>
      </c>
      <c r="AB335" s="274">
        <f>SUM(AB336:AB337)</f>
        <v>357.42959999999999</v>
      </c>
      <c r="AC335" s="275">
        <f>AD335-AB335</f>
        <v>399.54830438967218</v>
      </c>
      <c r="AD335" s="276">
        <f>Потребление!J27</f>
        <v>756.97790438967218</v>
      </c>
      <c r="AE335" s="274">
        <f>SUM(AE336:AE337)</f>
        <v>441.00839999999999</v>
      </c>
      <c r="AF335" s="275">
        <f>AG335-AE335</f>
        <v>321.19541047788078</v>
      </c>
      <c r="AG335" s="276">
        <f>Потребление!K27</f>
        <v>762.20381047788078</v>
      </c>
      <c r="AH335" s="274">
        <f>SUM(AH336:AH337)</f>
        <v>465.68359999999996</v>
      </c>
      <c r="AI335" s="275">
        <f>AJ335-AH335</f>
        <v>349.86754048909893</v>
      </c>
      <c r="AJ335" s="276">
        <f>Потребление!L27</f>
        <v>815.55114048909888</v>
      </c>
      <c r="AK335" s="274">
        <f>SUM(AK336:AK337)</f>
        <v>493.70959999999997</v>
      </c>
      <c r="AL335" s="275">
        <f>AM335-AK335</f>
        <v>437.55025681948683</v>
      </c>
      <c r="AM335" s="276">
        <f>Потребление!M27</f>
        <v>931.2598568194868</v>
      </c>
      <c r="AN335" s="274">
        <f>SUM(AN336:AN337)</f>
        <v>571.35400000000004</v>
      </c>
      <c r="AO335" s="275">
        <f>AP335-AN335</f>
        <v>392.68747836402974</v>
      </c>
      <c r="AP335" s="276">
        <f>Потребление!N27</f>
        <v>964.04147836402979</v>
      </c>
      <c r="AQ335" s="274">
        <f>SUM(AQ336:AQ337)</f>
        <v>612.44399999999996</v>
      </c>
      <c r="AR335" s="275">
        <f>AS335-AQ335</f>
        <v>430.89639867579808</v>
      </c>
      <c r="AS335" s="276">
        <f>Потребление!O27</f>
        <v>1043.340398675798</v>
      </c>
      <c r="AT335" s="274">
        <f>SUM(AT336:AT337)</f>
        <v>5967.7647999999999</v>
      </c>
      <c r="AU335" s="275">
        <f>AV335-AT335</f>
        <v>4492.5351999999975</v>
      </c>
      <c r="AV335" s="278">
        <f>L335+O335+R335+U335+X335+AA335+AD335+AG335+AJ335+AM335+AP335+AS335</f>
        <v>10460.299999999997</v>
      </c>
      <c r="AW335" s="279"/>
      <c r="AX335" s="1067">
        <v>10022.9648849</v>
      </c>
      <c r="AY335" s="298">
        <f>AY336+AY337</f>
        <v>5014.4263049000001</v>
      </c>
      <c r="AZ335" s="261"/>
      <c r="BA335" s="261"/>
      <c r="BB335" s="261"/>
      <c r="BC335" s="261"/>
    </row>
    <row r="336" spans="1:55">
      <c r="B336" s="179"/>
      <c r="C336" s="179"/>
      <c r="D336" s="181"/>
      <c r="E336" s="181"/>
      <c r="F336" s="181"/>
      <c r="G336" s="181"/>
      <c r="H336" s="10" t="s">
        <v>173</v>
      </c>
      <c r="I336" s="10"/>
      <c r="J336" s="223">
        <f>J338+J339+J342+J345+J346+J349</f>
        <v>557.36599999999999</v>
      </c>
      <c r="K336" s="271"/>
      <c r="L336" s="224"/>
      <c r="M336" s="270">
        <f>M338+M339+M342+M345+M346+M349</f>
        <v>513.69000000000005</v>
      </c>
      <c r="N336" s="271"/>
      <c r="O336" s="224"/>
      <c r="P336" s="270">
        <f>P338+P339+P342+P345+P346+P349</f>
        <v>537.88800000000003</v>
      </c>
      <c r="Q336" s="271"/>
      <c r="R336" s="224"/>
      <c r="S336" s="270">
        <f>S338+S339+S342+S345+S346+S349</f>
        <v>458.06599999999997</v>
      </c>
      <c r="T336" s="271"/>
      <c r="U336" s="224"/>
      <c r="V336" s="270">
        <f>V338+V339+V342+V345+V346+V349</f>
        <v>383.0856</v>
      </c>
      <c r="W336" s="271"/>
      <c r="X336" s="224"/>
      <c r="Y336" s="270">
        <f>Y338+Y339+Y342+Y345+Y346+Y349</f>
        <v>266.09000000000003</v>
      </c>
      <c r="Z336" s="271"/>
      <c r="AA336" s="224"/>
      <c r="AB336" s="270">
        <f>AB338+AB339+AB342+AB345+AB346+AB349</f>
        <v>313.78960000000001</v>
      </c>
      <c r="AC336" s="271"/>
      <c r="AD336" s="224"/>
      <c r="AE336" s="270">
        <f>AE338+AE339+AE342+AE345+AE346+AE349</f>
        <v>390.46839999999997</v>
      </c>
      <c r="AF336" s="271"/>
      <c r="AG336" s="224"/>
      <c r="AH336" s="270">
        <f>AH338+AH339+AH342+AH345+AH346+AH349</f>
        <v>415.65359999999998</v>
      </c>
      <c r="AI336" s="271"/>
      <c r="AJ336" s="224"/>
      <c r="AK336" s="270">
        <f>AK338+AK339+AK342+AK345+AK346+AK349</f>
        <v>439.88959999999997</v>
      </c>
      <c r="AL336" s="271"/>
      <c r="AM336" s="224"/>
      <c r="AN336" s="270">
        <f>AN338+AN339+AN342+AN345+AN346+AN349</f>
        <v>517.55400000000009</v>
      </c>
      <c r="AO336" s="271"/>
      <c r="AP336" s="224"/>
      <c r="AQ336" s="270">
        <f>AQ338+AQ339+AQ342+AQ345+AQ346+AQ349</f>
        <v>555.774</v>
      </c>
      <c r="AR336" s="271"/>
      <c r="AS336" s="224"/>
      <c r="AT336" s="270">
        <f>AT338+AT339+AT342+AT345+AT346+AT349</f>
        <v>5349.3148000000001</v>
      </c>
      <c r="AU336" s="271"/>
      <c r="AV336" s="229"/>
      <c r="AW336" s="226"/>
      <c r="AX336" s="230"/>
      <c r="AY336" s="231">
        <f>SUM(AY338:AY349)</f>
        <v>4356.7644450999996</v>
      </c>
      <c r="AZ336" s="261"/>
      <c r="BA336" s="261"/>
      <c r="BB336" s="261"/>
      <c r="BC336" s="261"/>
    </row>
    <row r="337" spans="1:55">
      <c r="B337" s="179"/>
      <c r="C337" s="179"/>
      <c r="D337" s="181"/>
      <c r="E337" s="181"/>
      <c r="F337" s="181"/>
      <c r="G337" s="181"/>
      <c r="H337" s="10" t="s">
        <v>99</v>
      </c>
      <c r="I337" s="10"/>
      <c r="J337" s="223">
        <f>J350</f>
        <v>57.19</v>
      </c>
      <c r="K337" s="271"/>
      <c r="L337" s="224"/>
      <c r="M337" s="270">
        <f>M350</f>
        <v>52.1</v>
      </c>
      <c r="N337" s="271"/>
      <c r="O337" s="224"/>
      <c r="P337" s="270">
        <f>P350</f>
        <v>57.41</v>
      </c>
      <c r="Q337" s="271"/>
      <c r="R337" s="224"/>
      <c r="S337" s="270">
        <f>S350</f>
        <v>52.42</v>
      </c>
      <c r="T337" s="271"/>
      <c r="U337" s="224"/>
      <c r="V337" s="270">
        <f>V350</f>
        <v>43.349999999999994</v>
      </c>
      <c r="W337" s="271"/>
      <c r="X337" s="224"/>
      <c r="Y337" s="270">
        <f>Y350</f>
        <v>47.480000000000004</v>
      </c>
      <c r="Z337" s="271"/>
      <c r="AA337" s="224"/>
      <c r="AB337" s="270">
        <f>AB350</f>
        <v>43.64</v>
      </c>
      <c r="AC337" s="271"/>
      <c r="AD337" s="224"/>
      <c r="AE337" s="270">
        <f>AE350</f>
        <v>50.54</v>
      </c>
      <c r="AF337" s="271"/>
      <c r="AG337" s="224"/>
      <c r="AH337" s="270">
        <f>AH350</f>
        <v>50.03</v>
      </c>
      <c r="AI337" s="271"/>
      <c r="AJ337" s="224"/>
      <c r="AK337" s="270">
        <f>AK350</f>
        <v>53.82</v>
      </c>
      <c r="AL337" s="271"/>
      <c r="AM337" s="224"/>
      <c r="AN337" s="270">
        <f>AN350</f>
        <v>53.8</v>
      </c>
      <c r="AO337" s="271"/>
      <c r="AP337" s="224"/>
      <c r="AQ337" s="270">
        <f>AQ350</f>
        <v>56.67</v>
      </c>
      <c r="AR337" s="271"/>
      <c r="AS337" s="224"/>
      <c r="AT337" s="270">
        <f>AT350</f>
        <v>618.45000000000005</v>
      </c>
      <c r="AU337" s="271"/>
      <c r="AV337" s="229"/>
      <c r="AW337" s="226"/>
      <c r="AX337" s="230"/>
      <c r="AY337" s="231">
        <f>AY350</f>
        <v>657.6618598</v>
      </c>
      <c r="AZ337" s="261"/>
      <c r="BA337" s="261"/>
      <c r="BB337" s="261"/>
      <c r="BC337" s="261"/>
    </row>
    <row r="338" spans="1:55">
      <c r="B338" s="179"/>
      <c r="C338" s="179"/>
      <c r="D338" s="181">
        <v>310202</v>
      </c>
      <c r="E338" s="181"/>
      <c r="F338" s="181"/>
      <c r="G338" s="1110">
        <v>310202</v>
      </c>
      <c r="H338" s="123" t="s">
        <v>376</v>
      </c>
      <c r="I338" s="699" t="s">
        <v>364</v>
      </c>
      <c r="J338" s="244">
        <v>78.64</v>
      </c>
      <c r="K338" s="246"/>
      <c r="L338" s="282"/>
      <c r="M338" s="244">
        <v>74.180000000000007</v>
      </c>
      <c r="N338" s="246"/>
      <c r="O338" s="282"/>
      <c r="P338" s="244">
        <v>77.459999999999994</v>
      </c>
      <c r="Q338" s="246"/>
      <c r="R338" s="282"/>
      <c r="S338" s="244">
        <v>74.239999999999995</v>
      </c>
      <c r="T338" s="246"/>
      <c r="U338" s="282"/>
      <c r="V338" s="244">
        <v>77.38</v>
      </c>
      <c r="W338" s="246"/>
      <c r="X338" s="282"/>
      <c r="Y338" s="244">
        <v>73.67</v>
      </c>
      <c r="Z338" s="246"/>
      <c r="AA338" s="282"/>
      <c r="AB338" s="244">
        <v>77.040000000000006</v>
      </c>
      <c r="AC338" s="246"/>
      <c r="AD338" s="282"/>
      <c r="AE338" s="244">
        <v>78.52</v>
      </c>
      <c r="AF338" s="246"/>
      <c r="AG338" s="282"/>
      <c r="AH338" s="244">
        <v>76.45</v>
      </c>
      <c r="AI338" s="246"/>
      <c r="AJ338" s="282"/>
      <c r="AK338" s="244">
        <v>77.23</v>
      </c>
      <c r="AL338" s="246"/>
      <c r="AM338" s="282"/>
      <c r="AN338" s="244">
        <v>77.540000000000006</v>
      </c>
      <c r="AO338" s="246"/>
      <c r="AP338" s="282"/>
      <c r="AQ338" s="244">
        <v>78.12</v>
      </c>
      <c r="AR338" s="246"/>
      <c r="AS338" s="282"/>
      <c r="AT338" s="244">
        <f t="shared" ref="AT338:AT353" si="13">J338+M338+P338+S338+V338+Y338+AB338+AE338+AH338+AK338+AN338+AQ338</f>
        <v>920.47</v>
      </c>
      <c r="AU338" s="246"/>
      <c r="AV338" s="336"/>
      <c r="AW338" s="285"/>
      <c r="AX338" s="337"/>
      <c r="AY338" s="438">
        <v>122.36703</v>
      </c>
      <c r="AZ338" s="261"/>
      <c r="BA338" s="261"/>
      <c r="BB338" s="261"/>
      <c r="BC338" s="261"/>
    </row>
    <row r="339" spans="1:55">
      <c r="B339" s="179"/>
      <c r="C339" s="179"/>
      <c r="D339" s="181">
        <v>310226</v>
      </c>
      <c r="E339" s="181"/>
      <c r="F339" s="181"/>
      <c r="G339" s="1110">
        <v>310226</v>
      </c>
      <c r="H339" s="137" t="s">
        <v>542</v>
      </c>
      <c r="I339" s="516" t="s">
        <v>364</v>
      </c>
      <c r="J339" s="238">
        <f>SUM(J340:J341)</f>
        <v>132.45599999999999</v>
      </c>
      <c r="K339" s="283"/>
      <c r="L339" s="299"/>
      <c r="M339" s="314">
        <f>SUM(M340:M341)</f>
        <v>124.99199999999999</v>
      </c>
      <c r="N339" s="283"/>
      <c r="O339" s="299"/>
      <c r="P339" s="314">
        <f>SUM(P340:P341)</f>
        <v>121.536</v>
      </c>
      <c r="Q339" s="283"/>
      <c r="R339" s="299"/>
      <c r="S339" s="314">
        <f>SUM(S340:S341)</f>
        <v>118.8</v>
      </c>
      <c r="T339" s="283"/>
      <c r="U339" s="299"/>
      <c r="V339" s="314">
        <f>SUM(V340:V341)</f>
        <v>69.936000000000007</v>
      </c>
      <c r="W339" s="283"/>
      <c r="X339" s="299"/>
      <c r="Y339" s="314">
        <f>SUM(Y340:Y341)</f>
        <v>0</v>
      </c>
      <c r="Z339" s="283"/>
      <c r="AA339" s="299"/>
      <c r="AB339" s="314">
        <f>SUM(AB340:AB341)</f>
        <v>0</v>
      </c>
      <c r="AC339" s="283"/>
      <c r="AD339" s="299"/>
      <c r="AE339" s="314">
        <f>SUM(AE340:AE341)</f>
        <v>69.936000000000007</v>
      </c>
      <c r="AF339" s="283"/>
      <c r="AG339" s="299"/>
      <c r="AH339" s="314">
        <f>SUM(AH340:AH341)</f>
        <v>110.66</v>
      </c>
      <c r="AI339" s="283"/>
      <c r="AJ339" s="299"/>
      <c r="AK339" s="314">
        <f>SUM(AK340:AK341)</f>
        <v>126.23</v>
      </c>
      <c r="AL339" s="283"/>
      <c r="AM339" s="299"/>
      <c r="AN339" s="314">
        <f>SUM(AN340:AN341)</f>
        <v>115.08999999999999</v>
      </c>
      <c r="AO339" s="283"/>
      <c r="AP339" s="299"/>
      <c r="AQ339" s="314">
        <f>SUM(AQ340:AQ341)</f>
        <v>133.92000000000002</v>
      </c>
      <c r="AR339" s="283"/>
      <c r="AS339" s="299"/>
      <c r="AT339" s="314">
        <f>SUM(AT340:AT341)</f>
        <v>1123.5559999999998</v>
      </c>
      <c r="AU339" s="283"/>
      <c r="AV339" s="284"/>
      <c r="AW339" s="285"/>
      <c r="AX339" s="321"/>
      <c r="AY339" s="888">
        <v>1231.2787290000001</v>
      </c>
      <c r="AZ339" s="261"/>
      <c r="BA339" s="261"/>
      <c r="BB339" s="261"/>
      <c r="BC339" s="261"/>
    </row>
    <row r="340" spans="1:55" ht="15" customHeight="1">
      <c r="B340" s="179"/>
      <c r="C340" s="179"/>
      <c r="D340" s="181"/>
      <c r="E340" s="181"/>
      <c r="F340" s="181"/>
      <c r="G340" s="1110"/>
      <c r="H340" s="123" t="s">
        <v>542</v>
      </c>
      <c r="I340" s="123"/>
      <c r="J340" s="244">
        <v>14.135999999999999</v>
      </c>
      <c r="K340" s="246"/>
      <c r="L340" s="282"/>
      <c r="M340" s="244">
        <v>10.752000000000001</v>
      </c>
      <c r="N340" s="246"/>
      <c r="O340" s="282"/>
      <c r="P340" s="244">
        <v>6.6959999999999997</v>
      </c>
      <c r="Q340" s="246"/>
      <c r="R340" s="282"/>
      <c r="S340" s="244">
        <v>0</v>
      </c>
      <c r="T340" s="246"/>
      <c r="U340" s="282"/>
      <c r="V340" s="244">
        <v>0</v>
      </c>
      <c r="W340" s="246"/>
      <c r="X340" s="282"/>
      <c r="Y340" s="244">
        <v>0</v>
      </c>
      <c r="Z340" s="246"/>
      <c r="AA340" s="282"/>
      <c r="AB340" s="244">
        <v>0</v>
      </c>
      <c r="AC340" s="246"/>
      <c r="AD340" s="282"/>
      <c r="AE340" s="244">
        <v>0</v>
      </c>
      <c r="AF340" s="246"/>
      <c r="AG340" s="282"/>
      <c r="AH340" s="244">
        <v>0</v>
      </c>
      <c r="AI340" s="246"/>
      <c r="AJ340" s="282"/>
      <c r="AK340" s="244">
        <v>3.47</v>
      </c>
      <c r="AL340" s="246"/>
      <c r="AM340" s="282"/>
      <c r="AN340" s="244">
        <v>4.21</v>
      </c>
      <c r="AO340" s="246"/>
      <c r="AP340" s="282"/>
      <c r="AQ340" s="244">
        <v>7.44</v>
      </c>
      <c r="AR340" s="246"/>
      <c r="AS340" s="282"/>
      <c r="AT340" s="244">
        <f t="shared" si="13"/>
        <v>46.703999999999994</v>
      </c>
      <c r="AU340" s="246"/>
      <c r="AV340" s="336"/>
      <c r="AW340" s="285"/>
      <c r="AX340" s="337"/>
      <c r="AY340" s="338"/>
      <c r="AZ340" s="261"/>
      <c r="BA340" s="261"/>
      <c r="BB340" s="261"/>
      <c r="BC340" s="261"/>
    </row>
    <row r="341" spans="1:55">
      <c r="B341" s="179"/>
      <c r="C341" s="179"/>
      <c r="D341" s="181"/>
      <c r="E341" s="181"/>
      <c r="F341" s="181"/>
      <c r="G341" s="1110"/>
      <c r="H341" s="127" t="s">
        <v>543</v>
      </c>
      <c r="I341" s="127"/>
      <c r="J341" s="244">
        <v>118.32</v>
      </c>
      <c r="K341" s="246"/>
      <c r="L341" s="282"/>
      <c r="M341" s="244">
        <v>114.24</v>
      </c>
      <c r="N341" s="246"/>
      <c r="O341" s="282"/>
      <c r="P341" s="244">
        <v>114.84</v>
      </c>
      <c r="Q341" s="246"/>
      <c r="R341" s="282"/>
      <c r="S341" s="244">
        <v>118.8</v>
      </c>
      <c r="T341" s="246"/>
      <c r="U341" s="282"/>
      <c r="V341" s="244">
        <v>69.936000000000007</v>
      </c>
      <c r="W341" s="246"/>
      <c r="X341" s="282"/>
      <c r="Y341" s="244">
        <v>0</v>
      </c>
      <c r="Z341" s="246"/>
      <c r="AA341" s="282"/>
      <c r="AB341" s="244">
        <v>0</v>
      </c>
      <c r="AC341" s="246"/>
      <c r="AD341" s="282"/>
      <c r="AE341" s="244">
        <v>69.936000000000007</v>
      </c>
      <c r="AF341" s="246"/>
      <c r="AG341" s="282"/>
      <c r="AH341" s="244">
        <v>110.66</v>
      </c>
      <c r="AI341" s="246"/>
      <c r="AJ341" s="282"/>
      <c r="AK341" s="244">
        <v>122.76</v>
      </c>
      <c r="AL341" s="246"/>
      <c r="AM341" s="282"/>
      <c r="AN341" s="244">
        <v>110.88</v>
      </c>
      <c r="AO341" s="246"/>
      <c r="AP341" s="282"/>
      <c r="AQ341" s="244">
        <v>126.48</v>
      </c>
      <c r="AR341" s="246"/>
      <c r="AS341" s="282"/>
      <c r="AT341" s="244">
        <f t="shared" si="13"/>
        <v>1076.8519999999999</v>
      </c>
      <c r="AU341" s="246"/>
      <c r="AV341" s="336"/>
      <c r="AW341" s="285"/>
      <c r="AX341" s="337"/>
      <c r="AY341" s="338"/>
      <c r="AZ341" s="261"/>
      <c r="BA341" s="261"/>
      <c r="BB341" s="261"/>
      <c r="BC341" s="261"/>
    </row>
    <row r="342" spans="1:55" s="3" customFormat="1">
      <c r="A342" s="179"/>
      <c r="B342" s="179"/>
      <c r="C342" s="179"/>
      <c r="D342" s="181">
        <v>310227</v>
      </c>
      <c r="E342" s="181"/>
      <c r="F342" s="181"/>
      <c r="G342" s="1110">
        <v>310227</v>
      </c>
      <c r="H342" s="137" t="s">
        <v>544</v>
      </c>
      <c r="I342" s="516" t="s">
        <v>364</v>
      </c>
      <c r="J342" s="238">
        <f>SUM(J343:J344)</f>
        <v>47.61</v>
      </c>
      <c r="K342" s="246"/>
      <c r="L342" s="282"/>
      <c r="M342" s="314">
        <f>SUM(M343:M344)</f>
        <v>45.96</v>
      </c>
      <c r="N342" s="246"/>
      <c r="O342" s="282"/>
      <c r="P342" s="314">
        <f>SUM(P343:P344)</f>
        <v>47.61</v>
      </c>
      <c r="Q342" s="246"/>
      <c r="R342" s="282"/>
      <c r="S342" s="314">
        <f>SUM(S343:S344)</f>
        <v>32.83</v>
      </c>
      <c r="T342" s="246"/>
      <c r="U342" s="282"/>
      <c r="V342" s="314">
        <f>SUM(V343:V344)</f>
        <v>47.61</v>
      </c>
      <c r="W342" s="246"/>
      <c r="X342" s="282"/>
      <c r="Y342" s="314">
        <f>SUM(Y343:Y344)</f>
        <v>49.25</v>
      </c>
      <c r="Z342" s="246"/>
      <c r="AA342" s="282"/>
      <c r="AB342" s="314">
        <f>SUM(AB343:AB344)</f>
        <v>47.61</v>
      </c>
      <c r="AC342" s="246"/>
      <c r="AD342" s="282"/>
      <c r="AE342" s="314">
        <f>SUM(AE343:AE344)</f>
        <v>50.89</v>
      </c>
      <c r="AF342" s="246"/>
      <c r="AG342" s="282"/>
      <c r="AH342" s="314">
        <f>SUM(AH343:AH344)</f>
        <v>32.83</v>
      </c>
      <c r="AI342" s="246"/>
      <c r="AJ342" s="282"/>
      <c r="AK342" s="314">
        <f>SUM(AK343:AK344)</f>
        <v>50.89</v>
      </c>
      <c r="AL342" s="246"/>
      <c r="AM342" s="282"/>
      <c r="AN342" s="314">
        <f>SUM(AN343:AN344)</f>
        <v>45.96</v>
      </c>
      <c r="AO342" s="246"/>
      <c r="AP342" s="282"/>
      <c r="AQ342" s="314">
        <f>SUM(AQ343:AQ344)</f>
        <v>50.67</v>
      </c>
      <c r="AR342" s="246"/>
      <c r="AS342" s="282"/>
      <c r="AT342" s="314">
        <f>SUM(AT343:AT344)</f>
        <v>549.71999999999991</v>
      </c>
      <c r="AU342" s="246"/>
      <c r="AV342" s="336"/>
      <c r="AW342" s="285"/>
      <c r="AX342" s="337"/>
      <c r="AY342" s="1068">
        <v>140.64706910000001</v>
      </c>
      <c r="AZ342" s="318"/>
      <c r="BA342" s="318"/>
      <c r="BB342" s="318"/>
      <c r="BC342" s="318"/>
    </row>
    <row r="343" spans="1:55">
      <c r="B343" s="179"/>
      <c r="C343" s="179"/>
      <c r="D343" s="181"/>
      <c r="E343" s="181"/>
      <c r="F343" s="181"/>
      <c r="G343" s="1110"/>
      <c r="H343" s="123" t="s">
        <v>544</v>
      </c>
      <c r="I343" s="123"/>
      <c r="J343" s="244">
        <v>0</v>
      </c>
      <c r="K343" s="246"/>
      <c r="L343" s="282"/>
      <c r="M343" s="244">
        <v>0</v>
      </c>
      <c r="N343" s="246"/>
      <c r="O343" s="282"/>
      <c r="P343" s="244">
        <v>0</v>
      </c>
      <c r="Q343" s="246"/>
      <c r="R343" s="282"/>
      <c r="S343" s="244">
        <v>0</v>
      </c>
      <c r="T343" s="246"/>
      <c r="U343" s="282"/>
      <c r="V343" s="244">
        <v>0</v>
      </c>
      <c r="W343" s="246"/>
      <c r="X343" s="282"/>
      <c r="Y343" s="244">
        <v>0</v>
      </c>
      <c r="Z343" s="246"/>
      <c r="AA343" s="282"/>
      <c r="AB343" s="244">
        <v>0</v>
      </c>
      <c r="AC343" s="246"/>
      <c r="AD343" s="282"/>
      <c r="AE343" s="244">
        <v>0</v>
      </c>
      <c r="AF343" s="246"/>
      <c r="AG343" s="282"/>
      <c r="AH343" s="244">
        <v>0</v>
      </c>
      <c r="AI343" s="246"/>
      <c r="AJ343" s="282"/>
      <c r="AK343" s="244">
        <v>0</v>
      </c>
      <c r="AL343" s="246"/>
      <c r="AM343" s="282"/>
      <c r="AN343" s="244">
        <v>0</v>
      </c>
      <c r="AO343" s="246"/>
      <c r="AP343" s="282"/>
      <c r="AQ343" s="244">
        <v>0</v>
      </c>
      <c r="AR343" s="246"/>
      <c r="AS343" s="282"/>
      <c r="AT343" s="244">
        <f t="shared" si="13"/>
        <v>0</v>
      </c>
      <c r="AU343" s="246"/>
      <c r="AV343" s="336"/>
      <c r="AW343" s="285"/>
      <c r="AX343" s="337"/>
      <c r="AY343" s="338"/>
      <c r="AZ343" s="261"/>
      <c r="BA343" s="261"/>
      <c r="BB343" s="261"/>
      <c r="BC343" s="261"/>
    </row>
    <row r="344" spans="1:55">
      <c r="B344" s="179"/>
      <c r="C344" s="179"/>
      <c r="D344" s="181"/>
      <c r="E344" s="181"/>
      <c r="F344" s="181"/>
      <c r="G344" s="1110"/>
      <c r="H344" s="123" t="s">
        <v>765</v>
      </c>
      <c r="I344" s="123"/>
      <c r="J344" s="244">
        <v>47.61</v>
      </c>
      <c r="K344" s="246"/>
      <c r="L344" s="282"/>
      <c r="M344" s="244">
        <v>45.96</v>
      </c>
      <c r="N344" s="246"/>
      <c r="O344" s="282"/>
      <c r="P344" s="244">
        <v>47.61</v>
      </c>
      <c r="Q344" s="246"/>
      <c r="R344" s="282"/>
      <c r="S344" s="244">
        <v>32.83</v>
      </c>
      <c r="T344" s="246"/>
      <c r="U344" s="282"/>
      <c r="V344" s="244">
        <v>47.61</v>
      </c>
      <c r="W344" s="246"/>
      <c r="X344" s="282"/>
      <c r="Y344" s="244">
        <v>49.25</v>
      </c>
      <c r="Z344" s="246"/>
      <c r="AA344" s="282"/>
      <c r="AB344" s="244">
        <v>47.61</v>
      </c>
      <c r="AC344" s="246"/>
      <c r="AD344" s="282"/>
      <c r="AE344" s="244">
        <v>50.89</v>
      </c>
      <c r="AF344" s="246"/>
      <c r="AG344" s="282"/>
      <c r="AH344" s="244">
        <v>32.83</v>
      </c>
      <c r="AI344" s="246"/>
      <c r="AJ344" s="282"/>
      <c r="AK344" s="244">
        <v>50.89</v>
      </c>
      <c r="AL344" s="246"/>
      <c r="AM344" s="282"/>
      <c r="AN344" s="244">
        <v>45.96</v>
      </c>
      <c r="AO344" s="246"/>
      <c r="AP344" s="282"/>
      <c r="AQ344" s="244">
        <v>50.67</v>
      </c>
      <c r="AR344" s="246"/>
      <c r="AS344" s="282"/>
      <c r="AT344" s="244">
        <f t="shared" si="13"/>
        <v>549.71999999999991</v>
      </c>
      <c r="AU344" s="246"/>
      <c r="AV344" s="336"/>
      <c r="AW344" s="285"/>
      <c r="AX344" s="337"/>
      <c r="AY344" s="338"/>
      <c r="AZ344" s="261"/>
      <c r="BA344" s="261"/>
      <c r="BB344" s="261"/>
      <c r="BC344" s="261"/>
    </row>
    <row r="345" spans="1:55">
      <c r="B345" s="179"/>
      <c r="C345" s="179"/>
      <c r="D345" s="181">
        <v>310211</v>
      </c>
      <c r="E345" s="181"/>
      <c r="F345" s="181"/>
      <c r="G345" s="1110">
        <v>310211</v>
      </c>
      <c r="H345" s="123" t="s">
        <v>545</v>
      </c>
      <c r="I345" s="516" t="s">
        <v>364</v>
      </c>
      <c r="J345" s="244">
        <v>50.608000000000004</v>
      </c>
      <c r="K345" s="246"/>
      <c r="L345" s="282"/>
      <c r="M345" s="244">
        <v>42.942</v>
      </c>
      <c r="N345" s="246"/>
      <c r="O345" s="282"/>
      <c r="P345" s="244">
        <v>46.32</v>
      </c>
      <c r="Q345" s="246"/>
      <c r="R345" s="282"/>
      <c r="S345" s="244">
        <v>26.64</v>
      </c>
      <c r="T345" s="246"/>
      <c r="U345" s="282"/>
      <c r="V345" s="244">
        <v>7.12</v>
      </c>
      <c r="W345" s="246"/>
      <c r="X345" s="282"/>
      <c r="Y345" s="244">
        <v>7.09</v>
      </c>
      <c r="Z345" s="246"/>
      <c r="AA345" s="282"/>
      <c r="AB345" s="244">
        <v>6.43</v>
      </c>
      <c r="AC345" s="246"/>
      <c r="AD345" s="282"/>
      <c r="AE345" s="244">
        <v>6.1007999999999996</v>
      </c>
      <c r="AF345" s="246"/>
      <c r="AG345" s="282"/>
      <c r="AH345" s="244">
        <v>8.0535999999999994</v>
      </c>
      <c r="AI345" s="246"/>
      <c r="AJ345" s="282"/>
      <c r="AK345" s="244">
        <v>33.927999999999997</v>
      </c>
      <c r="AL345" s="246"/>
      <c r="AM345" s="282"/>
      <c r="AN345" s="244">
        <v>41.903999999999996</v>
      </c>
      <c r="AO345" s="246"/>
      <c r="AP345" s="282"/>
      <c r="AQ345" s="244">
        <v>45.012</v>
      </c>
      <c r="AR345" s="246"/>
      <c r="AS345" s="282"/>
      <c r="AT345" s="244">
        <f t="shared" si="13"/>
        <v>322.14839999999998</v>
      </c>
      <c r="AU345" s="246"/>
      <c r="AV345" s="336"/>
      <c r="AW345" s="285"/>
      <c r="AX345" s="337"/>
      <c r="AY345" s="438">
        <v>230.405541</v>
      </c>
      <c r="AZ345" s="261"/>
      <c r="BA345" s="261"/>
      <c r="BB345" s="261"/>
      <c r="BC345" s="261"/>
    </row>
    <row r="346" spans="1:55">
      <c r="B346" s="179"/>
      <c r="C346" s="179"/>
      <c r="D346" s="181">
        <v>310201</v>
      </c>
      <c r="E346" s="181"/>
      <c r="F346" s="181"/>
      <c r="G346" s="1110">
        <v>310201</v>
      </c>
      <c r="H346" s="137" t="s">
        <v>615</v>
      </c>
      <c r="I346" s="516" t="s">
        <v>364</v>
      </c>
      <c r="J346" s="262">
        <f>SUM(J347:J348)</f>
        <v>199.392</v>
      </c>
      <c r="K346" s="246"/>
      <c r="L346" s="282"/>
      <c r="M346" s="317">
        <f>SUM(M347:M348)</f>
        <v>180.096</v>
      </c>
      <c r="N346" s="246"/>
      <c r="O346" s="282"/>
      <c r="P346" s="317">
        <f>SUM(P347:P348)</f>
        <v>199.392</v>
      </c>
      <c r="Q346" s="246"/>
      <c r="R346" s="282"/>
      <c r="S346" s="317">
        <f>SUM(S347:S348)</f>
        <v>164.51599999999999</v>
      </c>
      <c r="T346" s="246"/>
      <c r="U346" s="282"/>
      <c r="V346" s="317">
        <f>SUM(V347:V348)</f>
        <v>142.9496</v>
      </c>
      <c r="W346" s="246"/>
      <c r="X346" s="282"/>
      <c r="Y346" s="317">
        <f>SUM(Y347:Y348)</f>
        <v>100.8</v>
      </c>
      <c r="Z346" s="246"/>
      <c r="AA346" s="282"/>
      <c r="AB346" s="317">
        <f>SUM(AB347:AB348)</f>
        <v>146.24959999999999</v>
      </c>
      <c r="AC346" s="246"/>
      <c r="AD346" s="282"/>
      <c r="AE346" s="317">
        <f>SUM(AE347:AE348)</f>
        <v>148.5616</v>
      </c>
      <c r="AF346" s="246"/>
      <c r="AG346" s="282"/>
      <c r="AH346" s="317">
        <f>SUM(AH347:AH348)</f>
        <v>150.80000000000001</v>
      </c>
      <c r="AI346" s="246"/>
      <c r="AJ346" s="282"/>
      <c r="AK346" s="317">
        <f>SUM(AK347:AK348)</f>
        <v>108.4616</v>
      </c>
      <c r="AL346" s="246"/>
      <c r="AM346" s="282"/>
      <c r="AN346" s="317">
        <f>SUM(AN347:AN348)</f>
        <v>192.96</v>
      </c>
      <c r="AO346" s="246"/>
      <c r="AP346" s="282"/>
      <c r="AQ346" s="317">
        <f>SUM(AQ347:AQ348)</f>
        <v>199.392</v>
      </c>
      <c r="AR346" s="246"/>
      <c r="AS346" s="282"/>
      <c r="AT346" s="317">
        <f>SUM(AT347:AT348)</f>
        <v>1933.5704000000001</v>
      </c>
      <c r="AU346" s="246"/>
      <c r="AV346" s="336"/>
      <c r="AW346" s="285"/>
      <c r="AX346" s="337"/>
      <c r="AY346" s="1068">
        <v>2060.8841609999999</v>
      </c>
      <c r="AZ346" s="261"/>
      <c r="BA346" s="261"/>
      <c r="BB346" s="261"/>
      <c r="BC346" s="261"/>
    </row>
    <row r="347" spans="1:55">
      <c r="B347" s="179"/>
      <c r="C347" s="179"/>
      <c r="D347" s="181"/>
      <c r="E347" s="181"/>
      <c r="F347" s="181"/>
      <c r="G347" s="1110"/>
      <c r="H347" s="123" t="s">
        <v>616</v>
      </c>
      <c r="I347" s="123"/>
      <c r="J347" s="244">
        <v>99.249600000000001</v>
      </c>
      <c r="K347" s="246"/>
      <c r="L347" s="282"/>
      <c r="M347" s="244">
        <v>89.644800000000004</v>
      </c>
      <c r="N347" s="246"/>
      <c r="O347" s="282"/>
      <c r="P347" s="244">
        <v>99.249600000000001</v>
      </c>
      <c r="Q347" s="246"/>
      <c r="R347" s="282"/>
      <c r="S347" s="244">
        <v>70.415999999999997</v>
      </c>
      <c r="T347" s="246"/>
      <c r="U347" s="282"/>
      <c r="V347" s="244">
        <v>99.249600000000001</v>
      </c>
      <c r="W347" s="246"/>
      <c r="X347" s="282"/>
      <c r="Y347" s="244">
        <v>100.8</v>
      </c>
      <c r="Z347" s="246"/>
      <c r="AA347" s="282"/>
      <c r="AB347" s="244">
        <v>99.249600000000001</v>
      </c>
      <c r="AC347" s="246"/>
      <c r="AD347" s="282"/>
      <c r="AE347" s="244">
        <v>51.261600000000008</v>
      </c>
      <c r="AF347" s="246"/>
      <c r="AG347" s="282"/>
      <c r="AH347" s="244">
        <v>0</v>
      </c>
      <c r="AI347" s="246"/>
      <c r="AJ347" s="282"/>
      <c r="AK347" s="244">
        <v>51.261600000000008</v>
      </c>
      <c r="AL347" s="246"/>
      <c r="AM347" s="282"/>
      <c r="AN347" s="244">
        <v>96.048000000000002</v>
      </c>
      <c r="AO347" s="246"/>
      <c r="AP347" s="282"/>
      <c r="AQ347" s="244">
        <v>99.249600000000001</v>
      </c>
      <c r="AR347" s="283"/>
      <c r="AS347" s="299"/>
      <c r="AT347" s="244">
        <f t="shared" si="13"/>
        <v>955.68000000000006</v>
      </c>
      <c r="AU347" s="283"/>
      <c r="AV347" s="284"/>
      <c r="AW347" s="285"/>
      <c r="AX347" s="321"/>
      <c r="AY347" s="300"/>
      <c r="AZ347" s="261"/>
      <c r="BA347" s="261"/>
      <c r="BB347" s="261"/>
      <c r="BC347" s="261"/>
    </row>
    <row r="348" spans="1:55">
      <c r="B348" s="179"/>
      <c r="C348" s="179"/>
      <c r="D348" s="181"/>
      <c r="E348" s="181"/>
      <c r="F348" s="181"/>
      <c r="G348" s="1110"/>
      <c r="H348" s="123" t="s">
        <v>617</v>
      </c>
      <c r="I348" s="123"/>
      <c r="J348" s="244">
        <v>100.14239999999999</v>
      </c>
      <c r="K348" s="246"/>
      <c r="L348" s="282"/>
      <c r="M348" s="244">
        <v>90.4512</v>
      </c>
      <c r="N348" s="246"/>
      <c r="O348" s="282"/>
      <c r="P348" s="244">
        <v>100.14239999999999</v>
      </c>
      <c r="Q348" s="246"/>
      <c r="R348" s="282"/>
      <c r="S348" s="244">
        <v>94.1</v>
      </c>
      <c r="T348" s="246"/>
      <c r="U348" s="282"/>
      <c r="V348" s="244">
        <v>43.7</v>
      </c>
      <c r="W348" s="246"/>
      <c r="X348" s="282"/>
      <c r="Y348" s="244">
        <v>0</v>
      </c>
      <c r="Z348" s="246"/>
      <c r="AA348" s="282"/>
      <c r="AB348" s="244">
        <v>47</v>
      </c>
      <c r="AC348" s="246"/>
      <c r="AD348" s="282"/>
      <c r="AE348" s="345">
        <f>77.3+20</f>
        <v>97.3</v>
      </c>
      <c r="AF348" s="246"/>
      <c r="AG348" s="282"/>
      <c r="AH348" s="345">
        <f>100.8+50</f>
        <v>150.80000000000001</v>
      </c>
      <c r="AI348" s="246"/>
      <c r="AJ348" s="282"/>
      <c r="AK348" s="320">
        <f>67.2-10</f>
        <v>57.2</v>
      </c>
      <c r="AL348" s="246"/>
      <c r="AM348" s="282"/>
      <c r="AN348" s="244">
        <v>96.912000000000006</v>
      </c>
      <c r="AO348" s="246"/>
      <c r="AP348" s="282"/>
      <c r="AQ348" s="244">
        <v>100.14239999999999</v>
      </c>
      <c r="AR348" s="283"/>
      <c r="AS348" s="299"/>
      <c r="AT348" s="244">
        <f t="shared" si="13"/>
        <v>977.8904</v>
      </c>
      <c r="AU348" s="283"/>
      <c r="AV348" s="284"/>
      <c r="AW348" s="285"/>
      <c r="AX348" s="321"/>
      <c r="AY348" s="300"/>
      <c r="AZ348" s="261"/>
      <c r="BA348" s="261"/>
      <c r="BB348" s="261"/>
      <c r="BC348" s="261"/>
    </row>
    <row r="349" spans="1:55">
      <c r="B349" s="179"/>
      <c r="C349" s="179"/>
      <c r="D349" s="181">
        <v>310210</v>
      </c>
      <c r="E349" s="181"/>
      <c r="F349" s="181"/>
      <c r="G349" s="1110">
        <v>310210</v>
      </c>
      <c r="H349" s="123" t="s">
        <v>377</v>
      </c>
      <c r="I349" s="519" t="s">
        <v>365</v>
      </c>
      <c r="J349" s="244">
        <v>48.66</v>
      </c>
      <c r="K349" s="246"/>
      <c r="L349" s="282"/>
      <c r="M349" s="244">
        <v>45.52</v>
      </c>
      <c r="N349" s="246"/>
      <c r="O349" s="282"/>
      <c r="P349" s="244">
        <v>45.57</v>
      </c>
      <c r="Q349" s="246"/>
      <c r="R349" s="282"/>
      <c r="S349" s="244">
        <v>41.04</v>
      </c>
      <c r="T349" s="246"/>
      <c r="U349" s="282"/>
      <c r="V349" s="244">
        <v>38.090000000000003</v>
      </c>
      <c r="W349" s="246"/>
      <c r="X349" s="282"/>
      <c r="Y349" s="244">
        <v>35.28</v>
      </c>
      <c r="Z349" s="246"/>
      <c r="AA349" s="282"/>
      <c r="AB349" s="244">
        <v>36.46</v>
      </c>
      <c r="AC349" s="246"/>
      <c r="AD349" s="282"/>
      <c r="AE349" s="244">
        <v>36.46</v>
      </c>
      <c r="AF349" s="246"/>
      <c r="AG349" s="282"/>
      <c r="AH349" s="244">
        <v>36.86</v>
      </c>
      <c r="AI349" s="246"/>
      <c r="AJ349" s="282"/>
      <c r="AK349" s="244">
        <v>43.15</v>
      </c>
      <c r="AL349" s="246"/>
      <c r="AM349" s="282"/>
      <c r="AN349" s="244">
        <v>44.1</v>
      </c>
      <c r="AO349" s="246"/>
      <c r="AP349" s="282"/>
      <c r="AQ349" s="244">
        <v>48.66</v>
      </c>
      <c r="AR349" s="283"/>
      <c r="AS349" s="299"/>
      <c r="AT349" s="244">
        <f t="shared" si="13"/>
        <v>499.85</v>
      </c>
      <c r="AU349" s="283"/>
      <c r="AV349" s="284"/>
      <c r="AW349" s="285"/>
      <c r="AX349" s="321"/>
      <c r="AY349" s="435">
        <v>571.181915</v>
      </c>
      <c r="AZ349" s="261"/>
      <c r="BA349" s="261"/>
      <c r="BB349" s="261"/>
      <c r="BC349" s="261"/>
    </row>
    <row r="350" spans="1:55">
      <c r="B350" s="179"/>
      <c r="C350" s="179"/>
      <c r="D350" s="181">
        <v>342</v>
      </c>
      <c r="E350" s="181"/>
      <c r="F350" s="181"/>
      <c r="G350" s="1110"/>
      <c r="H350" s="138" t="s">
        <v>174</v>
      </c>
      <c r="I350" s="138"/>
      <c r="J350" s="319">
        <f>SUM(J351:J353)</f>
        <v>57.19</v>
      </c>
      <c r="K350" s="288"/>
      <c r="L350" s="289"/>
      <c r="M350" s="319">
        <f>SUM(M351:M353)</f>
        <v>52.1</v>
      </c>
      <c r="N350" s="288"/>
      <c r="O350" s="289"/>
      <c r="P350" s="319">
        <f>SUM(P351:P353)</f>
        <v>57.41</v>
      </c>
      <c r="Q350" s="288"/>
      <c r="R350" s="289"/>
      <c r="S350" s="319">
        <f>SUM(S351:S353)</f>
        <v>52.42</v>
      </c>
      <c r="T350" s="288"/>
      <c r="U350" s="289"/>
      <c r="V350" s="319">
        <f>SUM(V351:V353)</f>
        <v>43.349999999999994</v>
      </c>
      <c r="W350" s="288"/>
      <c r="X350" s="289"/>
      <c r="Y350" s="319">
        <f>SUM(Y351:Y353)</f>
        <v>47.480000000000004</v>
      </c>
      <c r="Z350" s="288"/>
      <c r="AA350" s="289"/>
      <c r="AB350" s="319">
        <f>SUM(AB351:AB353)</f>
        <v>43.64</v>
      </c>
      <c r="AC350" s="288"/>
      <c r="AD350" s="289"/>
      <c r="AE350" s="319">
        <f>SUM(AE351:AE353)</f>
        <v>50.54</v>
      </c>
      <c r="AF350" s="288"/>
      <c r="AG350" s="289"/>
      <c r="AH350" s="319">
        <f>SUM(AH351:AH353)</f>
        <v>50.03</v>
      </c>
      <c r="AI350" s="288"/>
      <c r="AJ350" s="289"/>
      <c r="AK350" s="319">
        <f>SUM(AK351:AK353)</f>
        <v>53.82</v>
      </c>
      <c r="AL350" s="288"/>
      <c r="AM350" s="289"/>
      <c r="AN350" s="319">
        <f>SUM(AN351:AN353)</f>
        <v>53.8</v>
      </c>
      <c r="AO350" s="288"/>
      <c r="AP350" s="289"/>
      <c r="AQ350" s="319">
        <f>SUM(AQ351:AQ353)</f>
        <v>56.67</v>
      </c>
      <c r="AR350" s="288"/>
      <c r="AS350" s="289"/>
      <c r="AT350" s="319">
        <f>SUM(AT351:AT353)</f>
        <v>618.45000000000005</v>
      </c>
      <c r="AU350" s="288"/>
      <c r="AV350" s="290"/>
      <c r="AW350" s="285"/>
      <c r="AX350" s="296"/>
      <c r="AY350" s="436">
        <v>657.6618598</v>
      </c>
      <c r="AZ350" s="261"/>
      <c r="BA350" s="261"/>
      <c r="BB350" s="261"/>
      <c r="BC350" s="261"/>
    </row>
    <row r="351" spans="1:55">
      <c r="B351" s="179"/>
      <c r="C351" s="179"/>
      <c r="D351" s="181">
        <v>310246</v>
      </c>
      <c r="E351" s="181"/>
      <c r="F351" s="181"/>
      <c r="G351" s="1121">
        <v>310246</v>
      </c>
      <c r="H351" s="135" t="s">
        <v>1311</v>
      </c>
      <c r="I351" s="518" t="s">
        <v>365</v>
      </c>
      <c r="J351" s="294">
        <v>2.93</v>
      </c>
      <c r="K351" s="288"/>
      <c r="L351" s="289"/>
      <c r="M351" s="294">
        <v>2.74</v>
      </c>
      <c r="N351" s="288"/>
      <c r="O351" s="289"/>
      <c r="P351" s="294">
        <v>2.93</v>
      </c>
      <c r="Q351" s="288"/>
      <c r="R351" s="289"/>
      <c r="S351" s="294">
        <v>2.83</v>
      </c>
      <c r="T351" s="288"/>
      <c r="U351" s="289"/>
      <c r="V351" s="294">
        <v>3.65</v>
      </c>
      <c r="W351" s="288"/>
      <c r="X351" s="289"/>
      <c r="Y351" s="294">
        <v>3.53</v>
      </c>
      <c r="Z351" s="288"/>
      <c r="AA351" s="289"/>
      <c r="AB351" s="294">
        <v>3.65</v>
      </c>
      <c r="AC351" s="288"/>
      <c r="AD351" s="289"/>
      <c r="AE351" s="294">
        <v>3.65</v>
      </c>
      <c r="AF351" s="288"/>
      <c r="AG351" s="289"/>
      <c r="AH351" s="294">
        <v>3.53</v>
      </c>
      <c r="AI351" s="288"/>
      <c r="AJ351" s="289"/>
      <c r="AK351" s="294">
        <v>2.93</v>
      </c>
      <c r="AL351" s="288"/>
      <c r="AM351" s="289"/>
      <c r="AN351" s="294">
        <v>2.83</v>
      </c>
      <c r="AO351" s="288"/>
      <c r="AP351" s="289"/>
      <c r="AQ351" s="294">
        <v>2.93</v>
      </c>
      <c r="AR351" s="288"/>
      <c r="AS351" s="289"/>
      <c r="AT351" s="294">
        <f t="shared" si="13"/>
        <v>38.129999999999995</v>
      </c>
      <c r="AU351" s="288"/>
      <c r="AV351" s="290"/>
      <c r="AW351" s="285"/>
      <c r="AX351" s="296"/>
      <c r="AY351" s="313"/>
      <c r="AZ351" s="261"/>
      <c r="BA351" s="261"/>
      <c r="BB351" s="261"/>
      <c r="BC351" s="261"/>
    </row>
    <row r="352" spans="1:55">
      <c r="B352" s="179"/>
      <c r="C352" s="179"/>
      <c r="D352" s="181">
        <v>310240</v>
      </c>
      <c r="E352" s="181"/>
      <c r="F352" s="181"/>
      <c r="G352" s="1121">
        <v>310240</v>
      </c>
      <c r="H352" s="135" t="s">
        <v>1312</v>
      </c>
      <c r="I352" s="518" t="s">
        <v>365</v>
      </c>
      <c r="J352" s="294">
        <v>43</v>
      </c>
      <c r="K352" s="288"/>
      <c r="L352" s="289"/>
      <c r="M352" s="294">
        <v>39</v>
      </c>
      <c r="N352" s="288"/>
      <c r="O352" s="289"/>
      <c r="P352" s="294">
        <v>43</v>
      </c>
      <c r="Q352" s="288"/>
      <c r="R352" s="289"/>
      <c r="S352" s="294">
        <v>39</v>
      </c>
      <c r="T352" s="288"/>
      <c r="U352" s="289"/>
      <c r="V352" s="294">
        <v>30</v>
      </c>
      <c r="W352" s="288"/>
      <c r="X352" s="289"/>
      <c r="Y352" s="294">
        <v>35</v>
      </c>
      <c r="Z352" s="288"/>
      <c r="AA352" s="289"/>
      <c r="AB352" s="294">
        <v>32</v>
      </c>
      <c r="AC352" s="288"/>
      <c r="AD352" s="289"/>
      <c r="AE352" s="294">
        <v>38</v>
      </c>
      <c r="AF352" s="288"/>
      <c r="AG352" s="289"/>
      <c r="AH352" s="294">
        <v>37</v>
      </c>
      <c r="AI352" s="288"/>
      <c r="AJ352" s="289"/>
      <c r="AK352" s="294">
        <v>40</v>
      </c>
      <c r="AL352" s="288"/>
      <c r="AM352" s="289"/>
      <c r="AN352" s="294">
        <v>40</v>
      </c>
      <c r="AO352" s="288"/>
      <c r="AP352" s="289"/>
      <c r="AQ352" s="294">
        <v>42</v>
      </c>
      <c r="AR352" s="288"/>
      <c r="AS352" s="289"/>
      <c r="AT352" s="294">
        <f t="shared" si="13"/>
        <v>458</v>
      </c>
      <c r="AU352" s="288"/>
      <c r="AV352" s="290"/>
      <c r="AW352" s="285"/>
      <c r="AX352" s="296"/>
      <c r="AY352" s="313"/>
      <c r="AZ352" s="261"/>
      <c r="BA352" s="261"/>
      <c r="BB352" s="261"/>
      <c r="BC352" s="261"/>
    </row>
    <row r="353" spans="2:55" ht="15" customHeight="1">
      <c r="B353" s="179"/>
      <c r="C353" s="179"/>
      <c r="D353" s="181">
        <v>310242</v>
      </c>
      <c r="E353" s="181"/>
      <c r="F353" s="181"/>
      <c r="G353" s="1121">
        <v>310242</v>
      </c>
      <c r="H353" s="135" t="s">
        <v>1313</v>
      </c>
      <c r="I353" s="518" t="s">
        <v>365</v>
      </c>
      <c r="J353" s="294">
        <v>11.26</v>
      </c>
      <c r="K353" s="288"/>
      <c r="L353" s="289"/>
      <c r="M353" s="294">
        <v>10.36</v>
      </c>
      <c r="N353" s="288"/>
      <c r="O353" s="289"/>
      <c r="P353" s="294">
        <v>11.48</v>
      </c>
      <c r="Q353" s="288"/>
      <c r="R353" s="289"/>
      <c r="S353" s="294">
        <v>10.59</v>
      </c>
      <c r="T353" s="288"/>
      <c r="U353" s="289"/>
      <c r="V353" s="294">
        <v>9.6999999999999993</v>
      </c>
      <c r="W353" s="288"/>
      <c r="X353" s="289"/>
      <c r="Y353" s="294">
        <v>8.9499999999999993</v>
      </c>
      <c r="Z353" s="288"/>
      <c r="AA353" s="289"/>
      <c r="AB353" s="294">
        <v>7.99</v>
      </c>
      <c r="AC353" s="288"/>
      <c r="AD353" s="289"/>
      <c r="AE353" s="294">
        <v>8.89</v>
      </c>
      <c r="AF353" s="288"/>
      <c r="AG353" s="289"/>
      <c r="AH353" s="294">
        <v>9.5</v>
      </c>
      <c r="AI353" s="288"/>
      <c r="AJ353" s="289"/>
      <c r="AK353" s="294">
        <v>10.89</v>
      </c>
      <c r="AL353" s="288"/>
      <c r="AM353" s="289"/>
      <c r="AN353" s="294">
        <v>10.97</v>
      </c>
      <c r="AO353" s="288"/>
      <c r="AP353" s="289"/>
      <c r="AQ353" s="294">
        <v>11.74</v>
      </c>
      <c r="AR353" s="288"/>
      <c r="AS353" s="289"/>
      <c r="AT353" s="294">
        <f t="shared" si="13"/>
        <v>122.32</v>
      </c>
      <c r="AU353" s="288"/>
      <c r="AV353" s="290"/>
      <c r="AW353" s="285"/>
      <c r="AX353" s="296"/>
      <c r="AY353" s="313"/>
      <c r="AZ353" s="261"/>
      <c r="BA353" s="261"/>
      <c r="BB353" s="261"/>
      <c r="BC353" s="261"/>
    </row>
    <row r="354" spans="2:55" ht="18.75">
      <c r="B354" s="179"/>
      <c r="C354" s="179"/>
      <c r="D354" s="181">
        <v>340500</v>
      </c>
      <c r="E354" s="181"/>
      <c r="F354" s="181"/>
      <c r="G354" s="181">
        <v>340500</v>
      </c>
      <c r="H354" s="470" t="s">
        <v>1585</v>
      </c>
      <c r="I354" s="470"/>
      <c r="J354" s="277">
        <f>SUM(J355:J357)</f>
        <v>718.95142687988277</v>
      </c>
      <c r="K354" s="275">
        <f>L354-J354</f>
        <v>91.473065896156982</v>
      </c>
      <c r="L354" s="276">
        <f>Потребление!D28</f>
        <v>810.42449277603976</v>
      </c>
      <c r="M354" s="274">
        <f>SUM(M355:M357)</f>
        <v>660.32115472412113</v>
      </c>
      <c r="N354" s="275">
        <f>O354-M354</f>
        <v>108.83793783390365</v>
      </c>
      <c r="O354" s="276">
        <f>Потребление!E28</f>
        <v>769.15909255802478</v>
      </c>
      <c r="P354" s="274">
        <f>SUM(P355:P357)</f>
        <v>670.66569854736326</v>
      </c>
      <c r="Q354" s="275">
        <f>R354-P354</f>
        <v>87.49605383188009</v>
      </c>
      <c r="R354" s="276">
        <f>Потребление!F28</f>
        <v>758.16175237924335</v>
      </c>
      <c r="S354" s="274">
        <f>SUM(S355:S357)</f>
        <v>602.33916900634767</v>
      </c>
      <c r="T354" s="275">
        <f>U354-S354</f>
        <v>71.508996547603147</v>
      </c>
      <c r="U354" s="276">
        <f>Потребление!G28</f>
        <v>673.84816555395082</v>
      </c>
      <c r="V354" s="274">
        <f>SUM(V355:V357)</f>
        <v>546.45581274414064</v>
      </c>
      <c r="W354" s="275">
        <f>X354-V354</f>
        <v>62.458747294410614</v>
      </c>
      <c r="X354" s="276">
        <f>Потребление!H28</f>
        <v>608.91456003855126</v>
      </c>
      <c r="Y354" s="274">
        <f>SUM(Y355:Y357)</f>
        <v>228.82914886474612</v>
      </c>
      <c r="Z354" s="275">
        <f>AA354-Y354</f>
        <v>347.3168569927376</v>
      </c>
      <c r="AA354" s="276">
        <f>Потребление!I28</f>
        <v>576.14600585748371</v>
      </c>
      <c r="AB354" s="274">
        <f>SUM(AB355:AB357)</f>
        <v>501.38585876464845</v>
      </c>
      <c r="AC354" s="275">
        <f>AD354-AB354</f>
        <v>80.489654762782038</v>
      </c>
      <c r="AD354" s="276">
        <f>Потребление!J28</f>
        <v>581.87551352743048</v>
      </c>
      <c r="AE354" s="274">
        <f>SUM(AE355:AE357)</f>
        <v>487.17177917480473</v>
      </c>
      <c r="AF354" s="275">
        <f>AG354-AE354</f>
        <v>102.93841529142145</v>
      </c>
      <c r="AG354" s="276">
        <f>Потребление!K28</f>
        <v>590.11019446622618</v>
      </c>
      <c r="AH354" s="274">
        <f>SUM(AH355:AH357)</f>
        <v>504.42101593017577</v>
      </c>
      <c r="AI354" s="275">
        <f>AJ354-AH354</f>
        <v>115.9557810454823</v>
      </c>
      <c r="AJ354" s="276">
        <f>Потребление!L28</f>
        <v>620.37679697565807</v>
      </c>
      <c r="AK354" s="274">
        <f>SUM(AK355:AK357)</f>
        <v>608.20437371826165</v>
      </c>
      <c r="AL354" s="275">
        <f>AM354-AK354</f>
        <v>111.74095668357063</v>
      </c>
      <c r="AM354" s="276">
        <f>Потребление!M28</f>
        <v>719.94533040183228</v>
      </c>
      <c r="AN354" s="274">
        <f>SUM(AN355:AN357)</f>
        <v>629.75542846679696</v>
      </c>
      <c r="AO354" s="275">
        <f>AP354-AN354</f>
        <v>133.87392531130979</v>
      </c>
      <c r="AP354" s="276">
        <f>Потребление!N28</f>
        <v>763.62935377810675</v>
      </c>
      <c r="AQ354" s="274">
        <f>SUM(AQ355:AQ357)</f>
        <v>686.72869177246105</v>
      </c>
      <c r="AR354" s="275">
        <f>AS354-AQ354</f>
        <v>136.68004991499106</v>
      </c>
      <c r="AS354" s="276">
        <f>Потребление!O28</f>
        <v>823.40874168745211</v>
      </c>
      <c r="AT354" s="274">
        <f>SUM(AT355:AT357)</f>
        <v>6845.2295585937509</v>
      </c>
      <c r="AU354" s="275">
        <f>AV354-AT354</f>
        <v>1450.7704414062491</v>
      </c>
      <c r="AV354" s="278">
        <f>L354+O354+R354+U354+X354+AA354+AD354+AG354+AJ354+AM354+AP354+AS354</f>
        <v>8296</v>
      </c>
      <c r="AW354" s="279"/>
      <c r="AX354" s="1067">
        <v>8254.4619440000006</v>
      </c>
      <c r="AY354" s="298">
        <f>AY355+AY356+AY357</f>
        <v>6903.114164999999</v>
      </c>
      <c r="AZ354" s="261"/>
      <c r="BA354" s="261"/>
      <c r="BB354" s="261"/>
      <c r="BC354" s="261"/>
    </row>
    <row r="355" spans="2:55">
      <c r="B355" s="179"/>
      <c r="C355" s="179"/>
      <c r="D355" s="181"/>
      <c r="E355" s="181"/>
      <c r="F355" s="181"/>
      <c r="G355" s="181"/>
      <c r="H355" s="10" t="s">
        <v>173</v>
      </c>
      <c r="I355" s="10"/>
      <c r="J355" s="223">
        <f>SUM(J362:J366)</f>
        <v>586.96199999999999</v>
      </c>
      <c r="K355" s="271"/>
      <c r="L355" s="224"/>
      <c r="M355" s="270">
        <f>SUM(M362:M366)</f>
        <v>535.71600000000001</v>
      </c>
      <c r="N355" s="271"/>
      <c r="O355" s="224"/>
      <c r="P355" s="270">
        <f>SUM(P362:P366)</f>
        <v>535.98</v>
      </c>
      <c r="Q355" s="271"/>
      <c r="R355" s="224"/>
      <c r="S355" s="270">
        <f>SUM(S362:S366)</f>
        <v>461.09000000000003</v>
      </c>
      <c r="T355" s="271"/>
      <c r="U355" s="224"/>
      <c r="V355" s="270">
        <f>SUM(V362:V366)</f>
        <v>403.87400000000002</v>
      </c>
      <c r="W355" s="271"/>
      <c r="X355" s="224"/>
      <c r="Y355" s="270">
        <f>SUM(Y362:Y366)</f>
        <v>101.98</v>
      </c>
      <c r="Z355" s="271"/>
      <c r="AA355" s="224"/>
      <c r="AB355" s="270">
        <f>SUM(AB362:AB366)</f>
        <v>370.62</v>
      </c>
      <c r="AC355" s="271"/>
      <c r="AD355" s="224"/>
      <c r="AE355" s="270">
        <f>SUM(AE362:AE366)</f>
        <v>357.90000000000003</v>
      </c>
      <c r="AF355" s="271"/>
      <c r="AG355" s="224"/>
      <c r="AH355" s="270">
        <f>SUM(AH362:AH366)</f>
        <v>384.78</v>
      </c>
      <c r="AI355" s="271"/>
      <c r="AJ355" s="224"/>
      <c r="AK355" s="270">
        <f>SUM(AK362:AK366)</f>
        <v>485.37599999999998</v>
      </c>
      <c r="AL355" s="271"/>
      <c r="AM355" s="224"/>
      <c r="AN355" s="270">
        <f>SUM(AN362:AN366)</f>
        <v>511.59000000000003</v>
      </c>
      <c r="AO355" s="271"/>
      <c r="AP355" s="224"/>
      <c r="AQ355" s="270">
        <f>SUM(AQ362:AQ366)</f>
        <v>558.31400000000008</v>
      </c>
      <c r="AR355" s="271"/>
      <c r="AS355" s="224"/>
      <c r="AT355" s="270">
        <f>SUM(AT362:AT366)</f>
        <v>5294.1820000000007</v>
      </c>
      <c r="AU355" s="271"/>
      <c r="AV355" s="229"/>
      <c r="AW355" s="226"/>
      <c r="AX355" s="230"/>
      <c r="AY355" s="231">
        <f>SUM(AY362:AY366)</f>
        <v>5017.3686319999997</v>
      </c>
      <c r="AZ355" s="261"/>
      <c r="BA355" s="261"/>
      <c r="BB355" s="261"/>
      <c r="BC355" s="261"/>
    </row>
    <row r="356" spans="2:55">
      <c r="B356" s="179"/>
      <c r="C356" s="179"/>
      <c r="D356" s="181"/>
      <c r="E356" s="181"/>
      <c r="F356" s="181"/>
      <c r="G356" s="181"/>
      <c r="H356" s="10" t="s">
        <v>177</v>
      </c>
      <c r="I356" s="10"/>
      <c r="J356" s="223">
        <f>J358</f>
        <v>101.45942687988281</v>
      </c>
      <c r="K356" s="271"/>
      <c r="L356" s="224"/>
      <c r="M356" s="270">
        <f>M358</f>
        <v>97.885154724121094</v>
      </c>
      <c r="N356" s="271"/>
      <c r="O356" s="224"/>
      <c r="P356" s="270">
        <f>P358</f>
        <v>106.39569854736328</v>
      </c>
      <c r="Q356" s="271"/>
      <c r="R356" s="224"/>
      <c r="S356" s="270">
        <f>S358</f>
        <v>114.10916900634766</v>
      </c>
      <c r="T356" s="271"/>
      <c r="U356" s="224"/>
      <c r="V356" s="270">
        <f>V358</f>
        <v>113.95181274414063</v>
      </c>
      <c r="W356" s="271"/>
      <c r="X356" s="224"/>
      <c r="Y356" s="270">
        <f>Y358</f>
        <v>105.22914886474609</v>
      </c>
      <c r="Z356" s="271"/>
      <c r="AA356" s="224"/>
      <c r="AB356" s="270">
        <f>AB358</f>
        <v>104.14585876464844</v>
      </c>
      <c r="AC356" s="271"/>
      <c r="AD356" s="224"/>
      <c r="AE356" s="270">
        <f>AE358</f>
        <v>101.40177917480469</v>
      </c>
      <c r="AF356" s="271"/>
      <c r="AG356" s="224"/>
      <c r="AH356" s="270">
        <f>AH358</f>
        <v>93.971015930175781</v>
      </c>
      <c r="AI356" s="271"/>
      <c r="AJ356" s="224"/>
      <c r="AK356" s="270">
        <f>AK358</f>
        <v>91.278373718261719</v>
      </c>
      <c r="AL356" s="271"/>
      <c r="AM356" s="224"/>
      <c r="AN356" s="270">
        <f>AN358</f>
        <v>92.095428466796875</v>
      </c>
      <c r="AO356" s="271"/>
      <c r="AP356" s="224"/>
      <c r="AQ356" s="270">
        <f>AQ358</f>
        <v>99.824691772460938</v>
      </c>
      <c r="AR356" s="271"/>
      <c r="AS356" s="224"/>
      <c r="AT356" s="270">
        <f>AT358</f>
        <v>1221.74755859375</v>
      </c>
      <c r="AU356" s="271"/>
      <c r="AV356" s="229"/>
      <c r="AW356" s="226"/>
      <c r="AX356" s="230"/>
      <c r="AY356" s="339">
        <f>AY358</f>
        <v>1554.855763</v>
      </c>
      <c r="AZ356" s="261"/>
      <c r="BA356" s="261"/>
      <c r="BB356" s="261"/>
      <c r="BC356" s="261"/>
    </row>
    <row r="357" spans="2:55" ht="15" customHeight="1">
      <c r="B357" s="179"/>
      <c r="C357" s="179"/>
      <c r="D357" s="181"/>
      <c r="E357" s="181"/>
      <c r="F357" s="181"/>
      <c r="G357" s="181"/>
      <c r="H357" s="10" t="s">
        <v>99</v>
      </c>
      <c r="I357" s="10"/>
      <c r="J357" s="223">
        <f>J367</f>
        <v>30.53</v>
      </c>
      <c r="K357" s="271"/>
      <c r="L357" s="224"/>
      <c r="M357" s="270">
        <f>M367</f>
        <v>26.72</v>
      </c>
      <c r="N357" s="271"/>
      <c r="O357" s="224"/>
      <c r="P357" s="270">
        <f>P367</f>
        <v>28.29</v>
      </c>
      <c r="Q357" s="271"/>
      <c r="R357" s="224"/>
      <c r="S357" s="270">
        <f>S367</f>
        <v>27.14</v>
      </c>
      <c r="T357" s="271"/>
      <c r="U357" s="224"/>
      <c r="V357" s="270">
        <f>V367</f>
        <v>28.63</v>
      </c>
      <c r="W357" s="271"/>
      <c r="X357" s="224"/>
      <c r="Y357" s="270">
        <f>Y367</f>
        <v>21.619999999999997</v>
      </c>
      <c r="Z357" s="271"/>
      <c r="AA357" s="224"/>
      <c r="AB357" s="270">
        <f>AB367</f>
        <v>26.619999999999997</v>
      </c>
      <c r="AC357" s="271"/>
      <c r="AD357" s="224"/>
      <c r="AE357" s="270">
        <f>AE367</f>
        <v>27.869999999999997</v>
      </c>
      <c r="AF357" s="271"/>
      <c r="AG357" s="224"/>
      <c r="AH357" s="270">
        <f>AH367</f>
        <v>25.67</v>
      </c>
      <c r="AI357" s="271"/>
      <c r="AJ357" s="224"/>
      <c r="AK357" s="270">
        <f>AK367</f>
        <v>31.55</v>
      </c>
      <c r="AL357" s="271"/>
      <c r="AM357" s="224"/>
      <c r="AN357" s="270">
        <f>AN367</f>
        <v>26.07</v>
      </c>
      <c r="AO357" s="271"/>
      <c r="AP357" s="224"/>
      <c r="AQ357" s="270">
        <f>AQ367</f>
        <v>28.59</v>
      </c>
      <c r="AR357" s="271"/>
      <c r="AS357" s="224"/>
      <c r="AT357" s="270">
        <f>AT367</f>
        <v>329.3</v>
      </c>
      <c r="AU357" s="271"/>
      <c r="AV357" s="229"/>
      <c r="AW357" s="226"/>
      <c r="AX357" s="230"/>
      <c r="AY357" s="231">
        <f>AY367</f>
        <v>330.88977</v>
      </c>
      <c r="AZ357" s="261"/>
      <c r="BA357" s="261"/>
      <c r="BB357" s="261"/>
      <c r="BC357" s="261"/>
    </row>
    <row r="358" spans="2:55">
      <c r="B358" s="179"/>
      <c r="C358" s="179"/>
      <c r="D358" s="181">
        <v>340531</v>
      </c>
      <c r="E358" s="181"/>
      <c r="F358" s="181"/>
      <c r="G358" s="1211">
        <v>340530</v>
      </c>
      <c r="H358" s="137" t="s">
        <v>546</v>
      </c>
      <c r="I358" s="516" t="s">
        <v>364</v>
      </c>
      <c r="J358" s="638">
        <f>ГЭС!C22</f>
        <v>101.45942687988281</v>
      </c>
      <c r="K358" s="256"/>
      <c r="L358" s="302"/>
      <c r="M358" s="639">
        <f>ГЭС!D22</f>
        <v>97.885154724121094</v>
      </c>
      <c r="N358" s="256"/>
      <c r="O358" s="302"/>
      <c r="P358" s="639">
        <f>ГЭС!E22</f>
        <v>106.39569854736328</v>
      </c>
      <c r="Q358" s="256"/>
      <c r="R358" s="302"/>
      <c r="S358" s="639">
        <f>ГЭС!G22</f>
        <v>114.10916900634766</v>
      </c>
      <c r="T358" s="256"/>
      <c r="U358" s="302"/>
      <c r="V358" s="639">
        <f>ГЭС!H22</f>
        <v>113.95181274414063</v>
      </c>
      <c r="W358" s="256"/>
      <c r="X358" s="302"/>
      <c r="Y358" s="639">
        <f>ГЭС!I22</f>
        <v>105.22914886474609</v>
      </c>
      <c r="Z358" s="256"/>
      <c r="AA358" s="302"/>
      <c r="AB358" s="639">
        <f>ГЭС!K22</f>
        <v>104.14585876464844</v>
      </c>
      <c r="AC358" s="256"/>
      <c r="AD358" s="302"/>
      <c r="AE358" s="639">
        <f>ГЭС!L22</f>
        <v>101.40177917480469</v>
      </c>
      <c r="AF358" s="256"/>
      <c r="AG358" s="302"/>
      <c r="AH358" s="639">
        <f>ГЭС!M22</f>
        <v>93.971015930175781</v>
      </c>
      <c r="AI358" s="256"/>
      <c r="AJ358" s="302"/>
      <c r="AK358" s="639">
        <f>ГЭС!O22</f>
        <v>91.278373718261719</v>
      </c>
      <c r="AL358" s="256"/>
      <c r="AM358" s="302"/>
      <c r="AN358" s="639">
        <f>ГЭС!P22</f>
        <v>92.095428466796875</v>
      </c>
      <c r="AO358" s="256"/>
      <c r="AP358" s="302"/>
      <c r="AQ358" s="639">
        <f>ГЭС!Q22</f>
        <v>99.824691772460938</v>
      </c>
      <c r="AR358" s="256"/>
      <c r="AS358" s="302"/>
      <c r="AT358" s="639">
        <f>J358+M358+P358+S358+V358+Y358+AB358+AE358+AH358+AK358+AN358+AQ358</f>
        <v>1221.74755859375</v>
      </c>
      <c r="AU358" s="256"/>
      <c r="AV358" s="315"/>
      <c r="AW358" s="226"/>
      <c r="AX358" s="340"/>
      <c r="AY358" s="888">
        <v>1554.855763</v>
      </c>
      <c r="AZ358" s="261"/>
      <c r="BA358" s="261"/>
      <c r="BB358" s="261"/>
      <c r="BC358" s="261"/>
    </row>
    <row r="359" spans="2:55" hidden="1">
      <c r="B359" s="179"/>
      <c r="C359" s="179"/>
      <c r="D359" s="181">
        <v>340533</v>
      </c>
      <c r="E359" s="181"/>
      <c r="F359" s="181"/>
      <c r="G359" s="1110">
        <v>340533</v>
      </c>
      <c r="H359" s="123" t="s">
        <v>186</v>
      </c>
      <c r="I359" s="123"/>
      <c r="J359" s="258"/>
      <c r="K359" s="283"/>
      <c r="L359" s="299"/>
      <c r="M359" s="258"/>
      <c r="N359" s="283"/>
      <c r="O359" s="299"/>
      <c r="P359" s="258"/>
      <c r="Q359" s="283"/>
      <c r="R359" s="299"/>
      <c r="S359" s="258"/>
      <c r="T359" s="283"/>
      <c r="U359" s="299"/>
      <c r="V359" s="258"/>
      <c r="W359" s="283"/>
      <c r="X359" s="299"/>
      <c r="Y359" s="258"/>
      <c r="Z359" s="283"/>
      <c r="AA359" s="299"/>
      <c r="AB359" s="258"/>
      <c r="AC359" s="283"/>
      <c r="AD359" s="299"/>
      <c r="AE359" s="258"/>
      <c r="AF359" s="283"/>
      <c r="AG359" s="299"/>
      <c r="AH359" s="258"/>
      <c r="AI359" s="283"/>
      <c r="AJ359" s="299"/>
      <c r="AK359" s="258"/>
      <c r="AL359" s="283"/>
      <c r="AM359" s="299"/>
      <c r="AN359" s="258"/>
      <c r="AO359" s="283"/>
      <c r="AP359" s="299"/>
      <c r="AQ359" s="258"/>
      <c r="AR359" s="283"/>
      <c r="AS359" s="299"/>
      <c r="AT359" s="244">
        <f t="shared" ref="AT359:AT369" si="14">J359+M359+P359+S359+V359+Y359+AB359+AE359+AH359+AK359+AN359+AQ359</f>
        <v>0</v>
      </c>
      <c r="AU359" s="283"/>
      <c r="AV359" s="284"/>
      <c r="AW359" s="285"/>
      <c r="AX359" s="321"/>
      <c r="AY359" s="300"/>
      <c r="AZ359" s="261"/>
      <c r="BA359" s="261"/>
      <c r="BB359" s="261"/>
      <c r="BC359" s="261"/>
    </row>
    <row r="360" spans="2:55" hidden="1">
      <c r="B360" s="179"/>
      <c r="C360" s="179"/>
      <c r="D360" s="181">
        <v>340532</v>
      </c>
      <c r="E360" s="181"/>
      <c r="F360" s="181"/>
      <c r="G360" s="1110">
        <v>340532</v>
      </c>
      <c r="H360" s="123" t="s">
        <v>187</v>
      </c>
      <c r="I360" s="123"/>
      <c r="J360" s="258"/>
      <c r="K360" s="283"/>
      <c r="L360" s="299"/>
      <c r="M360" s="258"/>
      <c r="N360" s="283"/>
      <c r="O360" s="299"/>
      <c r="P360" s="258"/>
      <c r="Q360" s="283"/>
      <c r="R360" s="299"/>
      <c r="S360" s="258"/>
      <c r="T360" s="283"/>
      <c r="U360" s="299"/>
      <c r="V360" s="258"/>
      <c r="W360" s="283"/>
      <c r="X360" s="299"/>
      <c r="Y360" s="258"/>
      <c r="Z360" s="283"/>
      <c r="AA360" s="299"/>
      <c r="AB360" s="258"/>
      <c r="AC360" s="283"/>
      <c r="AD360" s="299"/>
      <c r="AE360" s="258"/>
      <c r="AF360" s="283"/>
      <c r="AG360" s="299"/>
      <c r="AH360" s="258"/>
      <c r="AI360" s="283"/>
      <c r="AJ360" s="299"/>
      <c r="AK360" s="258"/>
      <c r="AL360" s="283"/>
      <c r="AM360" s="299"/>
      <c r="AN360" s="258"/>
      <c r="AO360" s="283"/>
      <c r="AP360" s="299"/>
      <c r="AQ360" s="258"/>
      <c r="AR360" s="283"/>
      <c r="AS360" s="299"/>
      <c r="AT360" s="244">
        <f t="shared" si="14"/>
        <v>0</v>
      </c>
      <c r="AU360" s="283"/>
      <c r="AV360" s="284"/>
      <c r="AW360" s="285"/>
      <c r="AX360" s="321"/>
      <c r="AY360" s="300"/>
      <c r="AZ360" s="261"/>
      <c r="BA360" s="261"/>
      <c r="BB360" s="261"/>
      <c r="BC360" s="261"/>
    </row>
    <row r="361" spans="2:55" hidden="1">
      <c r="B361" s="179"/>
      <c r="C361" s="179"/>
      <c r="D361" s="181">
        <v>340513</v>
      </c>
      <c r="E361" s="181"/>
      <c r="F361" s="181"/>
      <c r="G361" s="1110">
        <v>340513</v>
      </c>
      <c r="H361" s="123" t="s">
        <v>281</v>
      </c>
      <c r="I361" s="123"/>
      <c r="J361" s="258"/>
      <c r="K361" s="283"/>
      <c r="L361" s="299"/>
      <c r="M361" s="258"/>
      <c r="N361" s="283"/>
      <c r="O361" s="299"/>
      <c r="P361" s="258"/>
      <c r="Q361" s="283"/>
      <c r="R361" s="299"/>
      <c r="S361" s="258"/>
      <c r="T361" s="283"/>
      <c r="U361" s="299"/>
      <c r="V361" s="258"/>
      <c r="W361" s="283"/>
      <c r="X361" s="299"/>
      <c r="Y361" s="258"/>
      <c r="Z361" s="283"/>
      <c r="AA361" s="299"/>
      <c r="AB361" s="258"/>
      <c r="AC361" s="283"/>
      <c r="AD361" s="299"/>
      <c r="AE361" s="258"/>
      <c r="AF361" s="283"/>
      <c r="AG361" s="299"/>
      <c r="AH361" s="258"/>
      <c r="AI361" s="283"/>
      <c r="AJ361" s="299"/>
      <c r="AK361" s="258"/>
      <c r="AL361" s="283"/>
      <c r="AM361" s="299"/>
      <c r="AN361" s="258"/>
      <c r="AO361" s="283"/>
      <c r="AP361" s="299"/>
      <c r="AQ361" s="258"/>
      <c r="AR361" s="283"/>
      <c r="AS361" s="299"/>
      <c r="AT361" s="244">
        <f t="shared" si="14"/>
        <v>0</v>
      </c>
      <c r="AU361" s="283"/>
      <c r="AV361" s="284"/>
      <c r="AW361" s="285"/>
      <c r="AX361" s="321"/>
      <c r="AY361" s="300"/>
      <c r="AZ361" s="261"/>
      <c r="BA361" s="261"/>
      <c r="BB361" s="261"/>
      <c r="BC361" s="261"/>
    </row>
    <row r="362" spans="2:55">
      <c r="B362" s="179"/>
      <c r="C362" s="179"/>
      <c r="D362" s="181">
        <v>340512</v>
      </c>
      <c r="E362" s="181"/>
      <c r="F362" s="181"/>
      <c r="G362" s="1110">
        <v>340512</v>
      </c>
      <c r="H362" s="123" t="s">
        <v>392</v>
      </c>
      <c r="I362" s="516" t="s">
        <v>364</v>
      </c>
      <c r="J362" s="244">
        <v>18.559999999999999</v>
      </c>
      <c r="K362" s="246"/>
      <c r="L362" s="282"/>
      <c r="M362" s="244">
        <v>17.36</v>
      </c>
      <c r="N362" s="246"/>
      <c r="O362" s="282"/>
      <c r="P362" s="244">
        <v>18.559999999999999</v>
      </c>
      <c r="Q362" s="246"/>
      <c r="R362" s="282"/>
      <c r="S362" s="244">
        <v>10.47</v>
      </c>
      <c r="T362" s="246"/>
      <c r="U362" s="282"/>
      <c r="V362" s="244">
        <v>9.23</v>
      </c>
      <c r="W362" s="246"/>
      <c r="X362" s="282"/>
      <c r="Y362" s="244">
        <v>8.93</v>
      </c>
      <c r="Z362" s="246"/>
      <c r="AA362" s="282"/>
      <c r="AB362" s="244">
        <v>9.23</v>
      </c>
      <c r="AC362" s="246"/>
      <c r="AD362" s="282"/>
      <c r="AE362" s="244">
        <v>9.23</v>
      </c>
      <c r="AF362" s="246"/>
      <c r="AG362" s="282"/>
      <c r="AH362" s="244">
        <v>12.84</v>
      </c>
      <c r="AI362" s="246"/>
      <c r="AJ362" s="282"/>
      <c r="AK362" s="244">
        <v>18.559999999999999</v>
      </c>
      <c r="AL362" s="246"/>
      <c r="AM362" s="282"/>
      <c r="AN362" s="244">
        <v>17.96</v>
      </c>
      <c r="AO362" s="246"/>
      <c r="AP362" s="282"/>
      <c r="AQ362" s="244">
        <v>18.559999999999999</v>
      </c>
      <c r="AR362" s="283"/>
      <c r="AS362" s="299"/>
      <c r="AT362" s="244">
        <f t="shared" si="14"/>
        <v>169.49000000000004</v>
      </c>
      <c r="AU362" s="283"/>
      <c r="AV362" s="284"/>
      <c r="AW362" s="285"/>
      <c r="AX362" s="321"/>
      <c r="AY362" s="435">
        <v>249.728072</v>
      </c>
      <c r="AZ362" s="261"/>
      <c r="BA362" s="261"/>
      <c r="BB362" s="261"/>
      <c r="BC362" s="261"/>
    </row>
    <row r="363" spans="2:55">
      <c r="B363" s="179"/>
      <c r="C363" s="179"/>
      <c r="D363" s="181">
        <v>340511</v>
      </c>
      <c r="E363" s="181"/>
      <c r="F363" s="181"/>
      <c r="G363" s="1110">
        <v>340511</v>
      </c>
      <c r="H363" s="123" t="s">
        <v>393</v>
      </c>
      <c r="I363" s="516" t="s">
        <v>364</v>
      </c>
      <c r="J363" s="244">
        <v>116.80800000000001</v>
      </c>
      <c r="K363" s="246"/>
      <c r="L363" s="282"/>
      <c r="M363" s="244">
        <v>102.75</v>
      </c>
      <c r="N363" s="246"/>
      <c r="O363" s="282"/>
      <c r="P363" s="320">
        <f>112.11-10</f>
        <v>102.11</v>
      </c>
      <c r="Q363" s="246"/>
      <c r="R363" s="282"/>
      <c r="S363" s="244">
        <v>64.8</v>
      </c>
      <c r="T363" s="246"/>
      <c r="U363" s="282"/>
      <c r="V363" s="244">
        <v>46.872</v>
      </c>
      <c r="W363" s="246"/>
      <c r="X363" s="282"/>
      <c r="Y363" s="244">
        <v>28.8</v>
      </c>
      <c r="Z363" s="246"/>
      <c r="AA363" s="282"/>
      <c r="AB363" s="244">
        <v>33</v>
      </c>
      <c r="AC363" s="246"/>
      <c r="AD363" s="282"/>
      <c r="AE363" s="244">
        <v>30</v>
      </c>
      <c r="AF363" s="246"/>
      <c r="AG363" s="282"/>
      <c r="AH363" s="244">
        <v>29.52</v>
      </c>
      <c r="AI363" s="246"/>
      <c r="AJ363" s="282"/>
      <c r="AK363" s="244">
        <v>62.255999999999993</v>
      </c>
      <c r="AL363" s="246"/>
      <c r="AM363" s="282"/>
      <c r="AN363" s="244">
        <v>84.88</v>
      </c>
      <c r="AO363" s="246"/>
      <c r="AP363" s="282"/>
      <c r="AQ363" s="244">
        <v>101.6</v>
      </c>
      <c r="AR363" s="283"/>
      <c r="AS363" s="299"/>
      <c r="AT363" s="244">
        <f t="shared" si="14"/>
        <v>803.39600000000007</v>
      </c>
      <c r="AU363" s="283"/>
      <c r="AV363" s="284"/>
      <c r="AW363" s="285"/>
      <c r="AX363" s="321"/>
      <c r="AY363" s="435">
        <v>769.91144799999995</v>
      </c>
      <c r="AZ363" s="261"/>
      <c r="BA363" s="261"/>
      <c r="BB363" s="261"/>
      <c r="BC363" s="261"/>
    </row>
    <row r="364" spans="2:55">
      <c r="B364" s="179"/>
      <c r="C364" s="179"/>
      <c r="D364" s="181">
        <v>340510</v>
      </c>
      <c r="E364" s="181"/>
      <c r="F364" s="181"/>
      <c r="G364" s="1110">
        <v>340510</v>
      </c>
      <c r="H364" s="123" t="s">
        <v>394</v>
      </c>
      <c r="I364" s="516" t="s">
        <v>364</v>
      </c>
      <c r="J364" s="244">
        <v>127.224</v>
      </c>
      <c r="K364" s="246"/>
      <c r="L364" s="282"/>
      <c r="M364" s="244">
        <v>112.896</v>
      </c>
      <c r="N364" s="246"/>
      <c r="O364" s="282"/>
      <c r="P364" s="244">
        <v>115</v>
      </c>
      <c r="Q364" s="246"/>
      <c r="R364" s="282"/>
      <c r="S364" s="244">
        <v>82.8</v>
      </c>
      <c r="T364" s="246"/>
      <c r="U364" s="282"/>
      <c r="V364" s="244">
        <v>39.432000000000002</v>
      </c>
      <c r="W364" s="246"/>
      <c r="X364" s="282"/>
      <c r="Y364" s="244">
        <v>27</v>
      </c>
      <c r="Z364" s="246"/>
      <c r="AA364" s="282"/>
      <c r="AB364" s="244">
        <v>28</v>
      </c>
      <c r="AC364" s="246"/>
      <c r="AD364" s="282"/>
      <c r="AE364" s="244">
        <v>29</v>
      </c>
      <c r="AF364" s="246"/>
      <c r="AG364" s="282"/>
      <c r="AH364" s="244">
        <v>36.72</v>
      </c>
      <c r="AI364" s="246"/>
      <c r="AJ364" s="282"/>
      <c r="AK364" s="244">
        <v>86</v>
      </c>
      <c r="AL364" s="246"/>
      <c r="AM364" s="282"/>
      <c r="AN364" s="244">
        <v>103.68</v>
      </c>
      <c r="AO364" s="246"/>
      <c r="AP364" s="282"/>
      <c r="AQ364" s="244">
        <v>116.06399999999999</v>
      </c>
      <c r="AR364" s="283"/>
      <c r="AS364" s="299"/>
      <c r="AT364" s="244">
        <f>J364+M364+P364+S364+V364+Y364+AB364+AE364+AH364+AK364+AN364+AQ364</f>
        <v>903.81600000000014</v>
      </c>
      <c r="AU364" s="283"/>
      <c r="AV364" s="284"/>
      <c r="AW364" s="285"/>
      <c r="AX364" s="321"/>
      <c r="AY364" s="435">
        <v>942.64875600000005</v>
      </c>
      <c r="AZ364" s="261"/>
      <c r="BA364" s="261"/>
      <c r="BB364" s="261"/>
      <c r="BC364" s="261"/>
    </row>
    <row r="365" spans="2:55">
      <c r="B365" s="179"/>
      <c r="C365" s="179"/>
      <c r="D365" s="181">
        <v>340545</v>
      </c>
      <c r="E365" s="181"/>
      <c r="F365" s="181"/>
      <c r="G365" s="1110">
        <v>340545</v>
      </c>
      <c r="H365" s="123" t="s">
        <v>845</v>
      </c>
      <c r="I365" s="699" t="s">
        <v>364</v>
      </c>
      <c r="J365" s="244">
        <v>33.03</v>
      </c>
      <c r="K365" s="246"/>
      <c r="L365" s="282"/>
      <c r="M365" s="244">
        <v>29.97</v>
      </c>
      <c r="N365" s="246"/>
      <c r="O365" s="282"/>
      <c r="P365" s="244">
        <v>33.630000000000003</v>
      </c>
      <c r="Q365" s="246"/>
      <c r="R365" s="282"/>
      <c r="S365" s="244">
        <v>26.61</v>
      </c>
      <c r="T365" s="246"/>
      <c r="U365" s="282"/>
      <c r="V365" s="244">
        <v>38.54</v>
      </c>
      <c r="W365" s="246"/>
      <c r="X365" s="282"/>
      <c r="Y365" s="244">
        <v>37.25</v>
      </c>
      <c r="Z365" s="246"/>
      <c r="AA365" s="282"/>
      <c r="AB365" s="244">
        <v>31.82</v>
      </c>
      <c r="AC365" s="246"/>
      <c r="AD365" s="282"/>
      <c r="AE365" s="244">
        <v>19.82</v>
      </c>
      <c r="AF365" s="246"/>
      <c r="AG365" s="282"/>
      <c r="AH365" s="244">
        <v>37.299999999999997</v>
      </c>
      <c r="AI365" s="246"/>
      <c r="AJ365" s="282"/>
      <c r="AK365" s="244">
        <v>34.369999999999997</v>
      </c>
      <c r="AL365" s="246"/>
      <c r="AM365" s="282"/>
      <c r="AN365" s="244">
        <v>32.69</v>
      </c>
      <c r="AO365" s="246"/>
      <c r="AP365" s="282"/>
      <c r="AQ365" s="244">
        <v>29.03</v>
      </c>
      <c r="AR365" s="246"/>
      <c r="AS365" s="282"/>
      <c r="AT365" s="244">
        <f>J365+M365+P365+S365+V365+Y365+AB365+AE365+AH365+AK365+AN365+AQ365</f>
        <v>384.05999999999995</v>
      </c>
      <c r="AU365" s="246"/>
      <c r="AV365" s="336"/>
      <c r="AW365" s="285"/>
      <c r="AX365" s="321"/>
      <c r="AY365" s="435">
        <v>0</v>
      </c>
      <c r="AZ365" s="261"/>
      <c r="BA365" s="261"/>
      <c r="BB365" s="261"/>
      <c r="BC365" s="261"/>
    </row>
    <row r="366" spans="2:55">
      <c r="B366" s="179"/>
      <c r="C366" s="179"/>
      <c r="D366" s="181">
        <v>340514</v>
      </c>
      <c r="E366" s="181"/>
      <c r="F366" s="181"/>
      <c r="G366" s="1110">
        <v>340514</v>
      </c>
      <c r="H366" s="123" t="s">
        <v>1314</v>
      </c>
      <c r="I366" s="699" t="s">
        <v>364</v>
      </c>
      <c r="J366" s="244">
        <v>291.33999999999997</v>
      </c>
      <c r="K366" s="246"/>
      <c r="L366" s="282"/>
      <c r="M366" s="244">
        <v>272.74</v>
      </c>
      <c r="N366" s="246"/>
      <c r="O366" s="282"/>
      <c r="P366" s="320">
        <f>281.68-15</f>
        <v>266.68</v>
      </c>
      <c r="Q366" s="246"/>
      <c r="R366" s="282"/>
      <c r="S366" s="244">
        <v>276.41000000000003</v>
      </c>
      <c r="T366" s="246"/>
      <c r="U366" s="282"/>
      <c r="V366" s="244">
        <v>269.8</v>
      </c>
      <c r="W366" s="246"/>
      <c r="X366" s="282"/>
      <c r="Y366" s="244">
        <v>0</v>
      </c>
      <c r="Z366" s="246"/>
      <c r="AA366" s="282"/>
      <c r="AB366" s="244">
        <v>268.57</v>
      </c>
      <c r="AC366" s="246"/>
      <c r="AD366" s="282"/>
      <c r="AE366" s="244">
        <v>269.85000000000002</v>
      </c>
      <c r="AF366" s="246"/>
      <c r="AG366" s="282"/>
      <c r="AH366" s="244">
        <v>268.39999999999998</v>
      </c>
      <c r="AI366" s="246"/>
      <c r="AJ366" s="282"/>
      <c r="AK366" s="244">
        <v>284.19</v>
      </c>
      <c r="AL366" s="246"/>
      <c r="AM366" s="282"/>
      <c r="AN366" s="244">
        <v>272.38</v>
      </c>
      <c r="AO366" s="246"/>
      <c r="AP366" s="282"/>
      <c r="AQ366" s="244">
        <v>293.06</v>
      </c>
      <c r="AR366" s="246"/>
      <c r="AS366" s="282"/>
      <c r="AT366" s="244">
        <f>J366+M366+P366+S366+V366+Y366+AB366+AE366+AH366+AK366+AN366+AQ366</f>
        <v>3033.42</v>
      </c>
      <c r="AU366" s="246"/>
      <c r="AV366" s="336"/>
      <c r="AW366" s="285"/>
      <c r="AX366" s="321"/>
      <c r="AY366" s="435">
        <v>3055.0803559999999</v>
      </c>
      <c r="AZ366" s="261"/>
      <c r="BA366" s="261"/>
      <c r="BB366" s="261"/>
      <c r="BC366" s="261"/>
    </row>
    <row r="367" spans="2:55">
      <c r="B367" s="179"/>
      <c r="C367" s="179"/>
      <c r="D367" s="181"/>
      <c r="E367" s="181"/>
      <c r="F367" s="181"/>
      <c r="G367" s="1110"/>
      <c r="H367" s="138" t="s">
        <v>174</v>
      </c>
      <c r="I367" s="138"/>
      <c r="J367" s="319">
        <f>J368+J369</f>
        <v>30.53</v>
      </c>
      <c r="K367" s="288"/>
      <c r="L367" s="289"/>
      <c r="M367" s="319">
        <f>M368+M369</f>
        <v>26.72</v>
      </c>
      <c r="N367" s="288"/>
      <c r="O367" s="289"/>
      <c r="P367" s="319">
        <f>P368+P369</f>
        <v>28.29</v>
      </c>
      <c r="Q367" s="288"/>
      <c r="R367" s="289"/>
      <c r="S367" s="319">
        <f>S368+S369</f>
        <v>27.14</v>
      </c>
      <c r="T367" s="288"/>
      <c r="U367" s="289"/>
      <c r="V367" s="319">
        <f>V368+V369</f>
        <v>28.63</v>
      </c>
      <c r="W367" s="288"/>
      <c r="X367" s="289"/>
      <c r="Y367" s="319">
        <f>Y368+Y369</f>
        <v>21.619999999999997</v>
      </c>
      <c r="Z367" s="288"/>
      <c r="AA367" s="289"/>
      <c r="AB367" s="319">
        <f>AB368+AB369</f>
        <v>26.619999999999997</v>
      </c>
      <c r="AC367" s="288"/>
      <c r="AD367" s="289"/>
      <c r="AE367" s="319">
        <f>AE368+AE369</f>
        <v>27.869999999999997</v>
      </c>
      <c r="AF367" s="288"/>
      <c r="AG367" s="289"/>
      <c r="AH367" s="319">
        <f>AH368+AH369</f>
        <v>25.67</v>
      </c>
      <c r="AI367" s="288"/>
      <c r="AJ367" s="289"/>
      <c r="AK367" s="319">
        <f>AK368+AK369</f>
        <v>31.55</v>
      </c>
      <c r="AL367" s="288"/>
      <c r="AM367" s="289"/>
      <c r="AN367" s="319">
        <f>AN368+AN369</f>
        <v>26.07</v>
      </c>
      <c r="AO367" s="288"/>
      <c r="AP367" s="289"/>
      <c r="AQ367" s="319">
        <f>AQ368+AQ369</f>
        <v>28.59</v>
      </c>
      <c r="AR367" s="288"/>
      <c r="AS367" s="289"/>
      <c r="AT367" s="319">
        <f>AT368+AT369</f>
        <v>329.3</v>
      </c>
      <c r="AU367" s="288"/>
      <c r="AV367" s="290"/>
      <c r="AW367" s="285"/>
      <c r="AX367" s="296"/>
      <c r="AY367" s="436">
        <v>330.88977</v>
      </c>
      <c r="AZ367" s="261"/>
      <c r="BA367" s="261"/>
      <c r="BB367" s="261"/>
      <c r="BC367" s="261"/>
    </row>
    <row r="368" spans="2:55">
      <c r="B368" s="179"/>
      <c r="C368" s="179"/>
      <c r="D368" s="181">
        <v>340542</v>
      </c>
      <c r="E368" s="181"/>
      <c r="F368" s="181"/>
      <c r="G368" s="1110">
        <v>340542</v>
      </c>
      <c r="H368" s="135" t="s">
        <v>1315</v>
      </c>
      <c r="I368" s="518" t="s">
        <v>365</v>
      </c>
      <c r="J368" s="294">
        <v>13</v>
      </c>
      <c r="K368" s="288"/>
      <c r="L368" s="289"/>
      <c r="M368" s="294">
        <v>11.2</v>
      </c>
      <c r="N368" s="288"/>
      <c r="O368" s="289"/>
      <c r="P368" s="294">
        <v>12</v>
      </c>
      <c r="Q368" s="288"/>
      <c r="R368" s="289"/>
      <c r="S368" s="294">
        <v>12</v>
      </c>
      <c r="T368" s="288"/>
      <c r="U368" s="289"/>
      <c r="V368" s="294">
        <v>15.6</v>
      </c>
      <c r="W368" s="288"/>
      <c r="X368" s="289"/>
      <c r="Y368" s="294">
        <v>15.2</v>
      </c>
      <c r="Z368" s="288"/>
      <c r="AA368" s="289"/>
      <c r="AB368" s="294">
        <v>15</v>
      </c>
      <c r="AC368" s="288"/>
      <c r="AD368" s="289"/>
      <c r="AE368" s="294">
        <v>16</v>
      </c>
      <c r="AF368" s="288"/>
      <c r="AG368" s="289"/>
      <c r="AH368" s="294">
        <v>15.5</v>
      </c>
      <c r="AI368" s="288"/>
      <c r="AJ368" s="289"/>
      <c r="AK368" s="294">
        <v>16</v>
      </c>
      <c r="AL368" s="288"/>
      <c r="AM368" s="289"/>
      <c r="AN368" s="294">
        <v>10</v>
      </c>
      <c r="AO368" s="288"/>
      <c r="AP368" s="289"/>
      <c r="AQ368" s="294">
        <v>11.5</v>
      </c>
      <c r="AR368" s="288"/>
      <c r="AS368" s="289"/>
      <c r="AT368" s="294">
        <f t="shared" si="14"/>
        <v>163</v>
      </c>
      <c r="AU368" s="288"/>
      <c r="AV368" s="290"/>
      <c r="AW368" s="285"/>
      <c r="AX368" s="296"/>
      <c r="AY368" s="313"/>
      <c r="AZ368" s="261"/>
      <c r="BA368" s="261"/>
      <c r="BB368" s="261"/>
      <c r="BC368" s="261"/>
    </row>
    <row r="369" spans="1:55" ht="16.5" thickBot="1">
      <c r="B369" s="179"/>
      <c r="C369" s="179"/>
      <c r="D369" s="181">
        <v>340541</v>
      </c>
      <c r="E369" s="181"/>
      <c r="F369" s="181"/>
      <c r="G369" s="1110">
        <v>340541</v>
      </c>
      <c r="H369" s="135" t="s">
        <v>1316</v>
      </c>
      <c r="I369" s="518" t="s">
        <v>365</v>
      </c>
      <c r="J369" s="294">
        <v>17.53</v>
      </c>
      <c r="K369" s="288"/>
      <c r="L369" s="289"/>
      <c r="M369" s="294">
        <v>15.52</v>
      </c>
      <c r="N369" s="288"/>
      <c r="O369" s="289"/>
      <c r="P369" s="294">
        <v>16.29</v>
      </c>
      <c r="Q369" s="288"/>
      <c r="R369" s="289"/>
      <c r="S369" s="294">
        <v>15.14</v>
      </c>
      <c r="T369" s="288"/>
      <c r="U369" s="289"/>
      <c r="V369" s="294">
        <v>13.03</v>
      </c>
      <c r="W369" s="288"/>
      <c r="X369" s="289"/>
      <c r="Y369" s="294">
        <v>6.42</v>
      </c>
      <c r="Z369" s="288"/>
      <c r="AA369" s="289"/>
      <c r="AB369" s="294">
        <v>11.62</v>
      </c>
      <c r="AC369" s="288"/>
      <c r="AD369" s="289"/>
      <c r="AE369" s="294">
        <v>11.87</v>
      </c>
      <c r="AF369" s="288"/>
      <c r="AG369" s="289"/>
      <c r="AH369" s="294">
        <v>10.17</v>
      </c>
      <c r="AI369" s="288"/>
      <c r="AJ369" s="289"/>
      <c r="AK369" s="294">
        <v>15.55</v>
      </c>
      <c r="AL369" s="288"/>
      <c r="AM369" s="289"/>
      <c r="AN369" s="294">
        <v>16.07</v>
      </c>
      <c r="AO369" s="288"/>
      <c r="AP369" s="289"/>
      <c r="AQ369" s="294">
        <v>17.09</v>
      </c>
      <c r="AR369" s="288"/>
      <c r="AS369" s="289"/>
      <c r="AT369" s="294">
        <f t="shared" si="14"/>
        <v>166.3</v>
      </c>
      <c r="AU369" s="288"/>
      <c r="AV369" s="290"/>
      <c r="AW369" s="285"/>
      <c r="AX369" s="296"/>
      <c r="AY369" s="313"/>
      <c r="AZ369" s="261"/>
      <c r="BA369" s="261"/>
      <c r="BB369" s="261"/>
      <c r="BC369" s="261"/>
    </row>
    <row r="370" spans="1:55" s="107" customFormat="1" ht="18.75">
      <c r="A370" s="179"/>
      <c r="B370" s="179"/>
      <c r="C370" s="179"/>
      <c r="D370" s="181">
        <v>600000</v>
      </c>
      <c r="E370" s="181"/>
      <c r="F370" s="181"/>
      <c r="G370" s="181">
        <v>600000</v>
      </c>
      <c r="H370" s="472" t="s">
        <v>37</v>
      </c>
      <c r="I370" s="472"/>
      <c r="J370" s="266">
        <f>J377+J384+J393+J416+J427+J456+J516+J528+J478</f>
        <v>10092.424861490257</v>
      </c>
      <c r="K370" s="264">
        <f>L370-J370</f>
        <v>424.99239196444614</v>
      </c>
      <c r="L370" s="265">
        <f>L377+L384+L393+L416+L427+L456+L516+L528+L478</f>
        <v>10517.417253454703</v>
      </c>
      <c r="M370" s="266">
        <f>M377+M384+M393+M416+M427+M456+M516+M528+M478</f>
        <v>9338.8327790494604</v>
      </c>
      <c r="N370" s="264">
        <f>O370-M370</f>
        <v>366.00152747877473</v>
      </c>
      <c r="O370" s="265">
        <f>O377+O384+O393+O416+O427+O456+O516+O528+O478</f>
        <v>9704.8343065282352</v>
      </c>
      <c r="P370" s="266">
        <f>P377+P384+P393+P416+P427+P456+P516+P528+P478</f>
        <v>9683.1695741181538</v>
      </c>
      <c r="Q370" s="264">
        <f>R370-P370</f>
        <v>366.00508915794853</v>
      </c>
      <c r="R370" s="265">
        <f>R377+R384+R393+R416+R427+R456+R516+R528+R478</f>
        <v>10049.174663276102</v>
      </c>
      <c r="S370" s="266">
        <f>S377+S384+S393+S416+S427+S456+S516+S528+S478</f>
        <v>9253.6253414283583</v>
      </c>
      <c r="T370" s="264">
        <f>U370-S370</f>
        <v>-354.00546385718008</v>
      </c>
      <c r="U370" s="265">
        <f>U377+U384+U393+U416+U427+U456+U516+U528+U478</f>
        <v>8899.6198775711782</v>
      </c>
      <c r="V370" s="266">
        <f>V377+V384+V393+V416+V427+V456+V516+V528+V478</f>
        <v>8789.7674252890556</v>
      </c>
      <c r="W370" s="264">
        <f>X370-V370</f>
        <v>-504.00391750767812</v>
      </c>
      <c r="X370" s="265">
        <f>X377+X384+X393+X416+X427+X456+X516+X528+X478</f>
        <v>8285.7635077813775</v>
      </c>
      <c r="Y370" s="266">
        <f>Y377+Y384+Y393+Y416+Y427+Y456+Y516+Y528+Y478</f>
        <v>8022.3586912076908</v>
      </c>
      <c r="Z370" s="264">
        <f>AA370-Y370</f>
        <v>246.0104797830345</v>
      </c>
      <c r="AA370" s="265">
        <f>AA377+AA384+AA393+AA416+AA427+AA456+AA516+AA528+AA478</f>
        <v>8268.3691709907253</v>
      </c>
      <c r="AB370" s="266">
        <f>AB377+AB384+AB393+AB416+AB427+AB456+AB516+AB528+AB478</f>
        <v>8700.4306698920154</v>
      </c>
      <c r="AC370" s="264">
        <f>AD370-AB370</f>
        <v>-114.01280881929779</v>
      </c>
      <c r="AD370" s="265">
        <f>AD377+AD384+AD393+AD416+AD427+AD456+AD516+AD528+AD478</f>
        <v>8586.4178610727176</v>
      </c>
      <c r="AE370" s="266">
        <f>AE377+AE384+AE393+AE416+AE427+AE456+AE516+AE528+AE478</f>
        <v>8622.7487887938187</v>
      </c>
      <c r="AF370" s="264">
        <f>AG370-AE370</f>
        <v>-73.996289992475795</v>
      </c>
      <c r="AG370" s="265">
        <f>AG377+AG384+AG393+AG416+AG427+AG456+AG516+AG528+AG478</f>
        <v>8548.7524988013429</v>
      </c>
      <c r="AH370" s="266">
        <f>AH377+AH384+AH393+AH416+AH427+AH456+AH516+AH528+AH478</f>
        <v>8634.5732343550226</v>
      </c>
      <c r="AI370" s="264">
        <f>AJ370-AH370</f>
        <v>-103.98839407835658</v>
      </c>
      <c r="AJ370" s="265">
        <f>AJ377+AJ384+AJ393+AJ416+AJ427+AJ456+AJ516+AJ528+AJ478</f>
        <v>8530.584840276666</v>
      </c>
      <c r="AK370" s="266">
        <f>AK377+AK384+AK393+AK416+AK427+AK456+AK516+AK528+AK478</f>
        <v>8973.9424735426328</v>
      </c>
      <c r="AL370" s="264">
        <f>AM370-AK370</f>
        <v>586.00048094060912</v>
      </c>
      <c r="AM370" s="265">
        <f>AM377+AM384+AM393+AM416+AM427+AM456+AM516+AM528+AM478</f>
        <v>9559.9429544832419</v>
      </c>
      <c r="AN370" s="266">
        <f>AN377+AN384+AN393+AN416+AN427+AN456+AN516+AN528+AN478</f>
        <v>9513.2118064519291</v>
      </c>
      <c r="AO370" s="264">
        <f>AP370-AN370</f>
        <v>495.9923725465942</v>
      </c>
      <c r="AP370" s="265">
        <f>AP377+AP384+AP393+AP416+AP427+AP456+AP516+AP528+AP478</f>
        <v>10009.204178998523</v>
      </c>
      <c r="AQ370" s="266">
        <f>AQ377+AQ384+AQ393+AQ416+AQ427+AQ456+AQ516+AQ528+AQ478</f>
        <v>10423.228264260115</v>
      </c>
      <c r="AR370" s="264">
        <f>AS370-AQ370</f>
        <v>485.00088384070841</v>
      </c>
      <c r="AS370" s="265">
        <f>AS377+AS384+AS393+AS416+AS427+AS456+AS516+AS528+AS478</f>
        <v>10908.229148100823</v>
      </c>
      <c r="AT370" s="266">
        <f>AT377+AT384+AT393+AT416+AT427+AT456+AT516+AT528+AT478</f>
        <v>110048.31390987852</v>
      </c>
      <c r="AU370" s="264">
        <f>AV370-AT370</f>
        <v>1819.9963514571282</v>
      </c>
      <c r="AV370" s="267">
        <f>L370+O370+R370+U370+X370+AA370+AD370+AG370+AJ370+AM370+AP370+AS370</f>
        <v>111868.31026133565</v>
      </c>
      <c r="AW370" s="268"/>
      <c r="AX370" s="269">
        <f>AX377+AX384+AX393+AX416+AX427+AX456+AX516+AX528+AX478</f>
        <v>110198.29321329998</v>
      </c>
      <c r="AY370" s="376">
        <f>AY371+AY372+AY373+AY374+AY375+AY376</f>
        <v>114399.02308690001</v>
      </c>
      <c r="AZ370" s="346"/>
      <c r="BA370" s="346"/>
      <c r="BB370" s="346"/>
      <c r="BC370" s="346"/>
    </row>
    <row r="371" spans="1:55" s="106" customFormat="1">
      <c r="A371" s="179"/>
      <c r="B371" s="179"/>
      <c r="C371" s="179"/>
      <c r="D371" s="181"/>
      <c r="E371" s="181"/>
      <c r="F371" s="181"/>
      <c r="G371" s="181"/>
      <c r="H371" s="10" t="s">
        <v>56</v>
      </c>
      <c r="I371" s="10"/>
      <c r="J371" s="223">
        <f>J378+J385+J394+J417+J428+J457+J517+J529+J479</f>
        <v>5779.9108099040122</v>
      </c>
      <c r="K371" s="271"/>
      <c r="L371" s="224"/>
      <c r="M371" s="223">
        <f>M378+M385+M394+M417+M428+M457+M517+M529+M479</f>
        <v>5462.6713315832758</v>
      </c>
      <c r="N371" s="271"/>
      <c r="O371" s="224"/>
      <c r="P371" s="223">
        <f>P378+P385+P394+P417+P428+P457+P517+P529+P479</f>
        <v>5312.1509269509997</v>
      </c>
      <c r="Q371" s="271"/>
      <c r="R371" s="224"/>
      <c r="S371" s="223">
        <f>S378+S385+S394+S417+S428+S457+S517+S529+S479</f>
        <v>3901.2423925470966</v>
      </c>
      <c r="T371" s="271"/>
      <c r="U371" s="224"/>
      <c r="V371" s="223">
        <f>V378+V385+V394+V417+V428+V457+V517+V529+V479</f>
        <v>3244.8477128871423</v>
      </c>
      <c r="W371" s="271"/>
      <c r="X371" s="224"/>
      <c r="Y371" s="223">
        <f>Y378+Y385+Y394+Y417+Y428+Y457+Y517+Y529+Y479</f>
        <v>3178.6545600456338</v>
      </c>
      <c r="Z371" s="271"/>
      <c r="AA371" s="224"/>
      <c r="AB371" s="223">
        <f>AB378+AB385+AB394+AB417+AB428+AB457+AB517+AB529+AB479</f>
        <v>3536.4863632227843</v>
      </c>
      <c r="AC371" s="271"/>
      <c r="AD371" s="224"/>
      <c r="AE371" s="223">
        <f>AE378+AE385+AE394+AE417+AE428+AE457+AE517+AE529+AE479</f>
        <v>3584.1441467647687</v>
      </c>
      <c r="AF371" s="271"/>
      <c r="AG371" s="224"/>
      <c r="AH371" s="223">
        <f>AH378+AH385+AH394+AH417+AH428+AH457+AH517+AH529+AH479</f>
        <v>3928.0808288918197</v>
      </c>
      <c r="AI371" s="271"/>
      <c r="AJ371" s="224"/>
      <c r="AK371" s="223">
        <f>AK378+AK385+AK394+AK417+AK428+AK457+AK517+AK529+AK479</f>
        <v>4689.9450494255825</v>
      </c>
      <c r="AL371" s="271"/>
      <c r="AM371" s="224"/>
      <c r="AN371" s="223">
        <f>AN378+AN385+AN394+AN417+AN428+AN457+AN517+AN529+AN479</f>
        <v>5290.0897192391167</v>
      </c>
      <c r="AO371" s="271"/>
      <c r="AP371" s="224"/>
      <c r="AQ371" s="223">
        <f>AQ378+AQ385+AQ394+AQ417+AQ428+AQ457+AQ517+AQ529+AQ479</f>
        <v>5927.6486884408387</v>
      </c>
      <c r="AR371" s="271"/>
      <c r="AS371" s="224"/>
      <c r="AT371" s="223">
        <f>AT378+AT385+AT394+AT417+AT428+AT457+AT517+AT529+AT479</f>
        <v>53835.872529903078</v>
      </c>
      <c r="AU371" s="271"/>
      <c r="AV371" s="229"/>
      <c r="AW371" s="226"/>
      <c r="AX371" s="230"/>
      <c r="AY371" s="231">
        <f>AY378+AY385+AY394+AY417+AY428+AY457+AY517+AY529+AY479</f>
        <v>54703.221242800006</v>
      </c>
      <c r="AZ371" s="347"/>
      <c r="BA371" s="347"/>
      <c r="BB371" s="347"/>
      <c r="BC371" s="347"/>
    </row>
    <row r="372" spans="1:55" s="106" customFormat="1">
      <c r="A372" s="179"/>
      <c r="B372" s="179"/>
      <c r="C372" s="179"/>
      <c r="D372" s="181"/>
      <c r="E372" s="181"/>
      <c r="F372" s="181"/>
      <c r="G372" s="181"/>
      <c r="H372" s="10" t="s">
        <v>55</v>
      </c>
      <c r="I372" s="10"/>
      <c r="J372" s="223">
        <f>J395+J429+J458+J530+J480</f>
        <v>1541.6859512329102</v>
      </c>
      <c r="K372" s="271"/>
      <c r="L372" s="224"/>
      <c r="M372" s="223">
        <f>M395+M429+M458+M530+M480</f>
        <v>1434.3648834228516</v>
      </c>
      <c r="N372" s="271"/>
      <c r="O372" s="224"/>
      <c r="P372" s="223">
        <f>P395+P429+P458+P530+P480</f>
        <v>1555.8773880004883</v>
      </c>
      <c r="Q372" s="271"/>
      <c r="R372" s="224"/>
      <c r="S372" s="223">
        <f>S395+S429+S458+S530+S480</f>
        <v>2096.4459686279297</v>
      </c>
      <c r="T372" s="271"/>
      <c r="U372" s="224"/>
      <c r="V372" s="223">
        <f>V395+V429+V458+V530+V480</f>
        <v>2717.1613922119141</v>
      </c>
      <c r="W372" s="271"/>
      <c r="X372" s="224"/>
      <c r="Y372" s="223">
        <f>Y395+Y429+Y458+Y530+Y480</f>
        <v>2222.0460510253906</v>
      </c>
      <c r="Z372" s="271"/>
      <c r="AA372" s="224"/>
      <c r="AB372" s="223">
        <f>AB395+AB429+AB458+AB530+AB480</f>
        <v>1895.9627532958984</v>
      </c>
      <c r="AC372" s="271"/>
      <c r="AD372" s="224"/>
      <c r="AE372" s="223">
        <f>AE395+AE429+AE458+AE530+AE480</f>
        <v>1744.3549346923828</v>
      </c>
      <c r="AF372" s="271"/>
      <c r="AG372" s="224"/>
      <c r="AH372" s="223">
        <f>AH395+AH429+AH458+AH530+AH480</f>
        <v>1630.6428527832031</v>
      </c>
      <c r="AI372" s="271"/>
      <c r="AJ372" s="224"/>
      <c r="AK372" s="223">
        <f>AK395+AK429+AK458+AK530+AK480</f>
        <v>1639.9033889770508</v>
      </c>
      <c r="AL372" s="271"/>
      <c r="AM372" s="224"/>
      <c r="AN372" s="223">
        <f>AN395+AN429+AN458+AN530+AN480</f>
        <v>1657.5245361328125</v>
      </c>
      <c r="AO372" s="271"/>
      <c r="AP372" s="224"/>
      <c r="AQ372" s="223">
        <f>AQ395+AQ429+AQ458+AQ530+AQ480</f>
        <v>1675.3695907592773</v>
      </c>
      <c r="AR372" s="271"/>
      <c r="AS372" s="224"/>
      <c r="AT372" s="223">
        <f>AT395+AT429+AT458+AT530+AT480</f>
        <v>21811.339691162109</v>
      </c>
      <c r="AU372" s="271"/>
      <c r="AV372" s="229"/>
      <c r="AW372" s="226"/>
      <c r="AX372" s="230"/>
      <c r="AY372" s="231">
        <f>AY395+AY429+AY458+AY530+AY480</f>
        <v>24848.764064999999</v>
      </c>
      <c r="AZ372" s="347"/>
      <c r="BA372" s="347"/>
      <c r="BB372" s="347"/>
      <c r="BC372" s="347"/>
    </row>
    <row r="373" spans="1:55" s="107" customFormat="1">
      <c r="A373" s="179"/>
      <c r="B373" s="179"/>
      <c r="C373" s="179"/>
      <c r="D373" s="181"/>
      <c r="E373" s="181"/>
      <c r="F373" s="181"/>
      <c r="G373" s="181"/>
      <c r="H373" s="10" t="s">
        <v>98</v>
      </c>
      <c r="I373" s="10"/>
      <c r="J373" s="223">
        <f>J459</f>
        <v>2421</v>
      </c>
      <c r="K373" s="271"/>
      <c r="L373" s="224"/>
      <c r="M373" s="223">
        <f>M459</f>
        <v>2128</v>
      </c>
      <c r="N373" s="271"/>
      <c r="O373" s="224"/>
      <c r="P373" s="223">
        <f>P459</f>
        <v>2471</v>
      </c>
      <c r="Q373" s="271"/>
      <c r="R373" s="224"/>
      <c r="S373" s="223">
        <f>S459</f>
        <v>2928</v>
      </c>
      <c r="T373" s="271"/>
      <c r="U373" s="224"/>
      <c r="V373" s="223">
        <f>V459</f>
        <v>2514</v>
      </c>
      <c r="W373" s="271"/>
      <c r="X373" s="224"/>
      <c r="Y373" s="223">
        <f>Y459</f>
        <v>2319</v>
      </c>
      <c r="Z373" s="271"/>
      <c r="AA373" s="224"/>
      <c r="AB373" s="223">
        <f>AB459</f>
        <v>2975</v>
      </c>
      <c r="AC373" s="271"/>
      <c r="AD373" s="224"/>
      <c r="AE373" s="223">
        <f>AE459</f>
        <v>3004</v>
      </c>
      <c r="AF373" s="271"/>
      <c r="AG373" s="224"/>
      <c r="AH373" s="223">
        <f>AH459</f>
        <v>2768</v>
      </c>
      <c r="AI373" s="271"/>
      <c r="AJ373" s="224"/>
      <c r="AK373" s="223">
        <f>AK459</f>
        <v>2275</v>
      </c>
      <c r="AL373" s="271"/>
      <c r="AM373" s="224"/>
      <c r="AN373" s="223">
        <f>AN459</f>
        <v>2201</v>
      </c>
      <c r="AO373" s="271"/>
      <c r="AP373" s="224"/>
      <c r="AQ373" s="223">
        <f>AQ459</f>
        <v>2446</v>
      </c>
      <c r="AR373" s="271"/>
      <c r="AS373" s="224"/>
      <c r="AT373" s="223">
        <f>AT459</f>
        <v>30450</v>
      </c>
      <c r="AU373" s="271"/>
      <c r="AV373" s="229"/>
      <c r="AW373" s="226"/>
      <c r="AX373" s="230"/>
      <c r="AY373" s="231">
        <f>AY459</f>
        <v>31861.392948000001</v>
      </c>
      <c r="AZ373" s="346"/>
      <c r="BA373" s="346"/>
      <c r="BB373" s="346"/>
      <c r="BC373" s="346"/>
    </row>
    <row r="374" spans="1:55" s="107" customFormat="1">
      <c r="A374" s="179"/>
      <c r="B374" s="179"/>
      <c r="C374" s="179"/>
      <c r="D374" s="181"/>
      <c r="E374" s="181"/>
      <c r="F374" s="181"/>
      <c r="G374" s="181"/>
      <c r="H374" s="10" t="s">
        <v>346</v>
      </c>
      <c r="I374" s="10"/>
      <c r="J374" s="223">
        <f>J518</f>
        <v>20.750999999999998</v>
      </c>
      <c r="K374" s="271"/>
      <c r="L374" s="224"/>
      <c r="M374" s="223">
        <f>M518</f>
        <v>13.151</v>
      </c>
      <c r="N374" s="271"/>
      <c r="O374" s="224"/>
      <c r="P374" s="223">
        <f>P518</f>
        <v>19.475000000000001</v>
      </c>
      <c r="Q374" s="271"/>
      <c r="R374" s="224"/>
      <c r="S374" s="223">
        <f>S518</f>
        <v>24.739000000000001</v>
      </c>
      <c r="T374" s="271"/>
      <c r="U374" s="224"/>
      <c r="V374" s="223">
        <f>V518</f>
        <v>21.787000000000003</v>
      </c>
      <c r="W374" s="271"/>
      <c r="X374" s="224"/>
      <c r="Y374" s="223">
        <f>Y518</f>
        <v>19.414000000000001</v>
      </c>
      <c r="Z374" s="271"/>
      <c r="AA374" s="224"/>
      <c r="AB374" s="223">
        <f>AB518</f>
        <v>13.318</v>
      </c>
      <c r="AC374" s="271"/>
      <c r="AD374" s="224"/>
      <c r="AE374" s="223">
        <f>AE518</f>
        <v>12.015000000000001</v>
      </c>
      <c r="AF374" s="271"/>
      <c r="AG374" s="224"/>
      <c r="AH374" s="223">
        <f>AH518</f>
        <v>12.974</v>
      </c>
      <c r="AI374" s="271"/>
      <c r="AJ374" s="224"/>
      <c r="AK374" s="223">
        <f>AK518</f>
        <v>12.814</v>
      </c>
      <c r="AL374" s="271"/>
      <c r="AM374" s="224"/>
      <c r="AN374" s="223">
        <f>AN518</f>
        <v>16.271999999999998</v>
      </c>
      <c r="AO374" s="271"/>
      <c r="AP374" s="224"/>
      <c r="AQ374" s="223">
        <f>AQ518</f>
        <v>14.885</v>
      </c>
      <c r="AR374" s="271"/>
      <c r="AS374" s="224"/>
      <c r="AT374" s="223">
        <f>AT518</f>
        <v>201.59500000000003</v>
      </c>
      <c r="AU374" s="271"/>
      <c r="AV374" s="229"/>
      <c r="AW374" s="226"/>
      <c r="AX374" s="230"/>
      <c r="AY374" s="231">
        <f>AY518</f>
        <v>87.654268999999999</v>
      </c>
      <c r="AZ374" s="346"/>
      <c r="BA374" s="346"/>
      <c r="BB374" s="346"/>
      <c r="BC374" s="346"/>
    </row>
    <row r="375" spans="1:55" s="107" customFormat="1">
      <c r="A375" s="179"/>
      <c r="B375" s="179"/>
      <c r="C375" s="179"/>
      <c r="D375" s="181"/>
      <c r="E375" s="181"/>
      <c r="F375" s="181"/>
      <c r="G375" s="181"/>
      <c r="H375" s="10" t="s">
        <v>347</v>
      </c>
      <c r="I375" s="10"/>
      <c r="J375" s="223">
        <f>J430+J460</f>
        <v>5.2149999999999999</v>
      </c>
      <c r="K375" s="271"/>
      <c r="L375" s="224"/>
      <c r="M375" s="223">
        <f>M430+M460</f>
        <v>8.4290000000000003</v>
      </c>
      <c r="N375" s="271"/>
      <c r="O375" s="224"/>
      <c r="P375" s="223">
        <f>P430+P460</f>
        <v>14.482000000000001</v>
      </c>
      <c r="Q375" s="271"/>
      <c r="R375" s="224"/>
      <c r="S375" s="223">
        <f>S430+S460</f>
        <v>15.602</v>
      </c>
      <c r="T375" s="271"/>
      <c r="U375" s="224"/>
      <c r="V375" s="223">
        <f>V430+V460</f>
        <v>18.146999999999998</v>
      </c>
      <c r="W375" s="271"/>
      <c r="X375" s="224"/>
      <c r="Y375" s="223">
        <f>Y430+Y460</f>
        <v>17.408000000000001</v>
      </c>
      <c r="Z375" s="271"/>
      <c r="AA375" s="224"/>
      <c r="AB375" s="223">
        <f>AB430+AB460</f>
        <v>16.904000000000003</v>
      </c>
      <c r="AC375" s="271"/>
      <c r="AD375" s="224"/>
      <c r="AE375" s="223">
        <f>AE430+AE460</f>
        <v>18.484999999999999</v>
      </c>
      <c r="AF375" s="271"/>
      <c r="AG375" s="224"/>
      <c r="AH375" s="223">
        <f>AH430+AH460</f>
        <v>13.972000000000001</v>
      </c>
      <c r="AI375" s="271"/>
      <c r="AJ375" s="224"/>
      <c r="AK375" s="223">
        <f>AK430+AK460</f>
        <v>7</v>
      </c>
      <c r="AL375" s="271"/>
      <c r="AM375" s="224"/>
      <c r="AN375" s="223">
        <f>AN430+AN460</f>
        <v>6.05</v>
      </c>
      <c r="AO375" s="271"/>
      <c r="AP375" s="224"/>
      <c r="AQ375" s="223">
        <f>AQ430+AQ460</f>
        <v>2.8160000000000003</v>
      </c>
      <c r="AR375" s="271"/>
      <c r="AS375" s="224"/>
      <c r="AT375" s="223">
        <f>AT430+AT460</f>
        <v>144.51</v>
      </c>
      <c r="AU375" s="271"/>
      <c r="AV375" s="229"/>
      <c r="AW375" s="226"/>
      <c r="AX375" s="230"/>
      <c r="AY375" s="231">
        <f>AY430+AY460</f>
        <v>31.723029</v>
      </c>
      <c r="AZ375" s="346"/>
      <c r="BA375" s="346"/>
      <c r="BB375" s="346"/>
      <c r="BC375" s="346"/>
    </row>
    <row r="376" spans="1:55" ht="16.5" thickBot="1">
      <c r="B376" s="179"/>
      <c r="C376" s="179"/>
      <c r="D376" s="181"/>
      <c r="E376" s="181"/>
      <c r="F376" s="181"/>
      <c r="G376" s="181"/>
      <c r="H376" s="121" t="s">
        <v>99</v>
      </c>
      <c r="I376" s="121"/>
      <c r="J376" s="820">
        <f>J379+J386+J396+J418+J431+J461+J519+J481</f>
        <v>323.86210035333329</v>
      </c>
      <c r="K376" s="273"/>
      <c r="L376" s="233"/>
      <c r="M376" s="272">
        <f>M379+M386+M396+M418+M431+M461+M519+M481</f>
        <v>292.21656404333328</v>
      </c>
      <c r="N376" s="273"/>
      <c r="O376" s="233"/>
      <c r="P376" s="272">
        <f>P379+P386+P396+P418+P431+P461+P519+P481</f>
        <v>310.18425916666672</v>
      </c>
      <c r="Q376" s="273"/>
      <c r="R376" s="233"/>
      <c r="S376" s="272">
        <f>S379+S386+S396+S418+S431+S461+S519+S481</f>
        <v>287.59598025333332</v>
      </c>
      <c r="T376" s="273"/>
      <c r="U376" s="233"/>
      <c r="V376" s="272">
        <f>V379+V386+V396+V418+V431+V461+V519+V481</f>
        <v>273.82432018999998</v>
      </c>
      <c r="W376" s="273"/>
      <c r="X376" s="233"/>
      <c r="Y376" s="272">
        <f>Y379+Y386+Y396+Y418+Y431+Y461+Y519+Y481</f>
        <v>265.83608013666668</v>
      </c>
      <c r="Z376" s="273"/>
      <c r="AA376" s="233"/>
      <c r="AB376" s="272">
        <f>AB379+AB386+AB396+AB418+AB431+AB461+AB519+AB481</f>
        <v>262.75955337333335</v>
      </c>
      <c r="AC376" s="273"/>
      <c r="AD376" s="233"/>
      <c r="AE376" s="272">
        <f>AE379+AE386+AE396+AE418+AE431+AE461+AE519+AE481</f>
        <v>259.74970733666663</v>
      </c>
      <c r="AF376" s="273"/>
      <c r="AG376" s="233"/>
      <c r="AH376" s="272">
        <f>AH379+AH386+AH396+AH418+AH431+AH461+AH519+AH481</f>
        <v>280.90355268000002</v>
      </c>
      <c r="AI376" s="273"/>
      <c r="AJ376" s="233"/>
      <c r="AK376" s="272">
        <f>AK379+AK386+AK396+AK418+AK431+AK461+AK519+AK481</f>
        <v>349.28003514</v>
      </c>
      <c r="AL376" s="273"/>
      <c r="AM376" s="233"/>
      <c r="AN376" s="272">
        <f>AN379+AN386+AN396+AN418+AN431+AN461+AN519+AN481</f>
        <v>342.27555108000001</v>
      </c>
      <c r="AO376" s="273"/>
      <c r="AP376" s="233"/>
      <c r="AQ376" s="272">
        <f>AQ379+AQ386+AQ396+AQ418+AQ431+AQ461+AQ519+AQ481</f>
        <v>356.50898505999999</v>
      </c>
      <c r="AR376" s="273"/>
      <c r="AS376" s="233"/>
      <c r="AT376" s="272">
        <f>AT379+AT386+AT396+AT418+AT431+AT461+AT519+AT481</f>
        <v>3604.9966888133335</v>
      </c>
      <c r="AU376" s="273"/>
      <c r="AV376" s="234"/>
      <c r="AW376" s="235"/>
      <c r="AX376" s="236"/>
      <c r="AY376" s="237">
        <f>AY379+AY386+AY396+AY418+AY431+AY461+AY519+AY481</f>
        <v>2866.2675331</v>
      </c>
      <c r="AZ376" s="261"/>
      <c r="BA376" s="261"/>
      <c r="BB376" s="261"/>
      <c r="BC376" s="261"/>
    </row>
    <row r="377" spans="1:55" ht="18.75">
      <c r="B377" s="179"/>
      <c r="C377" s="179"/>
      <c r="D377" s="181">
        <v>311800</v>
      </c>
      <c r="E377" s="181"/>
      <c r="F377" s="181"/>
      <c r="G377" s="181">
        <v>311800</v>
      </c>
      <c r="H377" s="473" t="s">
        <v>1586</v>
      </c>
      <c r="I377" s="473"/>
      <c r="J377" s="277">
        <f>SUM(J378:J379)</f>
        <v>112.10889599999999</v>
      </c>
      <c r="K377" s="275">
        <f>L377-J377</f>
        <v>164.87391799672386</v>
      </c>
      <c r="L377" s="276">
        <f>Потребление!D31</f>
        <v>276.98281399672385</v>
      </c>
      <c r="M377" s="274">
        <f>SUM(M378:M379)</f>
        <v>92.474924999999999</v>
      </c>
      <c r="N377" s="275">
        <f>O377-M377</f>
        <v>163.20098559155656</v>
      </c>
      <c r="O377" s="276">
        <f>Потребление!E31</f>
        <v>255.67591059155654</v>
      </c>
      <c r="P377" s="274">
        <f>SUM(P378:P379)</f>
        <v>89.485151999999999</v>
      </c>
      <c r="Q377" s="275">
        <f>R377-P377</f>
        <v>139.69503478877112</v>
      </c>
      <c r="R377" s="276">
        <f>Потребление!F31</f>
        <v>229.18018678877112</v>
      </c>
      <c r="S377" s="274">
        <f>SUM(S378:S379)</f>
        <v>74.968760000000003</v>
      </c>
      <c r="T377" s="275">
        <f>U377-S377</f>
        <v>118.10364646364135</v>
      </c>
      <c r="U377" s="276">
        <f>Потребление!G31</f>
        <v>193.07240646364136</v>
      </c>
      <c r="V377" s="274">
        <f>SUM(V378:V379)</f>
        <v>50.414788999999999</v>
      </c>
      <c r="W377" s="275">
        <f>X377-V377</f>
        <v>108.71447290536703</v>
      </c>
      <c r="X377" s="276">
        <f>Потребление!H31</f>
        <v>159.12926190536703</v>
      </c>
      <c r="Y377" s="274">
        <f>SUM(Y378:Y379)</f>
        <v>57.311999999999998</v>
      </c>
      <c r="Z377" s="275">
        <f>AA377-Y377</f>
        <v>113.12902288586808</v>
      </c>
      <c r="AA377" s="276">
        <f>Потребление!I31</f>
        <v>170.44102288586808</v>
      </c>
      <c r="AB377" s="274">
        <f>SUM(AB378:AB379)</f>
        <v>65.599999999999994</v>
      </c>
      <c r="AC377" s="275">
        <f>AD377-AB377</f>
        <v>128.75586963709495</v>
      </c>
      <c r="AD377" s="276">
        <f>Потребление!J31</f>
        <v>194.35586963709494</v>
      </c>
      <c r="AE377" s="274">
        <f>SUM(AE378:AE379)</f>
        <v>65.489999999999995</v>
      </c>
      <c r="AF377" s="275">
        <f>AG377-AE377</f>
        <v>113.19769697516951</v>
      </c>
      <c r="AG377" s="276">
        <f>Потребление!K31</f>
        <v>178.6876969751695</v>
      </c>
      <c r="AH377" s="274">
        <f>SUM(AH378:AH379)</f>
        <v>70.2</v>
      </c>
      <c r="AI377" s="275">
        <f>AJ377-AH377</f>
        <v>136.88577992647646</v>
      </c>
      <c r="AJ377" s="276">
        <f>Потребление!L31</f>
        <v>207.08577992647645</v>
      </c>
      <c r="AK377" s="274">
        <f>SUM(AK378:AK379)</f>
        <v>80.539999999999992</v>
      </c>
      <c r="AL377" s="275">
        <f>AM377-AK377</f>
        <v>162.70578956127173</v>
      </c>
      <c r="AM377" s="276">
        <f>Потребление!M31</f>
        <v>243.24578956127172</v>
      </c>
      <c r="AN377" s="274">
        <f>SUM(AN378:AN379)</f>
        <v>93.588800000000006</v>
      </c>
      <c r="AO377" s="275">
        <f>AP377-AN377</f>
        <v>134.52825051834526</v>
      </c>
      <c r="AP377" s="276">
        <f>Потребление!N31</f>
        <v>228.11705051834525</v>
      </c>
      <c r="AQ377" s="274">
        <f>SUM(AQ378:AQ379)</f>
        <v>103.34579099999999</v>
      </c>
      <c r="AR377" s="275">
        <f>AS377-AQ377</f>
        <v>150.62314541612986</v>
      </c>
      <c r="AS377" s="276">
        <f>Потребление!O31</f>
        <v>253.96893641612985</v>
      </c>
      <c r="AT377" s="274">
        <f>SUM(AT378:AT379)</f>
        <v>955.52911300000005</v>
      </c>
      <c r="AU377" s="275">
        <f>AV377-AT377</f>
        <v>1634.4136126664157</v>
      </c>
      <c r="AV377" s="278">
        <f>L377+O377+R377+U377+X377+AA377+AD377+AG377+AJ377+AM377+AP377+AS377</f>
        <v>2589.9427256664158</v>
      </c>
      <c r="AW377" s="279"/>
      <c r="AX377" s="1067">
        <v>2612.763359</v>
      </c>
      <c r="AY377" s="298">
        <f>SUM(AY378:AY379)</f>
        <v>924.1614239999999</v>
      </c>
      <c r="AZ377" s="261"/>
      <c r="BA377" s="261"/>
      <c r="BB377" s="261"/>
      <c r="BC377" s="261"/>
    </row>
    <row r="378" spans="1:55">
      <c r="B378" s="179"/>
      <c r="C378" s="179"/>
      <c r="D378" s="181"/>
      <c r="E378" s="181"/>
      <c r="F378" s="181"/>
      <c r="G378" s="181"/>
      <c r="H378" s="10" t="s">
        <v>56</v>
      </c>
      <c r="I378" s="10"/>
      <c r="J378" s="223">
        <f>SUM(J380:J381)</f>
        <v>86.068895999999995</v>
      </c>
      <c r="K378" s="271"/>
      <c r="L378" s="224"/>
      <c r="M378" s="270">
        <f>SUM(M380:M381)</f>
        <v>68.114924999999999</v>
      </c>
      <c r="N378" s="271"/>
      <c r="O378" s="224"/>
      <c r="P378" s="270">
        <f>SUM(P380:P381)</f>
        <v>63.445152</v>
      </c>
      <c r="Q378" s="271"/>
      <c r="R378" s="224"/>
      <c r="S378" s="270">
        <f>SUM(S380:S381)</f>
        <v>50.488759999999999</v>
      </c>
      <c r="T378" s="271"/>
      <c r="U378" s="224"/>
      <c r="V378" s="270">
        <f>SUM(V380:V381)</f>
        <v>28.384788999999998</v>
      </c>
      <c r="W378" s="271"/>
      <c r="X378" s="224"/>
      <c r="Y378" s="270">
        <f>SUM(Y380:Y381)</f>
        <v>32.832000000000001</v>
      </c>
      <c r="Z378" s="271"/>
      <c r="AA378" s="224"/>
      <c r="AB378" s="270">
        <f>SUM(AB380:AB381)</f>
        <v>40.299999999999997</v>
      </c>
      <c r="AC378" s="271"/>
      <c r="AD378" s="224"/>
      <c r="AE378" s="270">
        <f>SUM(AE380:AE381)</f>
        <v>40.19</v>
      </c>
      <c r="AF378" s="271"/>
      <c r="AG378" s="224"/>
      <c r="AH378" s="270">
        <f>SUM(AH380:AH381)</f>
        <v>45.72</v>
      </c>
      <c r="AI378" s="271"/>
      <c r="AJ378" s="224"/>
      <c r="AK378" s="270">
        <f>SUM(AK380:AK381)</f>
        <v>54.5</v>
      </c>
      <c r="AL378" s="271"/>
      <c r="AM378" s="224"/>
      <c r="AN378" s="270">
        <f>SUM(AN380:AN381)</f>
        <v>68.388800000000003</v>
      </c>
      <c r="AO378" s="271"/>
      <c r="AP378" s="224"/>
      <c r="AQ378" s="270">
        <f>SUM(AQ380:AQ381)</f>
        <v>77.305790999999999</v>
      </c>
      <c r="AR378" s="271"/>
      <c r="AS378" s="224"/>
      <c r="AT378" s="270">
        <f>SUM(AT380:AT381)</f>
        <v>655.73911299999997</v>
      </c>
      <c r="AU378" s="271"/>
      <c r="AV378" s="229"/>
      <c r="AW378" s="226"/>
      <c r="AX378" s="230"/>
      <c r="AY378" s="231">
        <f>SUM(AY380:AY381)</f>
        <v>647.97736899999995</v>
      </c>
      <c r="AZ378" s="261"/>
      <c r="BA378" s="261"/>
      <c r="BB378" s="261"/>
      <c r="BC378" s="261"/>
    </row>
    <row r="379" spans="1:55" s="107" customFormat="1">
      <c r="A379" s="179"/>
      <c r="B379" s="179"/>
      <c r="C379" s="179"/>
      <c r="D379" s="181"/>
      <c r="E379" s="181"/>
      <c r="F379" s="181"/>
      <c r="G379" s="181"/>
      <c r="H379" s="10" t="s">
        <v>99</v>
      </c>
      <c r="I379" s="10"/>
      <c r="J379" s="223">
        <f>J382</f>
        <v>26.04</v>
      </c>
      <c r="K379" s="271"/>
      <c r="L379" s="224"/>
      <c r="M379" s="270">
        <f>M382</f>
        <v>24.36</v>
      </c>
      <c r="N379" s="271"/>
      <c r="O379" s="224"/>
      <c r="P379" s="270">
        <f>P382</f>
        <v>26.04</v>
      </c>
      <c r="Q379" s="271"/>
      <c r="R379" s="224"/>
      <c r="S379" s="270">
        <f>S382</f>
        <v>24.48</v>
      </c>
      <c r="T379" s="271"/>
      <c r="U379" s="224"/>
      <c r="V379" s="270">
        <f>V382</f>
        <v>22.03</v>
      </c>
      <c r="W379" s="271"/>
      <c r="X379" s="224"/>
      <c r="Y379" s="270">
        <f>Y382</f>
        <v>24.48</v>
      </c>
      <c r="Z379" s="271"/>
      <c r="AA379" s="224"/>
      <c r="AB379" s="270">
        <f>AB382</f>
        <v>25.3</v>
      </c>
      <c r="AC379" s="271"/>
      <c r="AD379" s="224"/>
      <c r="AE379" s="270">
        <f>AE382</f>
        <v>25.3</v>
      </c>
      <c r="AF379" s="271"/>
      <c r="AG379" s="224"/>
      <c r="AH379" s="270">
        <f>AH382</f>
        <v>24.48</v>
      </c>
      <c r="AI379" s="271"/>
      <c r="AJ379" s="224"/>
      <c r="AK379" s="270">
        <f>AK382</f>
        <v>26.04</v>
      </c>
      <c r="AL379" s="271"/>
      <c r="AM379" s="224"/>
      <c r="AN379" s="270">
        <f>AN382</f>
        <v>25.2</v>
      </c>
      <c r="AO379" s="271"/>
      <c r="AP379" s="224"/>
      <c r="AQ379" s="270">
        <f>AQ382</f>
        <v>26.04</v>
      </c>
      <c r="AR379" s="271"/>
      <c r="AS379" s="224"/>
      <c r="AT379" s="270">
        <f>AT382</f>
        <v>299.79000000000002</v>
      </c>
      <c r="AU379" s="271"/>
      <c r="AV379" s="229"/>
      <c r="AW379" s="226"/>
      <c r="AX379" s="230"/>
      <c r="AY379" s="231">
        <f>AY382</f>
        <v>276.184055</v>
      </c>
      <c r="AZ379" s="346"/>
      <c r="BA379" s="346"/>
      <c r="BB379" s="346"/>
      <c r="BC379" s="346"/>
    </row>
    <row r="380" spans="1:55">
      <c r="B380" s="179"/>
      <c r="C380" s="179"/>
      <c r="D380" s="181">
        <v>311810</v>
      </c>
      <c r="E380" s="181"/>
      <c r="F380" s="181"/>
      <c r="G380" s="1110">
        <v>311810</v>
      </c>
      <c r="H380" s="127" t="s">
        <v>1477</v>
      </c>
      <c r="I380" s="516" t="s">
        <v>364</v>
      </c>
      <c r="J380" s="244">
        <v>85.47</v>
      </c>
      <c r="K380" s="709"/>
      <c r="L380" s="710"/>
      <c r="M380" s="244">
        <v>67.69</v>
      </c>
      <c r="N380" s="709"/>
      <c r="O380" s="710"/>
      <c r="P380" s="244">
        <v>62.82</v>
      </c>
      <c r="Q380" s="709"/>
      <c r="R380" s="710"/>
      <c r="S380" s="244">
        <v>49.64</v>
      </c>
      <c r="T380" s="709"/>
      <c r="U380" s="710"/>
      <c r="V380" s="244">
        <v>28.31</v>
      </c>
      <c r="W380" s="709"/>
      <c r="X380" s="710"/>
      <c r="Y380" s="262">
        <f>33.07-0.238</f>
        <v>32.832000000000001</v>
      </c>
      <c r="Z380" s="709"/>
      <c r="AA380" s="710"/>
      <c r="AB380" s="244">
        <v>40.299999999999997</v>
      </c>
      <c r="AC380" s="709"/>
      <c r="AD380" s="710"/>
      <c r="AE380" s="244">
        <v>40.19</v>
      </c>
      <c r="AF380" s="709"/>
      <c r="AG380" s="710"/>
      <c r="AH380" s="244">
        <v>45.72</v>
      </c>
      <c r="AI380" s="709"/>
      <c r="AJ380" s="710"/>
      <c r="AK380" s="244">
        <v>54.5</v>
      </c>
      <c r="AL380" s="709"/>
      <c r="AM380" s="710"/>
      <c r="AN380" s="244">
        <v>67.33</v>
      </c>
      <c r="AO380" s="709"/>
      <c r="AP380" s="710"/>
      <c r="AQ380" s="244">
        <v>76.150000000000006</v>
      </c>
      <c r="AR380" s="283"/>
      <c r="AS380" s="299"/>
      <c r="AT380" s="244">
        <f>J380+M380+P380+S380+V380+Y380+AB380+AE380+AH380+AK380+AN380+AQ380</f>
        <v>650.952</v>
      </c>
      <c r="AU380" s="283"/>
      <c r="AV380" s="284"/>
      <c r="AW380" s="285"/>
      <c r="AX380" s="321"/>
      <c r="AY380" s="435">
        <v>643.19025599999998</v>
      </c>
      <c r="AZ380" s="261"/>
      <c r="BA380" s="261"/>
      <c r="BB380" s="261"/>
      <c r="BC380" s="261"/>
    </row>
    <row r="381" spans="1:55">
      <c r="B381" s="179"/>
      <c r="C381" s="179"/>
      <c r="D381" s="181">
        <v>311811</v>
      </c>
      <c r="E381" s="181"/>
      <c r="F381" s="181"/>
      <c r="G381" s="1110">
        <v>311811</v>
      </c>
      <c r="H381" s="122" t="s">
        <v>851</v>
      </c>
      <c r="I381" s="516" t="s">
        <v>365</v>
      </c>
      <c r="J381" s="244">
        <v>0.59889599999999998</v>
      </c>
      <c r="K381" s="709"/>
      <c r="L381" s="710"/>
      <c r="M381" s="244">
        <v>0.424925</v>
      </c>
      <c r="N381" s="709"/>
      <c r="O381" s="710"/>
      <c r="P381" s="244">
        <v>0.62515200000000004</v>
      </c>
      <c r="Q381" s="709"/>
      <c r="R381" s="710"/>
      <c r="S381" s="244">
        <v>0.84875999999999996</v>
      </c>
      <c r="T381" s="709"/>
      <c r="U381" s="710"/>
      <c r="V381" s="244">
        <v>7.4788999999999994E-2</v>
      </c>
      <c r="W381" s="709"/>
      <c r="X381" s="710"/>
      <c r="Y381" s="244">
        <v>0</v>
      </c>
      <c r="Z381" s="709"/>
      <c r="AA381" s="710"/>
      <c r="AB381" s="244">
        <v>0</v>
      </c>
      <c r="AC381" s="709"/>
      <c r="AD381" s="710"/>
      <c r="AE381" s="244">
        <v>0</v>
      </c>
      <c r="AF381" s="709"/>
      <c r="AG381" s="710"/>
      <c r="AH381" s="244">
        <v>0</v>
      </c>
      <c r="AI381" s="709"/>
      <c r="AJ381" s="710"/>
      <c r="AK381" s="244">
        <v>0</v>
      </c>
      <c r="AL381" s="709"/>
      <c r="AM381" s="710"/>
      <c r="AN381" s="244">
        <v>1.0588</v>
      </c>
      <c r="AO381" s="709"/>
      <c r="AP381" s="710"/>
      <c r="AQ381" s="244">
        <v>1.155791</v>
      </c>
      <c r="AR381" s="283"/>
      <c r="AS381" s="299"/>
      <c r="AT381" s="244">
        <f>J381+M381+P381+S381+V381+Y381+AB381+AE381+AH381+AK381+AN381+AQ381</f>
        <v>4.7871129999999997</v>
      </c>
      <c r="AU381" s="283"/>
      <c r="AV381" s="284"/>
      <c r="AW381" s="285"/>
      <c r="AX381" s="321"/>
      <c r="AY381" s="435">
        <v>4.7871129999999997</v>
      </c>
      <c r="AZ381" s="261"/>
      <c r="BA381" s="261"/>
      <c r="BB381" s="261"/>
      <c r="BC381" s="261"/>
    </row>
    <row r="382" spans="1:55" s="6" customFormat="1">
      <c r="A382" s="179"/>
      <c r="B382" s="179"/>
      <c r="C382" s="179"/>
      <c r="D382" s="181"/>
      <c r="E382" s="181"/>
      <c r="F382" s="181"/>
      <c r="G382" s="1110"/>
      <c r="H382" s="138" t="s">
        <v>174</v>
      </c>
      <c r="I382" s="138"/>
      <c r="J382" s="319">
        <f>J383</f>
        <v>26.04</v>
      </c>
      <c r="K382" s="288"/>
      <c r="L382" s="289"/>
      <c r="M382" s="287">
        <f>M383</f>
        <v>24.36</v>
      </c>
      <c r="N382" s="288"/>
      <c r="O382" s="289"/>
      <c r="P382" s="287">
        <f>P383</f>
        <v>26.04</v>
      </c>
      <c r="Q382" s="288"/>
      <c r="R382" s="289"/>
      <c r="S382" s="287">
        <f>S383</f>
        <v>24.48</v>
      </c>
      <c r="T382" s="288"/>
      <c r="U382" s="289"/>
      <c r="V382" s="287">
        <f>V383</f>
        <v>22.03</v>
      </c>
      <c r="W382" s="288"/>
      <c r="X382" s="289"/>
      <c r="Y382" s="287">
        <f>Y383</f>
        <v>24.48</v>
      </c>
      <c r="Z382" s="288"/>
      <c r="AA382" s="289"/>
      <c r="AB382" s="287">
        <f>AB383</f>
        <v>25.3</v>
      </c>
      <c r="AC382" s="288"/>
      <c r="AD382" s="289"/>
      <c r="AE382" s="287">
        <f>AE383</f>
        <v>25.3</v>
      </c>
      <c r="AF382" s="288"/>
      <c r="AG382" s="289"/>
      <c r="AH382" s="287">
        <f>AH383</f>
        <v>24.48</v>
      </c>
      <c r="AI382" s="288"/>
      <c r="AJ382" s="289"/>
      <c r="AK382" s="287">
        <f>AK383</f>
        <v>26.04</v>
      </c>
      <c r="AL382" s="288"/>
      <c r="AM382" s="289"/>
      <c r="AN382" s="287">
        <f>AN383</f>
        <v>25.2</v>
      </c>
      <c r="AO382" s="288"/>
      <c r="AP382" s="289"/>
      <c r="AQ382" s="287">
        <f>AQ383</f>
        <v>26.04</v>
      </c>
      <c r="AR382" s="288"/>
      <c r="AS382" s="289"/>
      <c r="AT382" s="287">
        <f>AT383</f>
        <v>299.79000000000002</v>
      </c>
      <c r="AU382" s="288"/>
      <c r="AV382" s="290"/>
      <c r="AW382" s="285"/>
      <c r="AX382" s="296"/>
      <c r="AY382" s="436">
        <v>276.184055</v>
      </c>
      <c r="AZ382" s="322"/>
      <c r="BA382" s="322"/>
      <c r="BB382" s="322"/>
      <c r="BC382" s="322"/>
    </row>
    <row r="383" spans="1:55" s="6" customFormat="1">
      <c r="A383" s="179"/>
      <c r="B383" s="179"/>
      <c r="C383" s="179"/>
      <c r="D383" s="181">
        <v>311840</v>
      </c>
      <c r="E383" s="181"/>
      <c r="F383" s="181"/>
      <c r="G383" s="1110">
        <v>311840</v>
      </c>
      <c r="H383" s="135" t="s">
        <v>1478</v>
      </c>
      <c r="I383" s="518" t="s">
        <v>365</v>
      </c>
      <c r="J383" s="294">
        <v>26.04</v>
      </c>
      <c r="K383" s="713"/>
      <c r="L383" s="714"/>
      <c r="M383" s="294">
        <v>24.36</v>
      </c>
      <c r="N383" s="713"/>
      <c r="O383" s="714"/>
      <c r="P383" s="294">
        <v>26.04</v>
      </c>
      <c r="Q383" s="713"/>
      <c r="R383" s="714"/>
      <c r="S383" s="294">
        <v>24.48</v>
      </c>
      <c r="T383" s="713"/>
      <c r="U383" s="714"/>
      <c r="V383" s="294">
        <v>22.03</v>
      </c>
      <c r="W383" s="713"/>
      <c r="X383" s="714"/>
      <c r="Y383" s="294">
        <v>24.48</v>
      </c>
      <c r="Z383" s="713"/>
      <c r="AA383" s="714"/>
      <c r="AB383" s="294">
        <v>25.3</v>
      </c>
      <c r="AC383" s="713"/>
      <c r="AD383" s="714"/>
      <c r="AE383" s="294">
        <v>25.3</v>
      </c>
      <c r="AF383" s="713"/>
      <c r="AG383" s="714"/>
      <c r="AH383" s="294">
        <v>24.48</v>
      </c>
      <c r="AI383" s="713"/>
      <c r="AJ383" s="714"/>
      <c r="AK383" s="294">
        <v>26.04</v>
      </c>
      <c r="AL383" s="713"/>
      <c r="AM383" s="714"/>
      <c r="AN383" s="294">
        <v>25.2</v>
      </c>
      <c r="AO383" s="713"/>
      <c r="AP383" s="714"/>
      <c r="AQ383" s="294">
        <v>26.04</v>
      </c>
      <c r="AR383" s="288"/>
      <c r="AS383" s="289"/>
      <c r="AT383" s="294">
        <f>J383+M383+P383+S383+V383+Y383+AB383+AE383+AH383+AK383+AN383+AQ383</f>
        <v>299.79000000000002</v>
      </c>
      <c r="AU383" s="288"/>
      <c r="AV383" s="290"/>
      <c r="AW383" s="285"/>
      <c r="AX383" s="296"/>
      <c r="AY383" s="313"/>
      <c r="AZ383" s="322"/>
      <c r="BA383" s="322"/>
      <c r="BB383" s="322"/>
      <c r="BC383" s="322"/>
    </row>
    <row r="384" spans="1:55" s="6" customFormat="1" ht="18.75">
      <c r="A384" s="179"/>
      <c r="B384" s="179"/>
      <c r="C384" s="179"/>
      <c r="D384" s="181">
        <v>316700</v>
      </c>
      <c r="E384" s="181"/>
      <c r="F384" s="181"/>
      <c r="G384" s="181">
        <v>316700</v>
      </c>
      <c r="H384" s="473" t="s">
        <v>1587</v>
      </c>
      <c r="I384" s="473"/>
      <c r="J384" s="277">
        <f>SUM(J385:J386)</f>
        <v>183.50986666666665</v>
      </c>
      <c r="K384" s="275">
        <f>L384-J384</f>
        <v>130.10728830456503</v>
      </c>
      <c r="L384" s="276">
        <f>Потребление!D32</f>
        <v>313.61715497123168</v>
      </c>
      <c r="M384" s="274">
        <f>SUM(M385:M386)</f>
        <v>162.16220000000001</v>
      </c>
      <c r="N384" s="275">
        <f>O384-M384</f>
        <v>130.01207347728766</v>
      </c>
      <c r="O384" s="276">
        <f>Потребление!E32</f>
        <v>292.17427347728767</v>
      </c>
      <c r="P384" s="274">
        <f>SUM(P385:P386)</f>
        <v>158.72793333333331</v>
      </c>
      <c r="Q384" s="275">
        <f>R384-P384</f>
        <v>139.43451805276626</v>
      </c>
      <c r="R384" s="276">
        <f>Потребление!F32</f>
        <v>298.16245138609958</v>
      </c>
      <c r="S384" s="274">
        <f>SUM(S385:S386)</f>
        <v>126.5903</v>
      </c>
      <c r="T384" s="275">
        <f>U384-S384</f>
        <v>137.07511923048617</v>
      </c>
      <c r="U384" s="276">
        <f>Потребление!G32</f>
        <v>263.66541923048618</v>
      </c>
      <c r="V384" s="274">
        <f>SUM(V385:V386)</f>
        <v>99.94</v>
      </c>
      <c r="W384" s="275">
        <f>X384-V384</f>
        <v>151.5875573751556</v>
      </c>
      <c r="X384" s="276">
        <f>Потребление!H32</f>
        <v>251.5275573751556</v>
      </c>
      <c r="Y384" s="274">
        <f>SUM(Y385:Y386)</f>
        <v>98.017416533333332</v>
      </c>
      <c r="Z384" s="275">
        <f>AA384-Y384</f>
        <v>152.70782008464471</v>
      </c>
      <c r="AA384" s="276">
        <f>Потребление!I32</f>
        <v>250.72523661797803</v>
      </c>
      <c r="AB384" s="274">
        <f>SUM(AB385:AB386)</f>
        <v>100.72139999999999</v>
      </c>
      <c r="AC384" s="275">
        <f>AD384-AB384</f>
        <v>153.51398993062975</v>
      </c>
      <c r="AD384" s="276">
        <f>Потребление!J32</f>
        <v>254.23538993062974</v>
      </c>
      <c r="AE384" s="274">
        <f>SUM(AE385:AE386)</f>
        <v>106.42076666666665</v>
      </c>
      <c r="AF384" s="275">
        <f>AG384-AE384</f>
        <v>154.03260913208894</v>
      </c>
      <c r="AG384" s="276">
        <f>Потребление!K32</f>
        <v>260.45337579875559</v>
      </c>
      <c r="AH384" s="274">
        <f>SUM(AH385:AH386)</f>
        <v>115.18076666666666</v>
      </c>
      <c r="AI384" s="275">
        <f>AJ384-AH384</f>
        <v>149.484793107271</v>
      </c>
      <c r="AJ384" s="276">
        <f>Потребление!L32</f>
        <v>264.66555977393767</v>
      </c>
      <c r="AK384" s="274">
        <f>SUM(AK385:AK386)</f>
        <v>156.89213333333333</v>
      </c>
      <c r="AL384" s="275">
        <f>AM384-AK384</f>
        <v>142.97524966176843</v>
      </c>
      <c r="AM384" s="276">
        <f>Потребление!M32</f>
        <v>299.86738299510176</v>
      </c>
      <c r="AN384" s="274">
        <f>SUM(AN385:AN386)</f>
        <v>158.04726666666667</v>
      </c>
      <c r="AO384" s="275">
        <f>AP384-AN384</f>
        <v>144.82881916785087</v>
      </c>
      <c r="AP384" s="276">
        <f>Потребление!N32</f>
        <v>302.87608583451754</v>
      </c>
      <c r="AQ384" s="274">
        <f>SUM(AQ385:AQ386)</f>
        <v>187.79086666666666</v>
      </c>
      <c r="AR384" s="275">
        <f>AS384-AQ384</f>
        <v>141.16064377612059</v>
      </c>
      <c r="AS384" s="276">
        <f>Потребление!O32</f>
        <v>328.95151044278725</v>
      </c>
      <c r="AT384" s="274">
        <f>SUM(AT385:AT386)</f>
        <v>1654.0009165333333</v>
      </c>
      <c r="AU384" s="275">
        <f>AV384-AT384</f>
        <v>1726.9204813006352</v>
      </c>
      <c r="AV384" s="278">
        <f>L384+O384+R384+U384+X384+AA384+AD384+AG384+AJ384+AM384+AP384+AS384</f>
        <v>3380.9213978339685</v>
      </c>
      <c r="AW384" s="279"/>
      <c r="AX384" s="1067">
        <v>3319.1271330999998</v>
      </c>
      <c r="AY384" s="298">
        <f>SUM(AY385:AY386)</f>
        <v>1589.6122581</v>
      </c>
      <c r="AZ384" s="322"/>
      <c r="BA384" s="322"/>
      <c r="BB384" s="322"/>
      <c r="BC384" s="322"/>
    </row>
    <row r="385" spans="1:55" s="6" customFormat="1">
      <c r="A385" s="179"/>
      <c r="B385" s="179"/>
      <c r="C385" s="179"/>
      <c r="D385" s="181"/>
      <c r="E385" s="181"/>
      <c r="F385" s="181"/>
      <c r="G385" s="181"/>
      <c r="H385" s="10" t="s">
        <v>56</v>
      </c>
      <c r="I385" s="10"/>
      <c r="J385" s="223">
        <f>SUM(J387:J388)</f>
        <v>156.18986666666666</v>
      </c>
      <c r="K385" s="271"/>
      <c r="L385" s="224"/>
      <c r="M385" s="270">
        <f>SUM(M387:M388)</f>
        <v>142.62220000000002</v>
      </c>
      <c r="N385" s="271"/>
      <c r="O385" s="224"/>
      <c r="P385" s="270">
        <f>SUM(P387:P388)</f>
        <v>131.59793333333332</v>
      </c>
      <c r="Q385" s="271"/>
      <c r="R385" s="224"/>
      <c r="S385" s="270">
        <f>SUM(S387:S388)</f>
        <v>94.290300000000002</v>
      </c>
      <c r="T385" s="271"/>
      <c r="U385" s="224"/>
      <c r="V385" s="270">
        <f>SUM(V387:V388)</f>
        <v>61.19</v>
      </c>
      <c r="W385" s="271"/>
      <c r="X385" s="224"/>
      <c r="Y385" s="270">
        <f>SUM(Y387:Y388)</f>
        <v>58.611433333333338</v>
      </c>
      <c r="Z385" s="271"/>
      <c r="AA385" s="224"/>
      <c r="AB385" s="270">
        <f>SUM(AB387:AB388)</f>
        <v>60.121400000000001</v>
      </c>
      <c r="AC385" s="271"/>
      <c r="AD385" s="224"/>
      <c r="AE385" s="270">
        <f>SUM(AE387:AE388)</f>
        <v>66.250766666666664</v>
      </c>
      <c r="AF385" s="271"/>
      <c r="AG385" s="224"/>
      <c r="AH385" s="270">
        <f>SUM(AH387:AH388)</f>
        <v>67.760766666666655</v>
      </c>
      <c r="AI385" s="271"/>
      <c r="AJ385" s="224"/>
      <c r="AK385" s="270">
        <f>SUM(AK387:AK388)</f>
        <v>111.44213333333332</v>
      </c>
      <c r="AL385" s="271"/>
      <c r="AM385" s="224"/>
      <c r="AN385" s="270">
        <f>SUM(AN387:AN388)</f>
        <v>120.14726666666667</v>
      </c>
      <c r="AO385" s="271"/>
      <c r="AP385" s="224"/>
      <c r="AQ385" s="270">
        <f>SUM(AQ387:AQ388)</f>
        <v>147.48086666666666</v>
      </c>
      <c r="AR385" s="271"/>
      <c r="AS385" s="224"/>
      <c r="AT385" s="270">
        <f>SUM(AT387:AT388)</f>
        <v>1217.7049333333334</v>
      </c>
      <c r="AU385" s="271"/>
      <c r="AV385" s="229"/>
      <c r="AW385" s="226"/>
      <c r="AX385" s="230"/>
      <c r="AY385" s="231">
        <f>SUM(AY387:AY388)</f>
        <v>1259.0352459999999</v>
      </c>
      <c r="AZ385" s="322"/>
      <c r="BA385" s="322"/>
      <c r="BB385" s="322"/>
      <c r="BC385" s="322"/>
    </row>
    <row r="386" spans="1:55" s="107" customFormat="1">
      <c r="A386" s="179"/>
      <c r="B386" s="179"/>
      <c r="C386" s="179"/>
      <c r="D386" s="181"/>
      <c r="E386" s="181"/>
      <c r="F386" s="181"/>
      <c r="G386" s="181"/>
      <c r="H386" s="10" t="s">
        <v>99</v>
      </c>
      <c r="I386" s="10"/>
      <c r="J386" s="223">
        <f>J389</f>
        <v>27.32</v>
      </c>
      <c r="K386" s="271"/>
      <c r="L386" s="224"/>
      <c r="M386" s="270">
        <f>M389</f>
        <v>19.54</v>
      </c>
      <c r="N386" s="271"/>
      <c r="O386" s="224"/>
      <c r="P386" s="270">
        <f>P389</f>
        <v>27.130000000000003</v>
      </c>
      <c r="Q386" s="271"/>
      <c r="R386" s="224"/>
      <c r="S386" s="270">
        <f>S389</f>
        <v>32.299999999999997</v>
      </c>
      <c r="T386" s="271"/>
      <c r="U386" s="224"/>
      <c r="V386" s="270">
        <f>V389</f>
        <v>38.75</v>
      </c>
      <c r="W386" s="271"/>
      <c r="X386" s="224"/>
      <c r="Y386" s="270">
        <f>Y389</f>
        <v>39.405983199999994</v>
      </c>
      <c r="Z386" s="271"/>
      <c r="AA386" s="224"/>
      <c r="AB386" s="270">
        <f>AB389</f>
        <v>40.599999999999994</v>
      </c>
      <c r="AC386" s="271"/>
      <c r="AD386" s="224"/>
      <c r="AE386" s="270">
        <f>AE389</f>
        <v>40.169999999999995</v>
      </c>
      <c r="AF386" s="271"/>
      <c r="AG386" s="224"/>
      <c r="AH386" s="270">
        <f>AH389</f>
        <v>47.42</v>
      </c>
      <c r="AI386" s="271"/>
      <c r="AJ386" s="224"/>
      <c r="AK386" s="270">
        <f>AK389</f>
        <v>45.45</v>
      </c>
      <c r="AL386" s="271"/>
      <c r="AM386" s="224"/>
      <c r="AN386" s="270">
        <f>AN389</f>
        <v>37.9</v>
      </c>
      <c r="AO386" s="271"/>
      <c r="AP386" s="224"/>
      <c r="AQ386" s="270">
        <f>AQ389</f>
        <v>40.31</v>
      </c>
      <c r="AR386" s="271"/>
      <c r="AS386" s="224"/>
      <c r="AT386" s="270">
        <f>AT389</f>
        <v>436.29598319999997</v>
      </c>
      <c r="AU386" s="271"/>
      <c r="AV386" s="229"/>
      <c r="AW386" s="226"/>
      <c r="AX386" s="230"/>
      <c r="AY386" s="231">
        <f>AY389</f>
        <v>330.57701209999999</v>
      </c>
      <c r="AZ386" s="346"/>
      <c r="BA386" s="346"/>
      <c r="BB386" s="346"/>
      <c r="BC386" s="346"/>
    </row>
    <row r="387" spans="1:55" s="107" customFormat="1">
      <c r="A387" s="179"/>
      <c r="B387" s="179"/>
      <c r="C387" s="179"/>
      <c r="D387" s="181">
        <v>316710</v>
      </c>
      <c r="E387" s="181"/>
      <c r="F387" s="181"/>
      <c r="G387" s="1110">
        <v>316710</v>
      </c>
      <c r="H387" s="127" t="s">
        <v>1205</v>
      </c>
      <c r="I387" s="516" t="s">
        <v>364</v>
      </c>
      <c r="J387" s="709">
        <v>146.13466666666665</v>
      </c>
      <c r="K387" s="709"/>
      <c r="L387" s="710"/>
      <c r="M387" s="1182">
        <f>122.567+10</f>
        <v>132.56700000000001</v>
      </c>
      <c r="N387" s="709"/>
      <c r="O387" s="710"/>
      <c r="P387" s="709">
        <v>120.90933333333332</v>
      </c>
      <c r="Q387" s="709"/>
      <c r="R387" s="710"/>
      <c r="S387" s="709">
        <v>87.802999999999997</v>
      </c>
      <c r="T387" s="709"/>
      <c r="U387" s="710"/>
      <c r="V387" s="709">
        <v>57.177</v>
      </c>
      <c r="W387" s="709"/>
      <c r="X387" s="710"/>
      <c r="Y387" s="709">
        <v>53.592333333333336</v>
      </c>
      <c r="Z387" s="709"/>
      <c r="AA387" s="710"/>
      <c r="AB387" s="709">
        <v>55.389000000000003</v>
      </c>
      <c r="AC387" s="709"/>
      <c r="AD387" s="710"/>
      <c r="AE387" s="709">
        <v>60.920666666666662</v>
      </c>
      <c r="AF387" s="709"/>
      <c r="AG387" s="710"/>
      <c r="AH387" s="709">
        <v>62.978666666666662</v>
      </c>
      <c r="AI387" s="709"/>
      <c r="AJ387" s="710"/>
      <c r="AK387" s="709">
        <v>105.19833333333332</v>
      </c>
      <c r="AL387" s="709"/>
      <c r="AM387" s="710"/>
      <c r="AN387" s="709">
        <v>109.79966666666667</v>
      </c>
      <c r="AO387" s="709"/>
      <c r="AP387" s="710"/>
      <c r="AQ387" s="709">
        <v>136.15466666666666</v>
      </c>
      <c r="AR387" s="283"/>
      <c r="AS387" s="299"/>
      <c r="AT387" s="244">
        <f>J387+M387+P387+S387+V387+Y387+AB387+AE387+AH387+AK387+AN387+AQ387</f>
        <v>1128.6243333333334</v>
      </c>
      <c r="AU387" s="283"/>
      <c r="AV387" s="284"/>
      <c r="AW387" s="285"/>
      <c r="AX387" s="321"/>
      <c r="AY387" s="435">
        <v>1161.90095</v>
      </c>
      <c r="AZ387" s="346"/>
      <c r="BA387" s="346"/>
      <c r="BB387" s="346"/>
      <c r="BC387" s="346"/>
    </row>
    <row r="388" spans="1:55" s="107" customFormat="1">
      <c r="A388" s="179"/>
      <c r="B388" s="179"/>
      <c r="C388" s="179"/>
      <c r="D388" s="181">
        <v>316740</v>
      </c>
      <c r="E388" s="181"/>
      <c r="F388" s="181"/>
      <c r="G388" s="1110">
        <v>316740</v>
      </c>
      <c r="H388" s="123" t="s">
        <v>894</v>
      </c>
      <c r="I388" s="516" t="s">
        <v>364</v>
      </c>
      <c r="J388" s="709">
        <v>10.055199999999999</v>
      </c>
      <c r="K388" s="709"/>
      <c r="L388" s="710"/>
      <c r="M388" s="709">
        <v>10.055199999999999</v>
      </c>
      <c r="N388" s="709"/>
      <c r="O388" s="710"/>
      <c r="P388" s="709">
        <v>10.688599999999999</v>
      </c>
      <c r="Q388" s="709"/>
      <c r="R388" s="710"/>
      <c r="S388" s="709">
        <v>6.4873000000000003</v>
      </c>
      <c r="T388" s="709"/>
      <c r="U388" s="710"/>
      <c r="V388" s="709">
        <v>4.0129999999999999</v>
      </c>
      <c r="W388" s="709"/>
      <c r="X388" s="710"/>
      <c r="Y388" s="709">
        <v>5.0190999999999999</v>
      </c>
      <c r="Z388" s="709"/>
      <c r="AA388" s="710"/>
      <c r="AB388" s="709">
        <v>4.7324000000000002</v>
      </c>
      <c r="AC388" s="709"/>
      <c r="AD388" s="710"/>
      <c r="AE388" s="709">
        <v>5.3300999999999998</v>
      </c>
      <c r="AF388" s="709"/>
      <c r="AG388" s="710"/>
      <c r="AH388" s="709">
        <v>4.7820999999999998</v>
      </c>
      <c r="AI388" s="709"/>
      <c r="AJ388" s="710"/>
      <c r="AK388" s="709">
        <v>6.2438000000000002</v>
      </c>
      <c r="AL388" s="709"/>
      <c r="AM388" s="710"/>
      <c r="AN388" s="709">
        <v>10.3476</v>
      </c>
      <c r="AO388" s="709"/>
      <c r="AP388" s="710"/>
      <c r="AQ388" s="709">
        <v>11.3262</v>
      </c>
      <c r="AR388" s="246"/>
      <c r="AS388" s="282"/>
      <c r="AT388" s="244">
        <f>J388+M388+P388+S388+V388+Y388+AB388+AE388+AH388+AK388+AN388+AQ388</f>
        <v>89.080600000000004</v>
      </c>
      <c r="AU388" s="246"/>
      <c r="AV388" s="336"/>
      <c r="AW388" s="285"/>
      <c r="AX388" s="337"/>
      <c r="AY388" s="438">
        <v>97.134296000000006</v>
      </c>
      <c r="AZ388" s="346"/>
      <c r="BA388" s="346"/>
      <c r="BB388" s="346"/>
      <c r="BC388" s="346"/>
    </row>
    <row r="389" spans="1:55" s="107" customFormat="1">
      <c r="A389" s="179"/>
      <c r="B389" s="179"/>
      <c r="C389" s="179"/>
      <c r="D389" s="181"/>
      <c r="E389" s="181"/>
      <c r="F389" s="181"/>
      <c r="G389" s="1110"/>
      <c r="H389" s="138" t="s">
        <v>174</v>
      </c>
      <c r="I389" s="138"/>
      <c r="J389" s="319">
        <f>SUM(J390:J392)</f>
        <v>27.32</v>
      </c>
      <c r="K389" s="288"/>
      <c r="L389" s="289"/>
      <c r="M389" s="287">
        <f>SUM(M390:M392)</f>
        <v>19.54</v>
      </c>
      <c r="N389" s="288"/>
      <c r="O389" s="289"/>
      <c r="P389" s="287">
        <f>SUM(P390:P392)</f>
        <v>27.130000000000003</v>
      </c>
      <c r="Q389" s="288"/>
      <c r="R389" s="289"/>
      <c r="S389" s="287">
        <f>SUM(S390:S392)</f>
        <v>32.299999999999997</v>
      </c>
      <c r="T389" s="288"/>
      <c r="U389" s="289"/>
      <c r="V389" s="287">
        <f>SUM(V390:V392)</f>
        <v>38.75</v>
      </c>
      <c r="W389" s="288"/>
      <c r="X389" s="289"/>
      <c r="Y389" s="287">
        <f>SUM(Y390:Y392)</f>
        <v>39.405983199999994</v>
      </c>
      <c r="Z389" s="288"/>
      <c r="AA389" s="289"/>
      <c r="AB389" s="287">
        <f>SUM(AB390:AB392)</f>
        <v>40.599999999999994</v>
      </c>
      <c r="AC389" s="288"/>
      <c r="AD389" s="289"/>
      <c r="AE389" s="287">
        <f>SUM(AE390:AE392)</f>
        <v>40.169999999999995</v>
      </c>
      <c r="AF389" s="288"/>
      <c r="AG389" s="289"/>
      <c r="AH389" s="287">
        <f>SUM(AH390:AH392)</f>
        <v>47.42</v>
      </c>
      <c r="AI389" s="288"/>
      <c r="AJ389" s="289"/>
      <c r="AK389" s="287">
        <f>SUM(AK390:AK392)</f>
        <v>45.45</v>
      </c>
      <c r="AL389" s="288"/>
      <c r="AM389" s="289"/>
      <c r="AN389" s="287">
        <f>SUM(AN390:AN392)</f>
        <v>37.9</v>
      </c>
      <c r="AO389" s="288"/>
      <c r="AP389" s="289"/>
      <c r="AQ389" s="287">
        <f>SUM(AQ390:AQ392)</f>
        <v>40.31</v>
      </c>
      <c r="AR389" s="288"/>
      <c r="AS389" s="289"/>
      <c r="AT389" s="287">
        <f>SUM(AT390:AT392)</f>
        <v>436.29598319999997</v>
      </c>
      <c r="AU389" s="288"/>
      <c r="AV389" s="290"/>
      <c r="AW389" s="285"/>
      <c r="AX389" s="296"/>
      <c r="AY389" s="436">
        <v>330.57701209999999</v>
      </c>
      <c r="AZ389" s="346"/>
      <c r="BA389" s="346"/>
      <c r="BB389" s="346"/>
      <c r="BC389" s="346"/>
    </row>
    <row r="390" spans="1:55" s="107" customFormat="1">
      <c r="A390" s="179"/>
      <c r="B390" s="179"/>
      <c r="C390" s="179"/>
      <c r="D390" s="181">
        <v>316713</v>
      </c>
      <c r="E390" s="181"/>
      <c r="F390" s="181"/>
      <c r="G390" s="1110">
        <v>316713</v>
      </c>
      <c r="H390" s="135" t="s">
        <v>1479</v>
      </c>
      <c r="I390" s="518" t="s">
        <v>365</v>
      </c>
      <c r="J390" s="715">
        <v>0</v>
      </c>
      <c r="K390" s="713"/>
      <c r="L390" s="714"/>
      <c r="M390" s="288">
        <v>0</v>
      </c>
      <c r="N390" s="713"/>
      <c r="O390" s="714"/>
      <c r="P390" s="715">
        <v>0</v>
      </c>
      <c r="Q390" s="713"/>
      <c r="R390" s="714"/>
      <c r="S390" s="715">
        <v>0</v>
      </c>
      <c r="T390" s="713"/>
      <c r="U390" s="714"/>
      <c r="V390" s="715">
        <v>0</v>
      </c>
      <c r="W390" s="713"/>
      <c r="X390" s="714"/>
      <c r="Y390" s="715">
        <v>0</v>
      </c>
      <c r="Z390" s="713"/>
      <c r="AA390" s="714"/>
      <c r="AB390" s="715">
        <v>0</v>
      </c>
      <c r="AC390" s="713"/>
      <c r="AD390" s="714"/>
      <c r="AE390" s="715">
        <v>0</v>
      </c>
      <c r="AF390" s="713"/>
      <c r="AG390" s="714"/>
      <c r="AH390" s="715">
        <v>8.2799999999999994</v>
      </c>
      <c r="AI390" s="713"/>
      <c r="AJ390" s="714"/>
      <c r="AK390" s="715">
        <v>8.56</v>
      </c>
      <c r="AL390" s="713"/>
      <c r="AM390" s="714"/>
      <c r="AN390" s="715">
        <v>8.2799999999999994</v>
      </c>
      <c r="AO390" s="713"/>
      <c r="AP390" s="714"/>
      <c r="AQ390" s="715">
        <v>8.56</v>
      </c>
      <c r="AR390" s="288"/>
      <c r="AS390" s="289"/>
      <c r="AT390" s="294">
        <f>J390+M390+P390+S390+V390+Y390+AB390+AE390+AH390+AK390+AN390+AQ390</f>
        <v>33.68</v>
      </c>
      <c r="AU390" s="288"/>
      <c r="AV390" s="290"/>
      <c r="AW390" s="285"/>
      <c r="AX390" s="296"/>
      <c r="AY390" s="313"/>
      <c r="AZ390" s="346"/>
      <c r="BA390" s="346"/>
      <c r="BB390" s="346"/>
      <c r="BC390" s="346"/>
    </row>
    <row r="391" spans="1:55">
      <c r="B391" s="179"/>
      <c r="C391" s="179"/>
      <c r="D391" s="181">
        <v>316715</v>
      </c>
      <c r="E391" s="181"/>
      <c r="F391" s="181"/>
      <c r="G391" s="1110">
        <v>316715</v>
      </c>
      <c r="H391" s="135" t="s">
        <v>895</v>
      </c>
      <c r="I391" s="518" t="s">
        <v>365</v>
      </c>
      <c r="J391" s="713">
        <v>26.22</v>
      </c>
      <c r="K391" s="716"/>
      <c r="L391" s="717"/>
      <c r="M391" s="713">
        <v>18.54</v>
      </c>
      <c r="N391" s="716"/>
      <c r="O391" s="717"/>
      <c r="P391" s="715">
        <v>26.03</v>
      </c>
      <c r="Q391" s="716"/>
      <c r="R391" s="717"/>
      <c r="S391" s="715">
        <v>31.5</v>
      </c>
      <c r="T391" s="716"/>
      <c r="U391" s="717"/>
      <c r="V391" s="715">
        <v>37.35</v>
      </c>
      <c r="W391" s="716"/>
      <c r="X391" s="717"/>
      <c r="Y391" s="715">
        <v>38.105983199999997</v>
      </c>
      <c r="Z391" s="716"/>
      <c r="AA391" s="717"/>
      <c r="AB391" s="715">
        <v>39.299999999999997</v>
      </c>
      <c r="AC391" s="716"/>
      <c r="AD391" s="717"/>
      <c r="AE391" s="715">
        <v>38.869999999999997</v>
      </c>
      <c r="AF391" s="716"/>
      <c r="AG391" s="717"/>
      <c r="AH391" s="715">
        <v>37.94</v>
      </c>
      <c r="AI391" s="716"/>
      <c r="AJ391" s="717"/>
      <c r="AK391" s="715">
        <v>35.89</v>
      </c>
      <c r="AL391" s="716"/>
      <c r="AM391" s="717"/>
      <c r="AN391" s="715">
        <v>28.77</v>
      </c>
      <c r="AO391" s="716"/>
      <c r="AP391" s="717"/>
      <c r="AQ391" s="715">
        <v>30.85</v>
      </c>
      <c r="AR391" s="348"/>
      <c r="AS391" s="349"/>
      <c r="AT391" s="294">
        <f>J391+M391+P391+S391+V391+Y391+AB391+AE391+AH391+AK391+AN391+AQ391</f>
        <v>389.36598319999996</v>
      </c>
      <c r="AU391" s="348"/>
      <c r="AV391" s="350"/>
      <c r="AW391" s="351"/>
      <c r="AX391" s="296"/>
      <c r="AY391" s="313"/>
      <c r="AZ391" s="261"/>
      <c r="BA391" s="261"/>
      <c r="BB391" s="261"/>
      <c r="BC391" s="261"/>
    </row>
    <row r="392" spans="1:55">
      <c r="B392" s="179"/>
      <c r="C392" s="179"/>
      <c r="D392" s="181">
        <v>316741</v>
      </c>
      <c r="E392" s="181"/>
      <c r="F392" s="181"/>
      <c r="G392" s="1110">
        <v>316741</v>
      </c>
      <c r="H392" s="135" t="s">
        <v>1480</v>
      </c>
      <c r="I392" s="518" t="s">
        <v>365</v>
      </c>
      <c r="J392" s="713">
        <v>1.1000000000000001</v>
      </c>
      <c r="K392" s="716"/>
      <c r="L392" s="717"/>
      <c r="M392" s="288">
        <v>1</v>
      </c>
      <c r="N392" s="716"/>
      <c r="O392" s="717"/>
      <c r="P392" s="712">
        <v>1.1000000000000001</v>
      </c>
      <c r="Q392" s="716"/>
      <c r="R392" s="717"/>
      <c r="S392" s="712">
        <v>0.8</v>
      </c>
      <c r="T392" s="716"/>
      <c r="U392" s="717"/>
      <c r="V392" s="712">
        <v>1.4</v>
      </c>
      <c r="W392" s="716"/>
      <c r="X392" s="717"/>
      <c r="Y392" s="712">
        <v>1.3</v>
      </c>
      <c r="Z392" s="716"/>
      <c r="AA392" s="717"/>
      <c r="AB392" s="712">
        <v>1.3</v>
      </c>
      <c r="AC392" s="716"/>
      <c r="AD392" s="717"/>
      <c r="AE392" s="712">
        <v>1.3</v>
      </c>
      <c r="AF392" s="716"/>
      <c r="AG392" s="717"/>
      <c r="AH392" s="712">
        <v>1.2</v>
      </c>
      <c r="AI392" s="716"/>
      <c r="AJ392" s="717"/>
      <c r="AK392" s="712">
        <v>1</v>
      </c>
      <c r="AL392" s="716"/>
      <c r="AM392" s="717"/>
      <c r="AN392" s="712">
        <v>0.85</v>
      </c>
      <c r="AO392" s="716"/>
      <c r="AP392" s="717"/>
      <c r="AQ392" s="712">
        <v>0.9</v>
      </c>
      <c r="AR392" s="348"/>
      <c r="AS392" s="349"/>
      <c r="AT392" s="294">
        <f>J392+M392+P392+S392+V392+Y392+AB392+AE392+AH392+AK392+AN392+AQ392</f>
        <v>13.25</v>
      </c>
      <c r="AU392" s="348"/>
      <c r="AV392" s="350"/>
      <c r="AW392" s="351"/>
      <c r="AX392" s="296"/>
      <c r="AY392" s="313"/>
      <c r="AZ392" s="261"/>
      <c r="BA392" s="261"/>
      <c r="BB392" s="261"/>
      <c r="BC392" s="261"/>
    </row>
    <row r="393" spans="1:55" ht="18.75">
      <c r="B393" s="179"/>
      <c r="C393" s="179"/>
      <c r="D393" s="181">
        <v>310300</v>
      </c>
      <c r="E393" s="181"/>
      <c r="F393" s="181"/>
      <c r="G393" s="181">
        <v>310300</v>
      </c>
      <c r="H393" s="473" t="s">
        <v>1588</v>
      </c>
      <c r="I393" s="473"/>
      <c r="J393" s="277">
        <f>SUM(J394:J396)</f>
        <v>1031.5438666381835</v>
      </c>
      <c r="K393" s="275">
        <f>L393-J393</f>
        <v>973.69652293082049</v>
      </c>
      <c r="L393" s="276">
        <f>Потребление!D33</f>
        <v>2005.240389569004</v>
      </c>
      <c r="M393" s="274">
        <f>SUM(M394:M396)</f>
        <v>920.91422918701176</v>
      </c>
      <c r="N393" s="275">
        <f>O393-M393</f>
        <v>960.54435119407287</v>
      </c>
      <c r="O393" s="276">
        <f>Потребление!E33</f>
        <v>1881.4585803810846</v>
      </c>
      <c r="P393" s="274">
        <f>SUM(P394:P396)</f>
        <v>1008.6218215942382</v>
      </c>
      <c r="Q393" s="275">
        <f>R393-P393</f>
        <v>946.00197899968327</v>
      </c>
      <c r="R393" s="276">
        <f>Потребление!F33</f>
        <v>1954.6238005939215</v>
      </c>
      <c r="S393" s="274">
        <f>SUM(S394:S396)</f>
        <v>835.3941033935547</v>
      </c>
      <c r="T393" s="275">
        <f>U393-S393</f>
        <v>899.21324558003005</v>
      </c>
      <c r="U393" s="276">
        <f>Потребление!G33</f>
        <v>1734.6073489735847</v>
      </c>
      <c r="V393" s="274">
        <f>SUM(V394:V396)</f>
        <v>798.99410290527351</v>
      </c>
      <c r="W393" s="275">
        <f>X393-V393</f>
        <v>734.43829358072037</v>
      </c>
      <c r="X393" s="276">
        <f>Потребление!H33</f>
        <v>1533.4323964859939</v>
      </c>
      <c r="Y393" s="274">
        <f>SUM(Y394:Y396)</f>
        <v>699.07503417968746</v>
      </c>
      <c r="Z393" s="275">
        <f>AA393-Y393</f>
        <v>782.21119246949797</v>
      </c>
      <c r="AA393" s="276">
        <f>Потребление!I33</f>
        <v>1481.2862266491854</v>
      </c>
      <c r="AB393" s="274">
        <f>SUM(AB394:AB396)</f>
        <v>745.2340639648437</v>
      </c>
      <c r="AC393" s="275">
        <f>AD393-AB393</f>
        <v>799.7679818588615</v>
      </c>
      <c r="AD393" s="276">
        <f>Потребление!J33</f>
        <v>1545.0020458237052</v>
      </c>
      <c r="AE393" s="274">
        <f>SUM(AE394:AE396)</f>
        <v>753.0229467773438</v>
      </c>
      <c r="AF393" s="275">
        <f>AG393-AE393</f>
        <v>835.11829436625248</v>
      </c>
      <c r="AG393" s="276">
        <f>Потребление!K33</f>
        <v>1588.1412411435963</v>
      </c>
      <c r="AH393" s="274">
        <f>SUM(AH394:AH396)</f>
        <v>793.19789245605477</v>
      </c>
      <c r="AI393" s="275">
        <f>AJ393-AH393</f>
        <v>806.98942485103578</v>
      </c>
      <c r="AJ393" s="276">
        <f>Потребление!L33</f>
        <v>1600.1873173070906</v>
      </c>
      <c r="AK393" s="274">
        <f>SUM(AK394:AK396)</f>
        <v>901.7911970825196</v>
      </c>
      <c r="AL393" s="275">
        <f>AM393-AK393</f>
        <v>927.08601161987008</v>
      </c>
      <c r="AM393" s="276">
        <f>Потребление!M33</f>
        <v>1828.8772087023897</v>
      </c>
      <c r="AN393" s="274">
        <f>SUM(AN394:AN396)</f>
        <v>993.95523742675778</v>
      </c>
      <c r="AO393" s="275">
        <f>AP393-AN393</f>
        <v>931.22538533374336</v>
      </c>
      <c r="AP393" s="276">
        <f>Потребление!N33</f>
        <v>1925.1806227605011</v>
      </c>
      <c r="AQ393" s="274">
        <f>SUM(AQ394:AQ396)</f>
        <v>1061.3634969482421</v>
      </c>
      <c r="AR393" s="275">
        <f>AS393-AQ393</f>
        <v>1083.9814845356429</v>
      </c>
      <c r="AS393" s="276">
        <f>Потребление!O33</f>
        <v>2145.344981483885</v>
      </c>
      <c r="AT393" s="274">
        <f>SUM(AT394:AT396)</f>
        <v>10543.107992553711</v>
      </c>
      <c r="AU393" s="275">
        <f>AV393-AT393</f>
        <v>10680.274167320231</v>
      </c>
      <c r="AV393" s="278">
        <f>L393+O393+R393+U393+X393+AA393+AD393+AG393+AJ393+AM393+AP393+AS393</f>
        <v>21223.382159873941</v>
      </c>
      <c r="AW393" s="279"/>
      <c r="AX393" s="1067">
        <v>20823.647595999999</v>
      </c>
      <c r="AY393" s="298">
        <f>AY394+AY395+AY396</f>
        <v>10036.087932999999</v>
      </c>
      <c r="AZ393" s="261"/>
      <c r="BA393" s="261"/>
      <c r="BB393" s="261"/>
      <c r="BC393" s="261"/>
    </row>
    <row r="394" spans="1:55">
      <c r="B394" s="179"/>
      <c r="C394" s="179"/>
      <c r="D394" s="181"/>
      <c r="E394" s="181"/>
      <c r="F394" s="181"/>
      <c r="G394" s="181"/>
      <c r="H394" s="10" t="s">
        <v>56</v>
      </c>
      <c r="I394" s="10"/>
      <c r="J394" s="223">
        <f>J397+J399+J403+SUM(J407:J409)+J412</f>
        <v>905.149</v>
      </c>
      <c r="K394" s="271"/>
      <c r="L394" s="224"/>
      <c r="M394" s="223">
        <f>M397+M399+M403+SUM(M407:M409)+M412</f>
        <v>797.93900000000008</v>
      </c>
      <c r="N394" s="271"/>
      <c r="O394" s="224"/>
      <c r="P394" s="223">
        <f>P397+P399+P403+SUM(P407:P409)+P412</f>
        <v>876.66</v>
      </c>
      <c r="Q394" s="271"/>
      <c r="R394" s="224"/>
      <c r="S394" s="223">
        <f>S397+S399+S403+SUM(S407:S409)+S412</f>
        <v>663.72</v>
      </c>
      <c r="T394" s="271"/>
      <c r="U394" s="224"/>
      <c r="V394" s="223">
        <f>V397+V399+V403+SUM(V407:V409)+V412</f>
        <v>614.34800000000007</v>
      </c>
      <c r="W394" s="271"/>
      <c r="X394" s="224"/>
      <c r="Y394" s="223">
        <f>Y397+Y399+Y403+SUM(Y407:Y409)+Y412</f>
        <v>559.75</v>
      </c>
      <c r="Z394" s="271"/>
      <c r="AA394" s="224"/>
      <c r="AB394" s="223">
        <f>AB397+AB399+AB403+SUM(AB407:AB409)+AB412</f>
        <v>611.346</v>
      </c>
      <c r="AC394" s="271"/>
      <c r="AD394" s="224"/>
      <c r="AE394" s="223">
        <f>AE397+AE399+AE403+SUM(AE407:AE409)+AE412</f>
        <v>627.56000000000006</v>
      </c>
      <c r="AF394" s="271"/>
      <c r="AG394" s="224"/>
      <c r="AH394" s="223">
        <f>AH397+AH399+AH403+SUM(AH407:AH409)+AH412</f>
        <v>669.43000000000006</v>
      </c>
      <c r="AI394" s="271"/>
      <c r="AJ394" s="224"/>
      <c r="AK394" s="223">
        <f>AK397+AK399+AK403+SUM(AK407:AK409)+AK412</f>
        <v>771.3420000000001</v>
      </c>
      <c r="AL394" s="271"/>
      <c r="AM394" s="224"/>
      <c r="AN394" s="223">
        <f>AN397+AN399+AN403+SUM(AN407:AN409)+AN412</f>
        <v>861.09999999999991</v>
      </c>
      <c r="AO394" s="271"/>
      <c r="AP394" s="224"/>
      <c r="AQ394" s="223">
        <f>AQ397+AQ399+AQ403+SUM(AQ407:AQ409)+AQ412</f>
        <v>926.48599999999999</v>
      </c>
      <c r="AR394" s="271"/>
      <c r="AS394" s="224"/>
      <c r="AT394" s="223">
        <f>AT397+AT399+AT403+SUM(AT407:AT409)+AT412</f>
        <v>8884.83</v>
      </c>
      <c r="AU394" s="271"/>
      <c r="AV394" s="229"/>
      <c r="AW394" s="226"/>
      <c r="AX394" s="230"/>
      <c r="AY394" s="231">
        <f>SUM(AY397:AY412)</f>
        <v>8058.5700379999998</v>
      </c>
      <c r="AZ394" s="261"/>
      <c r="BA394" s="261"/>
      <c r="BB394" s="261"/>
      <c r="BC394" s="261"/>
    </row>
    <row r="395" spans="1:55" s="107" customFormat="1">
      <c r="A395" s="179"/>
      <c r="B395" s="179"/>
      <c r="C395" s="179"/>
      <c r="D395" s="181"/>
      <c r="E395" s="181"/>
      <c r="F395" s="181"/>
      <c r="G395" s="181"/>
      <c r="H395" s="10" t="s">
        <v>55</v>
      </c>
      <c r="I395" s="10"/>
      <c r="J395" s="223">
        <f>J413</f>
        <v>117.46486663818359</v>
      </c>
      <c r="K395" s="271"/>
      <c r="L395" s="224"/>
      <c r="M395" s="270">
        <f>M413</f>
        <v>115.05522918701172</v>
      </c>
      <c r="N395" s="271"/>
      <c r="O395" s="224"/>
      <c r="P395" s="270">
        <f>P413</f>
        <v>122.92182159423828</v>
      </c>
      <c r="Q395" s="271"/>
      <c r="R395" s="224"/>
      <c r="S395" s="270">
        <f>S413</f>
        <v>165.53410339355469</v>
      </c>
      <c r="T395" s="271"/>
      <c r="U395" s="224"/>
      <c r="V395" s="270">
        <f>V413</f>
        <v>182.89610290527344</v>
      </c>
      <c r="W395" s="271"/>
      <c r="X395" s="224"/>
      <c r="Y395" s="270">
        <f>Y413</f>
        <v>136.2850341796875</v>
      </c>
      <c r="Z395" s="271"/>
      <c r="AA395" s="224"/>
      <c r="AB395" s="270">
        <f>AB413</f>
        <v>131.32806396484375</v>
      </c>
      <c r="AC395" s="271"/>
      <c r="AD395" s="224"/>
      <c r="AE395" s="270">
        <f>AE413</f>
        <v>122.83294677734375</v>
      </c>
      <c r="AF395" s="271"/>
      <c r="AG395" s="224"/>
      <c r="AH395" s="270">
        <f>AH413</f>
        <v>120.66789245605469</v>
      </c>
      <c r="AI395" s="271"/>
      <c r="AJ395" s="224"/>
      <c r="AK395" s="270">
        <f>AK413</f>
        <v>123.91919708251953</v>
      </c>
      <c r="AL395" s="271"/>
      <c r="AM395" s="224"/>
      <c r="AN395" s="270">
        <f>AN413</f>
        <v>124.16523742675781</v>
      </c>
      <c r="AO395" s="271"/>
      <c r="AP395" s="224"/>
      <c r="AQ395" s="270">
        <f>AQ413</f>
        <v>124.63749694824219</v>
      </c>
      <c r="AR395" s="271"/>
      <c r="AS395" s="224"/>
      <c r="AT395" s="270">
        <f>AT413</f>
        <v>1587.7079925537109</v>
      </c>
      <c r="AU395" s="271"/>
      <c r="AV395" s="229"/>
      <c r="AW395" s="226"/>
      <c r="AX395" s="230"/>
      <c r="AY395" s="231">
        <f>AY413</f>
        <v>1907.1663349999999</v>
      </c>
      <c r="AZ395" s="346"/>
      <c r="BA395" s="346"/>
      <c r="BB395" s="346"/>
      <c r="BC395" s="346"/>
    </row>
    <row r="396" spans="1:55" s="107" customFormat="1">
      <c r="A396" s="179"/>
      <c r="B396" s="179"/>
      <c r="C396" s="179"/>
      <c r="D396" s="181"/>
      <c r="E396" s="181"/>
      <c r="F396" s="181"/>
      <c r="G396" s="181"/>
      <c r="H396" s="10" t="s">
        <v>99</v>
      </c>
      <c r="I396" s="10"/>
      <c r="J396" s="223">
        <f>J414</f>
        <v>8.93</v>
      </c>
      <c r="K396" s="271"/>
      <c r="L396" s="224"/>
      <c r="M396" s="270">
        <f>M414</f>
        <v>7.92</v>
      </c>
      <c r="N396" s="271"/>
      <c r="O396" s="224"/>
      <c r="P396" s="270">
        <f>P414</f>
        <v>9.0399999999999991</v>
      </c>
      <c r="Q396" s="271"/>
      <c r="R396" s="224"/>
      <c r="S396" s="270">
        <f>S414</f>
        <v>6.14</v>
      </c>
      <c r="T396" s="271"/>
      <c r="U396" s="224"/>
      <c r="V396" s="270">
        <f>V414</f>
        <v>1.75</v>
      </c>
      <c r="W396" s="271"/>
      <c r="X396" s="224"/>
      <c r="Y396" s="270">
        <f>Y414</f>
        <v>3.04</v>
      </c>
      <c r="Z396" s="271"/>
      <c r="AA396" s="224"/>
      <c r="AB396" s="270">
        <f>AB414</f>
        <v>2.56</v>
      </c>
      <c r="AC396" s="271"/>
      <c r="AD396" s="224"/>
      <c r="AE396" s="270">
        <f>AE414</f>
        <v>2.63</v>
      </c>
      <c r="AF396" s="271"/>
      <c r="AG396" s="224"/>
      <c r="AH396" s="270">
        <f>AH414</f>
        <v>3.1</v>
      </c>
      <c r="AI396" s="271"/>
      <c r="AJ396" s="224"/>
      <c r="AK396" s="270">
        <f>AK414</f>
        <v>6.53</v>
      </c>
      <c r="AL396" s="271"/>
      <c r="AM396" s="224"/>
      <c r="AN396" s="270">
        <f>AN414</f>
        <v>8.69</v>
      </c>
      <c r="AO396" s="271"/>
      <c r="AP396" s="224"/>
      <c r="AQ396" s="270">
        <f>AQ414</f>
        <v>10.24</v>
      </c>
      <c r="AR396" s="271"/>
      <c r="AS396" s="224"/>
      <c r="AT396" s="270">
        <f>AT414</f>
        <v>70.570000000000007</v>
      </c>
      <c r="AU396" s="271"/>
      <c r="AV396" s="229"/>
      <c r="AW396" s="226"/>
      <c r="AX396" s="230"/>
      <c r="AY396" s="231">
        <f>AY414</f>
        <v>70.351560000000006</v>
      </c>
      <c r="AZ396" s="346"/>
      <c r="BA396" s="346"/>
      <c r="BB396" s="346"/>
      <c r="BC396" s="346"/>
    </row>
    <row r="397" spans="1:55">
      <c r="A397" s="1116"/>
      <c r="B397" s="1116"/>
      <c r="C397" s="1116"/>
      <c r="D397" s="1110">
        <v>310326</v>
      </c>
      <c r="E397" s="1110"/>
      <c r="F397" s="1110"/>
      <c r="G397" s="1110">
        <v>310326</v>
      </c>
      <c r="H397" s="127" t="s">
        <v>1206</v>
      </c>
      <c r="I397" s="519" t="s">
        <v>365</v>
      </c>
      <c r="J397" s="244">
        <v>68.31</v>
      </c>
      <c r="K397" s="709"/>
      <c r="L397" s="710"/>
      <c r="M397" s="244">
        <v>64.290000000000006</v>
      </c>
      <c r="N397" s="709"/>
      <c r="O397" s="710"/>
      <c r="P397" s="244">
        <v>68.91</v>
      </c>
      <c r="Q397" s="709"/>
      <c r="R397" s="710"/>
      <c r="S397" s="244">
        <v>61.18</v>
      </c>
      <c r="T397" s="709"/>
      <c r="U397" s="710"/>
      <c r="V397" s="244">
        <v>33.369999999999997</v>
      </c>
      <c r="W397" s="709"/>
      <c r="X397" s="710"/>
      <c r="Y397" s="244">
        <v>16.12</v>
      </c>
      <c r="Z397" s="709"/>
      <c r="AA397" s="710"/>
      <c r="AB397" s="244">
        <v>52.07</v>
      </c>
      <c r="AC397" s="709"/>
      <c r="AD397" s="710"/>
      <c r="AE397" s="244">
        <v>50.92</v>
      </c>
      <c r="AF397" s="709"/>
      <c r="AG397" s="710"/>
      <c r="AH397" s="244">
        <v>49.39</v>
      </c>
      <c r="AI397" s="709"/>
      <c r="AJ397" s="710"/>
      <c r="AK397" s="244">
        <v>65.040000000000006</v>
      </c>
      <c r="AL397" s="709"/>
      <c r="AM397" s="710"/>
      <c r="AN397" s="244">
        <v>64.52</v>
      </c>
      <c r="AO397" s="709"/>
      <c r="AP397" s="710"/>
      <c r="AQ397" s="244">
        <v>69.45</v>
      </c>
      <c r="AR397" s="283"/>
      <c r="AS397" s="299"/>
      <c r="AT397" s="244">
        <f t="shared" ref="AT397:AT415" si="15">J397+M397+P397+S397+V397+Y397+AB397+AE397+AH397+AK397+AN397+AQ397</f>
        <v>663.57</v>
      </c>
      <c r="AU397" s="283"/>
      <c r="AV397" s="284"/>
      <c r="AW397" s="285"/>
      <c r="AX397" s="321"/>
      <c r="AY397" s="435">
        <v>710.14409000000001</v>
      </c>
      <c r="AZ397" s="261"/>
      <c r="BA397" s="261"/>
      <c r="BB397" s="261"/>
      <c r="BC397" s="261"/>
    </row>
    <row r="398" spans="1:55" s="107" customFormat="1" hidden="1">
      <c r="A398" s="1116"/>
      <c r="B398" s="1116"/>
      <c r="C398" s="1116"/>
      <c r="D398" s="1110">
        <v>310328</v>
      </c>
      <c r="E398" s="1110"/>
      <c r="F398" s="1110"/>
      <c r="G398" s="1110">
        <v>310328</v>
      </c>
      <c r="H398" s="127" t="s">
        <v>188</v>
      </c>
      <c r="I398" s="127"/>
      <c r="J398" s="244"/>
      <c r="K398" s="246"/>
      <c r="L398" s="282"/>
      <c r="M398" s="281"/>
      <c r="N398" s="246"/>
      <c r="O398" s="282"/>
      <c r="P398" s="281"/>
      <c r="Q398" s="246"/>
      <c r="R398" s="282"/>
      <c r="S398" s="281"/>
      <c r="T398" s="246"/>
      <c r="U398" s="282"/>
      <c r="V398" s="281"/>
      <c r="W398" s="246"/>
      <c r="X398" s="282"/>
      <c r="Y398" s="281"/>
      <c r="Z398" s="246"/>
      <c r="AA398" s="282"/>
      <c r="AB398" s="281"/>
      <c r="AC398" s="246"/>
      <c r="AD398" s="282"/>
      <c r="AE398" s="281"/>
      <c r="AF398" s="246"/>
      <c r="AG398" s="282"/>
      <c r="AH398" s="281"/>
      <c r="AI398" s="246"/>
      <c r="AJ398" s="282"/>
      <c r="AK398" s="281"/>
      <c r="AL398" s="246"/>
      <c r="AM398" s="282"/>
      <c r="AN398" s="281"/>
      <c r="AO398" s="246"/>
      <c r="AP398" s="282"/>
      <c r="AQ398" s="281"/>
      <c r="AR398" s="283"/>
      <c r="AS398" s="299"/>
      <c r="AT398" s="244">
        <f t="shared" si="15"/>
        <v>0</v>
      </c>
      <c r="AU398" s="283"/>
      <c r="AV398" s="284"/>
      <c r="AW398" s="285"/>
      <c r="AX398" s="321"/>
      <c r="AY398" s="300"/>
      <c r="AZ398" s="346"/>
      <c r="BA398" s="346"/>
      <c r="BB398" s="346"/>
      <c r="BC398" s="346"/>
    </row>
    <row r="399" spans="1:55" s="107" customFormat="1">
      <c r="A399" s="1116"/>
      <c r="B399" s="1116"/>
      <c r="C399" s="1116"/>
      <c r="D399" s="1110">
        <v>310327</v>
      </c>
      <c r="E399" s="1110"/>
      <c r="F399" s="1110"/>
      <c r="G399" s="1110">
        <v>310327</v>
      </c>
      <c r="H399" s="132" t="s">
        <v>1208</v>
      </c>
      <c r="I399" s="516" t="s">
        <v>364</v>
      </c>
      <c r="J399" s="262">
        <f>SUM(J400:J402)</f>
        <v>317.98</v>
      </c>
      <c r="K399" s="246"/>
      <c r="L399" s="282"/>
      <c r="M399" s="317">
        <f>SUM(M400:M402)</f>
        <v>210.88</v>
      </c>
      <c r="N399" s="246"/>
      <c r="O399" s="282"/>
      <c r="P399" s="317">
        <f>SUM(P400:P402)</f>
        <v>309.96000000000004</v>
      </c>
      <c r="Q399" s="246"/>
      <c r="R399" s="282"/>
      <c r="S399" s="317">
        <f>SUM(S400:S402)</f>
        <v>281.45</v>
      </c>
      <c r="T399" s="246"/>
      <c r="U399" s="282"/>
      <c r="V399" s="317">
        <f>SUM(V400:V402)</f>
        <v>287.39000000000004</v>
      </c>
      <c r="W399" s="246"/>
      <c r="X399" s="282"/>
      <c r="Y399" s="317">
        <f>SUM(Y400:Y402)</f>
        <v>277.70000000000005</v>
      </c>
      <c r="Z399" s="246"/>
      <c r="AA399" s="282"/>
      <c r="AB399" s="317">
        <f>SUM(AB400:AB402)</f>
        <v>275.16999999999996</v>
      </c>
      <c r="AC399" s="246"/>
      <c r="AD399" s="282"/>
      <c r="AE399" s="317">
        <f>SUM(AE400:AE402)</f>
        <v>286.39999999999998</v>
      </c>
      <c r="AF399" s="246"/>
      <c r="AG399" s="282"/>
      <c r="AH399" s="317">
        <f>SUM(AH400:AH402)</f>
        <v>280.27000000000004</v>
      </c>
      <c r="AI399" s="246"/>
      <c r="AJ399" s="282"/>
      <c r="AK399" s="317">
        <f>SUM(AK400:AK402)</f>
        <v>306.45</v>
      </c>
      <c r="AL399" s="246"/>
      <c r="AM399" s="282"/>
      <c r="AN399" s="317">
        <f>SUM(AN400:AN402)</f>
        <v>309</v>
      </c>
      <c r="AO399" s="246"/>
      <c r="AP399" s="282"/>
      <c r="AQ399" s="317">
        <f>SUM(AQ400:AQ402)</f>
        <v>329.65999999999997</v>
      </c>
      <c r="AR399" s="283"/>
      <c r="AS399" s="299"/>
      <c r="AT399" s="317">
        <f>SUM(AT400:AT402)</f>
        <v>3472.3100000000004</v>
      </c>
      <c r="AU399" s="283"/>
      <c r="AV399" s="284"/>
      <c r="AW399" s="285"/>
      <c r="AX399" s="321"/>
      <c r="AY399" s="888">
        <v>2810.3836160000001</v>
      </c>
      <c r="AZ399" s="346"/>
      <c r="BA399" s="346"/>
      <c r="BB399" s="346"/>
      <c r="BC399" s="346"/>
    </row>
    <row r="400" spans="1:55" s="107" customFormat="1">
      <c r="A400" s="1116"/>
      <c r="B400" s="1116"/>
      <c r="C400" s="1116"/>
      <c r="D400" s="1110"/>
      <c r="E400" s="1110"/>
      <c r="F400" s="1110"/>
      <c r="G400" s="1110"/>
      <c r="H400" s="127" t="s">
        <v>1207</v>
      </c>
      <c r="I400" s="127"/>
      <c r="J400" s="244">
        <v>122.72</v>
      </c>
      <c r="K400" s="709"/>
      <c r="L400" s="710"/>
      <c r="M400" s="345">
        <f>121.42+20</f>
        <v>141.42000000000002</v>
      </c>
      <c r="N400" s="709"/>
      <c r="O400" s="710"/>
      <c r="P400" s="345">
        <f>107.18+15</f>
        <v>122.18</v>
      </c>
      <c r="Q400" s="709"/>
      <c r="R400" s="710"/>
      <c r="S400" s="320">
        <f>103.07-10</f>
        <v>93.07</v>
      </c>
      <c r="T400" s="709"/>
      <c r="U400" s="710"/>
      <c r="V400" s="244">
        <v>93.34</v>
      </c>
      <c r="W400" s="709"/>
      <c r="X400" s="710"/>
      <c r="Y400" s="244">
        <v>92.29</v>
      </c>
      <c r="Z400" s="709"/>
      <c r="AA400" s="710"/>
      <c r="AB400" s="244">
        <v>81.27</v>
      </c>
      <c r="AC400" s="709"/>
      <c r="AD400" s="710"/>
      <c r="AE400" s="244">
        <v>92.52</v>
      </c>
      <c r="AF400" s="709"/>
      <c r="AG400" s="710"/>
      <c r="AH400" s="244">
        <v>93.4</v>
      </c>
      <c r="AI400" s="709"/>
      <c r="AJ400" s="710"/>
      <c r="AK400" s="244">
        <v>107.75</v>
      </c>
      <c r="AL400" s="709"/>
      <c r="AM400" s="710"/>
      <c r="AN400" s="244">
        <v>112.67</v>
      </c>
      <c r="AO400" s="709"/>
      <c r="AP400" s="710"/>
      <c r="AQ400" s="244">
        <v>127.83</v>
      </c>
      <c r="AR400" s="283"/>
      <c r="AS400" s="299"/>
      <c r="AT400" s="244">
        <f>J400+M400+P400+S400+V400+Y400+AB400+AE400+AH400+AK400+AN400+AQ400</f>
        <v>1280.46</v>
      </c>
      <c r="AU400" s="283"/>
      <c r="AV400" s="284"/>
      <c r="AW400" s="285"/>
      <c r="AX400" s="321"/>
      <c r="AY400" s="300"/>
      <c r="AZ400" s="346"/>
      <c r="BA400" s="346"/>
      <c r="BB400" s="346"/>
      <c r="BC400" s="346"/>
    </row>
    <row r="401" spans="1:55" s="107" customFormat="1">
      <c r="A401" s="1116"/>
      <c r="B401" s="1116"/>
      <c r="C401" s="1116"/>
      <c r="D401" s="1110"/>
      <c r="E401" s="1110"/>
      <c r="F401" s="1110"/>
      <c r="G401" s="1110"/>
      <c r="H401" s="127" t="s">
        <v>1209</v>
      </c>
      <c r="I401" s="127"/>
      <c r="J401" s="1131">
        <v>97.62</v>
      </c>
      <c r="K401" s="709"/>
      <c r="L401" s="710"/>
      <c r="M401" s="345">
        <f>29.7+5</f>
        <v>34.700000000000003</v>
      </c>
      <c r="N401" s="709"/>
      <c r="O401" s="710"/>
      <c r="P401" s="244">
        <v>93.86</v>
      </c>
      <c r="Q401" s="709"/>
      <c r="R401" s="710"/>
      <c r="S401" s="244">
        <v>94.19</v>
      </c>
      <c r="T401" s="709"/>
      <c r="U401" s="710"/>
      <c r="V401" s="244">
        <v>97.01</v>
      </c>
      <c r="W401" s="709"/>
      <c r="X401" s="710"/>
      <c r="Y401" s="244">
        <v>92.79</v>
      </c>
      <c r="Z401" s="709"/>
      <c r="AA401" s="710"/>
      <c r="AB401" s="244">
        <v>97.24</v>
      </c>
      <c r="AC401" s="709"/>
      <c r="AD401" s="710"/>
      <c r="AE401" s="244">
        <v>97.07</v>
      </c>
      <c r="AF401" s="709"/>
      <c r="AG401" s="710"/>
      <c r="AH401" s="244">
        <v>93.7</v>
      </c>
      <c r="AI401" s="709"/>
      <c r="AJ401" s="710"/>
      <c r="AK401" s="244">
        <v>98.46</v>
      </c>
      <c r="AL401" s="709"/>
      <c r="AM401" s="710"/>
      <c r="AN401" s="244">
        <v>98.14</v>
      </c>
      <c r="AO401" s="709"/>
      <c r="AP401" s="710"/>
      <c r="AQ401" s="244">
        <v>100.86</v>
      </c>
      <c r="AR401" s="283"/>
      <c r="AS401" s="299"/>
      <c r="AT401" s="244">
        <f>J401+M401+P401+S401+V401+Y401+AB401+AE401+AH401+AK401+AN401+AQ401</f>
        <v>1095.6400000000001</v>
      </c>
      <c r="AU401" s="283"/>
      <c r="AV401" s="284"/>
      <c r="AW401" s="285"/>
      <c r="AX401" s="321"/>
      <c r="AY401" s="300"/>
      <c r="AZ401" s="346"/>
      <c r="BA401" s="346"/>
      <c r="BB401" s="346"/>
      <c r="BC401" s="346"/>
    </row>
    <row r="402" spans="1:55" s="107" customFormat="1">
      <c r="A402" s="1116"/>
      <c r="B402" s="1116"/>
      <c r="C402" s="1116"/>
      <c r="D402" s="1110"/>
      <c r="E402" s="1110"/>
      <c r="F402" s="1110"/>
      <c r="G402" s="1110"/>
      <c r="H402" s="127" t="s">
        <v>1210</v>
      </c>
      <c r="I402" s="127"/>
      <c r="J402" s="1131">
        <v>97.64</v>
      </c>
      <c r="K402" s="709"/>
      <c r="L402" s="710"/>
      <c r="M402" s="345">
        <f>29.76+5</f>
        <v>34.760000000000005</v>
      </c>
      <c r="N402" s="709"/>
      <c r="O402" s="710"/>
      <c r="P402" s="244">
        <v>93.92</v>
      </c>
      <c r="Q402" s="709"/>
      <c r="R402" s="710"/>
      <c r="S402" s="244">
        <v>94.19</v>
      </c>
      <c r="T402" s="709"/>
      <c r="U402" s="710"/>
      <c r="V402" s="244">
        <v>97.04</v>
      </c>
      <c r="W402" s="709"/>
      <c r="X402" s="710"/>
      <c r="Y402" s="244">
        <v>92.62</v>
      </c>
      <c r="Z402" s="709"/>
      <c r="AA402" s="710"/>
      <c r="AB402" s="244">
        <v>96.66</v>
      </c>
      <c r="AC402" s="709"/>
      <c r="AD402" s="710"/>
      <c r="AE402" s="244">
        <v>96.81</v>
      </c>
      <c r="AF402" s="709"/>
      <c r="AG402" s="710"/>
      <c r="AH402" s="244">
        <v>93.17</v>
      </c>
      <c r="AI402" s="709"/>
      <c r="AJ402" s="710"/>
      <c r="AK402" s="244">
        <v>100.24</v>
      </c>
      <c r="AL402" s="709"/>
      <c r="AM402" s="710"/>
      <c r="AN402" s="244">
        <v>98.19</v>
      </c>
      <c r="AO402" s="709"/>
      <c r="AP402" s="710"/>
      <c r="AQ402" s="244">
        <v>100.97</v>
      </c>
      <c r="AR402" s="283"/>
      <c r="AS402" s="299"/>
      <c r="AT402" s="244">
        <f>J402+M402+P402+S402+V402+Y402+AB402+AE402+AH402+AK402+AN402+AQ402</f>
        <v>1096.21</v>
      </c>
      <c r="AU402" s="283"/>
      <c r="AV402" s="284"/>
      <c r="AW402" s="285"/>
      <c r="AX402" s="321"/>
      <c r="AY402" s="300"/>
      <c r="AZ402" s="346"/>
      <c r="BA402" s="346"/>
      <c r="BB402" s="346"/>
      <c r="BC402" s="346"/>
    </row>
    <row r="403" spans="1:55" s="107" customFormat="1">
      <c r="A403" s="1116"/>
      <c r="B403" s="1116"/>
      <c r="C403" s="1116"/>
      <c r="D403" s="1110">
        <v>310311</v>
      </c>
      <c r="E403" s="1110"/>
      <c r="F403" s="1110"/>
      <c r="G403" s="1110">
        <v>310311</v>
      </c>
      <c r="H403" s="132" t="s">
        <v>1211</v>
      </c>
      <c r="I403" s="516" t="s">
        <v>364</v>
      </c>
      <c r="J403" s="262">
        <f>SUM(J404:J406)</f>
        <v>108.62</v>
      </c>
      <c r="K403" s="246"/>
      <c r="L403" s="282"/>
      <c r="M403" s="317">
        <f>SUM(M404:M406)</f>
        <v>97.36</v>
      </c>
      <c r="N403" s="246"/>
      <c r="O403" s="282"/>
      <c r="P403" s="317">
        <f>SUM(P404:P406)</f>
        <v>97.460000000000008</v>
      </c>
      <c r="Q403" s="246"/>
      <c r="R403" s="282"/>
      <c r="S403" s="317">
        <f>SUM(S404:S406)</f>
        <v>64.800000000000011</v>
      </c>
      <c r="T403" s="246"/>
      <c r="U403" s="282"/>
      <c r="V403" s="317">
        <f>SUM(V404:V406)</f>
        <v>69.319999999999993</v>
      </c>
      <c r="W403" s="246"/>
      <c r="X403" s="282"/>
      <c r="Y403" s="317">
        <f>SUM(Y404:Y406)</f>
        <v>102.63</v>
      </c>
      <c r="Z403" s="246"/>
      <c r="AA403" s="282"/>
      <c r="AB403" s="317">
        <f>SUM(AB404:AB406)</f>
        <v>79.608000000000004</v>
      </c>
      <c r="AC403" s="246"/>
      <c r="AD403" s="282"/>
      <c r="AE403" s="317">
        <f>SUM(AE404:AE406)</f>
        <v>82.956000000000003</v>
      </c>
      <c r="AF403" s="246"/>
      <c r="AG403" s="282"/>
      <c r="AH403" s="317">
        <f>SUM(AH404:AH406)</f>
        <v>77.039999999999992</v>
      </c>
      <c r="AI403" s="246"/>
      <c r="AJ403" s="282"/>
      <c r="AK403" s="317">
        <f>SUM(AK404:AK406)</f>
        <v>66.960000000000008</v>
      </c>
      <c r="AL403" s="246"/>
      <c r="AM403" s="282"/>
      <c r="AN403" s="317">
        <f>SUM(AN404:AN406)</f>
        <v>90</v>
      </c>
      <c r="AO403" s="246"/>
      <c r="AP403" s="282"/>
      <c r="AQ403" s="317">
        <f>SUM(AQ404:AQ406)</f>
        <v>104.16</v>
      </c>
      <c r="AR403" s="246"/>
      <c r="AS403" s="282"/>
      <c r="AT403" s="317">
        <f>SUM(AT404:AT406)</f>
        <v>1040.914</v>
      </c>
      <c r="AU403" s="246"/>
      <c r="AV403" s="336"/>
      <c r="AW403" s="285"/>
      <c r="AX403" s="337"/>
      <c r="AY403" s="1068">
        <v>789.68144099999995</v>
      </c>
      <c r="AZ403" s="346"/>
      <c r="BA403" s="346"/>
      <c r="BB403" s="346"/>
      <c r="BC403" s="346"/>
    </row>
    <row r="404" spans="1:55" s="107" customFormat="1">
      <c r="A404" s="1116"/>
      <c r="B404" s="1116"/>
      <c r="C404" s="1116"/>
      <c r="D404" s="1110"/>
      <c r="E404" s="1110"/>
      <c r="F404" s="1110"/>
      <c r="G404" s="1110"/>
      <c r="H404" s="127" t="s">
        <v>1212</v>
      </c>
      <c r="I404" s="127"/>
      <c r="J404" s="244">
        <v>71.42</v>
      </c>
      <c r="K404" s="709"/>
      <c r="L404" s="710"/>
      <c r="M404" s="244">
        <v>62.56</v>
      </c>
      <c r="N404" s="709"/>
      <c r="O404" s="710"/>
      <c r="P404" s="244">
        <v>63.24</v>
      </c>
      <c r="Q404" s="709"/>
      <c r="R404" s="710"/>
      <c r="S404" s="244">
        <v>43.2</v>
      </c>
      <c r="T404" s="709"/>
      <c r="U404" s="710"/>
      <c r="V404" s="1132">
        <f>0+40.3</f>
        <v>40.299999999999997</v>
      </c>
      <c r="W404" s="709"/>
      <c r="X404" s="710"/>
      <c r="Y404" s="1132">
        <f>0+39.63</f>
        <v>39.630000000000003</v>
      </c>
      <c r="Z404" s="709"/>
      <c r="AA404" s="710"/>
      <c r="AB404" s="1132">
        <f>0+46.128</f>
        <v>46.128</v>
      </c>
      <c r="AC404" s="709"/>
      <c r="AD404" s="710"/>
      <c r="AE404" s="1132">
        <f>0+47.616</f>
        <v>47.616</v>
      </c>
      <c r="AF404" s="709"/>
      <c r="AG404" s="710"/>
      <c r="AH404" s="1132">
        <f>0+39.6</f>
        <v>39.6</v>
      </c>
      <c r="AI404" s="709"/>
      <c r="AJ404" s="710"/>
      <c r="AK404" s="244">
        <v>44.64</v>
      </c>
      <c r="AL404" s="709"/>
      <c r="AM404" s="710"/>
      <c r="AN404" s="244">
        <v>61.2</v>
      </c>
      <c r="AO404" s="709"/>
      <c r="AP404" s="710"/>
      <c r="AQ404" s="244">
        <v>66.959999999999994</v>
      </c>
      <c r="AR404" s="246"/>
      <c r="AS404" s="282"/>
      <c r="AT404" s="244">
        <f t="shared" si="15"/>
        <v>626.49400000000003</v>
      </c>
      <c r="AU404" s="246"/>
      <c r="AV404" s="336"/>
      <c r="AW404" s="285"/>
      <c r="AX404" s="337"/>
      <c r="AY404" s="338"/>
      <c r="AZ404" s="346"/>
      <c r="BA404" s="346"/>
      <c r="BB404" s="346"/>
      <c r="BC404" s="346"/>
    </row>
    <row r="405" spans="1:55">
      <c r="A405" s="1116"/>
      <c r="B405" s="1116"/>
      <c r="C405" s="1116"/>
      <c r="D405" s="1110"/>
      <c r="E405" s="1110"/>
      <c r="F405" s="1110"/>
      <c r="G405" s="1110"/>
      <c r="H405" s="127" t="s">
        <v>1214</v>
      </c>
      <c r="I405" s="127"/>
      <c r="J405" s="244">
        <v>37.200000000000003</v>
      </c>
      <c r="K405" s="709"/>
      <c r="L405" s="710"/>
      <c r="M405" s="244">
        <v>34.799999999999997</v>
      </c>
      <c r="N405" s="709"/>
      <c r="O405" s="710"/>
      <c r="P405" s="244">
        <v>0</v>
      </c>
      <c r="Q405" s="709"/>
      <c r="R405" s="710"/>
      <c r="S405" s="244">
        <v>0</v>
      </c>
      <c r="T405" s="709"/>
      <c r="U405" s="710"/>
      <c r="V405" s="244">
        <v>0</v>
      </c>
      <c r="W405" s="709"/>
      <c r="X405" s="710"/>
      <c r="Y405" s="244">
        <v>0</v>
      </c>
      <c r="Z405" s="709"/>
      <c r="AA405" s="710"/>
      <c r="AB405" s="244">
        <v>0</v>
      </c>
      <c r="AC405" s="709"/>
      <c r="AD405" s="710"/>
      <c r="AE405" s="244">
        <v>0</v>
      </c>
      <c r="AF405" s="709"/>
      <c r="AG405" s="710"/>
      <c r="AH405" s="244">
        <v>37.44</v>
      </c>
      <c r="AI405" s="709"/>
      <c r="AJ405" s="710"/>
      <c r="AK405" s="244">
        <v>22.32</v>
      </c>
      <c r="AL405" s="709"/>
      <c r="AM405" s="710"/>
      <c r="AN405" s="244">
        <v>0</v>
      </c>
      <c r="AO405" s="709"/>
      <c r="AP405" s="710"/>
      <c r="AQ405" s="244">
        <v>0</v>
      </c>
      <c r="AR405" s="246"/>
      <c r="AS405" s="282"/>
      <c r="AT405" s="244">
        <f t="shared" si="15"/>
        <v>131.76</v>
      </c>
      <c r="AU405" s="246"/>
      <c r="AV405" s="336"/>
      <c r="AW405" s="285"/>
      <c r="AX405" s="337"/>
      <c r="AY405" s="338"/>
      <c r="AZ405" s="261"/>
      <c r="BA405" s="261"/>
      <c r="BB405" s="261"/>
      <c r="BC405" s="261"/>
    </row>
    <row r="406" spans="1:55">
      <c r="A406" s="1116"/>
      <c r="B406" s="1116"/>
      <c r="C406" s="1116"/>
      <c r="D406" s="1110"/>
      <c r="E406" s="1110"/>
      <c r="F406" s="1110"/>
      <c r="G406" s="1110"/>
      <c r="H406" s="127" t="s">
        <v>1215</v>
      </c>
      <c r="I406" s="127"/>
      <c r="J406" s="244">
        <v>0</v>
      </c>
      <c r="K406" s="709"/>
      <c r="L406" s="710"/>
      <c r="M406" s="244">
        <v>0</v>
      </c>
      <c r="N406" s="709"/>
      <c r="O406" s="710"/>
      <c r="P406" s="244">
        <v>34.22</v>
      </c>
      <c r="Q406" s="709"/>
      <c r="R406" s="710"/>
      <c r="S406" s="244">
        <v>21.6</v>
      </c>
      <c r="T406" s="709"/>
      <c r="U406" s="710"/>
      <c r="V406" s="244">
        <v>29.02</v>
      </c>
      <c r="W406" s="709"/>
      <c r="X406" s="710"/>
      <c r="Y406" s="1132">
        <f>21.6+41.4</f>
        <v>63</v>
      </c>
      <c r="Z406" s="709"/>
      <c r="AA406" s="710"/>
      <c r="AB406" s="1132">
        <f>21.53+11.95</f>
        <v>33.480000000000004</v>
      </c>
      <c r="AC406" s="709"/>
      <c r="AD406" s="710"/>
      <c r="AE406" s="1132">
        <f>24.55+10.79</f>
        <v>35.340000000000003</v>
      </c>
      <c r="AF406" s="709"/>
      <c r="AG406" s="710"/>
      <c r="AH406" s="244">
        <v>0</v>
      </c>
      <c r="AI406" s="709"/>
      <c r="AJ406" s="710"/>
      <c r="AK406" s="244">
        <v>0</v>
      </c>
      <c r="AL406" s="709"/>
      <c r="AM406" s="710"/>
      <c r="AN406" s="244">
        <v>28.8</v>
      </c>
      <c r="AO406" s="709"/>
      <c r="AP406" s="710"/>
      <c r="AQ406" s="244">
        <v>37.200000000000003</v>
      </c>
      <c r="AR406" s="246"/>
      <c r="AS406" s="282"/>
      <c r="AT406" s="244">
        <f t="shared" si="15"/>
        <v>282.66000000000003</v>
      </c>
      <c r="AU406" s="246"/>
      <c r="AV406" s="336"/>
      <c r="AW406" s="285"/>
      <c r="AX406" s="337"/>
      <c r="AY406" s="338"/>
      <c r="AZ406" s="261"/>
      <c r="BA406" s="261"/>
      <c r="BB406" s="261"/>
      <c r="BC406" s="261"/>
    </row>
    <row r="407" spans="1:55">
      <c r="A407" s="1116"/>
      <c r="B407" s="1116"/>
      <c r="C407" s="1116"/>
      <c r="D407" s="1110">
        <v>310310</v>
      </c>
      <c r="E407" s="1110"/>
      <c r="F407" s="1110"/>
      <c r="G407" s="1110">
        <v>310310</v>
      </c>
      <c r="H407" s="127" t="s">
        <v>1213</v>
      </c>
      <c r="I407" s="516" t="s">
        <v>364</v>
      </c>
      <c r="J407" s="244">
        <v>182.28</v>
      </c>
      <c r="K407" s="709"/>
      <c r="L407" s="710"/>
      <c r="M407" s="244">
        <v>173.3</v>
      </c>
      <c r="N407" s="709"/>
      <c r="O407" s="710"/>
      <c r="P407" s="345">
        <f>156.96+10</f>
        <v>166.96</v>
      </c>
      <c r="Q407" s="709"/>
      <c r="R407" s="710"/>
      <c r="S407" s="244">
        <v>74.69</v>
      </c>
      <c r="T407" s="709"/>
      <c r="U407" s="710"/>
      <c r="V407" s="244">
        <v>120.53</v>
      </c>
      <c r="W407" s="709"/>
      <c r="X407" s="710"/>
      <c r="Y407" s="244">
        <v>97.25</v>
      </c>
      <c r="Z407" s="709"/>
      <c r="AA407" s="710"/>
      <c r="AB407" s="244">
        <v>122.02</v>
      </c>
      <c r="AC407" s="709"/>
      <c r="AD407" s="710"/>
      <c r="AE407" s="244">
        <v>122.02</v>
      </c>
      <c r="AF407" s="709"/>
      <c r="AG407" s="710"/>
      <c r="AH407" s="345">
        <f>78.05+60</f>
        <v>138.05000000000001</v>
      </c>
      <c r="AI407" s="709"/>
      <c r="AJ407" s="710"/>
      <c r="AK407" s="244">
        <v>153.26</v>
      </c>
      <c r="AL407" s="709"/>
      <c r="AM407" s="710"/>
      <c r="AN407" s="244">
        <v>175.68</v>
      </c>
      <c r="AO407" s="709"/>
      <c r="AP407" s="710"/>
      <c r="AQ407" s="244">
        <v>181.54</v>
      </c>
      <c r="AR407" s="283"/>
      <c r="AS407" s="299"/>
      <c r="AT407" s="244">
        <f t="shared" si="15"/>
        <v>1707.58</v>
      </c>
      <c r="AU407" s="283"/>
      <c r="AV407" s="284"/>
      <c r="AW407" s="285"/>
      <c r="AX407" s="321"/>
      <c r="AY407" s="435">
        <v>1427.1748259999999</v>
      </c>
      <c r="AZ407" s="261"/>
      <c r="BA407" s="261"/>
      <c r="BB407" s="261"/>
      <c r="BC407" s="261"/>
    </row>
    <row r="408" spans="1:55">
      <c r="A408" s="1116"/>
      <c r="B408" s="1116"/>
      <c r="C408" s="1116"/>
      <c r="D408" s="1110">
        <v>310340</v>
      </c>
      <c r="E408" s="1110"/>
      <c r="F408" s="1110"/>
      <c r="G408" s="1110">
        <v>310340</v>
      </c>
      <c r="H408" s="127" t="s">
        <v>395</v>
      </c>
      <c r="I408" s="889" t="s">
        <v>364</v>
      </c>
      <c r="J408" s="1133">
        <f>164.89+5.709</f>
        <v>170.59899999999999</v>
      </c>
      <c r="K408" s="709"/>
      <c r="L408" s="710"/>
      <c r="M408" s="345">
        <f>149.18+29.309+20</f>
        <v>198.489</v>
      </c>
      <c r="N408" s="709"/>
      <c r="O408" s="710"/>
      <c r="P408" s="1133">
        <f>161.58+19.1</f>
        <v>180.68</v>
      </c>
      <c r="Q408" s="709"/>
      <c r="R408" s="710"/>
      <c r="S408" s="1132">
        <f>119.89+21.95</f>
        <v>141.84</v>
      </c>
      <c r="T408" s="709"/>
      <c r="U408" s="710"/>
      <c r="V408" s="1132">
        <f>42.85+43.578</f>
        <v>86.427999999999997</v>
      </c>
      <c r="W408" s="709"/>
      <c r="X408" s="710"/>
      <c r="Y408" s="1132">
        <f>39.59+10.81</f>
        <v>50.400000000000006</v>
      </c>
      <c r="Z408" s="709"/>
      <c r="AA408" s="710"/>
      <c r="AB408" s="1132">
        <f>31.8+34.788</f>
        <v>66.587999999999994</v>
      </c>
      <c r="AC408" s="709"/>
      <c r="AD408" s="710"/>
      <c r="AE408" s="1132">
        <f>38.82+30.744</f>
        <v>69.563999999999993</v>
      </c>
      <c r="AF408" s="709"/>
      <c r="AG408" s="710"/>
      <c r="AH408" s="1132">
        <f>52.5+55.14</f>
        <v>107.64</v>
      </c>
      <c r="AI408" s="709"/>
      <c r="AJ408" s="710"/>
      <c r="AK408" s="1133">
        <f>133.82+5.122</f>
        <v>138.94200000000001</v>
      </c>
      <c r="AL408" s="709"/>
      <c r="AM408" s="710"/>
      <c r="AN408" s="1133">
        <f>160.02+10.8</f>
        <v>170.82000000000002</v>
      </c>
      <c r="AO408" s="709"/>
      <c r="AP408" s="710"/>
      <c r="AQ408" s="1133">
        <f>156.15+28.176</f>
        <v>184.32599999999999</v>
      </c>
      <c r="AR408" s="246"/>
      <c r="AS408" s="282"/>
      <c r="AT408" s="244">
        <f t="shared" si="15"/>
        <v>1566.316</v>
      </c>
      <c r="AU408" s="246"/>
      <c r="AV408" s="336"/>
      <c r="AW408" s="285"/>
      <c r="AX408" s="337"/>
      <c r="AY408" s="438">
        <v>1877.186494</v>
      </c>
      <c r="AZ408" s="261"/>
      <c r="BA408" s="261"/>
      <c r="BB408" s="261"/>
      <c r="BC408" s="261"/>
    </row>
    <row r="409" spans="1:55">
      <c r="A409" s="1116"/>
      <c r="B409" s="1116"/>
      <c r="C409" s="1116"/>
      <c r="D409" s="1110">
        <v>310337</v>
      </c>
      <c r="E409" s="1110"/>
      <c r="F409" s="1110"/>
      <c r="G409" s="1110">
        <v>310337</v>
      </c>
      <c r="H409" s="132" t="s">
        <v>896</v>
      </c>
      <c r="I409" s="516" t="s">
        <v>364</v>
      </c>
      <c r="J409" s="920">
        <f>SUM(J410:J411)</f>
        <v>56.25</v>
      </c>
      <c r="K409" s="709"/>
      <c r="L409" s="710"/>
      <c r="M409" s="920">
        <f>SUM(M410:M411)</f>
        <v>52.620000000000005</v>
      </c>
      <c r="N409" s="709"/>
      <c r="O409" s="710"/>
      <c r="P409" s="920">
        <f>SUM(P410:P411)</f>
        <v>51.58</v>
      </c>
      <c r="Q409" s="709"/>
      <c r="R409" s="710"/>
      <c r="S409" s="920">
        <f>SUM(S410:S411)</f>
        <v>38.700000000000003</v>
      </c>
      <c r="T409" s="709"/>
      <c r="U409" s="710"/>
      <c r="V409" s="920">
        <f>SUM(V410:V411)</f>
        <v>16.2</v>
      </c>
      <c r="W409" s="709"/>
      <c r="X409" s="710"/>
      <c r="Y409" s="920">
        <f>SUM(Y410:Y411)</f>
        <v>14.6</v>
      </c>
      <c r="Z409" s="709"/>
      <c r="AA409" s="710"/>
      <c r="AB409" s="920">
        <f>SUM(AB410:AB411)</f>
        <v>14.8</v>
      </c>
      <c r="AC409" s="709"/>
      <c r="AD409" s="710"/>
      <c r="AE409" s="920">
        <f>SUM(AE410:AE411)</f>
        <v>14.6</v>
      </c>
      <c r="AF409" s="709"/>
      <c r="AG409" s="710"/>
      <c r="AH409" s="920">
        <f>SUM(AH410:AH411)</f>
        <v>16</v>
      </c>
      <c r="AI409" s="709"/>
      <c r="AJ409" s="710"/>
      <c r="AK409" s="920">
        <f>SUM(AK410:AK411)</f>
        <v>39.6</v>
      </c>
      <c r="AL409" s="709"/>
      <c r="AM409" s="710"/>
      <c r="AN409" s="920">
        <f>SUM(AN410:AN411)</f>
        <v>50.03</v>
      </c>
      <c r="AO409" s="709"/>
      <c r="AP409" s="710"/>
      <c r="AQ409" s="920">
        <f>SUM(AQ410:AQ411)</f>
        <v>56.25</v>
      </c>
      <c r="AR409" s="283"/>
      <c r="AS409" s="299"/>
      <c r="AT409" s="920">
        <f>SUM(AT410:AT411)</f>
        <v>421.23</v>
      </c>
      <c r="AU409" s="283"/>
      <c r="AV409" s="284"/>
      <c r="AW409" s="285"/>
      <c r="AX409" s="321"/>
      <c r="AY409" s="435">
        <v>433.89541000000003</v>
      </c>
      <c r="AZ409" s="261"/>
      <c r="BA409" s="261"/>
      <c r="BB409" s="261"/>
      <c r="BC409" s="261"/>
    </row>
    <row r="410" spans="1:55">
      <c r="A410" s="1116"/>
      <c r="B410" s="1116"/>
      <c r="C410" s="1116"/>
      <c r="D410" s="1110"/>
      <c r="E410" s="1110"/>
      <c r="F410" s="1110"/>
      <c r="G410" s="1110"/>
      <c r="H410" s="127" t="s">
        <v>1104</v>
      </c>
      <c r="I410" s="516"/>
      <c r="J410" s="305">
        <f>44.67-3.75</f>
        <v>40.92</v>
      </c>
      <c r="K410" s="709"/>
      <c r="L410" s="710"/>
      <c r="M410" s="305">
        <f>41.76-3.48</f>
        <v>38.28</v>
      </c>
      <c r="N410" s="709"/>
      <c r="O410" s="710"/>
      <c r="P410" s="305">
        <f>43.14-2.22</f>
        <v>40.92</v>
      </c>
      <c r="Q410" s="709"/>
      <c r="R410" s="710"/>
      <c r="S410" s="244">
        <v>38.700000000000003</v>
      </c>
      <c r="T410" s="709"/>
      <c r="U410" s="710"/>
      <c r="V410" s="244">
        <v>16.2</v>
      </c>
      <c r="W410" s="709"/>
      <c r="X410" s="710"/>
      <c r="Y410" s="244">
        <v>14.6</v>
      </c>
      <c r="Z410" s="709"/>
      <c r="AA410" s="710"/>
      <c r="AB410" s="244">
        <v>14.8</v>
      </c>
      <c r="AC410" s="709"/>
      <c r="AD410" s="710"/>
      <c r="AE410" s="244">
        <v>14.6</v>
      </c>
      <c r="AF410" s="709"/>
      <c r="AG410" s="710"/>
      <c r="AH410" s="244">
        <v>16</v>
      </c>
      <c r="AI410" s="709"/>
      <c r="AJ410" s="710"/>
      <c r="AK410" s="244">
        <v>39.6</v>
      </c>
      <c r="AL410" s="709"/>
      <c r="AM410" s="710"/>
      <c r="AN410" s="305">
        <f>41.77-2.17</f>
        <v>39.6</v>
      </c>
      <c r="AO410" s="709"/>
      <c r="AP410" s="710"/>
      <c r="AQ410" s="305">
        <f>44.67-3.75</f>
        <v>40.92</v>
      </c>
      <c r="AR410" s="283"/>
      <c r="AS410" s="299"/>
      <c r="AT410" s="244">
        <f t="shared" si="15"/>
        <v>355.14000000000004</v>
      </c>
      <c r="AU410" s="283"/>
      <c r="AV410" s="284"/>
      <c r="AW410" s="285"/>
      <c r="AX410" s="321"/>
      <c r="AY410" s="435"/>
      <c r="AZ410" s="261"/>
      <c r="BA410" s="261"/>
      <c r="BB410" s="261"/>
      <c r="BC410" s="261"/>
    </row>
    <row r="411" spans="1:55">
      <c r="A411" s="1116"/>
      <c r="B411" s="1116"/>
      <c r="C411" s="1116"/>
      <c r="D411" s="1110"/>
      <c r="E411" s="1110"/>
      <c r="F411" s="1110"/>
      <c r="G411" s="1110"/>
      <c r="H411" s="127" t="s">
        <v>1105</v>
      </c>
      <c r="I411" s="516"/>
      <c r="J411" s="244">
        <v>15.33</v>
      </c>
      <c r="K411" s="709"/>
      <c r="L411" s="710"/>
      <c r="M411" s="244">
        <v>14.34</v>
      </c>
      <c r="N411" s="709"/>
      <c r="O411" s="710"/>
      <c r="P411" s="262">
        <v>10.66</v>
      </c>
      <c r="Q411" s="709"/>
      <c r="R411" s="710"/>
      <c r="S411" s="244">
        <v>0</v>
      </c>
      <c r="T411" s="709"/>
      <c r="U411" s="710"/>
      <c r="V411" s="244">
        <v>0</v>
      </c>
      <c r="W411" s="709"/>
      <c r="X411" s="710"/>
      <c r="Y411" s="244">
        <v>0</v>
      </c>
      <c r="Z411" s="709"/>
      <c r="AA411" s="710"/>
      <c r="AB411" s="244">
        <v>0</v>
      </c>
      <c r="AC411" s="709"/>
      <c r="AD411" s="710"/>
      <c r="AE411" s="244">
        <v>0</v>
      </c>
      <c r="AF411" s="709"/>
      <c r="AG411" s="710"/>
      <c r="AH411" s="244">
        <v>0</v>
      </c>
      <c r="AI411" s="709"/>
      <c r="AJ411" s="710"/>
      <c r="AK411" s="244">
        <v>0</v>
      </c>
      <c r="AL411" s="709"/>
      <c r="AM411" s="710"/>
      <c r="AN411" s="244">
        <v>10.43</v>
      </c>
      <c r="AO411" s="709"/>
      <c r="AP411" s="710"/>
      <c r="AQ411" s="244">
        <v>15.33</v>
      </c>
      <c r="AR411" s="283"/>
      <c r="AS411" s="299"/>
      <c r="AT411" s="244">
        <f t="shared" si="15"/>
        <v>66.09</v>
      </c>
      <c r="AU411" s="283"/>
      <c r="AV411" s="284"/>
      <c r="AW411" s="285"/>
      <c r="AX411" s="321"/>
      <c r="AY411" s="435"/>
      <c r="AZ411" s="261"/>
      <c r="BA411" s="261"/>
      <c r="BB411" s="261"/>
      <c r="BC411" s="261"/>
    </row>
    <row r="412" spans="1:55">
      <c r="A412" s="1116"/>
      <c r="B412" s="1116"/>
      <c r="C412" s="1116"/>
      <c r="D412" s="1110"/>
      <c r="E412" s="1110"/>
      <c r="F412" s="1110"/>
      <c r="G412" s="1110">
        <v>777025</v>
      </c>
      <c r="H412" s="127" t="s">
        <v>1258</v>
      </c>
      <c r="I412" s="516" t="s">
        <v>365</v>
      </c>
      <c r="J412" s="711">
        <v>1.1100000000000001</v>
      </c>
      <c r="K412" s="709"/>
      <c r="L412" s="710"/>
      <c r="M412" s="711">
        <v>1</v>
      </c>
      <c r="N412" s="709"/>
      <c r="O412" s="710"/>
      <c r="P412" s="711">
        <v>1.1100000000000001</v>
      </c>
      <c r="Q412" s="709"/>
      <c r="R412" s="710"/>
      <c r="S412" s="711">
        <v>1.06</v>
      </c>
      <c r="T412" s="709"/>
      <c r="U412" s="710"/>
      <c r="V412" s="711">
        <v>1.1100000000000001</v>
      </c>
      <c r="W412" s="709"/>
      <c r="X412" s="710"/>
      <c r="Y412" s="711">
        <v>1.05</v>
      </c>
      <c r="Z412" s="709"/>
      <c r="AA412" s="710"/>
      <c r="AB412" s="711">
        <v>1.0900000000000001</v>
      </c>
      <c r="AC412" s="709"/>
      <c r="AD412" s="710"/>
      <c r="AE412" s="711">
        <v>1.1000000000000001</v>
      </c>
      <c r="AF412" s="709"/>
      <c r="AG412" s="710"/>
      <c r="AH412" s="711">
        <v>1.04</v>
      </c>
      <c r="AI412" s="709"/>
      <c r="AJ412" s="710"/>
      <c r="AK412" s="711">
        <v>1.0900000000000001</v>
      </c>
      <c r="AL412" s="709"/>
      <c r="AM412" s="710"/>
      <c r="AN412" s="711">
        <v>1.05</v>
      </c>
      <c r="AO412" s="709"/>
      <c r="AP412" s="710"/>
      <c r="AQ412" s="711">
        <v>1.1000000000000001</v>
      </c>
      <c r="AR412" s="283"/>
      <c r="AS412" s="299"/>
      <c r="AT412" s="244">
        <f t="shared" si="15"/>
        <v>12.910000000000002</v>
      </c>
      <c r="AU412" s="283"/>
      <c r="AV412" s="284"/>
      <c r="AW412" s="285"/>
      <c r="AX412" s="321"/>
      <c r="AY412" s="435">
        <v>10.104161</v>
      </c>
      <c r="AZ412" s="261"/>
      <c r="BA412" s="261"/>
      <c r="BB412" s="261"/>
      <c r="BC412" s="261"/>
    </row>
    <row r="413" spans="1:55" s="107" customFormat="1">
      <c r="A413" s="1116"/>
      <c r="B413" s="1116"/>
      <c r="C413" s="1116"/>
      <c r="D413" s="1110">
        <v>310330</v>
      </c>
      <c r="E413" s="1110"/>
      <c r="F413" s="1110"/>
      <c r="G413" s="1110">
        <v>310330</v>
      </c>
      <c r="H413" s="127" t="s">
        <v>579</v>
      </c>
      <c r="I413" s="516" t="s">
        <v>364</v>
      </c>
      <c r="J413" s="638">
        <f>ГЭС!C26</f>
        <v>117.46486663818359</v>
      </c>
      <c r="K413" s="246"/>
      <c r="L413" s="282"/>
      <c r="M413" s="638">
        <f>ГЭС!D26</f>
        <v>115.05522918701172</v>
      </c>
      <c r="N413" s="246"/>
      <c r="O413" s="282"/>
      <c r="P413" s="638">
        <f>ГЭС!E26</f>
        <v>122.92182159423828</v>
      </c>
      <c r="Q413" s="246"/>
      <c r="R413" s="282"/>
      <c r="S413" s="638">
        <f>ГЭС!G26</f>
        <v>165.53410339355469</v>
      </c>
      <c r="T413" s="246"/>
      <c r="U413" s="282"/>
      <c r="V413" s="638">
        <f>ГЭС!H26</f>
        <v>182.89610290527344</v>
      </c>
      <c r="W413" s="246"/>
      <c r="X413" s="282"/>
      <c r="Y413" s="638">
        <f>ГЭС!I26</f>
        <v>136.2850341796875</v>
      </c>
      <c r="Z413" s="246"/>
      <c r="AA413" s="282"/>
      <c r="AB413" s="638">
        <f>ГЭС!K26</f>
        <v>131.32806396484375</v>
      </c>
      <c r="AC413" s="246"/>
      <c r="AD413" s="282"/>
      <c r="AE413" s="638">
        <f>ГЭС!L26</f>
        <v>122.83294677734375</v>
      </c>
      <c r="AF413" s="246"/>
      <c r="AG413" s="282"/>
      <c r="AH413" s="638">
        <f>ГЭС!M26</f>
        <v>120.66789245605469</v>
      </c>
      <c r="AI413" s="246"/>
      <c r="AJ413" s="282"/>
      <c r="AK413" s="638">
        <f>ГЭС!O26</f>
        <v>123.91919708251953</v>
      </c>
      <c r="AL413" s="246"/>
      <c r="AM413" s="282"/>
      <c r="AN413" s="638">
        <f>ГЭС!P26</f>
        <v>124.16523742675781</v>
      </c>
      <c r="AO413" s="246"/>
      <c r="AP413" s="282"/>
      <c r="AQ413" s="638">
        <f>ГЭС!Q26</f>
        <v>124.63749694824219</v>
      </c>
      <c r="AR413" s="256"/>
      <c r="AS413" s="302"/>
      <c r="AT413" s="638">
        <f t="shared" si="15"/>
        <v>1587.7079925537109</v>
      </c>
      <c r="AU413" s="256"/>
      <c r="AV413" s="284"/>
      <c r="AW413" s="285"/>
      <c r="AX413" s="321"/>
      <c r="AY413" s="435">
        <v>1907.1663349999999</v>
      </c>
      <c r="AZ413" s="346"/>
      <c r="BA413" s="346"/>
      <c r="BB413" s="346"/>
      <c r="BC413" s="346"/>
    </row>
    <row r="414" spans="1:55" s="107" customFormat="1">
      <c r="A414" s="1116"/>
      <c r="B414" s="1116"/>
      <c r="C414" s="1116"/>
      <c r="D414" s="1110"/>
      <c r="E414" s="1110"/>
      <c r="F414" s="1110"/>
      <c r="G414" s="1110"/>
      <c r="H414" s="138" t="s">
        <v>174</v>
      </c>
      <c r="I414" s="138"/>
      <c r="J414" s="319">
        <f>J415</f>
        <v>8.93</v>
      </c>
      <c r="K414" s="288"/>
      <c r="L414" s="289"/>
      <c r="M414" s="319">
        <f>M415</f>
        <v>7.92</v>
      </c>
      <c r="N414" s="288"/>
      <c r="O414" s="289"/>
      <c r="P414" s="319">
        <f>P415</f>
        <v>9.0399999999999991</v>
      </c>
      <c r="Q414" s="288"/>
      <c r="R414" s="289"/>
      <c r="S414" s="319">
        <f>S415</f>
        <v>6.14</v>
      </c>
      <c r="T414" s="288"/>
      <c r="U414" s="289"/>
      <c r="V414" s="319">
        <f>V415</f>
        <v>1.75</v>
      </c>
      <c r="W414" s="288"/>
      <c r="X414" s="289"/>
      <c r="Y414" s="319">
        <f>Y415</f>
        <v>3.04</v>
      </c>
      <c r="Z414" s="288"/>
      <c r="AA414" s="289"/>
      <c r="AB414" s="319">
        <f>AB415</f>
        <v>2.56</v>
      </c>
      <c r="AC414" s="288"/>
      <c r="AD414" s="289"/>
      <c r="AE414" s="319">
        <f>AE415</f>
        <v>2.63</v>
      </c>
      <c r="AF414" s="288"/>
      <c r="AG414" s="289"/>
      <c r="AH414" s="319">
        <f>AH415</f>
        <v>3.1</v>
      </c>
      <c r="AI414" s="288"/>
      <c r="AJ414" s="289"/>
      <c r="AK414" s="319">
        <f>AK415</f>
        <v>6.53</v>
      </c>
      <c r="AL414" s="288"/>
      <c r="AM414" s="289"/>
      <c r="AN414" s="319">
        <f>AN415</f>
        <v>8.69</v>
      </c>
      <c r="AO414" s="288"/>
      <c r="AP414" s="289"/>
      <c r="AQ414" s="319">
        <f>AQ415</f>
        <v>10.24</v>
      </c>
      <c r="AR414" s="307"/>
      <c r="AS414" s="308"/>
      <c r="AT414" s="319">
        <f>AT415</f>
        <v>70.570000000000007</v>
      </c>
      <c r="AU414" s="307"/>
      <c r="AV414" s="290"/>
      <c r="AW414" s="285"/>
      <c r="AX414" s="296"/>
      <c r="AY414" s="436">
        <v>70.351560000000006</v>
      </c>
      <c r="AZ414" s="346"/>
      <c r="BA414" s="346"/>
      <c r="BB414" s="346"/>
      <c r="BC414" s="346"/>
    </row>
    <row r="415" spans="1:55">
      <c r="A415" s="1116"/>
      <c r="B415" s="1116"/>
      <c r="C415" s="1116"/>
      <c r="D415" s="1110">
        <v>310341</v>
      </c>
      <c r="E415" s="1110"/>
      <c r="F415" s="1110"/>
      <c r="G415" s="1110">
        <v>310341</v>
      </c>
      <c r="H415" s="135" t="s">
        <v>224</v>
      </c>
      <c r="I415" s="518" t="s">
        <v>365</v>
      </c>
      <c r="J415" s="294">
        <v>8.93</v>
      </c>
      <c r="K415" s="713"/>
      <c r="L415" s="714"/>
      <c r="M415" s="294">
        <v>7.92</v>
      </c>
      <c r="N415" s="713"/>
      <c r="O415" s="714"/>
      <c r="P415" s="294">
        <v>9.0399999999999991</v>
      </c>
      <c r="Q415" s="713"/>
      <c r="R415" s="714"/>
      <c r="S415" s="294">
        <v>6.14</v>
      </c>
      <c r="T415" s="713"/>
      <c r="U415" s="714"/>
      <c r="V415" s="294">
        <v>1.75</v>
      </c>
      <c r="W415" s="713"/>
      <c r="X415" s="714"/>
      <c r="Y415" s="294">
        <v>3.04</v>
      </c>
      <c r="Z415" s="713"/>
      <c r="AA415" s="714"/>
      <c r="AB415" s="294">
        <v>2.56</v>
      </c>
      <c r="AC415" s="713"/>
      <c r="AD415" s="714"/>
      <c r="AE415" s="294">
        <v>2.63</v>
      </c>
      <c r="AF415" s="713"/>
      <c r="AG415" s="714"/>
      <c r="AH415" s="294">
        <v>3.1</v>
      </c>
      <c r="AI415" s="713"/>
      <c r="AJ415" s="714"/>
      <c r="AK415" s="294">
        <v>6.53</v>
      </c>
      <c r="AL415" s="713"/>
      <c r="AM415" s="714"/>
      <c r="AN415" s="294">
        <v>8.69</v>
      </c>
      <c r="AO415" s="713"/>
      <c r="AP415" s="714"/>
      <c r="AQ415" s="294">
        <v>10.24</v>
      </c>
      <c r="AR415" s="288"/>
      <c r="AS415" s="289"/>
      <c r="AT415" s="294">
        <f t="shared" si="15"/>
        <v>70.570000000000007</v>
      </c>
      <c r="AU415" s="288"/>
      <c r="AV415" s="290"/>
      <c r="AW415" s="285"/>
      <c r="AX415" s="296"/>
      <c r="AY415" s="313"/>
      <c r="AZ415" s="261"/>
      <c r="BA415" s="261"/>
      <c r="BB415" s="261"/>
      <c r="BC415" s="261"/>
    </row>
    <row r="416" spans="1:55" ht="18.75">
      <c r="B416" s="179"/>
      <c r="C416" s="179"/>
      <c r="D416" s="181">
        <v>316400</v>
      </c>
      <c r="E416" s="181"/>
      <c r="F416" s="181"/>
      <c r="G416" s="181">
        <v>316400</v>
      </c>
      <c r="H416" s="473" t="s">
        <v>1589</v>
      </c>
      <c r="I416" s="473"/>
      <c r="J416" s="277">
        <f>SUM(J417:J418)</f>
        <v>156.157213333333</v>
      </c>
      <c r="K416" s="275">
        <f>L416-J416</f>
        <v>321.28676217043898</v>
      </c>
      <c r="L416" s="276">
        <f>Потребление!D34</f>
        <v>477.44397550377198</v>
      </c>
      <c r="M416" s="274">
        <f>SUM(M417:M418)</f>
        <v>139.38073166666669</v>
      </c>
      <c r="N416" s="275">
        <f>O416-M416</f>
        <v>306.38454485849269</v>
      </c>
      <c r="O416" s="276">
        <f>Потребление!E34</f>
        <v>445.76527652515938</v>
      </c>
      <c r="P416" s="274">
        <f>SUM(P417:P418)</f>
        <v>142.272638</v>
      </c>
      <c r="Q416" s="275">
        <f>R416-P416</f>
        <v>310.53683322147651</v>
      </c>
      <c r="R416" s="276">
        <f>Потребление!F34</f>
        <v>452.80947122147649</v>
      </c>
      <c r="S416" s="274">
        <f>SUM(S417:S418)</f>
        <v>92.202183999999988</v>
      </c>
      <c r="T416" s="275">
        <f>U416-S416</f>
        <v>311.15305581334684</v>
      </c>
      <c r="U416" s="276">
        <f>Потребление!G34</f>
        <v>403.35523981334683</v>
      </c>
      <c r="V416" s="274">
        <f>SUM(V417:V418)</f>
        <v>65.540479999999988</v>
      </c>
      <c r="W416" s="275">
        <f>X416-V416</f>
        <v>297.19657735542876</v>
      </c>
      <c r="X416" s="276">
        <f>Потребление!H34</f>
        <v>362.73705735542876</v>
      </c>
      <c r="Y416" s="274">
        <f>SUM(Y417:Y418)</f>
        <v>56.850999999999999</v>
      </c>
      <c r="Z416" s="275">
        <f>AA416-Y416</f>
        <v>315.95651431773524</v>
      </c>
      <c r="AA416" s="276">
        <f>Потребление!I34</f>
        <v>372.80751431773524</v>
      </c>
      <c r="AB416" s="274">
        <f>SUM(AB417:AB418)</f>
        <v>53.998053333333331</v>
      </c>
      <c r="AC416" s="275">
        <f>AD416-AB416</f>
        <v>329.96319419364966</v>
      </c>
      <c r="AD416" s="276">
        <f>Потребление!J34</f>
        <v>383.96124752698302</v>
      </c>
      <c r="AE416" s="274">
        <f>SUM(AE417:AE418)</f>
        <v>63.008293333333299</v>
      </c>
      <c r="AF416" s="275">
        <f>AG416-AE416</f>
        <v>310.96273991630187</v>
      </c>
      <c r="AG416" s="276">
        <f>Потребление!K34</f>
        <v>373.97103324963518</v>
      </c>
      <c r="AH416" s="274">
        <f>SUM(AH417:AH418)</f>
        <v>82.228653333333313</v>
      </c>
      <c r="AI416" s="275">
        <f>AJ416-AH416</f>
        <v>298.84385753513948</v>
      </c>
      <c r="AJ416" s="276">
        <f>Потребление!L34</f>
        <v>381.07251086847282</v>
      </c>
      <c r="AK416" s="274">
        <f>SUM(AK417:AK418)</f>
        <v>114.82099666666667</v>
      </c>
      <c r="AL416" s="275">
        <f>AM416-AK416</f>
        <v>339.55320691150291</v>
      </c>
      <c r="AM416" s="276">
        <f>Потребление!M34</f>
        <v>454.37420357816956</v>
      </c>
      <c r="AN416" s="274">
        <f>SUM(AN417:AN418)</f>
        <v>137.87499766666667</v>
      </c>
      <c r="AO416" s="275">
        <f>AP416-AN416</f>
        <v>331.66507336868153</v>
      </c>
      <c r="AP416" s="276">
        <f>Потребление!N34</f>
        <v>469.54007103534821</v>
      </c>
      <c r="AQ416" s="274">
        <f>SUM(AQ417:AQ418)</f>
        <v>160.15190366666667</v>
      </c>
      <c r="AR416" s="275">
        <f>AS416-AQ416</f>
        <v>335.70776803510796</v>
      </c>
      <c r="AS416" s="276">
        <f>Потребление!O34</f>
        <v>495.85967170177463</v>
      </c>
      <c r="AT416" s="274">
        <f>SUM(AT417:AT418)</f>
        <v>1264.4871449999991</v>
      </c>
      <c r="AU416" s="275">
        <f>AV416-AT416</f>
        <v>3809.2101276973026</v>
      </c>
      <c r="AV416" s="278">
        <f>L416+O416+R416+U416+X416+AA416+AD416+AG416+AJ416+AM416+AP416+AS416</f>
        <v>5073.6972726973017</v>
      </c>
      <c r="AW416" s="279"/>
      <c r="AX416" s="1067">
        <v>5077.5913930999996</v>
      </c>
      <c r="AY416" s="298">
        <f>AY417+AY418</f>
        <v>1173.191268</v>
      </c>
      <c r="AZ416" s="261"/>
      <c r="BA416" s="261"/>
      <c r="BB416" s="261"/>
      <c r="BC416" s="261"/>
    </row>
    <row r="417" spans="1:55">
      <c r="B417" s="179"/>
      <c r="C417" s="179"/>
      <c r="D417" s="181"/>
      <c r="E417" s="181"/>
      <c r="F417" s="181"/>
      <c r="G417" s="181"/>
      <c r="H417" s="10" t="s">
        <v>56</v>
      </c>
      <c r="I417" s="10"/>
      <c r="J417" s="223">
        <f>SUM(J419:J421)</f>
        <v>145.67633333333299</v>
      </c>
      <c r="K417" s="271"/>
      <c r="L417" s="224"/>
      <c r="M417" s="270">
        <f>SUM(M419:M421)</f>
        <v>132.24375566666669</v>
      </c>
      <c r="N417" s="271"/>
      <c r="O417" s="224"/>
      <c r="P417" s="270">
        <f>SUM(P419:P421)</f>
        <v>137.299814</v>
      </c>
      <c r="Q417" s="271"/>
      <c r="R417" s="224"/>
      <c r="S417" s="270">
        <f>SUM(S419:S421)</f>
        <v>85.352343999999988</v>
      </c>
      <c r="T417" s="271"/>
      <c r="U417" s="224"/>
      <c r="V417" s="270">
        <f>SUM(V419:V421)</f>
        <v>56.693999999999988</v>
      </c>
      <c r="W417" s="271"/>
      <c r="X417" s="224"/>
      <c r="Y417" s="270">
        <f>SUM(Y419:Y421)</f>
        <v>50.231000000000002</v>
      </c>
      <c r="Z417" s="271"/>
      <c r="AA417" s="224"/>
      <c r="AB417" s="270">
        <f>SUM(AB419:AB421)</f>
        <v>48.981333333333332</v>
      </c>
      <c r="AC417" s="271"/>
      <c r="AD417" s="224"/>
      <c r="AE417" s="270">
        <f>SUM(AE419:AE421)</f>
        <v>54.873333333333299</v>
      </c>
      <c r="AF417" s="271"/>
      <c r="AG417" s="224"/>
      <c r="AH417" s="270">
        <f>SUM(AH419:AH421)</f>
        <v>62.176333333333304</v>
      </c>
      <c r="AI417" s="271"/>
      <c r="AJ417" s="224"/>
      <c r="AK417" s="270">
        <f>SUM(AK419:AK421)</f>
        <v>93.682220666666666</v>
      </c>
      <c r="AL417" s="271"/>
      <c r="AM417" s="224"/>
      <c r="AN417" s="270">
        <f>SUM(AN419:AN421)</f>
        <v>117.10700566666668</v>
      </c>
      <c r="AO417" s="271"/>
      <c r="AP417" s="224"/>
      <c r="AQ417" s="270">
        <f>SUM(AQ419:AQ421)</f>
        <v>139.75950366666666</v>
      </c>
      <c r="AR417" s="271"/>
      <c r="AS417" s="224"/>
      <c r="AT417" s="270">
        <f>SUM(AT419:AT421)</f>
        <v>1124.0769769999993</v>
      </c>
      <c r="AU417" s="271"/>
      <c r="AV417" s="229"/>
      <c r="AW417" s="226"/>
      <c r="AX417" s="230"/>
      <c r="AY417" s="231">
        <f>SUM(AY419:AY421)</f>
        <v>1091.068074</v>
      </c>
      <c r="AZ417" s="261"/>
      <c r="BA417" s="261"/>
      <c r="BB417" s="261"/>
      <c r="BC417" s="261"/>
    </row>
    <row r="418" spans="1:55">
      <c r="B418" s="179"/>
      <c r="C418" s="179"/>
      <c r="D418" s="181"/>
      <c r="E418" s="181"/>
      <c r="F418" s="181"/>
      <c r="G418" s="181"/>
      <c r="H418" s="10" t="s">
        <v>99</v>
      </c>
      <c r="I418" s="10"/>
      <c r="J418" s="223">
        <f>J422</f>
        <v>10.480879999999999</v>
      </c>
      <c r="K418" s="271"/>
      <c r="L418" s="224"/>
      <c r="M418" s="270">
        <f>M422</f>
        <v>7.1369759999999998</v>
      </c>
      <c r="N418" s="271"/>
      <c r="O418" s="224"/>
      <c r="P418" s="270">
        <f>P422</f>
        <v>4.9728240000000001</v>
      </c>
      <c r="Q418" s="271"/>
      <c r="R418" s="224"/>
      <c r="S418" s="270">
        <f>S422</f>
        <v>6.8498400000000004</v>
      </c>
      <c r="T418" s="271"/>
      <c r="U418" s="224"/>
      <c r="V418" s="270">
        <f>V422</f>
        <v>8.8464799999999997</v>
      </c>
      <c r="W418" s="271"/>
      <c r="X418" s="224"/>
      <c r="Y418" s="270">
        <f>Y422</f>
        <v>6.62</v>
      </c>
      <c r="Z418" s="271"/>
      <c r="AA418" s="224"/>
      <c r="AB418" s="270">
        <f>AB422</f>
        <v>5.0167200000000003</v>
      </c>
      <c r="AC418" s="271"/>
      <c r="AD418" s="224"/>
      <c r="AE418" s="270">
        <f>AE422</f>
        <v>8.1349599999999995</v>
      </c>
      <c r="AF418" s="271"/>
      <c r="AG418" s="224"/>
      <c r="AH418" s="270">
        <f>AH422</f>
        <v>20.052320000000002</v>
      </c>
      <c r="AI418" s="271"/>
      <c r="AJ418" s="224"/>
      <c r="AK418" s="270">
        <f>AK422</f>
        <v>21.138776</v>
      </c>
      <c r="AL418" s="271"/>
      <c r="AM418" s="224"/>
      <c r="AN418" s="270">
        <f>AN422</f>
        <v>20.767992</v>
      </c>
      <c r="AO418" s="271"/>
      <c r="AP418" s="224"/>
      <c r="AQ418" s="270">
        <f>AQ422</f>
        <v>20.392400000000002</v>
      </c>
      <c r="AR418" s="271"/>
      <c r="AS418" s="224"/>
      <c r="AT418" s="270">
        <f>AT422</f>
        <v>140.410168</v>
      </c>
      <c r="AU418" s="271"/>
      <c r="AV418" s="229"/>
      <c r="AW418" s="226"/>
      <c r="AX418" s="230"/>
      <c r="AY418" s="231">
        <f>AY422</f>
        <v>82.123193999999998</v>
      </c>
      <c r="AZ418" s="261"/>
      <c r="BA418" s="261"/>
      <c r="BB418" s="261"/>
      <c r="BC418" s="261"/>
    </row>
    <row r="419" spans="1:55">
      <c r="B419" s="179"/>
      <c r="C419" s="179"/>
      <c r="D419" s="181">
        <v>316410</v>
      </c>
      <c r="E419" s="181"/>
      <c r="F419" s="181"/>
      <c r="G419" s="1110">
        <v>316410</v>
      </c>
      <c r="H419" s="127" t="s">
        <v>1216</v>
      </c>
      <c r="I419" s="516" t="s">
        <v>364</v>
      </c>
      <c r="J419" s="1174">
        <f>138.396333333333-4.28</f>
        <v>134.11633333333299</v>
      </c>
      <c r="K419" s="709"/>
      <c r="L419" s="710"/>
      <c r="M419" s="711">
        <v>121.57266666666668</v>
      </c>
      <c r="N419" s="709"/>
      <c r="O419" s="710"/>
      <c r="P419" s="1184">
        <f>115.371+10</f>
        <v>125.371</v>
      </c>
      <c r="Q419" s="709"/>
      <c r="R419" s="710"/>
      <c r="S419" s="711">
        <v>77.418999999999997</v>
      </c>
      <c r="T419" s="709"/>
      <c r="U419" s="710"/>
      <c r="V419" s="711">
        <v>53.029999999999994</v>
      </c>
      <c r="W419" s="709"/>
      <c r="X419" s="710"/>
      <c r="Y419" s="711">
        <v>49.431000000000004</v>
      </c>
      <c r="Z419" s="709"/>
      <c r="AA419" s="710"/>
      <c r="AB419" s="711">
        <v>48.181333333333335</v>
      </c>
      <c r="AC419" s="709"/>
      <c r="AD419" s="710"/>
      <c r="AE419" s="1184">
        <f>43.8733333333333+10</f>
        <v>53.873333333333299</v>
      </c>
      <c r="AF419" s="709"/>
      <c r="AG419" s="710"/>
      <c r="AH419" s="1184">
        <f>50.9763333333333+10</f>
        <v>60.976333333333301</v>
      </c>
      <c r="AI419" s="709"/>
      <c r="AJ419" s="710"/>
      <c r="AK419" s="711">
        <v>85.075666666666663</v>
      </c>
      <c r="AL419" s="709"/>
      <c r="AM419" s="710"/>
      <c r="AN419" s="711">
        <v>107.44566666666667</v>
      </c>
      <c r="AO419" s="709"/>
      <c r="AP419" s="710"/>
      <c r="AQ419" s="711">
        <v>129.375</v>
      </c>
      <c r="AR419" s="283"/>
      <c r="AS419" s="299"/>
      <c r="AT419" s="244">
        <f>J419+M419+P419+S419+V419+Y419+AB419+AE419+AH419+AK419+AN419+AQ419</f>
        <v>1045.8673333333327</v>
      </c>
      <c r="AU419" s="283"/>
      <c r="AV419" s="284"/>
      <c r="AW419" s="285"/>
      <c r="AX419" s="321"/>
      <c r="AY419" s="435">
        <v>1018.982479</v>
      </c>
      <c r="AZ419" s="261"/>
      <c r="BA419" s="261"/>
      <c r="BB419" s="261"/>
      <c r="BC419" s="261"/>
    </row>
    <row r="420" spans="1:55">
      <c r="B420" s="179"/>
      <c r="C420" s="179"/>
      <c r="D420" s="181">
        <v>316411</v>
      </c>
      <c r="E420" s="181"/>
      <c r="F420" s="181"/>
      <c r="G420" s="1110">
        <v>316411</v>
      </c>
      <c r="H420" s="123" t="s">
        <v>1217</v>
      </c>
      <c r="I420" s="519" t="s">
        <v>365</v>
      </c>
      <c r="J420" s="711">
        <v>9.3000000000000007</v>
      </c>
      <c r="K420" s="709"/>
      <c r="L420" s="710"/>
      <c r="M420" s="711">
        <v>8.6210889999999996</v>
      </c>
      <c r="N420" s="709"/>
      <c r="O420" s="710"/>
      <c r="P420" s="711">
        <v>9.6688139999999994</v>
      </c>
      <c r="Q420" s="709"/>
      <c r="R420" s="710"/>
      <c r="S420" s="711">
        <v>5.7733440000000007</v>
      </c>
      <c r="T420" s="709"/>
      <c r="U420" s="710"/>
      <c r="V420" s="711">
        <v>2.3639999999999999</v>
      </c>
      <c r="W420" s="709"/>
      <c r="X420" s="710"/>
      <c r="Y420" s="711">
        <v>0</v>
      </c>
      <c r="Z420" s="709"/>
      <c r="AA420" s="710"/>
      <c r="AB420" s="711">
        <v>0</v>
      </c>
      <c r="AC420" s="709"/>
      <c r="AD420" s="710"/>
      <c r="AE420" s="711">
        <v>0</v>
      </c>
      <c r="AF420" s="709"/>
      <c r="AG420" s="710"/>
      <c r="AH420" s="711">
        <v>0</v>
      </c>
      <c r="AI420" s="709"/>
      <c r="AJ420" s="710"/>
      <c r="AK420" s="711">
        <v>6.3765540000000014</v>
      </c>
      <c r="AL420" s="709"/>
      <c r="AM420" s="710"/>
      <c r="AN420" s="711">
        <v>7.4813390000000011</v>
      </c>
      <c r="AO420" s="709"/>
      <c r="AP420" s="710"/>
      <c r="AQ420" s="711">
        <v>8.1245036666666675</v>
      </c>
      <c r="AR420" s="283"/>
      <c r="AS420" s="299"/>
      <c r="AT420" s="244">
        <f>J420+M420+P420+S420+V420+Y420+AB420+AE420+AH420+AK420+AN420+AQ420</f>
        <v>57.709643666666665</v>
      </c>
      <c r="AU420" s="283"/>
      <c r="AV420" s="284"/>
      <c r="AW420" s="285"/>
      <c r="AX420" s="321"/>
      <c r="AY420" s="435">
        <v>52.280031000000001</v>
      </c>
      <c r="AZ420" s="261"/>
      <c r="BA420" s="261"/>
      <c r="BB420" s="261"/>
      <c r="BC420" s="261"/>
    </row>
    <row r="421" spans="1:55">
      <c r="B421" s="179"/>
      <c r="C421" s="179"/>
      <c r="D421" s="181">
        <v>316412</v>
      </c>
      <c r="E421" s="181"/>
      <c r="F421" s="181"/>
      <c r="G421" s="1110">
        <v>316412</v>
      </c>
      <c r="H421" s="123" t="s">
        <v>1218</v>
      </c>
      <c r="I421" s="519" t="s">
        <v>365</v>
      </c>
      <c r="J421" s="711">
        <v>2.2599999999999998</v>
      </c>
      <c r="K421" s="709"/>
      <c r="L421" s="710"/>
      <c r="M421" s="711">
        <v>2.0499999999999998</v>
      </c>
      <c r="N421" s="709"/>
      <c r="O421" s="710"/>
      <c r="P421" s="711">
        <v>2.2599999999999998</v>
      </c>
      <c r="Q421" s="709"/>
      <c r="R421" s="710"/>
      <c r="S421" s="711">
        <v>2.16</v>
      </c>
      <c r="T421" s="709"/>
      <c r="U421" s="710"/>
      <c r="V421" s="711">
        <v>1.3</v>
      </c>
      <c r="W421" s="709"/>
      <c r="X421" s="710"/>
      <c r="Y421" s="711">
        <v>0.8</v>
      </c>
      <c r="Z421" s="709"/>
      <c r="AA421" s="710"/>
      <c r="AB421" s="711">
        <v>0.8</v>
      </c>
      <c r="AC421" s="709"/>
      <c r="AD421" s="710"/>
      <c r="AE421" s="711">
        <v>1</v>
      </c>
      <c r="AF421" s="709"/>
      <c r="AG421" s="710"/>
      <c r="AH421" s="711">
        <v>1.2</v>
      </c>
      <c r="AI421" s="709"/>
      <c r="AJ421" s="710"/>
      <c r="AK421" s="711">
        <v>2.23</v>
      </c>
      <c r="AL421" s="709"/>
      <c r="AM421" s="710"/>
      <c r="AN421" s="711">
        <v>2.1800000000000002</v>
      </c>
      <c r="AO421" s="709"/>
      <c r="AP421" s="710"/>
      <c r="AQ421" s="711">
        <v>2.2599999999999998</v>
      </c>
      <c r="AR421" s="283"/>
      <c r="AS421" s="299"/>
      <c r="AT421" s="244">
        <f>J421+M421+P421+S421+V421+Y421+AB421+AE421+AH421+AK421+AN421+AQ421</f>
        <v>20.5</v>
      </c>
      <c r="AU421" s="283"/>
      <c r="AV421" s="284"/>
      <c r="AW421" s="285"/>
      <c r="AX421" s="321"/>
      <c r="AY421" s="435">
        <v>19.805564</v>
      </c>
      <c r="AZ421" s="261"/>
      <c r="BA421" s="261"/>
      <c r="BB421" s="261"/>
      <c r="BC421" s="261"/>
    </row>
    <row r="422" spans="1:55">
      <c r="B422" s="179"/>
      <c r="C422" s="179"/>
      <c r="D422" s="181"/>
      <c r="E422" s="181"/>
      <c r="F422" s="181"/>
      <c r="G422" s="1110"/>
      <c r="H422" s="138" t="s">
        <v>174</v>
      </c>
      <c r="I422" s="138"/>
      <c r="J422" s="319">
        <f>SUM(J423:J426)</f>
        <v>10.480879999999999</v>
      </c>
      <c r="K422" s="288"/>
      <c r="L422" s="289"/>
      <c r="M422" s="319">
        <f>SUM(M423:M426)</f>
        <v>7.1369759999999998</v>
      </c>
      <c r="N422" s="288"/>
      <c r="O422" s="289"/>
      <c r="P422" s="319">
        <f>SUM(P423:P426)</f>
        <v>4.9728240000000001</v>
      </c>
      <c r="Q422" s="288"/>
      <c r="R422" s="289"/>
      <c r="S422" s="319">
        <f>SUM(S423:S426)</f>
        <v>6.8498400000000004</v>
      </c>
      <c r="T422" s="288"/>
      <c r="U422" s="289"/>
      <c r="V422" s="319">
        <f>SUM(V423:V426)</f>
        <v>8.8464799999999997</v>
      </c>
      <c r="W422" s="288"/>
      <c r="X422" s="289"/>
      <c r="Y422" s="319">
        <f>SUM(Y423:Y426)</f>
        <v>6.62</v>
      </c>
      <c r="Z422" s="288"/>
      <c r="AA422" s="289"/>
      <c r="AB422" s="319">
        <f>SUM(AB423:AB426)</f>
        <v>5.0167200000000003</v>
      </c>
      <c r="AC422" s="288"/>
      <c r="AD422" s="289"/>
      <c r="AE422" s="319">
        <f>SUM(AE423:AE426)</f>
        <v>8.1349599999999995</v>
      </c>
      <c r="AF422" s="288"/>
      <c r="AG422" s="289"/>
      <c r="AH422" s="319">
        <f>SUM(AH423:AH426)</f>
        <v>20.052320000000002</v>
      </c>
      <c r="AI422" s="288"/>
      <c r="AJ422" s="289"/>
      <c r="AK422" s="319">
        <f>SUM(AK423:AK426)</f>
        <v>21.138776</v>
      </c>
      <c r="AL422" s="288"/>
      <c r="AM422" s="289"/>
      <c r="AN422" s="319">
        <f>SUM(AN423:AN426)</f>
        <v>20.767992</v>
      </c>
      <c r="AO422" s="288"/>
      <c r="AP422" s="289"/>
      <c r="AQ422" s="319">
        <f>SUM(AQ423:AQ426)</f>
        <v>20.392400000000002</v>
      </c>
      <c r="AR422" s="288"/>
      <c r="AS422" s="289"/>
      <c r="AT422" s="307">
        <f>SUM(AT423:AT426)</f>
        <v>140.410168</v>
      </c>
      <c r="AU422" s="288"/>
      <c r="AV422" s="290"/>
      <c r="AW422" s="285"/>
      <c r="AX422" s="296"/>
      <c r="AY422" s="436">
        <v>82.123193999999998</v>
      </c>
      <c r="AZ422" s="261"/>
      <c r="BA422" s="261"/>
      <c r="BB422" s="261"/>
      <c r="BC422" s="261"/>
    </row>
    <row r="423" spans="1:55">
      <c r="B423" s="179"/>
      <c r="C423" s="179"/>
      <c r="D423" s="181">
        <v>316442</v>
      </c>
      <c r="E423" s="181"/>
      <c r="F423" s="181"/>
      <c r="G423" s="1110">
        <v>316442</v>
      </c>
      <c r="H423" s="135" t="s">
        <v>1481</v>
      </c>
      <c r="I423" s="518" t="s">
        <v>365</v>
      </c>
      <c r="J423" s="712">
        <v>0</v>
      </c>
      <c r="K423" s="713"/>
      <c r="L423" s="714"/>
      <c r="M423" s="712">
        <v>0</v>
      </c>
      <c r="N423" s="713"/>
      <c r="O423" s="714"/>
      <c r="P423" s="712">
        <v>0</v>
      </c>
      <c r="Q423" s="713"/>
      <c r="R423" s="714"/>
      <c r="S423" s="712">
        <v>0</v>
      </c>
      <c r="T423" s="713"/>
      <c r="U423" s="714"/>
      <c r="V423" s="712">
        <v>0</v>
      </c>
      <c r="W423" s="713"/>
      <c r="X423" s="714"/>
      <c r="Y423" s="715">
        <v>0</v>
      </c>
      <c r="Z423" s="713"/>
      <c r="AA423" s="714"/>
      <c r="AB423" s="715">
        <v>0</v>
      </c>
      <c r="AC423" s="713"/>
      <c r="AD423" s="714"/>
      <c r="AE423" s="715">
        <v>0.2</v>
      </c>
      <c r="AF423" s="713"/>
      <c r="AG423" s="714"/>
      <c r="AH423" s="715">
        <v>3.3</v>
      </c>
      <c r="AI423" s="713"/>
      <c r="AJ423" s="714"/>
      <c r="AK423" s="715">
        <v>3.5</v>
      </c>
      <c r="AL423" s="713"/>
      <c r="AM423" s="714"/>
      <c r="AN423" s="715">
        <v>3.4</v>
      </c>
      <c r="AO423" s="713"/>
      <c r="AP423" s="714"/>
      <c r="AQ423" s="715">
        <v>0.5</v>
      </c>
      <c r="AR423" s="288"/>
      <c r="AS423" s="289"/>
      <c r="AT423" s="288">
        <f>J423+M423+P423+S423+V423+Y423+AB423+AE423+AH423+AK423+AN423+AQ423</f>
        <v>10.9</v>
      </c>
      <c r="AU423" s="288"/>
      <c r="AV423" s="290"/>
      <c r="AW423" s="285"/>
      <c r="AX423" s="296"/>
      <c r="AY423" s="313"/>
      <c r="AZ423" s="261"/>
      <c r="BA423" s="261"/>
      <c r="BB423" s="261"/>
      <c r="BC423" s="261"/>
    </row>
    <row r="424" spans="1:55">
      <c r="B424" s="179"/>
      <c r="C424" s="179"/>
      <c r="D424" s="181">
        <v>316441</v>
      </c>
      <c r="E424" s="181"/>
      <c r="F424" s="181"/>
      <c r="G424" s="1110">
        <v>316441</v>
      </c>
      <c r="H424" s="135" t="s">
        <v>1482</v>
      </c>
      <c r="I424" s="518" t="s">
        <v>365</v>
      </c>
      <c r="J424" s="712">
        <v>0</v>
      </c>
      <c r="K424" s="713"/>
      <c r="L424" s="714"/>
      <c r="M424" s="712">
        <v>0</v>
      </c>
      <c r="N424" s="713"/>
      <c r="O424" s="714"/>
      <c r="P424" s="712">
        <v>0</v>
      </c>
      <c r="Q424" s="713"/>
      <c r="R424" s="714"/>
      <c r="S424" s="712">
        <v>0</v>
      </c>
      <c r="T424" s="713"/>
      <c r="U424" s="714"/>
      <c r="V424" s="712">
        <v>0</v>
      </c>
      <c r="W424" s="713"/>
      <c r="X424" s="714"/>
      <c r="Y424" s="715">
        <v>0</v>
      </c>
      <c r="Z424" s="713"/>
      <c r="AA424" s="714"/>
      <c r="AB424" s="715">
        <v>0</v>
      </c>
      <c r="AC424" s="713"/>
      <c r="AD424" s="714"/>
      <c r="AE424" s="715">
        <v>0</v>
      </c>
      <c r="AF424" s="713"/>
      <c r="AG424" s="714"/>
      <c r="AH424" s="715">
        <v>5</v>
      </c>
      <c r="AI424" s="713"/>
      <c r="AJ424" s="714"/>
      <c r="AK424" s="715">
        <v>4.3</v>
      </c>
      <c r="AL424" s="713"/>
      <c r="AM424" s="714"/>
      <c r="AN424" s="715">
        <v>4.5</v>
      </c>
      <c r="AO424" s="713"/>
      <c r="AP424" s="714"/>
      <c r="AQ424" s="715">
        <v>4.5</v>
      </c>
      <c r="AR424" s="288"/>
      <c r="AS424" s="289"/>
      <c r="AT424" s="288">
        <f>J424+M424+P424+S424+V424+Y424+AB424+AE424+AH424+AK424+AN424+AQ424</f>
        <v>18.3</v>
      </c>
      <c r="AU424" s="288"/>
      <c r="AV424" s="290"/>
      <c r="AW424" s="285"/>
      <c r="AX424" s="296"/>
      <c r="AY424" s="313"/>
      <c r="AZ424" s="261"/>
      <c r="BA424" s="261"/>
      <c r="BB424" s="261"/>
      <c r="BC424" s="261"/>
    </row>
    <row r="425" spans="1:55">
      <c r="B425" s="179"/>
      <c r="C425" s="179"/>
      <c r="D425" s="181">
        <v>316443</v>
      </c>
      <c r="E425" s="181"/>
      <c r="F425" s="181"/>
      <c r="G425" s="1110">
        <v>316443</v>
      </c>
      <c r="H425" s="135" t="s">
        <v>1219</v>
      </c>
      <c r="I425" s="518" t="s">
        <v>365</v>
      </c>
      <c r="J425" s="715">
        <v>5</v>
      </c>
      <c r="K425" s="713"/>
      <c r="L425" s="714"/>
      <c r="M425" s="715">
        <v>0</v>
      </c>
      <c r="N425" s="713"/>
      <c r="O425" s="714"/>
      <c r="P425" s="715">
        <v>0</v>
      </c>
      <c r="Q425" s="713"/>
      <c r="R425" s="714"/>
      <c r="S425" s="712">
        <v>2.5</v>
      </c>
      <c r="T425" s="713"/>
      <c r="U425" s="714"/>
      <c r="V425" s="712">
        <v>2</v>
      </c>
      <c r="W425" s="713"/>
      <c r="X425" s="714"/>
      <c r="Y425" s="715">
        <v>0</v>
      </c>
      <c r="Z425" s="713"/>
      <c r="AA425" s="714"/>
      <c r="AB425" s="715">
        <v>0</v>
      </c>
      <c r="AC425" s="713"/>
      <c r="AD425" s="714"/>
      <c r="AE425" s="715">
        <v>2</v>
      </c>
      <c r="AF425" s="713"/>
      <c r="AG425" s="714"/>
      <c r="AH425" s="715">
        <v>6</v>
      </c>
      <c r="AI425" s="713"/>
      <c r="AJ425" s="714"/>
      <c r="AK425" s="715">
        <v>8</v>
      </c>
      <c r="AL425" s="713"/>
      <c r="AM425" s="714"/>
      <c r="AN425" s="715">
        <v>8</v>
      </c>
      <c r="AO425" s="713"/>
      <c r="AP425" s="714"/>
      <c r="AQ425" s="715">
        <v>9</v>
      </c>
      <c r="AR425" s="288"/>
      <c r="AS425" s="289"/>
      <c r="AT425" s="288">
        <f>J425+M425+P425+S425+V425+Y425+AB425+AE425+AH425+AK425+AN425+AQ425</f>
        <v>42.5</v>
      </c>
      <c r="AU425" s="288"/>
      <c r="AV425" s="290"/>
      <c r="AW425" s="285"/>
      <c r="AX425" s="296"/>
      <c r="AY425" s="313"/>
      <c r="AZ425" s="261"/>
      <c r="BA425" s="261"/>
      <c r="BB425" s="261"/>
      <c r="BC425" s="261"/>
    </row>
    <row r="426" spans="1:55">
      <c r="B426" s="179"/>
      <c r="C426" s="179"/>
      <c r="D426" s="181"/>
      <c r="E426" s="181"/>
      <c r="F426" s="181"/>
      <c r="G426" s="1110">
        <v>777337</v>
      </c>
      <c r="H426" s="135" t="s">
        <v>1106</v>
      </c>
      <c r="I426" s="518" t="s">
        <v>365</v>
      </c>
      <c r="J426" s="715">
        <v>5.48088</v>
      </c>
      <c r="K426" s="713"/>
      <c r="L426" s="714"/>
      <c r="M426" s="715">
        <v>7.1369759999999998</v>
      </c>
      <c r="N426" s="713"/>
      <c r="O426" s="714"/>
      <c r="P426" s="715">
        <v>4.9728240000000001</v>
      </c>
      <c r="Q426" s="713"/>
      <c r="R426" s="714"/>
      <c r="S426" s="712">
        <v>4.3498400000000004</v>
      </c>
      <c r="T426" s="713"/>
      <c r="U426" s="714"/>
      <c r="V426" s="712">
        <v>6.8464799999999997</v>
      </c>
      <c r="W426" s="713"/>
      <c r="X426" s="714"/>
      <c r="Y426" s="715">
        <v>6.62</v>
      </c>
      <c r="Z426" s="713"/>
      <c r="AA426" s="714"/>
      <c r="AB426" s="715">
        <v>5.0167200000000003</v>
      </c>
      <c r="AC426" s="713"/>
      <c r="AD426" s="714"/>
      <c r="AE426" s="715">
        <v>5.9349600000000002</v>
      </c>
      <c r="AF426" s="713"/>
      <c r="AG426" s="714"/>
      <c r="AH426" s="715">
        <v>5.7523200000000001</v>
      </c>
      <c r="AI426" s="713"/>
      <c r="AJ426" s="714"/>
      <c r="AK426" s="715">
        <v>5.3387760000000002</v>
      </c>
      <c r="AL426" s="713"/>
      <c r="AM426" s="714"/>
      <c r="AN426" s="715">
        <v>4.8679920000000001</v>
      </c>
      <c r="AO426" s="713"/>
      <c r="AP426" s="714"/>
      <c r="AQ426" s="715">
        <v>6.3924000000000003</v>
      </c>
      <c r="AR426" s="288"/>
      <c r="AS426" s="289"/>
      <c r="AT426" s="288">
        <f>J426+M426+P426+S426+V426+Y426+AB426+AE426+AH426+AK426+AN426+AQ426</f>
        <v>68.710167999999996</v>
      </c>
      <c r="AU426" s="288"/>
      <c r="AV426" s="290"/>
      <c r="AW426" s="285"/>
      <c r="AX426" s="296"/>
      <c r="AY426" s="313"/>
      <c r="AZ426" s="261"/>
      <c r="BA426" s="261"/>
      <c r="BB426" s="261"/>
      <c r="BC426" s="261"/>
    </row>
    <row r="427" spans="1:55" s="106" customFormat="1" ht="18.75">
      <c r="A427" s="179"/>
      <c r="B427" s="179"/>
      <c r="C427" s="179"/>
      <c r="D427" s="181">
        <v>316100</v>
      </c>
      <c r="E427" s="181"/>
      <c r="F427" s="181"/>
      <c r="G427" s="181">
        <v>316100</v>
      </c>
      <c r="H427" s="473" t="s">
        <v>1590</v>
      </c>
      <c r="I427" s="473"/>
      <c r="J427" s="277">
        <f>SUM(J428:J431)</f>
        <v>2094.4663319418755</v>
      </c>
      <c r="K427" s="275">
        <f>L427-J427</f>
        <v>200.44716695287252</v>
      </c>
      <c r="L427" s="276">
        <f>Потребление!D35</f>
        <v>2294.913498894748</v>
      </c>
      <c r="M427" s="274">
        <f>SUM(M428:M431)</f>
        <v>2008.9302577334374</v>
      </c>
      <c r="N427" s="275">
        <f>O427-M427</f>
        <v>93.01315331882688</v>
      </c>
      <c r="O427" s="276">
        <f>Потребление!E35</f>
        <v>2101.9434110522643</v>
      </c>
      <c r="P427" s="274">
        <f>SUM(P428:P431)</f>
        <v>1981.7697613124999</v>
      </c>
      <c r="Q427" s="275">
        <f>R427-P427</f>
        <v>200.55160656004659</v>
      </c>
      <c r="R427" s="276">
        <f>Потребление!F35</f>
        <v>2182.3213678725465</v>
      </c>
      <c r="S427" s="274">
        <f>SUM(S428:S431)</f>
        <v>1785.5759648145315</v>
      </c>
      <c r="T427" s="275">
        <f>U427-S427</f>
        <v>126.46170093048318</v>
      </c>
      <c r="U427" s="276">
        <f>Потребление!G35</f>
        <v>1912.0376657450147</v>
      </c>
      <c r="V427" s="274">
        <f>SUM(V428:V431)</f>
        <v>2005.6156176275001</v>
      </c>
      <c r="W427" s="275">
        <f>X427-V427</f>
        <v>-192.50616519336859</v>
      </c>
      <c r="X427" s="276">
        <f>Потребление!H35</f>
        <v>1813.1094524341315</v>
      </c>
      <c r="Y427" s="274">
        <f>SUM(Y428:Y431)</f>
        <v>1802.6578614574996</v>
      </c>
      <c r="Z427" s="275">
        <f>AA427-Y427</f>
        <v>-3.4907753593020061</v>
      </c>
      <c r="AA427" s="276">
        <f>Потребление!I35</f>
        <v>1799.1670860981976</v>
      </c>
      <c r="AB427" s="274">
        <f>SUM(AB428:AB431)</f>
        <v>1777.6441588915623</v>
      </c>
      <c r="AC427" s="275">
        <f>AD427-AB427</f>
        <v>74.985382293346447</v>
      </c>
      <c r="AD427" s="276">
        <f>Потребление!J35</f>
        <v>1852.6295411849087</v>
      </c>
      <c r="AE427" s="274">
        <f>SUM(AE428:AE431)</f>
        <v>1656.2054942910938</v>
      </c>
      <c r="AF427" s="275">
        <f>AG427-AE427</f>
        <v>164.42681767681529</v>
      </c>
      <c r="AG427" s="276">
        <f>Потребление!K35</f>
        <v>1820.6323119679091</v>
      </c>
      <c r="AH427" s="274">
        <f>SUM(AH428:AH431)</f>
        <v>1717.850567320625</v>
      </c>
      <c r="AI427" s="275">
        <f>AJ427-AH427</f>
        <v>42.799477964632388</v>
      </c>
      <c r="AJ427" s="276">
        <f>Потребление!L35</f>
        <v>1760.6500452852574</v>
      </c>
      <c r="AK427" s="274">
        <f>SUM(AK428:AK431)</f>
        <v>1858.2107943040626</v>
      </c>
      <c r="AL427" s="275">
        <f>AM427-AK427</f>
        <v>159.42013265502987</v>
      </c>
      <c r="AM427" s="276">
        <f>Потребление!M35</f>
        <v>2017.6309269590924</v>
      </c>
      <c r="AN427" s="274">
        <f>SUM(AN428:AN431)</f>
        <v>2004.1865607479688</v>
      </c>
      <c r="AO427" s="275">
        <f>AP427-AN427</f>
        <v>120.06836200319526</v>
      </c>
      <c r="AP427" s="276">
        <f>Потребление!N35</f>
        <v>2124.254922751164</v>
      </c>
      <c r="AQ427" s="274">
        <f>SUM(AQ428:AQ431)</f>
        <v>2279.4636922904688</v>
      </c>
      <c r="AR427" s="275">
        <f>AS427-AQ427</f>
        <v>28.950831847565496</v>
      </c>
      <c r="AS427" s="276">
        <f>Потребление!O35</f>
        <v>2308.4145241380343</v>
      </c>
      <c r="AT427" s="274">
        <f>SUM(AT428:AT431)</f>
        <v>22972.577062733126</v>
      </c>
      <c r="AU427" s="275">
        <f>AV427-AT427</f>
        <v>1015.1276916501447</v>
      </c>
      <c r="AV427" s="278">
        <f>L427+O427+R427+U427+X427+AA427+AD427+AG427+AJ427+AM427+AP427+AS427</f>
        <v>23987.70475438327</v>
      </c>
      <c r="AW427" s="279"/>
      <c r="AX427" s="1067">
        <v>23861.248164799999</v>
      </c>
      <c r="AY427" s="298">
        <f>SUM(AY428:AY431)</f>
        <v>24189.500544800001</v>
      </c>
      <c r="AZ427" s="347"/>
      <c r="BA427" s="347"/>
      <c r="BB427" s="347"/>
      <c r="BC427" s="347"/>
    </row>
    <row r="428" spans="1:55" s="106" customFormat="1">
      <c r="A428" s="179"/>
      <c r="B428" s="179"/>
      <c r="C428" s="179"/>
      <c r="D428" s="181"/>
      <c r="E428" s="181"/>
      <c r="F428" s="181"/>
      <c r="G428" s="181"/>
      <c r="H428" s="10" t="s">
        <v>56</v>
      </c>
      <c r="I428" s="10"/>
      <c r="J428" s="223">
        <f>SUM(J432:J435)+SUM(J440:J441)+J444+J447</f>
        <v>1306.1220000000001</v>
      </c>
      <c r="K428" s="271"/>
      <c r="L428" s="224"/>
      <c r="M428" s="270">
        <f>SUM(M432:M435)+SUM(M440:M441)+M444+M447</f>
        <v>1300.414</v>
      </c>
      <c r="N428" s="271"/>
      <c r="O428" s="224"/>
      <c r="P428" s="270">
        <f>SUM(P432:P435)+SUM(P440:P441)+P444+P447</f>
        <v>1250.021</v>
      </c>
      <c r="Q428" s="271"/>
      <c r="R428" s="224"/>
      <c r="S428" s="270">
        <f>SUM(S432:S435)+SUM(S440:S441)+S444+S447</f>
        <v>856.96400000000017</v>
      </c>
      <c r="T428" s="271"/>
      <c r="U428" s="224"/>
      <c r="V428" s="270">
        <f>SUM(V432:V435)+SUM(V440:V441)+V444+V447</f>
        <v>674.08100000000002</v>
      </c>
      <c r="W428" s="271"/>
      <c r="X428" s="224"/>
      <c r="Y428" s="270">
        <f>SUM(Y432:Y435)+SUM(Y440:Y441)+Y444+Y447</f>
        <v>689.92299999999989</v>
      </c>
      <c r="Z428" s="271"/>
      <c r="AA428" s="224"/>
      <c r="AB428" s="270">
        <f>SUM(AB432:AB435)+SUM(AB440:AB441)+AB444+AB447</f>
        <v>788.27799999999979</v>
      </c>
      <c r="AC428" s="271"/>
      <c r="AD428" s="224"/>
      <c r="AE428" s="270">
        <f>SUM(AE432:AE435)+SUM(AE440:AE441)+AE444+AE447</f>
        <v>739.78600000000006</v>
      </c>
      <c r="AF428" s="271"/>
      <c r="AG428" s="224"/>
      <c r="AH428" s="270">
        <f>SUM(AH432:AH435)+SUM(AH440:AH441)+AH444+AH447</f>
        <v>882.92399999999998</v>
      </c>
      <c r="AI428" s="271"/>
      <c r="AJ428" s="224"/>
      <c r="AK428" s="270">
        <f>SUM(AK432:AK435)+SUM(AK440:AK441)+AK444+AK447</f>
        <v>1039.4270000000001</v>
      </c>
      <c r="AL428" s="271"/>
      <c r="AM428" s="224"/>
      <c r="AN428" s="270">
        <f>SUM(AN432:AN435)+SUM(AN440:AN441)+AN444+AN447</f>
        <v>1167.7350000000001</v>
      </c>
      <c r="AO428" s="271"/>
      <c r="AP428" s="224"/>
      <c r="AQ428" s="270">
        <f>SUM(AQ432:AQ435)+SUM(AQ440:AQ441)+AQ444+AQ447</f>
        <v>1414.049</v>
      </c>
      <c r="AR428" s="271"/>
      <c r="AS428" s="224"/>
      <c r="AT428" s="270">
        <f>SUM(AT432:AT435)+SUM(AT440:AT441)+AT444+AT447</f>
        <v>12109.724000000002</v>
      </c>
      <c r="AU428" s="271"/>
      <c r="AV428" s="229"/>
      <c r="AW428" s="226"/>
      <c r="AX428" s="230"/>
      <c r="AY428" s="231">
        <f>SUM(AY432:AY435)+SUM(AY440:AY441)+SUM(AY444:AY447)</f>
        <v>11432.028154800002</v>
      </c>
      <c r="AZ428" s="347"/>
      <c r="BA428" s="347"/>
      <c r="BB428" s="347"/>
      <c r="BC428" s="347"/>
    </row>
    <row r="429" spans="1:55" s="106" customFormat="1">
      <c r="A429" s="179"/>
      <c r="B429" s="179"/>
      <c r="C429" s="179"/>
      <c r="D429" s="181"/>
      <c r="E429" s="181"/>
      <c r="F429" s="181"/>
      <c r="G429" s="181"/>
      <c r="H429" s="10" t="s">
        <v>55</v>
      </c>
      <c r="I429" s="10"/>
      <c r="J429" s="223">
        <f>J448</f>
        <v>760.508544921875</v>
      </c>
      <c r="K429" s="271"/>
      <c r="L429" s="224"/>
      <c r="M429" s="270">
        <f>M448</f>
        <v>677.8177490234375</v>
      </c>
      <c r="N429" s="271"/>
      <c r="O429" s="224"/>
      <c r="P429" s="270">
        <f>P448</f>
        <v>697.5361328125</v>
      </c>
      <c r="Q429" s="271"/>
      <c r="R429" s="224"/>
      <c r="S429" s="270">
        <f>S448</f>
        <v>902.23419189453125</v>
      </c>
      <c r="T429" s="271"/>
      <c r="U429" s="224"/>
      <c r="V429" s="270">
        <f>V448</f>
        <v>1308.4990234375</v>
      </c>
      <c r="W429" s="271"/>
      <c r="X429" s="224"/>
      <c r="Y429" s="270">
        <f>Y448</f>
        <v>1090.3076171875</v>
      </c>
      <c r="Z429" s="271"/>
      <c r="AA429" s="224"/>
      <c r="AB429" s="270">
        <f>AB448</f>
        <v>961.5396728515625</v>
      </c>
      <c r="AC429" s="271"/>
      <c r="AD429" s="224"/>
      <c r="AE429" s="270">
        <f>AE448</f>
        <v>885.36566162109375</v>
      </c>
      <c r="AF429" s="271"/>
      <c r="AG429" s="224"/>
      <c r="AH429" s="270">
        <f>AH448</f>
        <v>808.664306640625</v>
      </c>
      <c r="AI429" s="271"/>
      <c r="AJ429" s="224"/>
      <c r="AK429" s="270">
        <f>AK448</f>
        <v>789.2867431640625</v>
      </c>
      <c r="AL429" s="271"/>
      <c r="AM429" s="224"/>
      <c r="AN429" s="270">
        <f>AN448</f>
        <v>808.96990966796875</v>
      </c>
      <c r="AO429" s="271"/>
      <c r="AP429" s="224"/>
      <c r="AQ429" s="270">
        <f>AQ448</f>
        <v>837.11151123046875</v>
      </c>
      <c r="AR429" s="271"/>
      <c r="AS429" s="224"/>
      <c r="AT429" s="270">
        <f>AT448</f>
        <v>10527.841064453125</v>
      </c>
      <c r="AU429" s="271"/>
      <c r="AV429" s="229"/>
      <c r="AW429" s="226"/>
      <c r="AX429" s="230"/>
      <c r="AY429" s="231">
        <f>AY448</f>
        <v>12525.353964</v>
      </c>
      <c r="AZ429" s="347"/>
      <c r="BA429" s="347"/>
      <c r="BB429" s="347"/>
      <c r="BC429" s="347"/>
    </row>
    <row r="430" spans="1:55" s="106" customFormat="1">
      <c r="A430" s="179"/>
      <c r="B430" s="179"/>
      <c r="C430" s="179"/>
      <c r="D430" s="181"/>
      <c r="E430" s="181"/>
      <c r="F430" s="181"/>
      <c r="G430" s="181"/>
      <c r="H430" s="10" t="s">
        <v>347</v>
      </c>
      <c r="I430" s="10"/>
      <c r="J430" s="223">
        <f>SUM(J449:J451)</f>
        <v>3.8</v>
      </c>
      <c r="K430" s="271"/>
      <c r="L430" s="224"/>
      <c r="M430" s="223">
        <f>SUM(M449:M451)</f>
        <v>5.59</v>
      </c>
      <c r="N430" s="271"/>
      <c r="O430" s="224"/>
      <c r="P430" s="223">
        <f>SUM(P449:P451)</f>
        <v>8.24</v>
      </c>
      <c r="Q430" s="271"/>
      <c r="R430" s="224"/>
      <c r="S430" s="223">
        <f>SUM(S449:S451)</f>
        <v>9.14</v>
      </c>
      <c r="T430" s="271"/>
      <c r="U430" s="224"/>
      <c r="V430" s="223">
        <f>SUM(V449:V451)</f>
        <v>10.62</v>
      </c>
      <c r="W430" s="271"/>
      <c r="X430" s="224"/>
      <c r="Y430" s="223">
        <f>SUM(Y449:Y451)</f>
        <v>9.8699999999999992</v>
      </c>
      <c r="Z430" s="271"/>
      <c r="AA430" s="224"/>
      <c r="AB430" s="223">
        <f>SUM(AB449:AB451)</f>
        <v>9.9600000000000009</v>
      </c>
      <c r="AC430" s="271"/>
      <c r="AD430" s="224"/>
      <c r="AE430" s="223">
        <f>SUM(AE449:AE451)</f>
        <v>11.04</v>
      </c>
      <c r="AF430" s="271"/>
      <c r="AG430" s="224"/>
      <c r="AH430" s="223">
        <f>SUM(AH449:AH451)</f>
        <v>8.67</v>
      </c>
      <c r="AI430" s="271"/>
      <c r="AJ430" s="224"/>
      <c r="AK430" s="223">
        <f>SUM(AK449:AK451)</f>
        <v>7</v>
      </c>
      <c r="AL430" s="271"/>
      <c r="AM430" s="224"/>
      <c r="AN430" s="223">
        <f>SUM(AN449:AN451)</f>
        <v>3.53</v>
      </c>
      <c r="AO430" s="271"/>
      <c r="AP430" s="224"/>
      <c r="AQ430" s="223">
        <f>SUM(AQ449:AQ451)</f>
        <v>2.4300000000000002</v>
      </c>
      <c r="AR430" s="271"/>
      <c r="AS430" s="224"/>
      <c r="AT430" s="223">
        <f>SUM(AT449:AT451)</f>
        <v>89.89</v>
      </c>
      <c r="AU430" s="271"/>
      <c r="AV430" s="229"/>
      <c r="AW430" s="226"/>
      <c r="AX430" s="230"/>
      <c r="AY430" s="231">
        <f>AY449</f>
        <v>4.6315869999999997</v>
      </c>
      <c r="AZ430" s="347"/>
      <c r="BA430" s="347"/>
      <c r="BB430" s="347"/>
      <c r="BC430" s="347"/>
    </row>
    <row r="431" spans="1:55" s="107" customFormat="1">
      <c r="A431" s="179"/>
      <c r="B431" s="179"/>
      <c r="C431" s="179"/>
      <c r="D431" s="181"/>
      <c r="E431" s="181"/>
      <c r="F431" s="181"/>
      <c r="G431" s="181"/>
      <c r="H431" s="10" t="s">
        <v>99</v>
      </c>
      <c r="I431" s="10"/>
      <c r="J431" s="223">
        <f>J452</f>
        <v>24.035787020000001</v>
      </c>
      <c r="K431" s="271"/>
      <c r="L431" s="224"/>
      <c r="M431" s="270">
        <f>M452</f>
        <v>25.108508710000002</v>
      </c>
      <c r="N431" s="271"/>
      <c r="O431" s="224"/>
      <c r="P431" s="270">
        <f>P452</f>
        <v>25.972628499999999</v>
      </c>
      <c r="Q431" s="271"/>
      <c r="R431" s="224"/>
      <c r="S431" s="270">
        <f>S452</f>
        <v>17.237772919999998</v>
      </c>
      <c r="T431" s="271"/>
      <c r="U431" s="224"/>
      <c r="V431" s="270">
        <f>V452</f>
        <v>12.41559419</v>
      </c>
      <c r="W431" s="271"/>
      <c r="X431" s="224"/>
      <c r="Y431" s="270">
        <f>Y452</f>
        <v>12.55724427</v>
      </c>
      <c r="Z431" s="271"/>
      <c r="AA431" s="224"/>
      <c r="AB431" s="270">
        <f>AB452</f>
        <v>17.866486039999998</v>
      </c>
      <c r="AC431" s="271"/>
      <c r="AD431" s="224"/>
      <c r="AE431" s="270">
        <f>AE452</f>
        <v>20.013832669999999</v>
      </c>
      <c r="AF431" s="271"/>
      <c r="AG431" s="224"/>
      <c r="AH431" s="270">
        <f>AH452</f>
        <v>17.592260680000003</v>
      </c>
      <c r="AI431" s="271"/>
      <c r="AJ431" s="224"/>
      <c r="AK431" s="270">
        <f>AK452</f>
        <v>22.49705114</v>
      </c>
      <c r="AL431" s="271"/>
      <c r="AM431" s="224"/>
      <c r="AN431" s="270">
        <f>AN452</f>
        <v>23.951651079999998</v>
      </c>
      <c r="AO431" s="271"/>
      <c r="AP431" s="224"/>
      <c r="AQ431" s="270">
        <f>AQ452</f>
        <v>25.87318106</v>
      </c>
      <c r="AR431" s="271"/>
      <c r="AS431" s="224"/>
      <c r="AT431" s="270">
        <f>AT452</f>
        <v>245.12199828000001</v>
      </c>
      <c r="AU431" s="271"/>
      <c r="AV431" s="229"/>
      <c r="AW431" s="226"/>
      <c r="AX431" s="230"/>
      <c r="AY431" s="231">
        <f>AY452</f>
        <v>227.486839</v>
      </c>
      <c r="AZ431" s="346"/>
      <c r="BA431" s="346"/>
      <c r="BB431" s="346"/>
      <c r="BC431" s="346"/>
    </row>
    <row r="432" spans="1:55" s="107" customFormat="1">
      <c r="A432" s="1116"/>
      <c r="B432" s="1116"/>
      <c r="C432" s="1116"/>
      <c r="D432" s="1110">
        <v>316111</v>
      </c>
      <c r="E432" s="1110"/>
      <c r="F432" s="1110"/>
      <c r="G432" s="1110">
        <v>316111</v>
      </c>
      <c r="H432" s="127" t="s">
        <v>1220</v>
      </c>
      <c r="I432" s="516" t="s">
        <v>364</v>
      </c>
      <c r="J432" s="837">
        <v>200.74799999999999</v>
      </c>
      <c r="K432" s="709"/>
      <c r="L432" s="710"/>
      <c r="M432" s="1183">
        <f>188.385+10</f>
        <v>198.38499999999999</v>
      </c>
      <c r="N432" s="709"/>
      <c r="O432" s="710"/>
      <c r="P432" s="1185">
        <f>162.71+20</f>
        <v>182.71</v>
      </c>
      <c r="Q432" s="709"/>
      <c r="R432" s="710"/>
      <c r="S432" s="837">
        <v>126.32599999999999</v>
      </c>
      <c r="T432" s="709"/>
      <c r="U432" s="710"/>
      <c r="V432" s="837">
        <v>70.123999999999995</v>
      </c>
      <c r="W432" s="709"/>
      <c r="X432" s="710"/>
      <c r="Y432" s="837">
        <v>77.084000000000003</v>
      </c>
      <c r="Z432" s="709"/>
      <c r="AA432" s="710"/>
      <c r="AB432" s="1185">
        <f>69.761+10</f>
        <v>79.760999999999996</v>
      </c>
      <c r="AC432" s="709"/>
      <c r="AD432" s="710"/>
      <c r="AE432" s="836">
        <v>75.683000000000007</v>
      </c>
      <c r="AF432" s="709"/>
      <c r="AG432" s="710"/>
      <c r="AH432" s="1185">
        <f>65.838+40</f>
        <v>105.83799999999999</v>
      </c>
      <c r="AI432" s="709"/>
      <c r="AJ432" s="710"/>
      <c r="AK432" s="1183">
        <f>132.242+10</f>
        <v>142.24199999999999</v>
      </c>
      <c r="AL432" s="709"/>
      <c r="AM432" s="710"/>
      <c r="AN432" s="1183">
        <f>164.189+16.82</f>
        <v>181.00899999999999</v>
      </c>
      <c r="AO432" s="709"/>
      <c r="AP432" s="710"/>
      <c r="AQ432" s="1183">
        <f>180.91+30</f>
        <v>210.91</v>
      </c>
      <c r="AR432" s="283"/>
      <c r="AS432" s="299"/>
      <c r="AT432" s="244">
        <f t="shared" ref="AT432:AT455" si="16">J432+M432+P432+S432+V432+Y432+AB432+AE432+AH432+AK432+AN432+AQ432</f>
        <v>1650.82</v>
      </c>
      <c r="AU432" s="283"/>
      <c r="AV432" s="284"/>
      <c r="AW432" s="285"/>
      <c r="AX432" s="321"/>
      <c r="AY432" s="435">
        <v>1534.2771279999999</v>
      </c>
      <c r="AZ432" s="346"/>
      <c r="BA432" s="346"/>
      <c r="BB432" s="346"/>
      <c r="BC432" s="346"/>
    </row>
    <row r="433" spans="1:55" s="107" customFormat="1">
      <c r="A433" s="1116"/>
      <c r="B433" s="1116"/>
      <c r="C433" s="1116"/>
      <c r="D433" s="1110">
        <v>316110</v>
      </c>
      <c r="E433" s="1110"/>
      <c r="F433" s="1110"/>
      <c r="G433" s="1110">
        <v>316110</v>
      </c>
      <c r="H433" s="127" t="s">
        <v>1324</v>
      </c>
      <c r="I433" s="516" t="s">
        <v>364</v>
      </c>
      <c r="J433" s="836">
        <v>91.3</v>
      </c>
      <c r="K433" s="709"/>
      <c r="L433" s="710"/>
      <c r="M433" s="836">
        <v>80.209999999999994</v>
      </c>
      <c r="N433" s="709"/>
      <c r="O433" s="710"/>
      <c r="P433" s="836">
        <v>81.239999999999995</v>
      </c>
      <c r="Q433" s="709"/>
      <c r="R433" s="710"/>
      <c r="S433" s="836">
        <v>74.12</v>
      </c>
      <c r="T433" s="709"/>
      <c r="U433" s="710"/>
      <c r="V433" s="836">
        <v>74.510000000000005</v>
      </c>
      <c r="W433" s="709"/>
      <c r="X433" s="710"/>
      <c r="Y433" s="836">
        <v>74.11</v>
      </c>
      <c r="Z433" s="709"/>
      <c r="AA433" s="710"/>
      <c r="AB433" s="836">
        <v>79.37</v>
      </c>
      <c r="AC433" s="709"/>
      <c r="AD433" s="710"/>
      <c r="AE433" s="836">
        <v>77.03</v>
      </c>
      <c r="AF433" s="709"/>
      <c r="AG433" s="710"/>
      <c r="AH433" s="836">
        <v>71.3</v>
      </c>
      <c r="AI433" s="709"/>
      <c r="AJ433" s="710"/>
      <c r="AK433" s="1183">
        <f>68.35+10</f>
        <v>78.349999999999994</v>
      </c>
      <c r="AL433" s="709"/>
      <c r="AM433" s="710"/>
      <c r="AN433" s="836">
        <v>79.67</v>
      </c>
      <c r="AO433" s="709"/>
      <c r="AP433" s="710"/>
      <c r="AQ433" s="836">
        <v>88.4</v>
      </c>
      <c r="AR433" s="283"/>
      <c r="AS433" s="299"/>
      <c r="AT433" s="244">
        <f t="shared" si="16"/>
        <v>949.6099999999999</v>
      </c>
      <c r="AU433" s="283"/>
      <c r="AV433" s="284"/>
      <c r="AW433" s="285"/>
      <c r="AX433" s="321"/>
      <c r="AY433" s="435">
        <v>913.97171400000002</v>
      </c>
      <c r="AZ433" s="346"/>
      <c r="BA433" s="346"/>
      <c r="BB433" s="346"/>
      <c r="BC433" s="346"/>
    </row>
    <row r="434" spans="1:55">
      <c r="A434" s="1116"/>
      <c r="B434" s="1116"/>
      <c r="C434" s="1116"/>
      <c r="D434" s="1110">
        <v>316112</v>
      </c>
      <c r="E434" s="1110"/>
      <c r="F434" s="1110"/>
      <c r="G434" s="1110">
        <v>316112</v>
      </c>
      <c r="H434" s="127" t="s">
        <v>1221</v>
      </c>
      <c r="I434" s="516" t="s">
        <v>364</v>
      </c>
      <c r="J434" s="836">
        <v>420</v>
      </c>
      <c r="K434" s="709"/>
      <c r="L434" s="710"/>
      <c r="M434" s="1183">
        <f>390+40</f>
        <v>430</v>
      </c>
      <c r="N434" s="709"/>
      <c r="O434" s="710"/>
      <c r="P434" s="1183">
        <f>385+10</f>
        <v>395</v>
      </c>
      <c r="Q434" s="709"/>
      <c r="R434" s="710"/>
      <c r="S434" s="1193">
        <f>250-30</f>
        <v>220</v>
      </c>
      <c r="T434" s="709"/>
      <c r="U434" s="710"/>
      <c r="V434" s="1183">
        <f>95+50</f>
        <v>145</v>
      </c>
      <c r="W434" s="709"/>
      <c r="X434" s="710"/>
      <c r="Y434" s="1183">
        <f>95+71.57</f>
        <v>166.57</v>
      </c>
      <c r="Z434" s="709"/>
      <c r="AA434" s="710"/>
      <c r="AB434" s="1183">
        <f>85+110</f>
        <v>195</v>
      </c>
      <c r="AC434" s="709"/>
      <c r="AD434" s="710"/>
      <c r="AE434" s="1183">
        <f>85+100</f>
        <v>185</v>
      </c>
      <c r="AF434" s="709"/>
      <c r="AG434" s="710"/>
      <c r="AH434" s="1183">
        <f>105+155</f>
        <v>260</v>
      </c>
      <c r="AI434" s="709"/>
      <c r="AJ434" s="710"/>
      <c r="AK434" s="1183">
        <f>260+50</f>
        <v>310</v>
      </c>
      <c r="AL434" s="709"/>
      <c r="AM434" s="710"/>
      <c r="AN434" s="1183">
        <f>350+40</f>
        <v>390</v>
      </c>
      <c r="AO434" s="709"/>
      <c r="AP434" s="710"/>
      <c r="AQ434" s="1183">
        <f>420+30</f>
        <v>450</v>
      </c>
      <c r="AR434" s="283"/>
      <c r="AS434" s="299"/>
      <c r="AT434" s="244">
        <f t="shared" si="16"/>
        <v>3566.5699999999997</v>
      </c>
      <c r="AU434" s="283"/>
      <c r="AV434" s="284"/>
      <c r="AW434" s="285"/>
      <c r="AX434" s="321"/>
      <c r="AY434" s="435">
        <v>3025.9678090000002</v>
      </c>
      <c r="AZ434" s="261"/>
      <c r="BA434" s="261"/>
      <c r="BB434" s="261"/>
      <c r="BC434" s="261"/>
    </row>
    <row r="435" spans="1:55">
      <c r="A435" s="1116"/>
      <c r="B435" s="1116"/>
      <c r="C435" s="1116"/>
      <c r="D435" s="1110">
        <v>316126</v>
      </c>
      <c r="E435" s="1110"/>
      <c r="F435" s="1110"/>
      <c r="G435" s="1110">
        <v>316126</v>
      </c>
      <c r="H435" s="132" t="s">
        <v>1222</v>
      </c>
      <c r="I435" s="516" t="s">
        <v>364</v>
      </c>
      <c r="J435" s="238">
        <f>SUM(J436:J439)</f>
        <v>163.68</v>
      </c>
      <c r="K435" s="283"/>
      <c r="L435" s="299"/>
      <c r="M435" s="314">
        <f>SUM(M436:M439)</f>
        <v>155.904</v>
      </c>
      <c r="N435" s="283"/>
      <c r="O435" s="299"/>
      <c r="P435" s="314">
        <f>SUM(P436:P439)</f>
        <v>158.80000000000001</v>
      </c>
      <c r="Q435" s="283"/>
      <c r="R435" s="299"/>
      <c r="S435" s="314">
        <f>SUM(S436:S439)</f>
        <v>135.36000000000001</v>
      </c>
      <c r="T435" s="283"/>
      <c r="U435" s="299"/>
      <c r="V435" s="314">
        <f>SUM(V436:V439)</f>
        <v>129.703</v>
      </c>
      <c r="W435" s="283"/>
      <c r="X435" s="299"/>
      <c r="Y435" s="314">
        <f>SUM(Y436:Y439)</f>
        <v>133.375</v>
      </c>
      <c r="Z435" s="283"/>
      <c r="AA435" s="299"/>
      <c r="AB435" s="314">
        <f>SUM(AB436:AB439)</f>
        <v>174.70999999999998</v>
      </c>
      <c r="AC435" s="283"/>
      <c r="AD435" s="299"/>
      <c r="AE435" s="314">
        <f>SUM(AE436:AE439)</f>
        <v>144.11699999999999</v>
      </c>
      <c r="AF435" s="283"/>
      <c r="AG435" s="299"/>
      <c r="AH435" s="314">
        <f>SUM(AH436:AH439)</f>
        <v>148.41200000000001</v>
      </c>
      <c r="AI435" s="283"/>
      <c r="AJ435" s="299"/>
      <c r="AK435" s="314">
        <f>SUM(AK436:AK439)</f>
        <v>149.57900000000001</v>
      </c>
      <c r="AL435" s="283"/>
      <c r="AM435" s="299"/>
      <c r="AN435" s="314">
        <f>SUM(AN436:AN439)</f>
        <v>139.22399999999999</v>
      </c>
      <c r="AO435" s="283"/>
      <c r="AP435" s="299"/>
      <c r="AQ435" s="314">
        <f>SUM(AQ436:AQ439)</f>
        <v>189.84300000000002</v>
      </c>
      <c r="AR435" s="283"/>
      <c r="AS435" s="299"/>
      <c r="AT435" s="314">
        <f>SUM(AT436:AT439)</f>
        <v>1822.7069999999999</v>
      </c>
      <c r="AU435" s="283"/>
      <c r="AV435" s="284"/>
      <c r="AW435" s="285"/>
      <c r="AX435" s="321"/>
      <c r="AY435" s="888">
        <v>1968.956819</v>
      </c>
      <c r="AZ435" s="261"/>
      <c r="BA435" s="261"/>
      <c r="BB435" s="261"/>
      <c r="BC435" s="261"/>
    </row>
    <row r="436" spans="1:55">
      <c r="A436" s="1116"/>
      <c r="B436" s="1116"/>
      <c r="C436" s="1116"/>
      <c r="D436" s="1110"/>
      <c r="E436" s="1110"/>
      <c r="F436" s="1110"/>
      <c r="G436" s="1110"/>
      <c r="H436" s="127" t="s">
        <v>1223</v>
      </c>
      <c r="I436" s="127"/>
      <c r="J436" s="836">
        <v>59.52</v>
      </c>
      <c r="K436" s="709"/>
      <c r="L436" s="710"/>
      <c r="M436" s="836">
        <v>58.463999999999999</v>
      </c>
      <c r="N436" s="709"/>
      <c r="O436" s="710"/>
      <c r="P436" s="1183">
        <f>44.64+10</f>
        <v>54.64</v>
      </c>
      <c r="Q436" s="709"/>
      <c r="R436" s="710"/>
      <c r="S436" s="836">
        <v>34.56</v>
      </c>
      <c r="T436" s="709"/>
      <c r="U436" s="710"/>
      <c r="V436" s="836">
        <v>29.76</v>
      </c>
      <c r="W436" s="709"/>
      <c r="X436" s="710"/>
      <c r="Y436" s="836">
        <v>28.8</v>
      </c>
      <c r="Z436" s="709"/>
      <c r="AA436" s="710"/>
      <c r="AB436" s="836">
        <v>33.841999999999999</v>
      </c>
      <c r="AC436" s="709"/>
      <c r="AD436" s="710"/>
      <c r="AE436" s="1183">
        <f>33.872+10</f>
        <v>43.872</v>
      </c>
      <c r="AF436" s="709"/>
      <c r="AG436" s="710"/>
      <c r="AH436" s="1183">
        <f>28.8+15</f>
        <v>43.8</v>
      </c>
      <c r="AI436" s="709"/>
      <c r="AJ436" s="710"/>
      <c r="AK436" s="836">
        <v>39.432000000000002</v>
      </c>
      <c r="AL436" s="709"/>
      <c r="AM436" s="710"/>
      <c r="AN436" s="1134">
        <f>43.2-3.12</f>
        <v>40.080000000000005</v>
      </c>
      <c r="AO436" s="709"/>
      <c r="AP436" s="710"/>
      <c r="AQ436" s="1183">
        <f>50.032+10</f>
        <v>60.031999999999996</v>
      </c>
      <c r="AR436" s="283"/>
      <c r="AS436" s="299"/>
      <c r="AT436" s="244">
        <f t="shared" si="16"/>
        <v>526.80200000000002</v>
      </c>
      <c r="AU436" s="283"/>
      <c r="AV436" s="284"/>
      <c r="AW436" s="285"/>
      <c r="AX436" s="321"/>
      <c r="AY436" s="300"/>
      <c r="AZ436" s="261"/>
      <c r="BA436" s="261"/>
      <c r="BB436" s="261"/>
      <c r="BC436" s="261"/>
    </row>
    <row r="437" spans="1:55">
      <c r="A437" s="1116"/>
      <c r="B437" s="1116"/>
      <c r="C437" s="1116"/>
      <c r="D437" s="1110"/>
      <c r="E437" s="1110"/>
      <c r="F437" s="1110"/>
      <c r="G437" s="1110"/>
      <c r="H437" s="127" t="s">
        <v>1225</v>
      </c>
      <c r="I437" s="127"/>
      <c r="J437" s="711">
        <v>0</v>
      </c>
      <c r="K437" s="709"/>
      <c r="L437" s="710"/>
      <c r="M437" s="711">
        <v>48.72</v>
      </c>
      <c r="N437" s="709"/>
      <c r="O437" s="710"/>
      <c r="P437" s="711">
        <v>52.08</v>
      </c>
      <c r="Q437" s="709"/>
      <c r="R437" s="710"/>
      <c r="S437" s="711">
        <v>50.4</v>
      </c>
      <c r="T437" s="709"/>
      <c r="U437" s="710"/>
      <c r="V437" s="711">
        <v>49.942999999999998</v>
      </c>
      <c r="W437" s="709"/>
      <c r="X437" s="710"/>
      <c r="Y437" s="1184">
        <f>42.287+10</f>
        <v>52.286999999999999</v>
      </c>
      <c r="Z437" s="709"/>
      <c r="AA437" s="710"/>
      <c r="AB437" s="711">
        <v>50.369</v>
      </c>
      <c r="AC437" s="709"/>
      <c r="AD437" s="710"/>
      <c r="AE437" s="711">
        <v>33.5</v>
      </c>
      <c r="AF437" s="709"/>
      <c r="AG437" s="710"/>
      <c r="AH437" s="711">
        <v>0</v>
      </c>
      <c r="AI437" s="709"/>
      <c r="AJ437" s="710"/>
      <c r="AK437" s="1184">
        <f>0+25</f>
        <v>25</v>
      </c>
      <c r="AL437" s="709"/>
      <c r="AM437" s="710"/>
      <c r="AN437" s="1135">
        <f>52.11-2.5385</f>
        <v>49.5715</v>
      </c>
      <c r="AO437" s="709"/>
      <c r="AP437" s="710"/>
      <c r="AQ437" s="711">
        <v>0</v>
      </c>
      <c r="AR437" s="283"/>
      <c r="AS437" s="299"/>
      <c r="AT437" s="244">
        <f t="shared" si="16"/>
        <v>411.87049999999999</v>
      </c>
      <c r="AU437" s="283"/>
      <c r="AV437" s="284"/>
      <c r="AW437" s="285"/>
      <c r="AX437" s="321"/>
      <c r="AY437" s="300"/>
      <c r="AZ437" s="261"/>
      <c r="BA437" s="261"/>
      <c r="BB437" s="261"/>
      <c r="BC437" s="261"/>
    </row>
    <row r="438" spans="1:55" s="107" customFormat="1">
      <c r="A438" s="1116"/>
      <c r="B438" s="1116"/>
      <c r="C438" s="1116"/>
      <c r="D438" s="1110"/>
      <c r="E438" s="1110"/>
      <c r="F438" s="1110"/>
      <c r="G438" s="1110"/>
      <c r="H438" s="127" t="s">
        <v>1226</v>
      </c>
      <c r="I438" s="127"/>
      <c r="J438" s="711">
        <v>52.08</v>
      </c>
      <c r="K438" s="709"/>
      <c r="L438" s="710"/>
      <c r="M438" s="711">
        <v>0</v>
      </c>
      <c r="N438" s="709"/>
      <c r="O438" s="710"/>
      <c r="P438" s="711">
        <v>52.08</v>
      </c>
      <c r="Q438" s="709"/>
      <c r="R438" s="710"/>
      <c r="S438" s="711">
        <v>50.4</v>
      </c>
      <c r="T438" s="709"/>
      <c r="U438" s="710"/>
      <c r="V438" s="1184">
        <f>0+50</f>
        <v>50</v>
      </c>
      <c r="W438" s="709"/>
      <c r="X438" s="710"/>
      <c r="Y438" s="711">
        <v>0</v>
      </c>
      <c r="Z438" s="709"/>
      <c r="AA438" s="710"/>
      <c r="AB438" s="711">
        <v>50.369</v>
      </c>
      <c r="AC438" s="709"/>
      <c r="AD438" s="710"/>
      <c r="AE438" s="711">
        <v>33.5</v>
      </c>
      <c r="AF438" s="709"/>
      <c r="AG438" s="710"/>
      <c r="AH438" s="711">
        <v>54.612000000000002</v>
      </c>
      <c r="AI438" s="709"/>
      <c r="AJ438" s="710"/>
      <c r="AK438" s="711">
        <v>40</v>
      </c>
      <c r="AL438" s="709"/>
      <c r="AM438" s="710"/>
      <c r="AN438" s="1135">
        <v>0</v>
      </c>
      <c r="AO438" s="709"/>
      <c r="AP438" s="710"/>
      <c r="AQ438" s="1184">
        <f>54.905+10</f>
        <v>64.905000000000001</v>
      </c>
      <c r="AR438" s="283"/>
      <c r="AS438" s="299"/>
      <c r="AT438" s="244">
        <f t="shared" si="16"/>
        <v>447.94600000000003</v>
      </c>
      <c r="AU438" s="283"/>
      <c r="AV438" s="284"/>
      <c r="AW438" s="285"/>
      <c r="AX438" s="321"/>
      <c r="AY438" s="300"/>
      <c r="AZ438" s="346"/>
      <c r="BA438" s="346"/>
      <c r="BB438" s="346"/>
      <c r="BC438" s="346"/>
    </row>
    <row r="439" spans="1:55">
      <c r="A439" s="1116"/>
      <c r="B439" s="1116"/>
      <c r="C439" s="1116"/>
      <c r="D439" s="1110"/>
      <c r="E439" s="1110"/>
      <c r="F439" s="1110"/>
      <c r="G439" s="1110"/>
      <c r="H439" s="127" t="s">
        <v>1227</v>
      </c>
      <c r="I439" s="127"/>
      <c r="J439" s="711">
        <v>52.08</v>
      </c>
      <c r="K439" s="709"/>
      <c r="L439" s="710"/>
      <c r="M439" s="711">
        <v>48.72</v>
      </c>
      <c r="N439" s="709"/>
      <c r="O439" s="710"/>
      <c r="P439" s="711">
        <v>0</v>
      </c>
      <c r="Q439" s="709"/>
      <c r="R439" s="710"/>
      <c r="S439" s="711">
        <v>0</v>
      </c>
      <c r="T439" s="709"/>
      <c r="U439" s="710"/>
      <c r="V439" s="711">
        <v>0</v>
      </c>
      <c r="W439" s="709"/>
      <c r="X439" s="710"/>
      <c r="Y439" s="1184">
        <f>42.288+10</f>
        <v>52.287999999999997</v>
      </c>
      <c r="Z439" s="709"/>
      <c r="AA439" s="710"/>
      <c r="AB439" s="1184">
        <f>10.13+30</f>
        <v>40.130000000000003</v>
      </c>
      <c r="AC439" s="709"/>
      <c r="AD439" s="710"/>
      <c r="AE439" s="711">
        <v>33.244999999999997</v>
      </c>
      <c r="AF439" s="709"/>
      <c r="AG439" s="710"/>
      <c r="AH439" s="1184">
        <f>35+15</f>
        <v>50</v>
      </c>
      <c r="AI439" s="709"/>
      <c r="AJ439" s="710"/>
      <c r="AK439" s="711">
        <v>45.146999999999998</v>
      </c>
      <c r="AL439" s="709"/>
      <c r="AM439" s="710"/>
      <c r="AN439" s="1135">
        <f>52.111-2.5385</f>
        <v>49.572499999999998</v>
      </c>
      <c r="AO439" s="709"/>
      <c r="AP439" s="710"/>
      <c r="AQ439" s="1184">
        <f>54.906+10</f>
        <v>64.906000000000006</v>
      </c>
      <c r="AR439" s="283"/>
      <c r="AS439" s="299"/>
      <c r="AT439" s="244">
        <f t="shared" si="16"/>
        <v>436.08849999999995</v>
      </c>
      <c r="AU439" s="283"/>
      <c r="AV439" s="284"/>
      <c r="AW439" s="285"/>
      <c r="AX439" s="321"/>
      <c r="AY439" s="300"/>
      <c r="AZ439" s="261"/>
      <c r="BA439" s="261"/>
      <c r="BB439" s="261"/>
      <c r="BC439" s="261"/>
    </row>
    <row r="440" spans="1:55" s="107" customFormat="1">
      <c r="A440" s="1116"/>
      <c r="B440" s="1116"/>
      <c r="C440" s="1116"/>
      <c r="D440" s="1110">
        <v>316127</v>
      </c>
      <c r="E440" s="1110"/>
      <c r="F440" s="1110"/>
      <c r="G440" s="1110">
        <v>316127</v>
      </c>
      <c r="H440" s="127" t="s">
        <v>1224</v>
      </c>
      <c r="I440" s="516" t="s">
        <v>364</v>
      </c>
      <c r="J440" s="1136">
        <f>38.818-2.585</f>
        <v>36.232999999999997</v>
      </c>
      <c r="K440" s="709"/>
      <c r="L440" s="710"/>
      <c r="M440" s="1136">
        <f>36.618-2.723</f>
        <v>33.895000000000003</v>
      </c>
      <c r="N440" s="709"/>
      <c r="O440" s="710"/>
      <c r="P440" s="1136">
        <f>39.236-21.004</f>
        <v>18.231999999999996</v>
      </c>
      <c r="Q440" s="709"/>
      <c r="R440" s="710"/>
      <c r="S440" s="1136">
        <f>34.76-14.336</f>
        <v>20.423999999999999</v>
      </c>
      <c r="T440" s="709"/>
      <c r="U440" s="710"/>
      <c r="V440" s="922">
        <v>6.7789999999999999</v>
      </c>
      <c r="W440" s="709"/>
      <c r="X440" s="710"/>
      <c r="Y440" s="922">
        <v>2.5720000000000001</v>
      </c>
      <c r="Z440" s="709"/>
      <c r="AA440" s="710"/>
      <c r="AB440" s="1197">
        <f>3.096+5</f>
        <v>8.0960000000000001</v>
      </c>
      <c r="AC440" s="709"/>
      <c r="AD440" s="710"/>
      <c r="AE440" s="922">
        <v>7.8789999999999996</v>
      </c>
      <c r="AF440" s="709"/>
      <c r="AG440" s="710"/>
      <c r="AH440" s="922">
        <v>2.2050000000000001</v>
      </c>
      <c r="AI440" s="709"/>
      <c r="AJ440" s="710"/>
      <c r="AK440" s="1136">
        <f>27.576-0.271</f>
        <v>27.305</v>
      </c>
      <c r="AL440" s="709"/>
      <c r="AM440" s="710"/>
      <c r="AN440" s="1136">
        <f>39.926-4.862</f>
        <v>35.064</v>
      </c>
      <c r="AO440" s="709"/>
      <c r="AP440" s="710"/>
      <c r="AQ440" s="922">
        <v>31.015000000000001</v>
      </c>
      <c r="AR440" s="283"/>
      <c r="AS440" s="299"/>
      <c r="AT440" s="244">
        <f t="shared" si="16"/>
        <v>229.69900000000001</v>
      </c>
      <c r="AU440" s="283"/>
      <c r="AV440" s="284"/>
      <c r="AW440" s="285"/>
      <c r="AX440" s="321"/>
      <c r="AY440" s="435">
        <v>281.32376599999998</v>
      </c>
      <c r="AZ440" s="346"/>
      <c r="BA440" s="346"/>
      <c r="BB440" s="346"/>
      <c r="BC440" s="346"/>
    </row>
    <row r="441" spans="1:55" s="107" customFormat="1">
      <c r="A441" s="1116"/>
      <c r="B441" s="1116"/>
      <c r="C441" s="1116"/>
      <c r="D441" s="1110">
        <v>316113</v>
      </c>
      <c r="E441" s="1110"/>
      <c r="F441" s="1110"/>
      <c r="G441" s="1110">
        <v>316113</v>
      </c>
      <c r="H441" s="132" t="s">
        <v>1228</v>
      </c>
      <c r="I441" s="516" t="s">
        <v>364</v>
      </c>
      <c r="J441" s="262">
        <f>J442+J443</f>
        <v>173.33</v>
      </c>
      <c r="K441" s="246"/>
      <c r="L441" s="282"/>
      <c r="M441" s="317">
        <f>M442+M443</f>
        <v>156.69999999999999</v>
      </c>
      <c r="N441" s="246"/>
      <c r="O441" s="282"/>
      <c r="P441" s="317">
        <f>P442+P443</f>
        <v>163.33000000000001</v>
      </c>
      <c r="Q441" s="246"/>
      <c r="R441" s="282"/>
      <c r="S441" s="317">
        <f>S442+S443</f>
        <v>132.71</v>
      </c>
      <c r="T441" s="246"/>
      <c r="U441" s="282"/>
      <c r="V441" s="317">
        <f>V442+V443</f>
        <v>136.49</v>
      </c>
      <c r="W441" s="246"/>
      <c r="X441" s="282"/>
      <c r="Y441" s="317">
        <f>Y442+Y443</f>
        <v>131.32</v>
      </c>
      <c r="Z441" s="246"/>
      <c r="AA441" s="282"/>
      <c r="AB441" s="317">
        <f>AB442+AB443</f>
        <v>133.15</v>
      </c>
      <c r="AC441" s="246"/>
      <c r="AD441" s="282"/>
      <c r="AE441" s="317">
        <f>AE442+AE443</f>
        <v>132.72</v>
      </c>
      <c r="AF441" s="246"/>
      <c r="AG441" s="282"/>
      <c r="AH441" s="317">
        <f>AH442+AH443</f>
        <v>134.70000000000002</v>
      </c>
      <c r="AI441" s="246"/>
      <c r="AJ441" s="282"/>
      <c r="AK441" s="317">
        <f>AK442+AK443</f>
        <v>135.18</v>
      </c>
      <c r="AL441" s="246"/>
      <c r="AM441" s="282"/>
      <c r="AN441" s="317">
        <f>AN442+AN443</f>
        <v>130.95400000000001</v>
      </c>
      <c r="AO441" s="246"/>
      <c r="AP441" s="282"/>
      <c r="AQ441" s="317">
        <f>AQ442+AQ443</f>
        <v>168.81</v>
      </c>
      <c r="AR441" s="246"/>
      <c r="AS441" s="282"/>
      <c r="AT441" s="317">
        <f>AT442+AT443</f>
        <v>1729.3940000000002</v>
      </c>
      <c r="AU441" s="246"/>
      <c r="AV441" s="336"/>
      <c r="AW441" s="285"/>
      <c r="AX441" s="337"/>
      <c r="AY441" s="1068">
        <v>1608.7793429999999</v>
      </c>
      <c r="AZ441" s="346"/>
      <c r="BA441" s="346"/>
      <c r="BB441" s="346"/>
      <c r="BC441" s="346"/>
    </row>
    <row r="442" spans="1:55" s="107" customFormat="1">
      <c r="A442" s="1116"/>
      <c r="B442" s="1116"/>
      <c r="C442" s="1116"/>
      <c r="D442" s="1110"/>
      <c r="E442" s="1110"/>
      <c r="F442" s="1110"/>
      <c r="G442" s="1110"/>
      <c r="H442" s="127" t="s">
        <v>1229</v>
      </c>
      <c r="I442" s="127"/>
      <c r="J442" s="711">
        <v>57.63</v>
      </c>
      <c r="K442" s="709"/>
      <c r="L442" s="710"/>
      <c r="M442" s="711">
        <v>52.34</v>
      </c>
      <c r="N442" s="709"/>
      <c r="O442" s="710"/>
      <c r="P442" s="711">
        <v>47.43</v>
      </c>
      <c r="Q442" s="709"/>
      <c r="R442" s="710"/>
      <c r="S442" s="711">
        <v>20.76</v>
      </c>
      <c r="T442" s="709"/>
      <c r="U442" s="710"/>
      <c r="V442" s="1184">
        <f>11.67+10</f>
        <v>21.67</v>
      </c>
      <c r="W442" s="709"/>
      <c r="X442" s="710"/>
      <c r="Y442" s="711">
        <v>9.07</v>
      </c>
      <c r="Z442" s="709"/>
      <c r="AA442" s="710"/>
      <c r="AB442" s="711">
        <v>9.4600000000000009</v>
      </c>
      <c r="AC442" s="709"/>
      <c r="AD442" s="710"/>
      <c r="AE442" s="711">
        <v>8.9600000000000009</v>
      </c>
      <c r="AF442" s="709"/>
      <c r="AG442" s="710"/>
      <c r="AH442" s="711">
        <v>11.58</v>
      </c>
      <c r="AI442" s="709"/>
      <c r="AJ442" s="710"/>
      <c r="AK442" s="711">
        <v>18.18</v>
      </c>
      <c r="AL442" s="709"/>
      <c r="AM442" s="710"/>
      <c r="AN442" s="711">
        <v>49.09</v>
      </c>
      <c r="AO442" s="709"/>
      <c r="AP442" s="710"/>
      <c r="AQ442" s="711">
        <v>52.61</v>
      </c>
      <c r="AR442" s="283"/>
      <c r="AS442" s="299"/>
      <c r="AT442" s="244">
        <f t="shared" si="16"/>
        <v>358.78</v>
      </c>
      <c r="AU442" s="283"/>
      <c r="AV442" s="284"/>
      <c r="AW442" s="285"/>
      <c r="AX442" s="321"/>
      <c r="AY442" s="300"/>
      <c r="AZ442" s="346"/>
      <c r="BA442" s="346"/>
      <c r="BB442" s="346"/>
      <c r="BC442" s="346"/>
    </row>
    <row r="443" spans="1:55" s="107" customFormat="1">
      <c r="A443" s="1116"/>
      <c r="B443" s="1116"/>
      <c r="C443" s="1116"/>
      <c r="D443" s="1110"/>
      <c r="E443" s="1110"/>
      <c r="F443" s="1110"/>
      <c r="G443" s="1110"/>
      <c r="H443" s="127" t="s">
        <v>1230</v>
      </c>
      <c r="I443" s="127"/>
      <c r="J443" s="711">
        <v>115.7</v>
      </c>
      <c r="K443" s="709"/>
      <c r="L443" s="710"/>
      <c r="M443" s="711">
        <v>104.36</v>
      </c>
      <c r="N443" s="709"/>
      <c r="O443" s="710"/>
      <c r="P443" s="711">
        <v>115.9</v>
      </c>
      <c r="Q443" s="709"/>
      <c r="R443" s="710"/>
      <c r="S443" s="711">
        <v>111.95</v>
      </c>
      <c r="T443" s="709"/>
      <c r="U443" s="710"/>
      <c r="V443" s="1184">
        <f>54.82+60</f>
        <v>114.82</v>
      </c>
      <c r="W443" s="709"/>
      <c r="X443" s="710"/>
      <c r="Y443" s="1184">
        <f>52.25+70</f>
        <v>122.25</v>
      </c>
      <c r="Z443" s="709"/>
      <c r="AA443" s="710"/>
      <c r="AB443" s="1184">
        <f>53.69+70</f>
        <v>123.69</v>
      </c>
      <c r="AC443" s="709"/>
      <c r="AD443" s="710"/>
      <c r="AE443" s="1184">
        <f>53.76+70</f>
        <v>123.75999999999999</v>
      </c>
      <c r="AF443" s="709"/>
      <c r="AG443" s="710"/>
      <c r="AH443" s="1184">
        <f>108.12+15</f>
        <v>123.12</v>
      </c>
      <c r="AI443" s="709"/>
      <c r="AJ443" s="710"/>
      <c r="AK443" s="711">
        <v>117</v>
      </c>
      <c r="AL443" s="709"/>
      <c r="AM443" s="710"/>
      <c r="AN443" s="1135">
        <f>113.98-32.116</f>
        <v>81.864000000000004</v>
      </c>
      <c r="AO443" s="709"/>
      <c r="AP443" s="710"/>
      <c r="AQ443" s="711">
        <v>116.2</v>
      </c>
      <c r="AR443" s="283"/>
      <c r="AS443" s="299"/>
      <c r="AT443" s="244">
        <f t="shared" si="16"/>
        <v>1370.6140000000003</v>
      </c>
      <c r="AU443" s="283"/>
      <c r="AV443" s="284"/>
      <c r="AW443" s="285"/>
      <c r="AX443" s="321"/>
      <c r="AY443" s="300"/>
      <c r="AZ443" s="346"/>
      <c r="BA443" s="346"/>
      <c r="BB443" s="346"/>
      <c r="BC443" s="346"/>
    </row>
    <row r="444" spans="1:55" s="106" customFormat="1">
      <c r="A444" s="1116"/>
      <c r="B444" s="1116"/>
      <c r="C444" s="1116"/>
      <c r="D444" s="1110">
        <v>316128</v>
      </c>
      <c r="E444" s="1110"/>
      <c r="F444" s="1110"/>
      <c r="G444" s="1110">
        <v>316128</v>
      </c>
      <c r="H444" s="132" t="s">
        <v>1231</v>
      </c>
      <c r="I444" s="516" t="s">
        <v>364</v>
      </c>
      <c r="J444" s="262">
        <f>J445+J446</f>
        <v>17.100000000000001</v>
      </c>
      <c r="K444" s="246"/>
      <c r="L444" s="282"/>
      <c r="M444" s="317">
        <f>M445+M446</f>
        <v>15.5</v>
      </c>
      <c r="N444" s="246"/>
      <c r="O444" s="282"/>
      <c r="P444" s="317">
        <f>P445+P446</f>
        <v>16.950000000000003</v>
      </c>
      <c r="Q444" s="246"/>
      <c r="R444" s="282"/>
      <c r="S444" s="317">
        <f>S445+S446</f>
        <v>15.7</v>
      </c>
      <c r="T444" s="246"/>
      <c r="U444" s="282"/>
      <c r="V444" s="317">
        <f>V445+V446</f>
        <v>6.024</v>
      </c>
      <c r="W444" s="246"/>
      <c r="X444" s="282"/>
      <c r="Y444" s="317">
        <f>Y445+Y446</f>
        <v>5.4</v>
      </c>
      <c r="Z444" s="246"/>
      <c r="AA444" s="282"/>
      <c r="AB444" s="317">
        <f>AB445+AB446</f>
        <v>5.2080000000000002</v>
      </c>
      <c r="AC444" s="246"/>
      <c r="AD444" s="282"/>
      <c r="AE444" s="317">
        <f>AE445+AE446</f>
        <v>4.7789999999999999</v>
      </c>
      <c r="AF444" s="246"/>
      <c r="AG444" s="282"/>
      <c r="AH444" s="317">
        <f>AH445+AH446</f>
        <v>4.83</v>
      </c>
      <c r="AI444" s="246"/>
      <c r="AJ444" s="282"/>
      <c r="AK444" s="317">
        <f>AK445+AK446</f>
        <v>15.552</v>
      </c>
      <c r="AL444" s="246"/>
      <c r="AM444" s="282"/>
      <c r="AN444" s="317">
        <f>AN445+AN446</f>
        <v>16.45</v>
      </c>
      <c r="AO444" s="246"/>
      <c r="AP444" s="282"/>
      <c r="AQ444" s="317">
        <f>AQ445+AQ446</f>
        <v>17.600000000000001</v>
      </c>
      <c r="AR444" s="246"/>
      <c r="AS444" s="282"/>
      <c r="AT444" s="317">
        <f>AT445+AT446</f>
        <v>141.09300000000002</v>
      </c>
      <c r="AU444" s="246"/>
      <c r="AV444" s="336"/>
      <c r="AW444" s="285"/>
      <c r="AX444" s="337"/>
      <c r="AY444" s="1068">
        <v>143.59347779999999</v>
      </c>
      <c r="AZ444" s="347"/>
      <c r="BA444" s="347"/>
      <c r="BB444" s="347"/>
      <c r="BC444" s="347"/>
    </row>
    <row r="445" spans="1:55" s="106" customFormat="1">
      <c r="A445" s="1116"/>
      <c r="B445" s="1116"/>
      <c r="C445" s="1116"/>
      <c r="D445" s="1110"/>
      <c r="E445" s="1110"/>
      <c r="F445" s="1110"/>
      <c r="G445" s="1110"/>
      <c r="H445" s="127" t="s">
        <v>1234</v>
      </c>
      <c r="I445" s="127"/>
      <c r="J445" s="711">
        <v>8.9280000000000008</v>
      </c>
      <c r="K445" s="709"/>
      <c r="L445" s="710"/>
      <c r="M445" s="711">
        <v>8.0640000000000001</v>
      </c>
      <c r="N445" s="709"/>
      <c r="O445" s="710"/>
      <c r="P445" s="711">
        <v>8.3520000000000003</v>
      </c>
      <c r="Q445" s="709"/>
      <c r="R445" s="710"/>
      <c r="S445" s="711">
        <v>7.06</v>
      </c>
      <c r="T445" s="709"/>
      <c r="U445" s="710"/>
      <c r="V445" s="711">
        <v>6.024</v>
      </c>
      <c r="W445" s="709"/>
      <c r="X445" s="710"/>
      <c r="Y445" s="711">
        <v>5.4</v>
      </c>
      <c r="Z445" s="709"/>
      <c r="AA445" s="710"/>
      <c r="AB445" s="711">
        <v>5.2080000000000002</v>
      </c>
      <c r="AC445" s="709"/>
      <c r="AD445" s="710"/>
      <c r="AE445" s="711">
        <v>4.7789999999999999</v>
      </c>
      <c r="AF445" s="709"/>
      <c r="AG445" s="710"/>
      <c r="AH445" s="711">
        <v>4.83</v>
      </c>
      <c r="AI445" s="709"/>
      <c r="AJ445" s="710"/>
      <c r="AK445" s="711">
        <v>7.5839999999999996</v>
      </c>
      <c r="AL445" s="709"/>
      <c r="AM445" s="710"/>
      <c r="AN445" s="711">
        <v>8.64</v>
      </c>
      <c r="AO445" s="709"/>
      <c r="AP445" s="710"/>
      <c r="AQ445" s="711">
        <v>8.9280000000000008</v>
      </c>
      <c r="AR445" s="246"/>
      <c r="AS445" s="282"/>
      <c r="AT445" s="244">
        <f t="shared" si="16"/>
        <v>83.796999999999997</v>
      </c>
      <c r="AU445" s="246"/>
      <c r="AV445" s="336"/>
      <c r="AW445" s="285"/>
      <c r="AX445" s="337"/>
      <c r="AY445" s="338"/>
      <c r="AZ445" s="347"/>
      <c r="BA445" s="347"/>
      <c r="BB445" s="347"/>
      <c r="BC445" s="347"/>
    </row>
    <row r="446" spans="1:55" s="3" customFormat="1">
      <c r="A446" s="1116"/>
      <c r="B446" s="1116"/>
      <c r="C446" s="1116"/>
      <c r="D446" s="1110"/>
      <c r="E446" s="1110"/>
      <c r="F446" s="1110"/>
      <c r="G446" s="1110"/>
      <c r="H446" s="127" t="s">
        <v>1232</v>
      </c>
      <c r="I446" s="127"/>
      <c r="J446" s="711">
        <v>8.1720000000000006</v>
      </c>
      <c r="K446" s="709"/>
      <c r="L446" s="710"/>
      <c r="M446" s="711">
        <v>7.4359999999999999</v>
      </c>
      <c r="N446" s="709"/>
      <c r="O446" s="710"/>
      <c r="P446" s="711">
        <v>8.5980000000000008</v>
      </c>
      <c r="Q446" s="709"/>
      <c r="R446" s="710"/>
      <c r="S446" s="711">
        <v>8.64</v>
      </c>
      <c r="T446" s="709"/>
      <c r="U446" s="710"/>
      <c r="V446" s="711">
        <v>0</v>
      </c>
      <c r="W446" s="709"/>
      <c r="X446" s="710"/>
      <c r="Y446" s="711">
        <v>0</v>
      </c>
      <c r="Z446" s="709"/>
      <c r="AA446" s="710"/>
      <c r="AB446" s="711">
        <v>0</v>
      </c>
      <c r="AC446" s="709"/>
      <c r="AD446" s="710"/>
      <c r="AE446" s="711">
        <v>0</v>
      </c>
      <c r="AF446" s="718"/>
      <c r="AG446" s="710"/>
      <c r="AH446" s="711">
        <v>0</v>
      </c>
      <c r="AI446" s="718"/>
      <c r="AJ446" s="710"/>
      <c r="AK446" s="711">
        <v>7.968</v>
      </c>
      <c r="AL446" s="709"/>
      <c r="AM446" s="710"/>
      <c r="AN446" s="711">
        <v>7.81</v>
      </c>
      <c r="AO446" s="709"/>
      <c r="AP446" s="710"/>
      <c r="AQ446" s="711">
        <v>8.6720000000000006</v>
      </c>
      <c r="AR446" s="246"/>
      <c r="AS446" s="282"/>
      <c r="AT446" s="244">
        <f t="shared" si="16"/>
        <v>57.296000000000006</v>
      </c>
      <c r="AU446" s="246"/>
      <c r="AV446" s="336"/>
      <c r="AW446" s="285"/>
      <c r="AX446" s="337"/>
      <c r="AY446" s="338"/>
      <c r="AZ446" s="318"/>
      <c r="BA446" s="318"/>
      <c r="BB446" s="318"/>
      <c r="BC446" s="318"/>
    </row>
    <row r="447" spans="1:55">
      <c r="A447" s="1116"/>
      <c r="B447" s="1116"/>
      <c r="C447" s="1116"/>
      <c r="D447" s="1110">
        <v>316114</v>
      </c>
      <c r="E447" s="1110"/>
      <c r="F447" s="1110"/>
      <c r="G447" s="1110">
        <v>316114</v>
      </c>
      <c r="H447" s="127" t="s">
        <v>1233</v>
      </c>
      <c r="I447" s="516" t="s">
        <v>364</v>
      </c>
      <c r="J447" s="281">
        <v>203.73099999999999</v>
      </c>
      <c r="K447" s="246"/>
      <c r="L447" s="282"/>
      <c r="M447" s="1171">
        <f>209.82+20</f>
        <v>229.82</v>
      </c>
      <c r="N447" s="246"/>
      <c r="O447" s="282"/>
      <c r="P447" s="1171">
        <f>223.759+10</f>
        <v>233.75899999999999</v>
      </c>
      <c r="Q447" s="246"/>
      <c r="R447" s="282"/>
      <c r="S447" s="281">
        <v>132.32400000000001</v>
      </c>
      <c r="T447" s="246"/>
      <c r="U447" s="282"/>
      <c r="V447" s="281">
        <v>105.45099999999999</v>
      </c>
      <c r="W447" s="246"/>
      <c r="X447" s="282"/>
      <c r="Y447" s="281">
        <v>99.492000000000004</v>
      </c>
      <c r="Z447" s="246"/>
      <c r="AA447" s="282"/>
      <c r="AB447" s="281">
        <v>112.983</v>
      </c>
      <c r="AC447" s="246"/>
      <c r="AD447" s="282"/>
      <c r="AE447" s="1171">
        <f>92.578+20</f>
        <v>112.578</v>
      </c>
      <c r="AF447" s="246"/>
      <c r="AG447" s="282"/>
      <c r="AH447" s="1171">
        <f>100.639+55</f>
        <v>155.63900000000001</v>
      </c>
      <c r="AI447" s="246"/>
      <c r="AJ447" s="282"/>
      <c r="AK447" s="1184">
        <f>166.219+15</f>
        <v>181.21899999999999</v>
      </c>
      <c r="AL447" s="246"/>
      <c r="AM447" s="282"/>
      <c r="AN447" s="281">
        <v>195.364</v>
      </c>
      <c r="AO447" s="246"/>
      <c r="AP447" s="282"/>
      <c r="AQ447" s="1171">
        <f>237.471+20</f>
        <v>257.471</v>
      </c>
      <c r="AR447" s="283"/>
      <c r="AS447" s="299"/>
      <c r="AT447" s="244">
        <f t="shared" si="16"/>
        <v>2019.8310000000001</v>
      </c>
      <c r="AU447" s="283"/>
      <c r="AV447" s="284"/>
      <c r="AW447" s="285"/>
      <c r="AX447" s="321"/>
      <c r="AY447" s="435">
        <v>1955.1580980000001</v>
      </c>
      <c r="AZ447" s="261"/>
      <c r="BA447" s="261"/>
      <c r="BB447" s="261"/>
      <c r="BC447" s="261"/>
    </row>
    <row r="448" spans="1:55">
      <c r="A448" s="1116"/>
      <c r="B448" s="1116"/>
      <c r="C448" s="1116"/>
      <c r="D448" s="1110">
        <v>316130</v>
      </c>
      <c r="E448" s="1110"/>
      <c r="F448" s="1110"/>
      <c r="G448" s="1110">
        <v>316130</v>
      </c>
      <c r="H448" s="127" t="s">
        <v>779</v>
      </c>
      <c r="I448" s="516" t="s">
        <v>364</v>
      </c>
      <c r="J448" s="638">
        <f>ГЭС!C28</f>
        <v>760.508544921875</v>
      </c>
      <c r="K448" s="246"/>
      <c r="L448" s="282"/>
      <c r="M448" s="638">
        <f>ГЭС!D28</f>
        <v>677.8177490234375</v>
      </c>
      <c r="N448" s="246"/>
      <c r="O448" s="282"/>
      <c r="P448" s="638">
        <f>ГЭС!E28</f>
        <v>697.5361328125</v>
      </c>
      <c r="Q448" s="246"/>
      <c r="R448" s="282"/>
      <c r="S448" s="638">
        <f>ГЭС!G28</f>
        <v>902.23419189453125</v>
      </c>
      <c r="T448" s="246"/>
      <c r="U448" s="282"/>
      <c r="V448" s="638">
        <f>ГЭС!H28</f>
        <v>1308.4990234375</v>
      </c>
      <c r="W448" s="246"/>
      <c r="X448" s="282"/>
      <c r="Y448" s="638">
        <f>ГЭС!I28</f>
        <v>1090.3076171875</v>
      </c>
      <c r="Z448" s="246"/>
      <c r="AA448" s="282"/>
      <c r="AB448" s="638">
        <f>ГЭС!K28</f>
        <v>961.5396728515625</v>
      </c>
      <c r="AC448" s="246"/>
      <c r="AD448" s="282"/>
      <c r="AE448" s="638">
        <f>ГЭС!L28</f>
        <v>885.36566162109375</v>
      </c>
      <c r="AF448" s="246"/>
      <c r="AG448" s="282"/>
      <c r="AH448" s="638">
        <f>ГЭС!M28</f>
        <v>808.664306640625</v>
      </c>
      <c r="AI448" s="246"/>
      <c r="AJ448" s="282"/>
      <c r="AK448" s="638">
        <f>ГЭС!O28</f>
        <v>789.2867431640625</v>
      </c>
      <c r="AL448" s="246"/>
      <c r="AM448" s="282"/>
      <c r="AN448" s="638">
        <f>ГЭС!P28</f>
        <v>808.96990966796875</v>
      </c>
      <c r="AO448" s="246"/>
      <c r="AP448" s="282"/>
      <c r="AQ448" s="638">
        <f>ГЭС!Q28</f>
        <v>837.11151123046875</v>
      </c>
      <c r="AR448" s="256"/>
      <c r="AS448" s="302"/>
      <c r="AT448" s="638">
        <f>J448+M448+P448+S448+V448+Y448+AB448+AE448+AH448+AK448+AN448+AQ448</f>
        <v>10527.841064453125</v>
      </c>
      <c r="AU448" s="283"/>
      <c r="AV448" s="284"/>
      <c r="AW448" s="285"/>
      <c r="AX448" s="321"/>
      <c r="AY448" s="435">
        <v>12525.353964</v>
      </c>
      <c r="AZ448" s="261"/>
      <c r="BA448" s="261"/>
      <c r="BB448" s="261"/>
      <c r="BC448" s="261"/>
    </row>
    <row r="449" spans="1:55">
      <c r="A449" s="1116"/>
      <c r="B449" s="1116"/>
      <c r="C449" s="1116"/>
      <c r="D449" s="1110"/>
      <c r="E449" s="1110"/>
      <c r="F449" s="1110"/>
      <c r="G449" s="1211">
        <v>777284</v>
      </c>
      <c r="H449" s="127" t="s">
        <v>1703</v>
      </c>
      <c r="I449" s="516" t="s">
        <v>364</v>
      </c>
      <c r="J449" s="244">
        <v>3.8</v>
      </c>
      <c r="K449" s="246"/>
      <c r="L449" s="282"/>
      <c r="M449" s="244">
        <v>5.59</v>
      </c>
      <c r="N449" s="246"/>
      <c r="O449" s="282"/>
      <c r="P449" s="244">
        <v>8.24</v>
      </c>
      <c r="Q449" s="246"/>
      <c r="R449" s="282"/>
      <c r="S449" s="244">
        <v>9.14</v>
      </c>
      <c r="T449" s="246"/>
      <c r="U449" s="282"/>
      <c r="V449" s="244">
        <v>10.62</v>
      </c>
      <c r="W449" s="246"/>
      <c r="X449" s="282"/>
      <c r="Y449" s="244">
        <v>9.8699999999999992</v>
      </c>
      <c r="Z449" s="246"/>
      <c r="AA449" s="282"/>
      <c r="AB449" s="244">
        <v>9.9600000000000009</v>
      </c>
      <c r="AC449" s="246"/>
      <c r="AD449" s="282"/>
      <c r="AE449" s="244">
        <v>11.04</v>
      </c>
      <c r="AF449" s="246"/>
      <c r="AG449" s="282"/>
      <c r="AH449" s="244">
        <v>8.67</v>
      </c>
      <c r="AI449" s="246"/>
      <c r="AJ449" s="282"/>
      <c r="AK449" s="244">
        <v>7</v>
      </c>
      <c r="AL449" s="246"/>
      <c r="AM449" s="282"/>
      <c r="AN449" s="244">
        <v>3.53</v>
      </c>
      <c r="AO449" s="246"/>
      <c r="AP449" s="282"/>
      <c r="AQ449" s="244">
        <v>2.4300000000000002</v>
      </c>
      <c r="AR449" s="323"/>
      <c r="AS449" s="324"/>
      <c r="AT449" s="244">
        <f t="shared" si="16"/>
        <v>89.89</v>
      </c>
      <c r="AU449" s="283"/>
      <c r="AV449" s="284"/>
      <c r="AW449" s="285"/>
      <c r="AX449" s="321"/>
      <c r="AY449" s="435">
        <v>4.6315869999999997</v>
      </c>
      <c r="AZ449" s="261"/>
      <c r="BA449" s="261"/>
      <c r="BB449" s="261"/>
      <c r="BC449" s="261"/>
    </row>
    <row r="450" spans="1:55">
      <c r="A450" s="1116"/>
      <c r="B450" s="1116"/>
      <c r="C450" s="1116"/>
      <c r="D450" s="1110"/>
      <c r="E450" s="1110"/>
      <c r="F450" s="1110"/>
      <c r="G450" s="1214"/>
      <c r="H450" s="127" t="s">
        <v>1704</v>
      </c>
      <c r="I450" s="516" t="s">
        <v>364</v>
      </c>
      <c r="J450" s="244">
        <v>0</v>
      </c>
      <c r="K450" s="246"/>
      <c r="L450" s="282"/>
      <c r="M450" s="244">
        <v>0</v>
      </c>
      <c r="N450" s="246"/>
      <c r="O450" s="282"/>
      <c r="P450" s="244">
        <v>0</v>
      </c>
      <c r="Q450" s="246"/>
      <c r="R450" s="282"/>
      <c r="S450" s="244">
        <v>0</v>
      </c>
      <c r="T450" s="246"/>
      <c r="U450" s="282"/>
      <c r="V450" s="244">
        <v>0</v>
      </c>
      <c r="W450" s="246"/>
      <c r="X450" s="282"/>
      <c r="Y450" s="244">
        <v>0</v>
      </c>
      <c r="Z450" s="246"/>
      <c r="AA450" s="282"/>
      <c r="AB450" s="244">
        <v>0</v>
      </c>
      <c r="AC450" s="246"/>
      <c r="AD450" s="282"/>
      <c r="AE450" s="244">
        <v>0</v>
      </c>
      <c r="AF450" s="246"/>
      <c r="AG450" s="282"/>
      <c r="AH450" s="244">
        <v>0</v>
      </c>
      <c r="AI450" s="246"/>
      <c r="AJ450" s="282"/>
      <c r="AK450" s="244">
        <v>0</v>
      </c>
      <c r="AL450" s="246"/>
      <c r="AM450" s="282"/>
      <c r="AN450" s="244">
        <v>0</v>
      </c>
      <c r="AO450" s="246"/>
      <c r="AP450" s="282"/>
      <c r="AQ450" s="244">
        <v>0</v>
      </c>
      <c r="AR450" s="323"/>
      <c r="AS450" s="324"/>
      <c r="AT450" s="244">
        <f t="shared" si="16"/>
        <v>0</v>
      </c>
      <c r="AU450" s="283"/>
      <c r="AV450" s="284"/>
      <c r="AW450" s="285"/>
      <c r="AX450" s="321"/>
      <c r="AY450" s="435"/>
      <c r="AZ450" s="261"/>
      <c r="BA450" s="261"/>
      <c r="BB450" s="261"/>
      <c r="BC450" s="261"/>
    </row>
    <row r="451" spans="1:55">
      <c r="A451" s="1116"/>
      <c r="B451" s="1116"/>
      <c r="C451" s="1116"/>
      <c r="D451" s="1110"/>
      <c r="E451" s="1110"/>
      <c r="F451" s="1110"/>
      <c r="G451" s="1214"/>
      <c r="H451" s="127" t="s">
        <v>1705</v>
      </c>
      <c r="I451" s="516" t="s">
        <v>364</v>
      </c>
      <c r="J451" s="244">
        <v>0</v>
      </c>
      <c r="K451" s="246"/>
      <c r="L451" s="282"/>
      <c r="M451" s="244">
        <v>0</v>
      </c>
      <c r="N451" s="246"/>
      <c r="O451" s="282"/>
      <c r="P451" s="244">
        <v>0</v>
      </c>
      <c r="Q451" s="246"/>
      <c r="R451" s="282"/>
      <c r="S451" s="244">
        <v>0</v>
      </c>
      <c r="T451" s="246"/>
      <c r="U451" s="282"/>
      <c r="V451" s="244">
        <v>0</v>
      </c>
      <c r="W451" s="246"/>
      <c r="X451" s="282"/>
      <c r="Y451" s="244">
        <v>0</v>
      </c>
      <c r="Z451" s="246"/>
      <c r="AA451" s="282"/>
      <c r="AB451" s="244">
        <v>0</v>
      </c>
      <c r="AC451" s="246"/>
      <c r="AD451" s="282"/>
      <c r="AE451" s="244">
        <v>0</v>
      </c>
      <c r="AF451" s="246"/>
      <c r="AG451" s="282"/>
      <c r="AH451" s="244">
        <v>0</v>
      </c>
      <c r="AI451" s="246"/>
      <c r="AJ451" s="282"/>
      <c r="AK451" s="244">
        <v>0</v>
      </c>
      <c r="AL451" s="246"/>
      <c r="AM451" s="282"/>
      <c r="AN451" s="244">
        <v>0</v>
      </c>
      <c r="AO451" s="246"/>
      <c r="AP451" s="282"/>
      <c r="AQ451" s="244">
        <v>0</v>
      </c>
      <c r="AR451" s="323"/>
      <c r="AS451" s="324"/>
      <c r="AT451" s="244">
        <f t="shared" si="16"/>
        <v>0</v>
      </c>
      <c r="AU451" s="283"/>
      <c r="AV451" s="284"/>
      <c r="AW451" s="285"/>
      <c r="AX451" s="321"/>
      <c r="AY451" s="435"/>
      <c r="AZ451" s="261"/>
      <c r="BA451" s="261"/>
      <c r="BB451" s="261"/>
      <c r="BC451" s="261"/>
    </row>
    <row r="452" spans="1:55">
      <c r="A452" s="1116"/>
      <c r="B452" s="1116"/>
      <c r="C452" s="1116"/>
      <c r="D452" s="1110"/>
      <c r="E452" s="1110"/>
      <c r="F452" s="1110"/>
      <c r="G452" s="1110"/>
      <c r="H452" s="138" t="s">
        <v>174</v>
      </c>
      <c r="I452" s="138"/>
      <c r="J452" s="319">
        <f>SUM(J453:J455)</f>
        <v>24.035787020000001</v>
      </c>
      <c r="K452" s="307"/>
      <c r="L452" s="308"/>
      <c r="M452" s="287">
        <f>SUM(M453:M455)</f>
        <v>25.108508710000002</v>
      </c>
      <c r="N452" s="307"/>
      <c r="O452" s="308"/>
      <c r="P452" s="287">
        <f>SUM(P453:P455)</f>
        <v>25.972628499999999</v>
      </c>
      <c r="Q452" s="307"/>
      <c r="R452" s="308"/>
      <c r="S452" s="287">
        <f>SUM(S453:S455)</f>
        <v>17.237772919999998</v>
      </c>
      <c r="T452" s="307"/>
      <c r="U452" s="308"/>
      <c r="V452" s="287">
        <f>SUM(V453:V455)</f>
        <v>12.41559419</v>
      </c>
      <c r="W452" s="307"/>
      <c r="X452" s="308"/>
      <c r="Y452" s="287">
        <f>SUM(Y453:Y455)</f>
        <v>12.55724427</v>
      </c>
      <c r="Z452" s="307"/>
      <c r="AA452" s="308"/>
      <c r="AB452" s="287">
        <f>SUM(AB453:AB455)</f>
        <v>17.866486039999998</v>
      </c>
      <c r="AC452" s="307"/>
      <c r="AD452" s="308"/>
      <c r="AE452" s="287">
        <f>SUM(AE453:AE455)</f>
        <v>20.013832669999999</v>
      </c>
      <c r="AF452" s="307"/>
      <c r="AG452" s="308"/>
      <c r="AH452" s="287">
        <f>SUM(AH453:AH455)</f>
        <v>17.592260680000003</v>
      </c>
      <c r="AI452" s="307"/>
      <c r="AJ452" s="308"/>
      <c r="AK452" s="287">
        <f>SUM(AK453:AK455)</f>
        <v>22.49705114</v>
      </c>
      <c r="AL452" s="307"/>
      <c r="AM452" s="308"/>
      <c r="AN452" s="287">
        <f>SUM(AN453:AN455)</f>
        <v>23.951651079999998</v>
      </c>
      <c r="AO452" s="307"/>
      <c r="AP452" s="308"/>
      <c r="AQ452" s="287">
        <f>SUM(AQ453:AQ455)</f>
        <v>25.87318106</v>
      </c>
      <c r="AR452" s="307"/>
      <c r="AS452" s="308"/>
      <c r="AT452" s="287">
        <f>SUM(AT453:AT455)</f>
        <v>245.12199828000001</v>
      </c>
      <c r="AU452" s="288"/>
      <c r="AV452" s="290"/>
      <c r="AW452" s="285"/>
      <c r="AX452" s="296"/>
      <c r="AY452" s="436">
        <v>227.486839</v>
      </c>
      <c r="AZ452" s="261"/>
      <c r="BA452" s="261"/>
      <c r="BB452" s="261"/>
      <c r="BC452" s="261"/>
    </row>
    <row r="453" spans="1:55">
      <c r="A453" s="1116"/>
      <c r="B453" s="1116"/>
      <c r="C453" s="1116"/>
      <c r="D453" s="1110">
        <v>316143</v>
      </c>
      <c r="E453" s="1110"/>
      <c r="F453" s="1110"/>
      <c r="G453" s="1110">
        <v>316143</v>
      </c>
      <c r="H453" s="135" t="s">
        <v>1325</v>
      </c>
      <c r="I453" s="518" t="s">
        <v>365</v>
      </c>
      <c r="J453" s="715">
        <v>0</v>
      </c>
      <c r="K453" s="713"/>
      <c r="L453" s="714"/>
      <c r="M453" s="715">
        <v>0</v>
      </c>
      <c r="N453" s="713"/>
      <c r="O453" s="714"/>
      <c r="P453" s="715">
        <v>0</v>
      </c>
      <c r="Q453" s="713"/>
      <c r="R453" s="714"/>
      <c r="S453" s="715">
        <v>0</v>
      </c>
      <c r="T453" s="713"/>
      <c r="U453" s="714"/>
      <c r="V453" s="715">
        <v>0</v>
      </c>
      <c r="W453" s="713"/>
      <c r="X453" s="714"/>
      <c r="Y453" s="715">
        <v>0</v>
      </c>
      <c r="Z453" s="713"/>
      <c r="AA453" s="714"/>
      <c r="AB453" s="715">
        <v>0</v>
      </c>
      <c r="AC453" s="713"/>
      <c r="AD453" s="714"/>
      <c r="AE453" s="715">
        <v>0</v>
      </c>
      <c r="AF453" s="713"/>
      <c r="AG453" s="714"/>
      <c r="AH453" s="715">
        <v>0</v>
      </c>
      <c r="AI453" s="713"/>
      <c r="AJ453" s="714"/>
      <c r="AK453" s="715">
        <v>0</v>
      </c>
      <c r="AL453" s="713"/>
      <c r="AM453" s="714"/>
      <c r="AN453" s="715">
        <v>0</v>
      </c>
      <c r="AO453" s="713"/>
      <c r="AP453" s="714"/>
      <c r="AQ453" s="715">
        <v>0</v>
      </c>
      <c r="AR453" s="288"/>
      <c r="AS453" s="289"/>
      <c r="AT453" s="294">
        <f>J453+M453+P453+S453+V453+Y453+AB453+AE453+AH453+AK453+AN453+AQ453</f>
        <v>0</v>
      </c>
      <c r="AU453" s="288"/>
      <c r="AV453" s="290"/>
      <c r="AW453" s="285"/>
      <c r="AX453" s="296"/>
      <c r="AY453" s="436"/>
      <c r="AZ453" s="261"/>
      <c r="BA453" s="261"/>
      <c r="BB453" s="261"/>
      <c r="BC453" s="261"/>
    </row>
    <row r="454" spans="1:55">
      <c r="A454" s="1116"/>
      <c r="B454" s="1116"/>
      <c r="C454" s="1116"/>
      <c r="D454" s="1110">
        <v>316142</v>
      </c>
      <c r="E454" s="1110"/>
      <c r="F454" s="1110"/>
      <c r="G454" s="1110">
        <v>316142</v>
      </c>
      <c r="H454" s="135" t="s">
        <v>1470</v>
      </c>
      <c r="I454" s="518" t="s">
        <v>365</v>
      </c>
      <c r="J454" s="715">
        <v>11</v>
      </c>
      <c r="K454" s="713"/>
      <c r="L454" s="714"/>
      <c r="M454" s="715">
        <v>10.5</v>
      </c>
      <c r="N454" s="713"/>
      <c r="O454" s="714"/>
      <c r="P454" s="715">
        <v>10.9</v>
      </c>
      <c r="Q454" s="713"/>
      <c r="R454" s="714"/>
      <c r="S454" s="715">
        <v>3</v>
      </c>
      <c r="T454" s="713"/>
      <c r="U454" s="714"/>
      <c r="V454" s="715">
        <v>5.5</v>
      </c>
      <c r="W454" s="713"/>
      <c r="X454" s="714"/>
      <c r="Y454" s="715">
        <v>6</v>
      </c>
      <c r="Z454" s="713"/>
      <c r="AA454" s="714"/>
      <c r="AB454" s="715">
        <v>6</v>
      </c>
      <c r="AC454" s="713"/>
      <c r="AD454" s="714"/>
      <c r="AE454" s="715">
        <v>6</v>
      </c>
      <c r="AF454" s="713"/>
      <c r="AG454" s="714"/>
      <c r="AH454" s="715">
        <v>6.5</v>
      </c>
      <c r="AI454" s="713"/>
      <c r="AJ454" s="714"/>
      <c r="AK454" s="715">
        <v>7.5</v>
      </c>
      <c r="AL454" s="713"/>
      <c r="AM454" s="714"/>
      <c r="AN454" s="715">
        <v>9</v>
      </c>
      <c r="AO454" s="713"/>
      <c r="AP454" s="714"/>
      <c r="AQ454" s="715">
        <v>10.5</v>
      </c>
      <c r="AR454" s="307"/>
      <c r="AS454" s="308"/>
      <c r="AT454" s="294">
        <f>J454+M454+P454+S454+V454+Y454+AB454+AE454+AH454+AK454+AN454+AQ454</f>
        <v>92.4</v>
      </c>
      <c r="AU454" s="288"/>
      <c r="AV454" s="290"/>
      <c r="AW454" s="285"/>
      <c r="AX454" s="296"/>
      <c r="AY454" s="436"/>
      <c r="AZ454" s="261"/>
      <c r="BA454" s="261"/>
      <c r="BB454" s="261"/>
      <c r="BC454" s="261"/>
    </row>
    <row r="455" spans="1:55">
      <c r="A455" s="1116"/>
      <c r="B455" s="1116"/>
      <c r="C455" s="1116"/>
      <c r="D455" s="1110">
        <v>316140</v>
      </c>
      <c r="E455" s="1110"/>
      <c r="F455" s="1110"/>
      <c r="G455" s="1110">
        <v>316140</v>
      </c>
      <c r="H455" s="135" t="s">
        <v>1326</v>
      </c>
      <c r="I455" s="518" t="s">
        <v>365</v>
      </c>
      <c r="J455" s="715">
        <v>13.035787020000001</v>
      </c>
      <c r="K455" s="713"/>
      <c r="L455" s="714"/>
      <c r="M455" s="715">
        <v>14.608508710000001</v>
      </c>
      <c r="N455" s="713"/>
      <c r="O455" s="714"/>
      <c r="P455" s="715">
        <v>15.0726285</v>
      </c>
      <c r="Q455" s="713"/>
      <c r="R455" s="714"/>
      <c r="S455" s="715">
        <v>14.237772919999999</v>
      </c>
      <c r="T455" s="713"/>
      <c r="U455" s="714"/>
      <c r="V455" s="715">
        <v>6.9155941900000002</v>
      </c>
      <c r="W455" s="713"/>
      <c r="X455" s="714"/>
      <c r="Y455" s="715">
        <v>6.55724427</v>
      </c>
      <c r="Z455" s="713"/>
      <c r="AA455" s="714"/>
      <c r="AB455" s="715">
        <v>11.86648604</v>
      </c>
      <c r="AC455" s="713"/>
      <c r="AD455" s="714"/>
      <c r="AE455" s="715">
        <v>14.013832669999999</v>
      </c>
      <c r="AF455" s="713"/>
      <c r="AG455" s="714"/>
      <c r="AH455" s="715">
        <v>11.092260680000001</v>
      </c>
      <c r="AI455" s="713"/>
      <c r="AJ455" s="714"/>
      <c r="AK455" s="715">
        <v>14.99705114</v>
      </c>
      <c r="AL455" s="713"/>
      <c r="AM455" s="714"/>
      <c r="AN455" s="715">
        <v>14.95165108</v>
      </c>
      <c r="AO455" s="713"/>
      <c r="AP455" s="714"/>
      <c r="AQ455" s="715">
        <v>15.37318106</v>
      </c>
      <c r="AR455" s="288"/>
      <c r="AS455" s="289"/>
      <c r="AT455" s="294">
        <f t="shared" si="16"/>
        <v>152.72199828000001</v>
      </c>
      <c r="AU455" s="288"/>
      <c r="AV455" s="290"/>
      <c r="AW455" s="285"/>
      <c r="AX455" s="296"/>
      <c r="AY455" s="313"/>
      <c r="AZ455" s="261"/>
      <c r="BA455" s="261"/>
      <c r="BB455" s="261"/>
      <c r="BC455" s="261"/>
    </row>
    <row r="456" spans="1:55" ht="18.75">
      <c r="B456" s="179"/>
      <c r="C456" s="179"/>
      <c r="D456" s="181">
        <v>316200</v>
      </c>
      <c r="E456" s="181"/>
      <c r="F456" s="181"/>
      <c r="G456" s="181">
        <v>316200</v>
      </c>
      <c r="H456" s="473" t="s">
        <v>1591</v>
      </c>
      <c r="I456" s="473"/>
      <c r="J456" s="277">
        <f>SUM(J457:J461)</f>
        <v>3320.2090554199222</v>
      </c>
      <c r="K456" s="275">
        <f>L456-J456</f>
        <v>-2087.1683557468405</v>
      </c>
      <c r="L456" s="276">
        <f>Потребление!D36</f>
        <v>1233.0406996730817</v>
      </c>
      <c r="M456" s="274">
        <f>SUM(M457:M461)</f>
        <v>2999.4558740234374</v>
      </c>
      <c r="N456" s="275">
        <f>O456-M456</f>
        <v>-1881.1524611886327</v>
      </c>
      <c r="O456" s="276">
        <f>Потребление!E36</f>
        <v>1118.3034128348047</v>
      </c>
      <c r="P456" s="274">
        <f>SUM(P457:P461)</f>
        <v>3381.1837817382816</v>
      </c>
      <c r="Q456" s="275">
        <f>R456-P456</f>
        <v>-2245.7985493762699</v>
      </c>
      <c r="R456" s="276">
        <f>Потребление!F36</f>
        <v>1135.3852323620117</v>
      </c>
      <c r="S456" s="274">
        <f>SUM(S457:S461)</f>
        <v>3766.9927763671872</v>
      </c>
      <c r="T456" s="275">
        <f>U456-S456</f>
        <v>-2762.9184265296376</v>
      </c>
      <c r="U456" s="276">
        <f>Потребление!G36</f>
        <v>1004.0743498375496</v>
      </c>
      <c r="V456" s="274">
        <f>SUM(V457:V461)</f>
        <v>3393.3506948242184</v>
      </c>
      <c r="W456" s="275">
        <f>X456-V456</f>
        <v>-2376.6746300491532</v>
      </c>
      <c r="X456" s="276">
        <f>Потребление!H36</f>
        <v>1016.6760647750651</v>
      </c>
      <c r="Y456" s="274">
        <f>SUM(Y457:Y461)</f>
        <v>3094.4138544921875</v>
      </c>
      <c r="Z456" s="275">
        <f>AA456-Y456</f>
        <v>-2035.2592662924735</v>
      </c>
      <c r="AA456" s="276">
        <f>Потребление!I36</f>
        <v>1059.154588199714</v>
      </c>
      <c r="AB456" s="274">
        <f>SUM(AB457:AB461)</f>
        <v>3649.1410334472653</v>
      </c>
      <c r="AC456" s="275">
        <f>AD456-AB456</f>
        <v>-2573.8877368422236</v>
      </c>
      <c r="AD456" s="276">
        <f>Потребление!J36</f>
        <v>1075.2532966050414</v>
      </c>
      <c r="AE456" s="274">
        <f>SUM(AE457:AE461)</f>
        <v>3656.6333749999999</v>
      </c>
      <c r="AF456" s="275">
        <f>AG456-AE456</f>
        <v>-2616.1352339242167</v>
      </c>
      <c r="AG456" s="276">
        <f>Потребление!K36</f>
        <v>1040.4981410757832</v>
      </c>
      <c r="AH456" s="274">
        <f>SUM(AH457:AH461)</f>
        <v>3445.8962529296873</v>
      </c>
      <c r="AI456" s="275">
        <f>AJ456-AH456</f>
        <v>-2422.7506137487426</v>
      </c>
      <c r="AJ456" s="276">
        <f>Потребление!L36</f>
        <v>1023.1456391809445</v>
      </c>
      <c r="AK456" s="274">
        <f>SUM(AK457:AK461)</f>
        <v>3021.903630859375</v>
      </c>
      <c r="AL456" s="275">
        <f>AM456-AK456</f>
        <v>-1930.8525362864891</v>
      </c>
      <c r="AM456" s="276">
        <f>Потребление!M36</f>
        <v>1091.0510945728859</v>
      </c>
      <c r="AN456" s="274">
        <f>SUM(AN457:AN461)</f>
        <v>3044.7571127929687</v>
      </c>
      <c r="AO456" s="275">
        <f>AP456-AN456</f>
        <v>-1926.5739271070543</v>
      </c>
      <c r="AP456" s="276">
        <f>Потребление!N36</f>
        <v>1118.1831856859144</v>
      </c>
      <c r="AQ456" s="274">
        <f>SUM(AQ457:AQ461)</f>
        <v>3407.6937534179688</v>
      </c>
      <c r="AR456" s="275">
        <f>AS456-AQ456</f>
        <v>-2177.0703675926652</v>
      </c>
      <c r="AS456" s="276">
        <f>Потребление!O36</f>
        <v>1230.6233858253033</v>
      </c>
      <c r="AT456" s="274">
        <f>SUM(AT457:AT461)</f>
        <v>40181.631195312504</v>
      </c>
      <c r="AU456" s="275">
        <f>AV456-AT456</f>
        <v>-27036.242104684407</v>
      </c>
      <c r="AV456" s="278">
        <f>L456+O456+R456+U456+X456+AA456+AD456+AG456+AJ456+AM456+AP456+AS456</f>
        <v>13145.389090628098</v>
      </c>
      <c r="AW456" s="279"/>
      <c r="AX456" s="1067">
        <v>13369.918444200001</v>
      </c>
      <c r="AY456" s="298">
        <f>SUM(AY457:AY461)</f>
        <v>42003.323724999995</v>
      </c>
      <c r="AZ456" s="261"/>
      <c r="BA456" s="261"/>
      <c r="BB456" s="261"/>
      <c r="BC456" s="261"/>
    </row>
    <row r="457" spans="1:55">
      <c r="B457" s="179"/>
      <c r="C457" s="179"/>
      <c r="D457" s="181"/>
      <c r="E457" s="181"/>
      <c r="F457" s="181"/>
      <c r="G457" s="181"/>
      <c r="H457" s="10" t="s">
        <v>56</v>
      </c>
      <c r="I457" s="10"/>
      <c r="J457" s="223">
        <f>SUM(J462:J469)</f>
        <v>469.20600000000002</v>
      </c>
      <c r="K457" s="271"/>
      <c r="L457" s="224"/>
      <c r="M457" s="270">
        <f>SUM(M462:M469)</f>
        <v>469.09399999999994</v>
      </c>
      <c r="N457" s="271"/>
      <c r="O457" s="224"/>
      <c r="P457" s="270">
        <f>SUM(P462:P469)</f>
        <v>466.79950000000002</v>
      </c>
      <c r="Q457" s="271"/>
      <c r="R457" s="224"/>
      <c r="S457" s="270">
        <f>SUM(S462:S469)</f>
        <v>261.51499999999999</v>
      </c>
      <c r="T457" s="271"/>
      <c r="U457" s="224"/>
      <c r="V457" s="270">
        <f>SUM(V462:V469)</f>
        <v>137.24</v>
      </c>
      <c r="W457" s="271"/>
      <c r="X457" s="224"/>
      <c r="Y457" s="270">
        <f>SUM(Y462:Y469)</f>
        <v>142.94999999999999</v>
      </c>
      <c r="Z457" s="271"/>
      <c r="AA457" s="224"/>
      <c r="AB457" s="270">
        <f>SUM(AB462:AB469)</f>
        <v>142.98999999999998</v>
      </c>
      <c r="AC457" s="271"/>
      <c r="AD457" s="224"/>
      <c r="AE457" s="270">
        <f>SUM(AE462:AE469)</f>
        <v>155.44999999999999</v>
      </c>
      <c r="AF457" s="271"/>
      <c r="AG457" s="224"/>
      <c r="AH457" s="270">
        <f>SUM(AH462:AH469)</f>
        <v>216.28</v>
      </c>
      <c r="AI457" s="271"/>
      <c r="AJ457" s="224"/>
      <c r="AK457" s="270">
        <f>SUM(AK462:AK469)</f>
        <v>293.21000000000004</v>
      </c>
      <c r="AL457" s="271"/>
      <c r="AM457" s="224"/>
      <c r="AN457" s="270">
        <f>SUM(AN462:AN469)</f>
        <v>381.589</v>
      </c>
      <c r="AO457" s="271"/>
      <c r="AP457" s="224"/>
      <c r="AQ457" s="270">
        <f>SUM(AQ462:AQ469)</f>
        <v>494.60400000000004</v>
      </c>
      <c r="AR457" s="271"/>
      <c r="AS457" s="224"/>
      <c r="AT457" s="270">
        <f>SUM(AT462:AT469)</f>
        <v>3630.9274999999998</v>
      </c>
      <c r="AU457" s="271"/>
      <c r="AV457" s="229"/>
      <c r="AW457" s="226"/>
      <c r="AX457" s="230"/>
      <c r="AY457" s="231">
        <f>SUM(AY462:AY469)</f>
        <v>3449.4837809999999</v>
      </c>
      <c r="AZ457" s="261"/>
      <c r="BA457" s="261"/>
      <c r="BB457" s="261"/>
      <c r="BC457" s="261"/>
    </row>
    <row r="458" spans="1:55" s="107" customFormat="1">
      <c r="A458" s="179"/>
      <c r="B458" s="179"/>
      <c r="C458" s="179"/>
      <c r="D458" s="181"/>
      <c r="E458" s="181"/>
      <c r="F458" s="181"/>
      <c r="G458" s="181"/>
      <c r="H458" s="10" t="s">
        <v>55</v>
      </c>
      <c r="I458" s="10"/>
      <c r="J458" s="223">
        <f>J471</f>
        <v>400.53805541992188</v>
      </c>
      <c r="K458" s="271"/>
      <c r="L458" s="224"/>
      <c r="M458" s="270">
        <f>M471</f>
        <v>373.7708740234375</v>
      </c>
      <c r="N458" s="271"/>
      <c r="O458" s="224"/>
      <c r="P458" s="270">
        <f>P471</f>
        <v>408.12628173828125</v>
      </c>
      <c r="Q458" s="271"/>
      <c r="R458" s="224"/>
      <c r="S458" s="270">
        <f>S471</f>
        <v>543.2957763671875</v>
      </c>
      <c r="T458" s="271"/>
      <c r="U458" s="224"/>
      <c r="V458" s="270">
        <f>V471</f>
        <v>708.99969482421875</v>
      </c>
      <c r="W458" s="271"/>
      <c r="X458" s="224"/>
      <c r="Y458" s="270">
        <f>Y471</f>
        <v>596.1258544921875</v>
      </c>
      <c r="Z458" s="271"/>
      <c r="AA458" s="224"/>
      <c r="AB458" s="270">
        <f>AB471</f>
        <v>493.70303344726563</v>
      </c>
      <c r="AC458" s="271"/>
      <c r="AD458" s="224"/>
      <c r="AE458" s="270">
        <f>AE471</f>
        <v>459.234375</v>
      </c>
      <c r="AF458" s="271"/>
      <c r="AG458" s="224"/>
      <c r="AH458" s="270">
        <f>AH471</f>
        <v>428.2342529296875</v>
      </c>
      <c r="AI458" s="271"/>
      <c r="AJ458" s="224"/>
      <c r="AK458" s="270">
        <f>AK471</f>
        <v>425.421630859375</v>
      </c>
      <c r="AL458" s="271"/>
      <c r="AM458" s="224"/>
      <c r="AN458" s="270">
        <f>AN471</f>
        <v>430.12811279296875</v>
      </c>
      <c r="AO458" s="271"/>
      <c r="AP458" s="224"/>
      <c r="AQ458" s="270">
        <f>AQ471</f>
        <v>438.05975341796875</v>
      </c>
      <c r="AR458" s="271"/>
      <c r="AS458" s="224"/>
      <c r="AT458" s="270">
        <f>AT471</f>
        <v>5705.6376953125</v>
      </c>
      <c r="AU458" s="271"/>
      <c r="AV458" s="229"/>
      <c r="AW458" s="226"/>
      <c r="AX458" s="230"/>
      <c r="AY458" s="231">
        <f>AY471</f>
        <v>6343.7155819999998</v>
      </c>
      <c r="AZ458" s="346"/>
      <c r="BA458" s="346"/>
      <c r="BB458" s="346"/>
      <c r="BC458" s="346"/>
    </row>
    <row r="459" spans="1:55">
      <c r="B459" s="179"/>
      <c r="C459" s="179"/>
      <c r="D459" s="181"/>
      <c r="E459" s="181"/>
      <c r="F459" s="181"/>
      <c r="G459" s="181"/>
      <c r="H459" s="10" t="s">
        <v>98</v>
      </c>
      <c r="I459" s="10"/>
      <c r="J459" s="223">
        <f>J470</f>
        <v>2421</v>
      </c>
      <c r="K459" s="271"/>
      <c r="L459" s="224"/>
      <c r="M459" s="270">
        <f>M470</f>
        <v>2128</v>
      </c>
      <c r="N459" s="271"/>
      <c r="O459" s="224"/>
      <c r="P459" s="270">
        <f>P470</f>
        <v>2471</v>
      </c>
      <c r="Q459" s="271"/>
      <c r="R459" s="224"/>
      <c r="S459" s="270">
        <f>S470</f>
        <v>2928</v>
      </c>
      <c r="T459" s="271"/>
      <c r="U459" s="224"/>
      <c r="V459" s="270">
        <f>V470</f>
        <v>2514</v>
      </c>
      <c r="W459" s="271"/>
      <c r="X459" s="224"/>
      <c r="Y459" s="270">
        <f>Y470</f>
        <v>2319</v>
      </c>
      <c r="Z459" s="271"/>
      <c r="AA459" s="224"/>
      <c r="AB459" s="270">
        <f>AB470</f>
        <v>2975</v>
      </c>
      <c r="AC459" s="271"/>
      <c r="AD459" s="224"/>
      <c r="AE459" s="270">
        <f>AE470</f>
        <v>3004</v>
      </c>
      <c r="AF459" s="271"/>
      <c r="AG459" s="224"/>
      <c r="AH459" s="270">
        <f>AH470</f>
        <v>2768</v>
      </c>
      <c r="AI459" s="271"/>
      <c r="AJ459" s="224"/>
      <c r="AK459" s="270">
        <f>AK470</f>
        <v>2275</v>
      </c>
      <c r="AL459" s="271"/>
      <c r="AM459" s="224"/>
      <c r="AN459" s="270">
        <f>AN470</f>
        <v>2201</v>
      </c>
      <c r="AO459" s="271"/>
      <c r="AP459" s="224"/>
      <c r="AQ459" s="270">
        <f>AQ470</f>
        <v>2446</v>
      </c>
      <c r="AR459" s="271"/>
      <c r="AS459" s="224"/>
      <c r="AT459" s="270">
        <f>AT470</f>
        <v>30450</v>
      </c>
      <c r="AU459" s="271"/>
      <c r="AV459" s="229"/>
      <c r="AW459" s="226"/>
      <c r="AX459" s="230"/>
      <c r="AY459" s="231">
        <f>AY470</f>
        <v>31861.392948000001</v>
      </c>
      <c r="AZ459" s="261"/>
      <c r="BA459" s="261"/>
      <c r="BB459" s="261"/>
      <c r="BC459" s="261"/>
    </row>
    <row r="460" spans="1:55">
      <c r="B460" s="179"/>
      <c r="C460" s="179"/>
      <c r="D460" s="181"/>
      <c r="E460" s="181"/>
      <c r="F460" s="181"/>
      <c r="G460" s="181"/>
      <c r="H460" s="10" t="s">
        <v>347</v>
      </c>
      <c r="I460" s="10"/>
      <c r="J460" s="223">
        <f>SUM(J472:J475)</f>
        <v>1.415</v>
      </c>
      <c r="K460" s="271"/>
      <c r="L460" s="224"/>
      <c r="M460" s="223">
        <f>SUM(M472:M475)</f>
        <v>2.839</v>
      </c>
      <c r="N460" s="271"/>
      <c r="O460" s="224"/>
      <c r="P460" s="223">
        <f>SUM(P472:P475)</f>
        <v>6.2420000000000009</v>
      </c>
      <c r="Q460" s="271"/>
      <c r="R460" s="224"/>
      <c r="S460" s="223">
        <f>SUM(S472:S475)</f>
        <v>6.4619999999999997</v>
      </c>
      <c r="T460" s="271"/>
      <c r="U460" s="224"/>
      <c r="V460" s="223">
        <f>SUM(V472:V475)</f>
        <v>7.5269999999999992</v>
      </c>
      <c r="W460" s="271"/>
      <c r="X460" s="224"/>
      <c r="Y460" s="223">
        <f>SUM(Y472:Y475)</f>
        <v>7.5380000000000003</v>
      </c>
      <c r="Z460" s="271"/>
      <c r="AA460" s="224"/>
      <c r="AB460" s="223">
        <f>SUM(AB472:AB475)</f>
        <v>6.9440000000000008</v>
      </c>
      <c r="AC460" s="271"/>
      <c r="AD460" s="224"/>
      <c r="AE460" s="223">
        <f>SUM(AE472:AE475)</f>
        <v>7.4450000000000003</v>
      </c>
      <c r="AF460" s="271"/>
      <c r="AG460" s="224"/>
      <c r="AH460" s="223">
        <f>SUM(AH472:AH475)</f>
        <v>5.3020000000000005</v>
      </c>
      <c r="AI460" s="271"/>
      <c r="AJ460" s="224"/>
      <c r="AK460" s="223">
        <f>SUM(AK472:AK475)</f>
        <v>0</v>
      </c>
      <c r="AL460" s="271"/>
      <c r="AM460" s="224"/>
      <c r="AN460" s="223">
        <f>SUM(AN472:AN475)</f>
        <v>2.52</v>
      </c>
      <c r="AO460" s="271"/>
      <c r="AP460" s="224"/>
      <c r="AQ460" s="223">
        <f>SUM(AQ472:AQ475)</f>
        <v>0.38600000000000001</v>
      </c>
      <c r="AR460" s="271"/>
      <c r="AS460" s="224"/>
      <c r="AT460" s="223">
        <f>SUM(AT472:AT475)</f>
        <v>54.62</v>
      </c>
      <c r="AU460" s="271"/>
      <c r="AV460" s="229"/>
      <c r="AW460" s="226"/>
      <c r="AX460" s="230"/>
      <c r="AY460" s="231">
        <f>SUM(AY472:AY474)</f>
        <v>27.091442000000001</v>
      </c>
      <c r="AZ460" s="261"/>
      <c r="BA460" s="261"/>
      <c r="BB460" s="261"/>
      <c r="BC460" s="261"/>
    </row>
    <row r="461" spans="1:55" s="107" customFormat="1">
      <c r="A461" s="179"/>
      <c r="B461" s="179"/>
      <c r="C461" s="179"/>
      <c r="D461" s="181"/>
      <c r="E461" s="181"/>
      <c r="F461" s="181"/>
      <c r="G461" s="181"/>
      <c r="H461" s="10" t="s">
        <v>99</v>
      </c>
      <c r="I461" s="10"/>
      <c r="J461" s="223">
        <f>J476</f>
        <v>28.05</v>
      </c>
      <c r="K461" s="271"/>
      <c r="L461" s="224"/>
      <c r="M461" s="270">
        <f>M476</f>
        <v>25.751999999999999</v>
      </c>
      <c r="N461" s="271"/>
      <c r="O461" s="224"/>
      <c r="P461" s="270">
        <f>P476</f>
        <v>29.015999999999998</v>
      </c>
      <c r="Q461" s="271"/>
      <c r="R461" s="224"/>
      <c r="S461" s="270">
        <f>S476</f>
        <v>27.72</v>
      </c>
      <c r="T461" s="271"/>
      <c r="U461" s="224"/>
      <c r="V461" s="270">
        <f>V476</f>
        <v>25.584</v>
      </c>
      <c r="W461" s="271"/>
      <c r="X461" s="224"/>
      <c r="Y461" s="270">
        <f>Y476</f>
        <v>28.8</v>
      </c>
      <c r="Z461" s="271"/>
      <c r="AA461" s="224"/>
      <c r="AB461" s="270">
        <f>AB476</f>
        <v>30.504000000000001</v>
      </c>
      <c r="AC461" s="271"/>
      <c r="AD461" s="224"/>
      <c r="AE461" s="270">
        <f>AE476</f>
        <v>30.504000000000001</v>
      </c>
      <c r="AF461" s="271"/>
      <c r="AG461" s="224"/>
      <c r="AH461" s="270">
        <f>AH476</f>
        <v>28.08</v>
      </c>
      <c r="AI461" s="271"/>
      <c r="AJ461" s="224"/>
      <c r="AK461" s="270">
        <f>AK476</f>
        <v>28.271999999999998</v>
      </c>
      <c r="AL461" s="271"/>
      <c r="AM461" s="224"/>
      <c r="AN461" s="270">
        <f>AN476</f>
        <v>29.52</v>
      </c>
      <c r="AO461" s="271"/>
      <c r="AP461" s="224"/>
      <c r="AQ461" s="270">
        <f>AQ476</f>
        <v>28.643999999999998</v>
      </c>
      <c r="AR461" s="271"/>
      <c r="AS461" s="224"/>
      <c r="AT461" s="270">
        <f>AT476</f>
        <v>340.44599999999997</v>
      </c>
      <c r="AU461" s="271"/>
      <c r="AV461" s="229"/>
      <c r="AW461" s="226"/>
      <c r="AX461" s="230"/>
      <c r="AY461" s="231">
        <f>AY476</f>
        <v>321.639972</v>
      </c>
      <c r="AZ461" s="346"/>
      <c r="BA461" s="346"/>
      <c r="BB461" s="346"/>
      <c r="BC461" s="346"/>
    </row>
    <row r="462" spans="1:55" s="107" customFormat="1">
      <c r="A462" s="179"/>
      <c r="B462" s="179"/>
      <c r="C462" s="179"/>
      <c r="D462" s="181">
        <v>316226</v>
      </c>
      <c r="E462" s="181"/>
      <c r="F462" s="181"/>
      <c r="G462" s="1110">
        <v>316226</v>
      </c>
      <c r="H462" s="127" t="s">
        <v>1483</v>
      </c>
      <c r="I462" s="516" t="s">
        <v>365</v>
      </c>
      <c r="J462" s="711">
        <v>15.73</v>
      </c>
      <c r="K462" s="709"/>
      <c r="L462" s="710"/>
      <c r="M462" s="711">
        <v>13.81</v>
      </c>
      <c r="N462" s="709"/>
      <c r="O462" s="710"/>
      <c r="P462" s="711">
        <v>13.94</v>
      </c>
      <c r="Q462" s="709"/>
      <c r="R462" s="710"/>
      <c r="S462" s="711">
        <v>13.87</v>
      </c>
      <c r="T462" s="709"/>
      <c r="U462" s="710"/>
      <c r="V462" s="711">
        <v>7.81</v>
      </c>
      <c r="W462" s="709"/>
      <c r="X462" s="710"/>
      <c r="Y462" s="711">
        <v>7.66</v>
      </c>
      <c r="Z462" s="709"/>
      <c r="AA462" s="710"/>
      <c r="AB462" s="711">
        <v>8.27</v>
      </c>
      <c r="AC462" s="709"/>
      <c r="AD462" s="710"/>
      <c r="AE462" s="711">
        <v>6.33</v>
      </c>
      <c r="AF462" s="709"/>
      <c r="AG462" s="710"/>
      <c r="AH462" s="711">
        <v>8.1199999999999992</v>
      </c>
      <c r="AI462" s="709"/>
      <c r="AJ462" s="710"/>
      <c r="AK462" s="711">
        <v>13.04</v>
      </c>
      <c r="AL462" s="709"/>
      <c r="AM462" s="710"/>
      <c r="AN462" s="711">
        <v>16.114000000000001</v>
      </c>
      <c r="AO462" s="709"/>
      <c r="AP462" s="710"/>
      <c r="AQ462" s="711">
        <v>14.364000000000001</v>
      </c>
      <c r="AR462" s="283"/>
      <c r="AS462" s="299"/>
      <c r="AT462" s="244">
        <f t="shared" ref="AT462:AT475" si="17">J462+M462+P462+S462+V462+Y462+AB462+AE462+AH462+AK462+AN462+AQ462</f>
        <v>139.05799999999999</v>
      </c>
      <c r="AU462" s="283"/>
      <c r="AV462" s="284"/>
      <c r="AW462" s="285"/>
      <c r="AX462" s="321"/>
      <c r="AY462" s="435">
        <v>145.711523</v>
      </c>
      <c r="AZ462" s="346"/>
      <c r="BA462" s="346"/>
      <c r="BB462" s="346"/>
      <c r="BC462" s="346"/>
    </row>
    <row r="463" spans="1:55" s="107" customFormat="1" hidden="1">
      <c r="A463" s="179"/>
      <c r="B463" s="179"/>
      <c r="C463" s="179"/>
      <c r="D463" s="181">
        <v>316213</v>
      </c>
      <c r="E463" s="181"/>
      <c r="F463" s="181"/>
      <c r="G463" s="1110">
        <v>316213</v>
      </c>
      <c r="H463" s="990" t="s">
        <v>897</v>
      </c>
      <c r="I463" s="519" t="s">
        <v>365</v>
      </c>
      <c r="J463" s="951">
        <v>0</v>
      </c>
      <c r="K463" s="1137"/>
      <c r="L463" s="1138"/>
      <c r="M463" s="951">
        <v>0</v>
      </c>
      <c r="N463" s="1137"/>
      <c r="O463" s="1138"/>
      <c r="P463" s="951">
        <v>0</v>
      </c>
      <c r="Q463" s="1137"/>
      <c r="R463" s="1138"/>
      <c r="S463" s="951">
        <v>0</v>
      </c>
      <c r="T463" s="1137"/>
      <c r="U463" s="1138"/>
      <c r="V463" s="951">
        <v>0</v>
      </c>
      <c r="W463" s="1137"/>
      <c r="X463" s="1138"/>
      <c r="Y463" s="951">
        <v>0</v>
      </c>
      <c r="Z463" s="1137"/>
      <c r="AA463" s="1138"/>
      <c r="AB463" s="951">
        <v>0</v>
      </c>
      <c r="AC463" s="1137"/>
      <c r="AD463" s="1138"/>
      <c r="AE463" s="951">
        <v>0</v>
      </c>
      <c r="AF463" s="1137"/>
      <c r="AG463" s="1138"/>
      <c r="AH463" s="951">
        <v>0</v>
      </c>
      <c r="AI463" s="1137"/>
      <c r="AJ463" s="1138"/>
      <c r="AK463" s="951">
        <v>0</v>
      </c>
      <c r="AL463" s="1137"/>
      <c r="AM463" s="1138"/>
      <c r="AN463" s="951">
        <v>0</v>
      </c>
      <c r="AO463" s="1137"/>
      <c r="AP463" s="1138"/>
      <c r="AQ463" s="951">
        <v>0</v>
      </c>
      <c r="AR463" s="283"/>
      <c r="AS463" s="299"/>
      <c r="AT463" s="951">
        <f t="shared" si="17"/>
        <v>0</v>
      </c>
      <c r="AU463" s="283"/>
      <c r="AV463" s="284"/>
      <c r="AW463" s="285"/>
      <c r="AX463" s="321"/>
      <c r="AY463" s="707"/>
      <c r="AZ463" s="346"/>
      <c r="BA463" s="346"/>
      <c r="BB463" s="346"/>
      <c r="BC463" s="346"/>
    </row>
    <row r="464" spans="1:55" s="107" customFormat="1">
      <c r="A464" s="179"/>
      <c r="B464" s="179"/>
      <c r="C464" s="179"/>
      <c r="D464" s="181">
        <v>316210</v>
      </c>
      <c r="E464" s="181"/>
      <c r="F464" s="181"/>
      <c r="G464" s="1110">
        <v>316210</v>
      </c>
      <c r="H464" s="127" t="s">
        <v>1484</v>
      </c>
      <c r="I464" s="516" t="s">
        <v>364</v>
      </c>
      <c r="J464" s="1135">
        <f>82-0.904</f>
        <v>81.096000000000004</v>
      </c>
      <c r="K464" s="709"/>
      <c r="L464" s="710"/>
      <c r="M464" s="1135">
        <f>76.63-0.766</f>
        <v>75.86399999999999</v>
      </c>
      <c r="N464" s="709"/>
      <c r="O464" s="710"/>
      <c r="P464" s="711">
        <v>81</v>
      </c>
      <c r="Q464" s="709"/>
      <c r="R464" s="710"/>
      <c r="S464" s="711">
        <v>55.26</v>
      </c>
      <c r="T464" s="709"/>
      <c r="U464" s="710"/>
      <c r="V464" s="711">
        <v>32.9</v>
      </c>
      <c r="W464" s="709"/>
      <c r="X464" s="710"/>
      <c r="Y464" s="711">
        <v>29.3</v>
      </c>
      <c r="Z464" s="709"/>
      <c r="AA464" s="710"/>
      <c r="AB464" s="711">
        <v>30</v>
      </c>
      <c r="AC464" s="709"/>
      <c r="AD464" s="710"/>
      <c r="AE464" s="711">
        <v>30</v>
      </c>
      <c r="AF464" s="709"/>
      <c r="AG464" s="710"/>
      <c r="AH464" s="1184">
        <f>30.42+20</f>
        <v>50.42</v>
      </c>
      <c r="AI464" s="709"/>
      <c r="AJ464" s="710"/>
      <c r="AK464" s="711">
        <v>65.2</v>
      </c>
      <c r="AL464" s="709"/>
      <c r="AM464" s="710"/>
      <c r="AN464" s="1135">
        <f>80.995-2.515</f>
        <v>78.48</v>
      </c>
      <c r="AO464" s="709"/>
      <c r="AP464" s="710"/>
      <c r="AQ464" s="711">
        <v>81.094999999999999</v>
      </c>
      <c r="AR464" s="283"/>
      <c r="AS464" s="299"/>
      <c r="AT464" s="244">
        <f t="shared" si="17"/>
        <v>690.61500000000001</v>
      </c>
      <c r="AU464" s="283"/>
      <c r="AV464" s="284"/>
      <c r="AW464" s="285"/>
      <c r="AX464" s="321"/>
      <c r="AY464" s="435">
        <v>673.70768499999997</v>
      </c>
      <c r="AZ464" s="346"/>
      <c r="BA464" s="346"/>
      <c r="BB464" s="346"/>
      <c r="BC464" s="346"/>
    </row>
    <row r="465" spans="1:55">
      <c r="B465" s="179"/>
      <c r="C465" s="179"/>
      <c r="D465" s="181">
        <v>316212</v>
      </c>
      <c r="E465" s="181"/>
      <c r="F465" s="181"/>
      <c r="G465" s="1110">
        <v>316212</v>
      </c>
      <c r="H465" s="127" t="s">
        <v>1485</v>
      </c>
      <c r="I465" s="516" t="s">
        <v>364</v>
      </c>
      <c r="J465" s="711">
        <v>53.8</v>
      </c>
      <c r="K465" s="709"/>
      <c r="L465" s="710"/>
      <c r="M465" s="711">
        <v>49.06</v>
      </c>
      <c r="N465" s="709"/>
      <c r="O465" s="710"/>
      <c r="P465" s="711">
        <v>50.209499999999998</v>
      </c>
      <c r="Q465" s="709"/>
      <c r="R465" s="710"/>
      <c r="S465" s="711">
        <v>31.395</v>
      </c>
      <c r="T465" s="709"/>
      <c r="U465" s="710"/>
      <c r="V465" s="711">
        <v>17.600000000000001</v>
      </c>
      <c r="W465" s="709"/>
      <c r="X465" s="710"/>
      <c r="Y465" s="711">
        <v>16.399999999999999</v>
      </c>
      <c r="Z465" s="709"/>
      <c r="AA465" s="710"/>
      <c r="AB465" s="711">
        <v>17.989999999999998</v>
      </c>
      <c r="AC465" s="709"/>
      <c r="AD465" s="710"/>
      <c r="AE465" s="711">
        <v>20.29</v>
      </c>
      <c r="AF465" s="709"/>
      <c r="AG465" s="710"/>
      <c r="AH465" s="1184">
        <f>18.26+5</f>
        <v>23.26</v>
      </c>
      <c r="AI465" s="709"/>
      <c r="AJ465" s="710"/>
      <c r="AK465" s="711">
        <v>29.61</v>
      </c>
      <c r="AL465" s="709"/>
      <c r="AM465" s="710"/>
      <c r="AN465" s="711">
        <v>44.04</v>
      </c>
      <c r="AO465" s="709"/>
      <c r="AP465" s="710"/>
      <c r="AQ465" s="711">
        <v>53.92</v>
      </c>
      <c r="AR465" s="283"/>
      <c r="AS465" s="299"/>
      <c r="AT465" s="244">
        <f t="shared" si="17"/>
        <v>407.57450000000006</v>
      </c>
      <c r="AU465" s="283"/>
      <c r="AV465" s="284"/>
      <c r="AW465" s="285"/>
      <c r="AX465" s="321"/>
      <c r="AY465" s="435">
        <v>393.39817599999998</v>
      </c>
      <c r="AZ465" s="261"/>
      <c r="BA465" s="261"/>
      <c r="BB465" s="261"/>
      <c r="BC465" s="261"/>
    </row>
    <row r="466" spans="1:55">
      <c r="B466" s="179"/>
      <c r="C466" s="179"/>
      <c r="D466" s="181">
        <v>316211</v>
      </c>
      <c r="E466" s="181"/>
      <c r="F466" s="181"/>
      <c r="G466" s="1110">
        <v>316211</v>
      </c>
      <c r="H466" s="127" t="s">
        <v>1517</v>
      </c>
      <c r="I466" s="516" t="s">
        <v>364</v>
      </c>
      <c r="J466" s="837">
        <v>115.9</v>
      </c>
      <c r="K466" s="709"/>
      <c r="L466" s="710"/>
      <c r="M466" s="837">
        <v>128.96</v>
      </c>
      <c r="N466" s="709"/>
      <c r="O466" s="710"/>
      <c r="P466" s="837">
        <v>125.72</v>
      </c>
      <c r="Q466" s="709"/>
      <c r="R466" s="710"/>
      <c r="S466" s="837">
        <v>60.75</v>
      </c>
      <c r="T466" s="709"/>
      <c r="U466" s="710"/>
      <c r="V466" s="837">
        <v>23.44</v>
      </c>
      <c r="W466" s="709"/>
      <c r="X466" s="710"/>
      <c r="Y466" s="837">
        <v>24.31</v>
      </c>
      <c r="Z466" s="709"/>
      <c r="AA466" s="710"/>
      <c r="AB466" s="837">
        <v>24.35</v>
      </c>
      <c r="AC466" s="709"/>
      <c r="AD466" s="710"/>
      <c r="AE466" s="1185">
        <f>19.56+10</f>
        <v>29.56</v>
      </c>
      <c r="AF466" s="709"/>
      <c r="AG466" s="710"/>
      <c r="AH466" s="1185">
        <f>31.59+17.39</f>
        <v>48.980000000000004</v>
      </c>
      <c r="AI466" s="709"/>
      <c r="AJ466" s="710"/>
      <c r="AK466" s="1184">
        <f>60.3+10</f>
        <v>70.3</v>
      </c>
      <c r="AL466" s="709"/>
      <c r="AM466" s="710"/>
      <c r="AN466" s="837">
        <v>90.14</v>
      </c>
      <c r="AO466" s="709"/>
      <c r="AP466" s="710"/>
      <c r="AQ466" s="1185">
        <f>101.61+20</f>
        <v>121.61</v>
      </c>
      <c r="AR466" s="283"/>
      <c r="AS466" s="299"/>
      <c r="AT466" s="244">
        <f t="shared" si="17"/>
        <v>864.02</v>
      </c>
      <c r="AU466" s="283"/>
      <c r="AV466" s="284"/>
      <c r="AW466" s="285"/>
      <c r="AX466" s="321"/>
      <c r="AY466" s="435">
        <v>806.76110100000005</v>
      </c>
      <c r="AZ466" s="261"/>
      <c r="BA466" s="261"/>
      <c r="BB466" s="261"/>
      <c r="BC466" s="261"/>
    </row>
    <row r="467" spans="1:55">
      <c r="B467" s="179"/>
      <c r="C467" s="179"/>
      <c r="D467" s="181">
        <v>316214</v>
      </c>
      <c r="E467" s="181"/>
      <c r="F467" s="181"/>
      <c r="G467" s="1110">
        <v>316214</v>
      </c>
      <c r="H467" s="127" t="s">
        <v>1486</v>
      </c>
      <c r="I467" s="516" t="s">
        <v>364</v>
      </c>
      <c r="J467" s="711">
        <v>202.68</v>
      </c>
      <c r="K467" s="709"/>
      <c r="L467" s="710"/>
      <c r="M467" s="1184">
        <f>181.4+20</f>
        <v>201.4</v>
      </c>
      <c r="N467" s="709"/>
      <c r="O467" s="710"/>
      <c r="P467" s="1184">
        <f>185.93+10</f>
        <v>195.93</v>
      </c>
      <c r="Q467" s="709"/>
      <c r="R467" s="710"/>
      <c r="S467" s="711">
        <v>100.24</v>
      </c>
      <c r="T467" s="709"/>
      <c r="U467" s="710"/>
      <c r="V467" s="711">
        <v>55.49</v>
      </c>
      <c r="W467" s="709"/>
      <c r="X467" s="710"/>
      <c r="Y467" s="711">
        <v>65.28</v>
      </c>
      <c r="Z467" s="709"/>
      <c r="AA467" s="710"/>
      <c r="AB467" s="1185">
        <f>52.38+10</f>
        <v>62.38</v>
      </c>
      <c r="AC467" s="709"/>
      <c r="AD467" s="710"/>
      <c r="AE467" s="1184">
        <f>55.25+14.02</f>
        <v>69.27</v>
      </c>
      <c r="AF467" s="709"/>
      <c r="AG467" s="710"/>
      <c r="AH467" s="1184">
        <f>75.5+10</f>
        <v>85.5</v>
      </c>
      <c r="AI467" s="709"/>
      <c r="AJ467" s="710"/>
      <c r="AK467" s="1184">
        <f>105.06+10</f>
        <v>115.06</v>
      </c>
      <c r="AL467" s="709"/>
      <c r="AM467" s="710"/>
      <c r="AN467" s="711">
        <v>152.815</v>
      </c>
      <c r="AO467" s="709"/>
      <c r="AP467" s="710"/>
      <c r="AQ467" s="1184">
        <f>193.615+30</f>
        <v>223.61500000000001</v>
      </c>
      <c r="AR467" s="283"/>
      <c r="AS467" s="299"/>
      <c r="AT467" s="244">
        <f t="shared" si="17"/>
        <v>1529.66</v>
      </c>
      <c r="AU467" s="283"/>
      <c r="AV467" s="284"/>
      <c r="AW467" s="285"/>
      <c r="AX467" s="321"/>
      <c r="AY467" s="435">
        <v>1429.9052959999999</v>
      </c>
      <c r="AZ467" s="261"/>
      <c r="BA467" s="261"/>
      <c r="BB467" s="261"/>
      <c r="BC467" s="261"/>
    </row>
    <row r="468" spans="1:55" s="107" customFormat="1" hidden="1">
      <c r="A468" s="179"/>
      <c r="B468" s="179"/>
      <c r="C468" s="179"/>
      <c r="D468" s="181">
        <v>316215</v>
      </c>
      <c r="E468" s="181"/>
      <c r="F468" s="181"/>
      <c r="G468" s="1110">
        <v>316215</v>
      </c>
      <c r="H468" s="171" t="s">
        <v>189</v>
      </c>
      <c r="I468" s="516" t="s">
        <v>364</v>
      </c>
      <c r="J468" s="244"/>
      <c r="K468" s="352"/>
      <c r="L468" s="353"/>
      <c r="M468" s="244"/>
      <c r="N468" s="352"/>
      <c r="O468" s="353"/>
      <c r="P468" s="244"/>
      <c r="Q468" s="352"/>
      <c r="R468" s="353"/>
      <c r="S468" s="244"/>
      <c r="T468" s="352"/>
      <c r="U468" s="353"/>
      <c r="V468" s="244"/>
      <c r="W468" s="352"/>
      <c r="X468" s="353"/>
      <c r="Y468" s="244"/>
      <c r="Z468" s="352"/>
      <c r="AA468" s="353"/>
      <c r="AB468" s="244"/>
      <c r="AC468" s="352"/>
      <c r="AD468" s="353"/>
      <c r="AE468" s="244"/>
      <c r="AF468" s="352"/>
      <c r="AG468" s="353"/>
      <c r="AH468" s="244"/>
      <c r="AI468" s="352"/>
      <c r="AJ468" s="353"/>
      <c r="AK468" s="244"/>
      <c r="AL468" s="352"/>
      <c r="AM468" s="353"/>
      <c r="AN468" s="244"/>
      <c r="AO468" s="352"/>
      <c r="AP468" s="353"/>
      <c r="AQ468" s="244"/>
      <c r="AR468" s="352"/>
      <c r="AS468" s="353"/>
      <c r="AT468" s="244">
        <f t="shared" si="17"/>
        <v>0</v>
      </c>
      <c r="AU468" s="352"/>
      <c r="AV468" s="354"/>
      <c r="AW468" s="351"/>
      <c r="AX468" s="337"/>
      <c r="AY468" s="338"/>
      <c r="AZ468" s="346"/>
      <c r="BA468" s="346"/>
      <c r="BB468" s="346"/>
      <c r="BC468" s="346"/>
    </row>
    <row r="469" spans="1:55" s="107" customFormat="1" hidden="1">
      <c r="A469" s="179"/>
      <c r="B469" s="179"/>
      <c r="C469" s="179"/>
      <c r="D469" s="181">
        <v>316216</v>
      </c>
      <c r="E469" s="181"/>
      <c r="F469" s="181"/>
      <c r="G469" s="1110">
        <v>316216</v>
      </c>
      <c r="H469" s="171" t="s">
        <v>190</v>
      </c>
      <c r="I469" s="516" t="s">
        <v>364</v>
      </c>
      <c r="J469" s="244"/>
      <c r="K469" s="352"/>
      <c r="L469" s="353"/>
      <c r="M469" s="244"/>
      <c r="N469" s="352"/>
      <c r="O469" s="353"/>
      <c r="P469" s="244"/>
      <c r="Q469" s="352"/>
      <c r="R469" s="353"/>
      <c r="S469" s="244"/>
      <c r="T469" s="352"/>
      <c r="U469" s="353"/>
      <c r="V469" s="244"/>
      <c r="W469" s="352"/>
      <c r="X469" s="353"/>
      <c r="Y469" s="244"/>
      <c r="Z469" s="352"/>
      <c r="AA469" s="353"/>
      <c r="AB469" s="244"/>
      <c r="AC469" s="352"/>
      <c r="AD469" s="353"/>
      <c r="AE469" s="244"/>
      <c r="AF469" s="352"/>
      <c r="AG469" s="353"/>
      <c r="AH469" s="244"/>
      <c r="AI469" s="352"/>
      <c r="AJ469" s="353"/>
      <c r="AK469" s="244"/>
      <c r="AL469" s="352"/>
      <c r="AM469" s="353"/>
      <c r="AN469" s="244"/>
      <c r="AO469" s="352"/>
      <c r="AP469" s="353"/>
      <c r="AQ469" s="244"/>
      <c r="AR469" s="352"/>
      <c r="AS469" s="353"/>
      <c r="AT469" s="244">
        <f t="shared" si="17"/>
        <v>0</v>
      </c>
      <c r="AU469" s="352"/>
      <c r="AV469" s="354"/>
      <c r="AW469" s="351"/>
      <c r="AX469" s="337"/>
      <c r="AY469" s="338"/>
      <c r="AZ469" s="346"/>
      <c r="BA469" s="346"/>
      <c r="BB469" s="346"/>
      <c r="BC469" s="346"/>
    </row>
    <row r="470" spans="1:55">
      <c r="B470" s="179"/>
      <c r="C470" s="179"/>
      <c r="D470" s="181">
        <v>370096</v>
      </c>
      <c r="E470" s="181"/>
      <c r="F470" s="181"/>
      <c r="G470" s="1110">
        <v>370096</v>
      </c>
      <c r="H470" s="127" t="s">
        <v>898</v>
      </c>
      <c r="I470" s="516" t="s">
        <v>364</v>
      </c>
      <c r="J470" s="320">
        <f>АЭС!C23</f>
        <v>2421</v>
      </c>
      <c r="K470" s="246"/>
      <c r="L470" s="282"/>
      <c r="M470" s="320">
        <f>АЭС!D23</f>
        <v>2128</v>
      </c>
      <c r="N470" s="246"/>
      <c r="O470" s="282"/>
      <c r="P470" s="320">
        <f>АЭС!E23</f>
        <v>2471</v>
      </c>
      <c r="Q470" s="246"/>
      <c r="R470" s="282"/>
      <c r="S470" s="320">
        <f>АЭС!F23</f>
        <v>2928</v>
      </c>
      <c r="T470" s="246"/>
      <c r="U470" s="282"/>
      <c r="V470" s="320">
        <f>АЭС!G23</f>
        <v>2514</v>
      </c>
      <c r="W470" s="246"/>
      <c r="X470" s="282"/>
      <c r="Y470" s="320">
        <f>АЭС!H23</f>
        <v>2319</v>
      </c>
      <c r="Z470" s="246"/>
      <c r="AA470" s="282"/>
      <c r="AB470" s="320">
        <f>АЭС!I23</f>
        <v>2975</v>
      </c>
      <c r="AC470" s="246"/>
      <c r="AD470" s="282"/>
      <c r="AE470" s="320">
        <f>АЭС!J23</f>
        <v>3004</v>
      </c>
      <c r="AF470" s="246"/>
      <c r="AG470" s="282"/>
      <c r="AH470" s="320">
        <f>АЭС!K23</f>
        <v>2768</v>
      </c>
      <c r="AI470" s="246"/>
      <c r="AJ470" s="282"/>
      <c r="AK470" s="320">
        <f>АЭС!L23</f>
        <v>2275</v>
      </c>
      <c r="AL470" s="246"/>
      <c r="AM470" s="282"/>
      <c r="AN470" s="320">
        <f>АЭС!M23</f>
        <v>2201</v>
      </c>
      <c r="AO470" s="246"/>
      <c r="AP470" s="282"/>
      <c r="AQ470" s="320">
        <f>АЭС!N23</f>
        <v>2446</v>
      </c>
      <c r="AR470" s="283"/>
      <c r="AS470" s="299"/>
      <c r="AT470" s="320">
        <f t="shared" si="17"/>
        <v>30450</v>
      </c>
      <c r="AU470" s="283"/>
      <c r="AV470" s="284"/>
      <c r="AW470" s="285"/>
      <c r="AX470" s="321"/>
      <c r="AY470" s="435">
        <v>31861.392948000001</v>
      </c>
      <c r="AZ470" s="261"/>
      <c r="BA470" s="261"/>
      <c r="BB470" s="261"/>
      <c r="BC470" s="261"/>
    </row>
    <row r="471" spans="1:55">
      <c r="B471" s="179"/>
      <c r="C471" s="179"/>
      <c r="D471" s="181">
        <v>316230</v>
      </c>
      <c r="E471" s="181"/>
      <c r="F471" s="181"/>
      <c r="G471" s="1110">
        <v>316230</v>
      </c>
      <c r="H471" s="127" t="s">
        <v>580</v>
      </c>
      <c r="I471" s="516" t="s">
        <v>364</v>
      </c>
      <c r="J471" s="638">
        <f>ГЭС!C30</f>
        <v>400.53805541992188</v>
      </c>
      <c r="K471" s="246"/>
      <c r="L471" s="282"/>
      <c r="M471" s="638">
        <f>ГЭС!D30</f>
        <v>373.7708740234375</v>
      </c>
      <c r="N471" s="246"/>
      <c r="O471" s="282"/>
      <c r="P471" s="638">
        <f>ГЭС!E30</f>
        <v>408.12628173828125</v>
      </c>
      <c r="Q471" s="246"/>
      <c r="R471" s="282"/>
      <c r="S471" s="638">
        <f>ГЭС!G30</f>
        <v>543.2957763671875</v>
      </c>
      <c r="T471" s="246"/>
      <c r="U471" s="282"/>
      <c r="V471" s="638">
        <f>ГЭС!H30</f>
        <v>708.99969482421875</v>
      </c>
      <c r="W471" s="246"/>
      <c r="X471" s="282"/>
      <c r="Y471" s="638">
        <f>ГЭС!I30</f>
        <v>596.1258544921875</v>
      </c>
      <c r="Z471" s="246"/>
      <c r="AA471" s="282"/>
      <c r="AB471" s="638">
        <f>ГЭС!K30</f>
        <v>493.70303344726563</v>
      </c>
      <c r="AC471" s="246"/>
      <c r="AD471" s="282"/>
      <c r="AE471" s="638">
        <f>ГЭС!L30</f>
        <v>459.234375</v>
      </c>
      <c r="AF471" s="246"/>
      <c r="AG471" s="282"/>
      <c r="AH471" s="638">
        <f>ГЭС!M30</f>
        <v>428.2342529296875</v>
      </c>
      <c r="AI471" s="246"/>
      <c r="AJ471" s="282"/>
      <c r="AK471" s="638">
        <f>ГЭС!O30</f>
        <v>425.421630859375</v>
      </c>
      <c r="AL471" s="246"/>
      <c r="AM471" s="282"/>
      <c r="AN471" s="638">
        <f>ГЭС!P30</f>
        <v>430.12811279296875</v>
      </c>
      <c r="AO471" s="246"/>
      <c r="AP471" s="282"/>
      <c r="AQ471" s="638">
        <f>ГЭС!Q30</f>
        <v>438.05975341796875</v>
      </c>
      <c r="AR471" s="283"/>
      <c r="AS471" s="299"/>
      <c r="AT471" s="638">
        <f t="shared" si="17"/>
        <v>5705.6376953125</v>
      </c>
      <c r="AU471" s="283"/>
      <c r="AV471" s="284"/>
      <c r="AW471" s="285"/>
      <c r="AX471" s="321"/>
      <c r="AY471" s="435">
        <v>6343.7155819999998</v>
      </c>
      <c r="AZ471" s="261"/>
      <c r="BA471" s="261"/>
      <c r="BB471" s="261"/>
      <c r="BC471" s="261"/>
    </row>
    <row r="472" spans="1:55">
      <c r="B472" s="179"/>
      <c r="C472" s="179"/>
      <c r="D472" s="181"/>
      <c r="E472" s="181"/>
      <c r="F472" s="181"/>
      <c r="G472" s="1110">
        <v>777278</v>
      </c>
      <c r="H472" s="127" t="s">
        <v>1107</v>
      </c>
      <c r="I472" s="516" t="s">
        <v>364</v>
      </c>
      <c r="J472" s="708">
        <v>0.70799999999999996</v>
      </c>
      <c r="K472" s="246"/>
      <c r="L472" s="412"/>
      <c r="M472" s="708">
        <v>1.1319999999999999</v>
      </c>
      <c r="N472" s="246"/>
      <c r="O472" s="412"/>
      <c r="P472" s="708">
        <v>2.1960000000000002</v>
      </c>
      <c r="Q472" s="246"/>
      <c r="R472" s="412"/>
      <c r="S472" s="708">
        <v>2.3420000000000001</v>
      </c>
      <c r="T472" s="246"/>
      <c r="U472" s="412"/>
      <c r="V472" s="708">
        <v>2.641</v>
      </c>
      <c r="W472" s="246"/>
      <c r="X472" s="282"/>
      <c r="Y472" s="708">
        <v>2.718</v>
      </c>
      <c r="Z472" s="246"/>
      <c r="AA472" s="412"/>
      <c r="AB472" s="708">
        <v>2.2599999999999998</v>
      </c>
      <c r="AC472" s="246"/>
      <c r="AD472" s="282"/>
      <c r="AE472" s="708">
        <v>2.331</v>
      </c>
      <c r="AF472" s="246"/>
      <c r="AG472" s="412"/>
      <c r="AH472" s="708">
        <v>1.5740000000000001</v>
      </c>
      <c r="AI472" s="246"/>
      <c r="AJ472" s="412"/>
      <c r="AK472" s="708">
        <v>0</v>
      </c>
      <c r="AL472" s="246"/>
      <c r="AM472" s="412"/>
      <c r="AN472" s="708">
        <v>0.90600000000000003</v>
      </c>
      <c r="AO472" s="246"/>
      <c r="AP472" s="412"/>
      <c r="AQ472" s="708">
        <v>9.0999999999999998E-2</v>
      </c>
      <c r="AR472" s="283"/>
      <c r="AS472" s="299"/>
      <c r="AT472" s="244">
        <f t="shared" si="17"/>
        <v>18.899000000000001</v>
      </c>
      <c r="AU472" s="283"/>
      <c r="AV472" s="284"/>
      <c r="AW472" s="285"/>
      <c r="AX472" s="321"/>
      <c r="AY472" s="1069">
        <v>7.0640780000000003</v>
      </c>
      <c r="AZ472" s="261"/>
      <c r="BA472" s="261"/>
      <c r="BB472" s="261"/>
      <c r="BC472" s="261"/>
    </row>
    <row r="473" spans="1:55">
      <c r="B473" s="179"/>
      <c r="C473" s="179"/>
      <c r="D473" s="181"/>
      <c r="E473" s="181"/>
      <c r="F473" s="181"/>
      <c r="G473" s="1110">
        <v>777281</v>
      </c>
      <c r="H473" s="127" t="s">
        <v>1108</v>
      </c>
      <c r="I473" s="516" t="s">
        <v>364</v>
      </c>
      <c r="J473" s="708">
        <v>0.316</v>
      </c>
      <c r="K473" s="246"/>
      <c r="L473" s="412"/>
      <c r="M473" s="708">
        <v>0.77700000000000002</v>
      </c>
      <c r="N473" s="246"/>
      <c r="O473" s="412"/>
      <c r="P473" s="708">
        <v>2.0230000000000001</v>
      </c>
      <c r="Q473" s="246"/>
      <c r="R473" s="412"/>
      <c r="S473" s="708">
        <v>2.06</v>
      </c>
      <c r="T473" s="246"/>
      <c r="U473" s="412"/>
      <c r="V473" s="708">
        <v>2.4430000000000001</v>
      </c>
      <c r="W473" s="246"/>
      <c r="X473" s="282"/>
      <c r="Y473" s="708">
        <v>2.41</v>
      </c>
      <c r="Z473" s="246"/>
      <c r="AA473" s="412"/>
      <c r="AB473" s="708">
        <v>2.3420000000000001</v>
      </c>
      <c r="AC473" s="246"/>
      <c r="AD473" s="282"/>
      <c r="AE473" s="708">
        <v>2.5569999999999999</v>
      </c>
      <c r="AF473" s="246"/>
      <c r="AG473" s="412"/>
      <c r="AH473" s="708">
        <v>1.8640000000000001</v>
      </c>
      <c r="AI473" s="246"/>
      <c r="AJ473" s="412"/>
      <c r="AK473" s="708">
        <v>0</v>
      </c>
      <c r="AL473" s="246"/>
      <c r="AM473" s="412"/>
      <c r="AN473" s="708">
        <v>0.80700000000000005</v>
      </c>
      <c r="AO473" s="246"/>
      <c r="AP473" s="412"/>
      <c r="AQ473" s="708">
        <v>8.8999999999999996E-2</v>
      </c>
      <c r="AR473" s="283"/>
      <c r="AS473" s="299"/>
      <c r="AT473" s="244">
        <f t="shared" si="17"/>
        <v>17.687999999999999</v>
      </c>
      <c r="AU473" s="283"/>
      <c r="AV473" s="284"/>
      <c r="AW473" s="285"/>
      <c r="AX473" s="321"/>
      <c r="AY473" s="1069">
        <v>19.573521</v>
      </c>
      <c r="AZ473" s="261"/>
      <c r="BA473" s="261"/>
      <c r="BB473" s="261"/>
      <c r="BC473" s="261"/>
    </row>
    <row r="474" spans="1:55">
      <c r="B474" s="179"/>
      <c r="C474" s="179"/>
      <c r="D474" s="181"/>
      <c r="E474" s="181"/>
      <c r="F474" s="181"/>
      <c r="G474" s="1110">
        <v>777344</v>
      </c>
      <c r="H474" s="127" t="s">
        <v>1109</v>
      </c>
      <c r="I474" s="516" t="s">
        <v>364</v>
      </c>
      <c r="J474" s="708">
        <v>0.39100000000000001</v>
      </c>
      <c r="K474" s="246"/>
      <c r="L474" s="412"/>
      <c r="M474" s="708">
        <v>0.93</v>
      </c>
      <c r="N474" s="246"/>
      <c r="O474" s="412"/>
      <c r="P474" s="708">
        <v>2.0230000000000001</v>
      </c>
      <c r="Q474" s="246"/>
      <c r="R474" s="412"/>
      <c r="S474" s="708">
        <v>2.06</v>
      </c>
      <c r="T474" s="246"/>
      <c r="U474" s="412"/>
      <c r="V474" s="708">
        <v>2.4430000000000001</v>
      </c>
      <c r="W474" s="246"/>
      <c r="X474" s="282"/>
      <c r="Y474" s="708">
        <v>2.41</v>
      </c>
      <c r="Z474" s="246"/>
      <c r="AA474" s="412"/>
      <c r="AB474" s="708">
        <v>2.3420000000000001</v>
      </c>
      <c r="AC474" s="246"/>
      <c r="AD474" s="282"/>
      <c r="AE474" s="708">
        <v>2.5569999999999999</v>
      </c>
      <c r="AF474" s="246"/>
      <c r="AG474" s="412"/>
      <c r="AH474" s="708">
        <v>1.8640000000000001</v>
      </c>
      <c r="AI474" s="246"/>
      <c r="AJ474" s="412"/>
      <c r="AK474" s="708">
        <v>0</v>
      </c>
      <c r="AL474" s="246"/>
      <c r="AM474" s="412"/>
      <c r="AN474" s="708">
        <v>0.80700000000000005</v>
      </c>
      <c r="AO474" s="246"/>
      <c r="AP474" s="412"/>
      <c r="AQ474" s="708">
        <v>8.5999999999999993E-2</v>
      </c>
      <c r="AR474" s="283"/>
      <c r="AS474" s="299"/>
      <c r="AT474" s="244">
        <f t="shared" si="17"/>
        <v>17.912999999999997</v>
      </c>
      <c r="AU474" s="283"/>
      <c r="AV474" s="284"/>
      <c r="AW474" s="285"/>
      <c r="AX474" s="321"/>
      <c r="AY474" s="1069">
        <v>0.453843</v>
      </c>
      <c r="AZ474" s="261"/>
      <c r="BA474" s="261"/>
      <c r="BB474" s="261"/>
      <c r="BC474" s="261"/>
    </row>
    <row r="475" spans="1:55">
      <c r="B475" s="179"/>
      <c r="C475" s="179"/>
      <c r="D475" s="181"/>
      <c r="E475" s="181"/>
      <c r="F475" s="181"/>
      <c r="G475" s="1211">
        <v>777995</v>
      </c>
      <c r="H475" s="127" t="s">
        <v>1706</v>
      </c>
      <c r="I475" s="516"/>
      <c r="J475" s="711">
        <v>0</v>
      </c>
      <c r="K475" s="246"/>
      <c r="L475" s="412"/>
      <c r="M475" s="708">
        <v>0</v>
      </c>
      <c r="N475" s="246"/>
      <c r="O475" s="412"/>
      <c r="P475" s="708">
        <v>0</v>
      </c>
      <c r="Q475" s="246"/>
      <c r="R475" s="412"/>
      <c r="S475" s="708">
        <v>0</v>
      </c>
      <c r="T475" s="246"/>
      <c r="U475" s="412"/>
      <c r="V475" s="708">
        <v>0</v>
      </c>
      <c r="W475" s="246"/>
      <c r="X475" s="282"/>
      <c r="Y475" s="708">
        <v>0</v>
      </c>
      <c r="Z475" s="246"/>
      <c r="AA475" s="412"/>
      <c r="AB475" s="708">
        <v>0</v>
      </c>
      <c r="AC475" s="246"/>
      <c r="AD475" s="282"/>
      <c r="AE475" s="708">
        <v>0</v>
      </c>
      <c r="AF475" s="246"/>
      <c r="AG475" s="412"/>
      <c r="AH475" s="708">
        <v>0</v>
      </c>
      <c r="AI475" s="246"/>
      <c r="AJ475" s="412"/>
      <c r="AK475" s="708">
        <v>0</v>
      </c>
      <c r="AL475" s="246"/>
      <c r="AM475" s="412"/>
      <c r="AN475" s="708">
        <v>0</v>
      </c>
      <c r="AO475" s="246"/>
      <c r="AP475" s="412"/>
      <c r="AQ475" s="708">
        <v>0.12</v>
      </c>
      <c r="AR475" s="283"/>
      <c r="AS475" s="299"/>
      <c r="AT475" s="244">
        <f t="shared" si="17"/>
        <v>0.12</v>
      </c>
      <c r="AU475" s="283"/>
      <c r="AV475" s="284"/>
      <c r="AW475" s="285"/>
      <c r="AX475" s="321"/>
      <c r="AY475" s="1069"/>
      <c r="AZ475" s="261"/>
      <c r="BA475" s="261"/>
      <c r="BB475" s="261"/>
      <c r="BC475" s="261"/>
    </row>
    <row r="476" spans="1:55" s="107" customFormat="1">
      <c r="A476" s="179"/>
      <c r="B476" s="179"/>
      <c r="C476" s="179"/>
      <c r="D476" s="181"/>
      <c r="E476" s="181"/>
      <c r="F476" s="181"/>
      <c r="G476" s="1110"/>
      <c r="H476" s="138" t="s">
        <v>174</v>
      </c>
      <c r="I476" s="138"/>
      <c r="J476" s="319">
        <f>J477</f>
        <v>28.05</v>
      </c>
      <c r="K476" s="288"/>
      <c r="L476" s="289"/>
      <c r="M476" s="287">
        <f>M477</f>
        <v>25.751999999999999</v>
      </c>
      <c r="N476" s="288"/>
      <c r="O476" s="289"/>
      <c r="P476" s="287">
        <f>P477</f>
        <v>29.015999999999998</v>
      </c>
      <c r="Q476" s="288"/>
      <c r="R476" s="289"/>
      <c r="S476" s="287">
        <f>S477</f>
        <v>27.72</v>
      </c>
      <c r="T476" s="288"/>
      <c r="U476" s="289"/>
      <c r="V476" s="287">
        <f>V477</f>
        <v>25.584</v>
      </c>
      <c r="W476" s="288"/>
      <c r="X476" s="289"/>
      <c r="Y476" s="287">
        <f>Y477</f>
        <v>28.8</v>
      </c>
      <c r="Z476" s="288"/>
      <c r="AA476" s="289"/>
      <c r="AB476" s="287">
        <f>AB477</f>
        <v>30.504000000000001</v>
      </c>
      <c r="AC476" s="288"/>
      <c r="AD476" s="289"/>
      <c r="AE476" s="287">
        <f>AE477</f>
        <v>30.504000000000001</v>
      </c>
      <c r="AF476" s="288"/>
      <c r="AG476" s="289"/>
      <c r="AH476" s="287">
        <f>AH477</f>
        <v>28.08</v>
      </c>
      <c r="AI476" s="288"/>
      <c r="AJ476" s="289"/>
      <c r="AK476" s="287">
        <f>AK477</f>
        <v>28.271999999999998</v>
      </c>
      <c r="AL476" s="288"/>
      <c r="AM476" s="289"/>
      <c r="AN476" s="287">
        <f>AN477</f>
        <v>29.52</v>
      </c>
      <c r="AO476" s="288"/>
      <c r="AP476" s="289"/>
      <c r="AQ476" s="287">
        <f>AQ477</f>
        <v>28.643999999999998</v>
      </c>
      <c r="AR476" s="288"/>
      <c r="AS476" s="289"/>
      <c r="AT476" s="287">
        <f>AT477</f>
        <v>340.44599999999997</v>
      </c>
      <c r="AU476" s="288"/>
      <c r="AV476" s="290"/>
      <c r="AW476" s="285"/>
      <c r="AX476" s="296"/>
      <c r="AY476" s="436">
        <v>321.639972</v>
      </c>
      <c r="AZ476" s="346"/>
      <c r="BA476" s="346"/>
      <c r="BB476" s="346"/>
      <c r="BC476" s="346"/>
    </row>
    <row r="477" spans="1:55">
      <c r="B477" s="179"/>
      <c r="C477" s="179"/>
      <c r="D477" s="181">
        <v>316242</v>
      </c>
      <c r="E477" s="181"/>
      <c r="F477" s="181"/>
      <c r="G477" s="1110">
        <v>316242</v>
      </c>
      <c r="H477" s="135" t="s">
        <v>1235</v>
      </c>
      <c r="I477" s="518" t="s">
        <v>365</v>
      </c>
      <c r="J477" s="715">
        <v>28.05</v>
      </c>
      <c r="K477" s="713"/>
      <c r="L477" s="714"/>
      <c r="M477" s="715">
        <v>25.751999999999999</v>
      </c>
      <c r="N477" s="713"/>
      <c r="O477" s="714"/>
      <c r="P477" s="715">
        <v>29.015999999999998</v>
      </c>
      <c r="Q477" s="713"/>
      <c r="R477" s="714"/>
      <c r="S477" s="715">
        <v>27.72</v>
      </c>
      <c r="T477" s="713"/>
      <c r="U477" s="714"/>
      <c r="V477" s="715">
        <v>25.584</v>
      </c>
      <c r="W477" s="713"/>
      <c r="X477" s="714"/>
      <c r="Y477" s="715">
        <v>28.8</v>
      </c>
      <c r="Z477" s="713"/>
      <c r="AA477" s="714"/>
      <c r="AB477" s="715">
        <v>30.504000000000001</v>
      </c>
      <c r="AC477" s="713"/>
      <c r="AD477" s="714"/>
      <c r="AE477" s="715">
        <v>30.504000000000001</v>
      </c>
      <c r="AF477" s="713"/>
      <c r="AG477" s="714"/>
      <c r="AH477" s="715">
        <v>28.08</v>
      </c>
      <c r="AI477" s="713"/>
      <c r="AJ477" s="714"/>
      <c r="AK477" s="715">
        <v>28.271999999999998</v>
      </c>
      <c r="AL477" s="713"/>
      <c r="AM477" s="714"/>
      <c r="AN477" s="715">
        <v>29.52</v>
      </c>
      <c r="AO477" s="713"/>
      <c r="AP477" s="714"/>
      <c r="AQ477" s="715">
        <v>28.643999999999998</v>
      </c>
      <c r="AR477" s="288"/>
      <c r="AS477" s="289"/>
      <c r="AT477" s="294">
        <f>J477+M477+P477+S477+V477+Y477+AB477+AE477+AH477+AK477+AN477+AQ477</f>
        <v>340.44599999999997</v>
      </c>
      <c r="AU477" s="288"/>
      <c r="AV477" s="290"/>
      <c r="AW477" s="285"/>
      <c r="AX477" s="296"/>
      <c r="AY477" s="313"/>
      <c r="AZ477" s="261"/>
      <c r="BA477" s="261"/>
      <c r="BB477" s="261"/>
      <c r="BC477" s="261"/>
    </row>
    <row r="478" spans="1:55" s="110" customFormat="1" ht="18.75">
      <c r="A478" s="179"/>
      <c r="B478" s="179"/>
      <c r="C478" s="179"/>
      <c r="D478" s="181">
        <v>686500</v>
      </c>
      <c r="E478" s="181"/>
      <c r="F478" s="181"/>
      <c r="G478" s="181">
        <v>686500</v>
      </c>
      <c r="H478" s="473" t="s">
        <v>1592</v>
      </c>
      <c r="I478" s="473"/>
      <c r="J478" s="277">
        <f>SUM(J479:J481)</f>
        <v>2375.7744388551846</v>
      </c>
      <c r="K478" s="275">
        <f>L478-J478</f>
        <v>468.87687968113869</v>
      </c>
      <c r="L478" s="276">
        <f>Потребление!D37</f>
        <v>2844.6513185363233</v>
      </c>
      <c r="M478" s="274">
        <f>SUM(M479:M481)</f>
        <v>2257.0801357025789</v>
      </c>
      <c r="N478" s="275">
        <f>O478-M478</f>
        <v>355.34263532345767</v>
      </c>
      <c r="O478" s="276">
        <f>Потребление!E37</f>
        <v>2612.4227710260366</v>
      </c>
      <c r="P478" s="274">
        <f>SUM(P479:P481)</f>
        <v>2156.3780184135649</v>
      </c>
      <c r="Q478" s="275">
        <f>R478-P478</f>
        <v>617.82421322214168</v>
      </c>
      <c r="R478" s="276">
        <f>Потребление!F37</f>
        <v>2774.2022316357065</v>
      </c>
      <c r="S478" s="274">
        <f>SUM(S479:S481)</f>
        <v>1868.9545784233983</v>
      </c>
      <c r="T478" s="275">
        <f>U478-S478</f>
        <v>617.56994546624901</v>
      </c>
      <c r="U478" s="276">
        <f>Потребление!G37</f>
        <v>2486.5245238896473</v>
      </c>
      <c r="V478" s="274">
        <f>SUM(V479:V481)</f>
        <v>1818.4532729919599</v>
      </c>
      <c r="W478" s="275">
        <f>X478-V478</f>
        <v>528.51289228971541</v>
      </c>
      <c r="X478" s="276">
        <f>Потребление!H37</f>
        <v>2346.9661652816753</v>
      </c>
      <c r="Y478" s="274">
        <f>SUM(Y479:Y481)</f>
        <v>1789.9771384717403</v>
      </c>
      <c r="Z478" s="275">
        <f>AA478-Y478</f>
        <v>550.97373548499286</v>
      </c>
      <c r="AA478" s="276">
        <f>Потребление!I37</f>
        <v>2340.9508739567332</v>
      </c>
      <c r="AB478" s="274">
        <f>SUM(AB479:AB481)</f>
        <v>1901.8537197820292</v>
      </c>
      <c r="AC478" s="275">
        <f>AD478-AB478</f>
        <v>575.44375754006387</v>
      </c>
      <c r="AD478" s="276">
        <f>Потребление!J37</f>
        <v>2477.2974773220931</v>
      </c>
      <c r="AE478" s="274">
        <f>SUM(AE479:AE481)</f>
        <v>1931.756021951943</v>
      </c>
      <c r="AF478" s="275">
        <f>AG478-AE478</f>
        <v>567.59752356160584</v>
      </c>
      <c r="AG478" s="276">
        <f>Потребление!K37</f>
        <v>2499.3535455135489</v>
      </c>
      <c r="AH478" s="274">
        <f>SUM(AH479:AH481)</f>
        <v>1979.2938893247624</v>
      </c>
      <c r="AI478" s="275">
        <f>AJ478-AH478</f>
        <v>517.05201052631492</v>
      </c>
      <c r="AJ478" s="276">
        <f>Потребление!L37</f>
        <v>2496.3458998510773</v>
      </c>
      <c r="AK478" s="274">
        <f>SUM(AK479:AK481)</f>
        <v>2207.2096393464808</v>
      </c>
      <c r="AL478" s="275">
        <f>AM478-AK478</f>
        <v>469.59500025286752</v>
      </c>
      <c r="AM478" s="276">
        <f>Потребление!M37</f>
        <v>2676.8046395993483</v>
      </c>
      <c r="AN478" s="274">
        <f>SUM(AN479:AN481)</f>
        <v>2335.0515616681532</v>
      </c>
      <c r="AO478" s="275">
        <f>AP478-AN478</f>
        <v>505.16849225879514</v>
      </c>
      <c r="AP478" s="276">
        <f>Потребление!N37</f>
        <v>2840.2200539269484</v>
      </c>
      <c r="AQ478" s="274">
        <f>SUM(AQ479:AQ481)</f>
        <v>2414.5348157997255</v>
      </c>
      <c r="AR478" s="275">
        <f>AS478-AQ478</f>
        <v>643.23827437930504</v>
      </c>
      <c r="AS478" s="276">
        <f>Потребление!O37</f>
        <v>3057.7730901790305</v>
      </c>
      <c r="AT478" s="274">
        <f>SUM(AT479:AT481)</f>
        <v>25036.317230731522</v>
      </c>
      <c r="AU478" s="275">
        <f>AV478-AT478</f>
        <v>6417.1953599866465</v>
      </c>
      <c r="AV478" s="278">
        <f>L478+O478+R478+U478+X478+AA478+AD478+AG478+AJ478+AM478+AP478+AS478</f>
        <v>31453.512590718168</v>
      </c>
      <c r="AW478" s="279"/>
      <c r="AX478" s="1067">
        <v>30190.540129000001</v>
      </c>
      <c r="AY478" s="298">
        <f>SUM(AY479:AY481)</f>
        <v>27238.465546000003</v>
      </c>
      <c r="AZ478" s="356"/>
      <c r="BA478" s="356"/>
      <c r="BB478" s="356"/>
      <c r="BC478" s="356"/>
    </row>
    <row r="479" spans="1:55" s="110" customFormat="1">
      <c r="A479" s="179"/>
      <c r="B479" s="179"/>
      <c r="C479" s="179"/>
      <c r="D479" s="181"/>
      <c r="E479" s="181"/>
      <c r="F479" s="181"/>
      <c r="G479" s="181"/>
      <c r="H479" s="10" t="s">
        <v>56</v>
      </c>
      <c r="I479" s="10"/>
      <c r="J479" s="223">
        <f>J482+J483+J487+J490+J493+J494+J495+J499+J501</f>
        <v>2109.6097139040126</v>
      </c>
      <c r="K479" s="271"/>
      <c r="L479" s="224"/>
      <c r="M479" s="223">
        <f>M482+M483+M487+M490+M493+M494+M495+M499+M501</f>
        <v>1999.8697842499423</v>
      </c>
      <c r="N479" s="271"/>
      <c r="O479" s="224"/>
      <c r="P479" s="223">
        <f>P482+P483+P487+P490+P493+P494+P495+P499+P501</f>
        <v>1871.5535276176663</v>
      </c>
      <c r="Q479" s="271"/>
      <c r="R479" s="224"/>
      <c r="S479" s="223">
        <f>S482+S483+S487+S490+S493+S494+S495+S499+S501</f>
        <v>1524.1503218804296</v>
      </c>
      <c r="T479" s="271"/>
      <c r="U479" s="224"/>
      <c r="V479" s="223">
        <f>V482+V483+V487+V490+V493+V494+V495+V499+V501</f>
        <v>1468.5192572204755</v>
      </c>
      <c r="W479" s="271"/>
      <c r="X479" s="224"/>
      <c r="Y479" s="223">
        <f>Y482+Y483+Y487+Y490+Y493+Y494+Y495+Y499+Y501</f>
        <v>1458.3447933789669</v>
      </c>
      <c r="Z479" s="271"/>
      <c r="AA479" s="224"/>
      <c r="AB479" s="223">
        <f>AB482+AB483+AB487+AB490+AB493+AB494+AB495+AB499+AB501</f>
        <v>1626.111629889451</v>
      </c>
      <c r="AC479" s="271"/>
      <c r="AD479" s="224"/>
      <c r="AE479" s="223">
        <f>AE482+AE483+AE487+AE490+AE493+AE494+AE495+AE499+AE501</f>
        <v>1677.2197134314351</v>
      </c>
      <c r="AF479" s="271"/>
      <c r="AG479" s="224"/>
      <c r="AH479" s="223">
        <f>AH482+AH483+AH487+AH490+AH493+AH494+AH495+AH499+AH501</f>
        <v>1738.6310622251531</v>
      </c>
      <c r="AI479" s="271"/>
      <c r="AJ479" s="224"/>
      <c r="AK479" s="223">
        <f>AK482+AK483+AK487+AK490+AK493+AK494+AK495+AK499+AK501</f>
        <v>1912.7056954255825</v>
      </c>
      <c r="AL479" s="271"/>
      <c r="AM479" s="224"/>
      <c r="AN479" s="223">
        <f>AN482+AN483+AN487+AN490+AN493+AN494+AN495+AN499+AN501</f>
        <v>2050.5863135724503</v>
      </c>
      <c r="AO479" s="271"/>
      <c r="AP479" s="224"/>
      <c r="AQ479" s="223">
        <f>AQ482+AQ483+AQ487+AQ490+AQ493+AQ494+AQ495+AQ499+AQ501</f>
        <v>2135.8848604408386</v>
      </c>
      <c r="AR479" s="271"/>
      <c r="AS479" s="224"/>
      <c r="AT479" s="223">
        <f>AT482+AT483+AT487+AT490+AT493+AT494+AT495+AT499+AT501</f>
        <v>21573.186673236403</v>
      </c>
      <c r="AU479" s="271"/>
      <c r="AV479" s="229"/>
      <c r="AW479" s="226"/>
      <c r="AX479" s="230"/>
      <c r="AY479" s="231">
        <f>SUM(AY482:AY499)</f>
        <v>24188.355468000002</v>
      </c>
      <c r="AZ479" s="356"/>
      <c r="BA479" s="356"/>
      <c r="BB479" s="356"/>
      <c r="BC479" s="356"/>
    </row>
    <row r="480" spans="1:55" s="110" customFormat="1">
      <c r="A480" s="179"/>
      <c r="B480" s="179"/>
      <c r="C480" s="179"/>
      <c r="D480" s="181"/>
      <c r="E480" s="181"/>
      <c r="F480" s="181"/>
      <c r="G480" s="181"/>
      <c r="H480" s="10" t="s">
        <v>55</v>
      </c>
      <c r="I480" s="10"/>
      <c r="J480" s="223">
        <f>J500</f>
        <v>112.08932495117188</v>
      </c>
      <c r="K480" s="271"/>
      <c r="L480" s="224"/>
      <c r="M480" s="270">
        <f>M500</f>
        <v>112.63555145263672</v>
      </c>
      <c r="N480" s="271"/>
      <c r="O480" s="224"/>
      <c r="P480" s="270">
        <f>P500</f>
        <v>130.29869079589844</v>
      </c>
      <c r="Q480" s="271"/>
      <c r="R480" s="224"/>
      <c r="S480" s="270">
        <f>S500</f>
        <v>200.40545654296875</v>
      </c>
      <c r="T480" s="271"/>
      <c r="U480" s="224"/>
      <c r="V480" s="270">
        <f>V500</f>
        <v>213.75741577148438</v>
      </c>
      <c r="W480" s="271"/>
      <c r="X480" s="224"/>
      <c r="Y480" s="270">
        <f>Y500</f>
        <v>204.71934509277344</v>
      </c>
      <c r="Z480" s="271"/>
      <c r="AA480" s="224"/>
      <c r="AB480" s="270">
        <f>AB500</f>
        <v>146.94338989257813</v>
      </c>
      <c r="AC480" s="271"/>
      <c r="AD480" s="224"/>
      <c r="AE480" s="270">
        <f>AE500</f>
        <v>131.60810852050781</v>
      </c>
      <c r="AF480" s="271"/>
      <c r="AG480" s="224"/>
      <c r="AH480" s="270">
        <f>AH500</f>
        <v>126.53402709960938</v>
      </c>
      <c r="AI480" s="271"/>
      <c r="AJ480" s="224"/>
      <c r="AK480" s="270">
        <f>AK500</f>
        <v>136.48814392089844</v>
      </c>
      <c r="AL480" s="271"/>
      <c r="AM480" s="224"/>
      <c r="AN480" s="270">
        <f>AN500</f>
        <v>128.21804809570313</v>
      </c>
      <c r="AO480" s="271"/>
      <c r="AP480" s="224"/>
      <c r="AQ480" s="270">
        <f>AQ500</f>
        <v>117.36455535888672</v>
      </c>
      <c r="AR480" s="271"/>
      <c r="AS480" s="224"/>
      <c r="AT480" s="270">
        <f>AT500</f>
        <v>1761.0620574951172</v>
      </c>
      <c r="AU480" s="271"/>
      <c r="AV480" s="229"/>
      <c r="AW480" s="226"/>
      <c r="AX480" s="230"/>
      <c r="AY480" s="231">
        <f>AY500</f>
        <v>1885.2737810000001</v>
      </c>
      <c r="AZ480" s="356"/>
      <c r="BA480" s="356"/>
      <c r="BB480" s="356"/>
      <c r="BC480" s="356"/>
    </row>
    <row r="481" spans="1:55" s="113" customFormat="1">
      <c r="A481" s="179"/>
      <c r="B481" s="179"/>
      <c r="C481" s="179"/>
      <c r="D481" s="181"/>
      <c r="E481" s="181"/>
      <c r="F481" s="181"/>
      <c r="G481" s="181"/>
      <c r="H481" s="10" t="s">
        <v>99</v>
      </c>
      <c r="I481" s="10"/>
      <c r="J481" s="223">
        <f>J502</f>
        <v>154.0754</v>
      </c>
      <c r="K481" s="271"/>
      <c r="L481" s="224"/>
      <c r="M481" s="270">
        <f>M502</f>
        <v>144.57480000000001</v>
      </c>
      <c r="N481" s="271"/>
      <c r="O481" s="224"/>
      <c r="P481" s="270">
        <f>P502</f>
        <v>154.5258</v>
      </c>
      <c r="Q481" s="271"/>
      <c r="R481" s="224"/>
      <c r="S481" s="270">
        <f>S502</f>
        <v>144.39879999999999</v>
      </c>
      <c r="T481" s="271"/>
      <c r="U481" s="224"/>
      <c r="V481" s="270">
        <f>V502</f>
        <v>136.17660000000001</v>
      </c>
      <c r="W481" s="271"/>
      <c r="X481" s="224"/>
      <c r="Y481" s="270">
        <f>Y502</f>
        <v>126.913</v>
      </c>
      <c r="Z481" s="271"/>
      <c r="AA481" s="224"/>
      <c r="AB481" s="270">
        <f>AB502</f>
        <v>128.7987</v>
      </c>
      <c r="AC481" s="271"/>
      <c r="AD481" s="224"/>
      <c r="AE481" s="270">
        <f>AE502</f>
        <v>122.92819999999999</v>
      </c>
      <c r="AF481" s="271"/>
      <c r="AG481" s="224"/>
      <c r="AH481" s="270">
        <f>AH502</f>
        <v>114.1288</v>
      </c>
      <c r="AI481" s="271"/>
      <c r="AJ481" s="224"/>
      <c r="AK481" s="270">
        <f>AK502</f>
        <v>158.01580000000001</v>
      </c>
      <c r="AL481" s="271"/>
      <c r="AM481" s="224"/>
      <c r="AN481" s="270">
        <f>AN502</f>
        <v>156.24720000000002</v>
      </c>
      <c r="AO481" s="271"/>
      <c r="AP481" s="224"/>
      <c r="AQ481" s="270">
        <f>AQ502</f>
        <v>161.28540000000001</v>
      </c>
      <c r="AR481" s="271"/>
      <c r="AS481" s="224"/>
      <c r="AT481" s="270">
        <f>AT502</f>
        <v>1702.0685000000003</v>
      </c>
      <c r="AU481" s="271"/>
      <c r="AV481" s="229"/>
      <c r="AW481" s="226"/>
      <c r="AX481" s="230"/>
      <c r="AY481" s="231">
        <f>AY502</f>
        <v>1164.8362970000001</v>
      </c>
      <c r="AZ481" s="355"/>
      <c r="BA481" s="355"/>
      <c r="BB481" s="355"/>
      <c r="BC481" s="355"/>
    </row>
    <row r="482" spans="1:55" s="110" customFormat="1">
      <c r="A482" s="179"/>
      <c r="B482" s="179"/>
      <c r="C482" s="179"/>
      <c r="D482" s="181">
        <v>686501</v>
      </c>
      <c r="E482" s="181"/>
      <c r="F482" s="181"/>
      <c r="G482" s="1110">
        <v>686501</v>
      </c>
      <c r="H482" s="127" t="s">
        <v>1110</v>
      </c>
      <c r="I482" s="516" t="s">
        <v>364</v>
      </c>
      <c r="J482" s="711">
        <v>192.96</v>
      </c>
      <c r="K482" s="709"/>
      <c r="L482" s="710"/>
      <c r="M482" s="1184">
        <f>195.84+50.06</f>
        <v>245.9</v>
      </c>
      <c r="N482" s="709"/>
      <c r="O482" s="710"/>
      <c r="P482" s="1184">
        <f>209.04+49.32+6</f>
        <v>264.36</v>
      </c>
      <c r="Q482" s="709"/>
      <c r="R482" s="710"/>
      <c r="S482" s="1174">
        <f>226.368-16.16</f>
        <v>210.208</v>
      </c>
      <c r="T482" s="709"/>
      <c r="U482" s="710"/>
      <c r="V482" s="1184">
        <f>257.32+54.81</f>
        <v>312.13</v>
      </c>
      <c r="W482" s="709"/>
      <c r="X482" s="710"/>
      <c r="Y482" s="711">
        <v>319.2</v>
      </c>
      <c r="Z482" s="709"/>
      <c r="AA482" s="710"/>
      <c r="AB482" s="1184">
        <f>382.32+90</f>
        <v>472.32</v>
      </c>
      <c r="AC482" s="709"/>
      <c r="AD482" s="710"/>
      <c r="AE482" s="1184">
        <f>406.8+80</f>
        <v>486.8</v>
      </c>
      <c r="AF482" s="709"/>
      <c r="AG482" s="710"/>
      <c r="AH482" s="1184">
        <f>280.8+210</f>
        <v>490.8</v>
      </c>
      <c r="AI482" s="709"/>
      <c r="AJ482" s="710"/>
      <c r="AK482" s="1184">
        <f>216.96+211.93</f>
        <v>428.89</v>
      </c>
      <c r="AL482" s="709"/>
      <c r="AM482" s="710"/>
      <c r="AN482" s="1184">
        <f>192.96+220</f>
        <v>412.96000000000004</v>
      </c>
      <c r="AO482" s="709"/>
      <c r="AP482" s="710"/>
      <c r="AQ482" s="1184">
        <f>216+120.12</f>
        <v>336.12</v>
      </c>
      <c r="AR482" s="283"/>
      <c r="AS482" s="299"/>
      <c r="AT482" s="244">
        <f t="shared" ref="AT482:AT515" si="18">J482+M482+P482+S482+V482+Y482+AB482+AE482+AH482+AK482+AN482+AQ482</f>
        <v>4172.6480000000001</v>
      </c>
      <c r="AU482" s="283"/>
      <c r="AV482" s="284"/>
      <c r="AW482" s="285"/>
      <c r="AX482" s="321"/>
      <c r="AY482" s="434">
        <v>6848.9166109999996</v>
      </c>
      <c r="AZ482" s="356"/>
      <c r="BA482" s="356"/>
      <c r="BB482" s="356"/>
      <c r="BC482" s="356"/>
    </row>
    <row r="483" spans="1:55" s="110" customFormat="1">
      <c r="A483" s="179"/>
      <c r="B483" s="179"/>
      <c r="C483" s="179"/>
      <c r="D483" s="181">
        <v>686513</v>
      </c>
      <c r="E483" s="181"/>
      <c r="F483" s="181"/>
      <c r="G483" s="1110">
        <v>686513</v>
      </c>
      <c r="H483" s="132" t="s">
        <v>1327</v>
      </c>
      <c r="I483" s="516" t="s">
        <v>364</v>
      </c>
      <c r="J483" s="920">
        <f>SUM(J484:J486)</f>
        <v>240.90108453861461</v>
      </c>
      <c r="K483" s="709"/>
      <c r="L483" s="710"/>
      <c r="M483" s="920">
        <f>SUM(M484:M486)</f>
        <v>212.87286040992461</v>
      </c>
      <c r="N483" s="709"/>
      <c r="O483" s="710"/>
      <c r="P483" s="920">
        <f>SUM(P484:P486)</f>
        <v>193.0853447194111</v>
      </c>
      <c r="Q483" s="709"/>
      <c r="R483" s="710"/>
      <c r="S483" s="920">
        <f>SUM(S484:S486)</f>
        <v>173.7639428624154</v>
      </c>
      <c r="T483" s="709"/>
      <c r="U483" s="710"/>
      <c r="V483" s="920">
        <f>SUM(V484:V486)</f>
        <v>169.87272559083419</v>
      </c>
      <c r="W483" s="709"/>
      <c r="X483" s="710"/>
      <c r="Y483" s="920">
        <f>SUM(Y484:Y486)</f>
        <v>163.91043484560791</v>
      </c>
      <c r="Z483" s="709"/>
      <c r="AA483" s="710"/>
      <c r="AB483" s="920">
        <f>SUM(AB484:AB486)</f>
        <v>106.048</v>
      </c>
      <c r="AC483" s="709"/>
      <c r="AD483" s="710"/>
      <c r="AE483" s="920">
        <f>SUM(AE484:AE486)</f>
        <v>156.8038175595762</v>
      </c>
      <c r="AF483" s="709"/>
      <c r="AG483" s="710"/>
      <c r="AH483" s="920">
        <f>SUM(AH484:AH486)</f>
        <v>167.8880808280108</v>
      </c>
      <c r="AI483" s="709"/>
      <c r="AJ483" s="710"/>
      <c r="AK483" s="920">
        <f>SUM(AK484:AK486)</f>
        <v>202.14505876536941</v>
      </c>
      <c r="AL483" s="709"/>
      <c r="AM483" s="710"/>
      <c r="AN483" s="920">
        <f>SUM(AN484:AN486)</f>
        <v>218.29174861772691</v>
      </c>
      <c r="AO483" s="709"/>
      <c r="AP483" s="710"/>
      <c r="AQ483" s="920">
        <f>SUM(AQ484:AQ486)</f>
        <v>224.300943977602</v>
      </c>
      <c r="AR483" s="283"/>
      <c r="AS483" s="299"/>
      <c r="AT483" s="920">
        <f>SUM(AT484:AT486)</f>
        <v>2229.8840427150926</v>
      </c>
      <c r="AU483" s="283"/>
      <c r="AV483" s="284"/>
      <c r="AW483" s="285"/>
      <c r="AX483" s="321"/>
      <c r="AY483" s="1070">
        <v>1270.7832800000001</v>
      </c>
      <c r="AZ483" s="356"/>
      <c r="BA483" s="356"/>
      <c r="BB483" s="356"/>
      <c r="BC483" s="356"/>
    </row>
    <row r="484" spans="1:55" s="110" customFormat="1">
      <c r="A484" s="179"/>
      <c r="B484" s="179"/>
      <c r="C484" s="179"/>
      <c r="D484" s="181"/>
      <c r="E484" s="181"/>
      <c r="F484" s="181"/>
      <c r="G484" s="1110"/>
      <c r="H484" s="127" t="s">
        <v>1330</v>
      </c>
      <c r="I484" s="516"/>
      <c r="J484" s="711">
        <v>72.077084538614599</v>
      </c>
      <c r="K484" s="709"/>
      <c r="L484" s="710"/>
      <c r="M484" s="711">
        <v>56.118860409924601</v>
      </c>
      <c r="N484" s="709"/>
      <c r="O484" s="710"/>
      <c r="P484" s="711">
        <v>54.549344719411103</v>
      </c>
      <c r="Q484" s="709"/>
      <c r="R484" s="710"/>
      <c r="S484" s="711">
        <v>39.5589428624154</v>
      </c>
      <c r="T484" s="709"/>
      <c r="U484" s="710"/>
      <c r="V484" s="711">
        <v>35.3667255908342</v>
      </c>
      <c r="W484" s="709"/>
      <c r="X484" s="710"/>
      <c r="Y484" s="711">
        <v>36.867434845607896</v>
      </c>
      <c r="Z484" s="709"/>
      <c r="AA484" s="710"/>
      <c r="AB484" s="711">
        <v>41.523000000000003</v>
      </c>
      <c r="AC484" s="709"/>
      <c r="AD484" s="710"/>
      <c r="AE484" s="711">
        <v>41.433817559576198</v>
      </c>
      <c r="AF484" s="709"/>
      <c r="AG484" s="710"/>
      <c r="AH484" s="711">
        <v>38.1380808280108</v>
      </c>
      <c r="AI484" s="709"/>
      <c r="AJ484" s="710"/>
      <c r="AK484" s="711">
        <v>38.093058765369399</v>
      </c>
      <c r="AL484" s="709"/>
      <c r="AM484" s="710"/>
      <c r="AN484" s="711">
        <v>57.487748617726901</v>
      </c>
      <c r="AO484" s="709"/>
      <c r="AP484" s="710"/>
      <c r="AQ484" s="711">
        <v>56.632943977602004</v>
      </c>
      <c r="AR484" s="283"/>
      <c r="AS484" s="299"/>
      <c r="AT484" s="244">
        <f t="shared" si="18"/>
        <v>567.84704271509304</v>
      </c>
      <c r="AU484" s="283"/>
      <c r="AV484" s="284"/>
      <c r="AW484" s="285"/>
      <c r="AX484" s="321"/>
      <c r="AY484" s="434"/>
      <c r="AZ484" s="356"/>
      <c r="BA484" s="356"/>
      <c r="BB484" s="356"/>
      <c r="BC484" s="356"/>
    </row>
    <row r="485" spans="1:55" s="110" customFormat="1">
      <c r="A485" s="179"/>
      <c r="B485" s="179"/>
      <c r="C485" s="179"/>
      <c r="D485" s="181"/>
      <c r="E485" s="181"/>
      <c r="F485" s="181"/>
      <c r="G485" s="1110"/>
      <c r="H485" s="127" t="s">
        <v>1331</v>
      </c>
      <c r="I485" s="516"/>
      <c r="J485" s="711">
        <v>84.412000000000006</v>
      </c>
      <c r="K485" s="709"/>
      <c r="L485" s="710"/>
      <c r="M485" s="711">
        <v>78.376999999999995</v>
      </c>
      <c r="N485" s="709"/>
      <c r="O485" s="710"/>
      <c r="P485" s="1184">
        <f>45.567+20</f>
        <v>65.567000000000007</v>
      </c>
      <c r="Q485" s="709"/>
      <c r="R485" s="710"/>
      <c r="S485" s="1174">
        <f>78.657-10</f>
        <v>68.656999999999996</v>
      </c>
      <c r="T485" s="709"/>
      <c r="U485" s="710"/>
      <c r="V485" s="711">
        <v>67.253</v>
      </c>
      <c r="W485" s="709"/>
      <c r="X485" s="710"/>
      <c r="Y485" s="711">
        <v>63.52</v>
      </c>
      <c r="Z485" s="709"/>
      <c r="AA485" s="710"/>
      <c r="AB485" s="711">
        <v>52.186999999999998</v>
      </c>
      <c r="AC485" s="709"/>
      <c r="AD485" s="710"/>
      <c r="AE485" s="1184">
        <f>30.081+30</f>
        <v>60.081000000000003</v>
      </c>
      <c r="AF485" s="709"/>
      <c r="AG485" s="710"/>
      <c r="AH485" s="711">
        <v>64.89</v>
      </c>
      <c r="AI485" s="709"/>
      <c r="AJ485" s="710"/>
      <c r="AK485" s="711">
        <v>82.025999999999996</v>
      </c>
      <c r="AL485" s="709"/>
      <c r="AM485" s="710"/>
      <c r="AN485" s="711">
        <v>80.402000000000001</v>
      </c>
      <c r="AO485" s="709"/>
      <c r="AP485" s="710"/>
      <c r="AQ485" s="711">
        <v>83.834000000000003</v>
      </c>
      <c r="AR485" s="283"/>
      <c r="AS485" s="299"/>
      <c r="AT485" s="244">
        <f t="shared" si="18"/>
        <v>851.2059999999999</v>
      </c>
      <c r="AU485" s="283"/>
      <c r="AV485" s="284"/>
      <c r="AW485" s="285"/>
      <c r="AX485" s="321"/>
      <c r="AY485" s="434"/>
      <c r="AZ485" s="356"/>
      <c r="BA485" s="356"/>
      <c r="BB485" s="356"/>
      <c r="BC485" s="356"/>
    </row>
    <row r="486" spans="1:55" s="110" customFormat="1">
      <c r="A486" s="179"/>
      <c r="B486" s="179"/>
      <c r="C486" s="179"/>
      <c r="D486" s="181"/>
      <c r="E486" s="181"/>
      <c r="F486" s="181"/>
      <c r="G486" s="1110"/>
      <c r="H486" s="127" t="s">
        <v>1332</v>
      </c>
      <c r="I486" s="516"/>
      <c r="J486" s="711">
        <v>84.412000000000006</v>
      </c>
      <c r="K486" s="709"/>
      <c r="L486" s="710"/>
      <c r="M486" s="711">
        <v>78.376999999999995</v>
      </c>
      <c r="N486" s="709"/>
      <c r="O486" s="710"/>
      <c r="P486" s="1184">
        <f>58.969+14</f>
        <v>72.968999999999994</v>
      </c>
      <c r="Q486" s="709"/>
      <c r="R486" s="710"/>
      <c r="S486" s="711">
        <v>65.548000000000002</v>
      </c>
      <c r="T486" s="709"/>
      <c r="U486" s="710"/>
      <c r="V486" s="711">
        <v>67.253</v>
      </c>
      <c r="W486" s="709"/>
      <c r="X486" s="710"/>
      <c r="Y486" s="711">
        <v>63.523000000000003</v>
      </c>
      <c r="Z486" s="709"/>
      <c r="AA486" s="710"/>
      <c r="AB486" s="711">
        <v>12.337999999999999</v>
      </c>
      <c r="AC486" s="709"/>
      <c r="AD486" s="710"/>
      <c r="AE486" s="711">
        <v>55.289000000000001</v>
      </c>
      <c r="AF486" s="709"/>
      <c r="AG486" s="710"/>
      <c r="AH486" s="711">
        <v>64.86</v>
      </c>
      <c r="AI486" s="709"/>
      <c r="AJ486" s="710"/>
      <c r="AK486" s="711">
        <v>82.025999999999996</v>
      </c>
      <c r="AL486" s="709"/>
      <c r="AM486" s="710"/>
      <c r="AN486" s="711">
        <v>80.402000000000001</v>
      </c>
      <c r="AO486" s="709"/>
      <c r="AP486" s="710"/>
      <c r="AQ486" s="711">
        <v>83.834000000000003</v>
      </c>
      <c r="AR486" s="283"/>
      <c r="AS486" s="299"/>
      <c r="AT486" s="244">
        <f t="shared" si="18"/>
        <v>810.8309999999999</v>
      </c>
      <c r="AU486" s="283"/>
      <c r="AV486" s="284"/>
      <c r="AW486" s="285"/>
      <c r="AX486" s="321"/>
      <c r="AY486" s="434"/>
      <c r="AZ486" s="356"/>
      <c r="BA486" s="356"/>
      <c r="BB486" s="356"/>
      <c r="BC486" s="356"/>
    </row>
    <row r="487" spans="1:55" s="110" customFormat="1">
      <c r="A487" s="179"/>
      <c r="B487" s="179"/>
      <c r="C487" s="179"/>
      <c r="D487" s="181">
        <v>686511</v>
      </c>
      <c r="E487" s="181"/>
      <c r="F487" s="181"/>
      <c r="G487" s="1110">
        <v>686511</v>
      </c>
      <c r="H487" s="132" t="s">
        <v>1328</v>
      </c>
      <c r="I487" s="516" t="s">
        <v>364</v>
      </c>
      <c r="J487" s="262">
        <f>SUM(J488:J489)</f>
        <v>227.77362936539811</v>
      </c>
      <c r="K487" s="246"/>
      <c r="L487" s="282"/>
      <c r="M487" s="317">
        <f>SUM(M488:M489)</f>
        <v>229.7299238400177</v>
      </c>
      <c r="N487" s="246"/>
      <c r="O487" s="282"/>
      <c r="P487" s="317">
        <f>SUM(P488:P489)</f>
        <v>194.6301828982551</v>
      </c>
      <c r="Q487" s="246"/>
      <c r="R487" s="282"/>
      <c r="S487" s="317">
        <f>SUM(S488:S489)</f>
        <v>165.05037901801398</v>
      </c>
      <c r="T487" s="246"/>
      <c r="U487" s="282"/>
      <c r="V487" s="317">
        <f>SUM(V488:V489)</f>
        <v>198.2595316296414</v>
      </c>
      <c r="W487" s="246"/>
      <c r="X487" s="282"/>
      <c r="Y487" s="317">
        <f>SUM(Y488:Y489)</f>
        <v>164.341358533359</v>
      </c>
      <c r="Z487" s="246"/>
      <c r="AA487" s="282"/>
      <c r="AB487" s="317">
        <f>SUM(AB488:AB489)</f>
        <v>191.4956298894511</v>
      </c>
      <c r="AC487" s="246"/>
      <c r="AD487" s="282"/>
      <c r="AE487" s="317">
        <f>SUM(AE488:AE489)</f>
        <v>191.655895871859</v>
      </c>
      <c r="AF487" s="246"/>
      <c r="AG487" s="282"/>
      <c r="AH487" s="317">
        <f>SUM(AH488:AH489)</f>
        <v>198.39098139714218</v>
      </c>
      <c r="AI487" s="246"/>
      <c r="AJ487" s="282"/>
      <c r="AK487" s="317">
        <f>SUM(AK488:AK489)</f>
        <v>211.56563666021322</v>
      </c>
      <c r="AL487" s="246"/>
      <c r="AM487" s="282"/>
      <c r="AN487" s="317">
        <f>SUM(AN488:AN489)</f>
        <v>230.76656495472309</v>
      </c>
      <c r="AO487" s="246"/>
      <c r="AP487" s="282"/>
      <c r="AQ487" s="317">
        <f>SUM(AQ488:AQ489)</f>
        <v>186.44191646323651</v>
      </c>
      <c r="AR487" s="283"/>
      <c r="AS487" s="299"/>
      <c r="AT487" s="317">
        <f>SUM(AT488:AT489)</f>
        <v>2390.1016305213107</v>
      </c>
      <c r="AU487" s="283"/>
      <c r="AV487" s="284"/>
      <c r="AW487" s="285"/>
      <c r="AX487" s="321"/>
      <c r="AY487" s="1070">
        <v>2127.7642559999999</v>
      </c>
      <c r="AZ487" s="356"/>
      <c r="BA487" s="356"/>
      <c r="BB487" s="356"/>
      <c r="BC487" s="356"/>
    </row>
    <row r="488" spans="1:55" s="110" customFormat="1">
      <c r="A488" s="179"/>
      <c r="B488" s="179"/>
      <c r="C488" s="179"/>
      <c r="D488" s="181"/>
      <c r="E488" s="181"/>
      <c r="F488" s="181"/>
      <c r="G488" s="1110"/>
      <c r="H488" s="127" t="s">
        <v>1111</v>
      </c>
      <c r="I488" s="127"/>
      <c r="J488" s="836">
        <v>69.998629365398102</v>
      </c>
      <c r="K488" s="709"/>
      <c r="L488" s="710"/>
      <c r="M488" s="836">
        <v>62.1619238400177</v>
      </c>
      <c r="N488" s="709"/>
      <c r="O488" s="710"/>
      <c r="P488" s="836">
        <v>75.061182898255097</v>
      </c>
      <c r="Q488" s="709"/>
      <c r="R488" s="710"/>
      <c r="S488" s="836">
        <v>49.256379018014002</v>
      </c>
      <c r="T488" s="709"/>
      <c r="U488" s="710"/>
      <c r="V488" s="1193">
        <f>48.3555316296414-40</f>
        <v>8.3555316296413977</v>
      </c>
      <c r="W488" s="709"/>
      <c r="X488" s="710"/>
      <c r="Y488" s="1193">
        <f>46.764358533359-42</f>
        <v>4.7643585333590011</v>
      </c>
      <c r="Z488" s="709"/>
      <c r="AA488" s="710"/>
      <c r="AB488" s="836">
        <v>48.514629889451101</v>
      </c>
      <c r="AC488" s="709"/>
      <c r="AD488" s="710"/>
      <c r="AE488" s="836">
        <v>48.411895871859002</v>
      </c>
      <c r="AF488" s="709"/>
      <c r="AG488" s="710"/>
      <c r="AH488" s="836">
        <v>41.640981397142198</v>
      </c>
      <c r="AI488" s="709"/>
      <c r="AJ488" s="710"/>
      <c r="AK488" s="836">
        <v>56.789636660213198</v>
      </c>
      <c r="AL488" s="709"/>
      <c r="AM488" s="710"/>
      <c r="AN488" s="836">
        <v>73.664564954723105</v>
      </c>
      <c r="AO488" s="709"/>
      <c r="AP488" s="710"/>
      <c r="AQ488" s="836">
        <v>64.288916463236504</v>
      </c>
      <c r="AR488" s="283"/>
      <c r="AS488" s="299"/>
      <c r="AT488" s="244">
        <f t="shared" si="18"/>
        <v>602.90863052131044</v>
      </c>
      <c r="AU488" s="283"/>
      <c r="AV488" s="284"/>
      <c r="AW488" s="285"/>
      <c r="AX488" s="321"/>
      <c r="AY488" s="260"/>
      <c r="AZ488" s="356"/>
      <c r="BA488" s="356"/>
      <c r="BB488" s="356"/>
      <c r="BC488" s="356"/>
    </row>
    <row r="489" spans="1:55" s="110" customFormat="1">
      <c r="A489" s="179"/>
      <c r="B489" s="179"/>
      <c r="C489" s="179"/>
      <c r="D489" s="181"/>
      <c r="E489" s="181"/>
      <c r="F489" s="181"/>
      <c r="G489" s="1110"/>
      <c r="H489" s="127" t="s">
        <v>1112</v>
      </c>
      <c r="I489" s="127"/>
      <c r="J489" s="711">
        <v>157.77500000000001</v>
      </c>
      <c r="K489" s="709"/>
      <c r="L489" s="710"/>
      <c r="M489" s="1184">
        <f>147.568+20</f>
        <v>167.56800000000001</v>
      </c>
      <c r="N489" s="709"/>
      <c r="O489" s="710"/>
      <c r="P489" s="711">
        <v>119.569</v>
      </c>
      <c r="Q489" s="709"/>
      <c r="R489" s="710"/>
      <c r="S489" s="711">
        <v>115.794</v>
      </c>
      <c r="T489" s="709"/>
      <c r="U489" s="710"/>
      <c r="V489" s="1184">
        <f>149.904+40</f>
        <v>189.904</v>
      </c>
      <c r="W489" s="709"/>
      <c r="X489" s="710"/>
      <c r="Y489" s="1184">
        <f>109.577+50</f>
        <v>159.577</v>
      </c>
      <c r="Z489" s="709"/>
      <c r="AA489" s="710"/>
      <c r="AB489" s="1184">
        <f>112.981+30</f>
        <v>142.98099999999999</v>
      </c>
      <c r="AC489" s="709"/>
      <c r="AD489" s="710"/>
      <c r="AE489" s="1184">
        <f>113.244+30</f>
        <v>143.244</v>
      </c>
      <c r="AF489" s="709"/>
      <c r="AG489" s="710"/>
      <c r="AH489" s="1184">
        <f>116.75+40</f>
        <v>156.75</v>
      </c>
      <c r="AI489" s="709"/>
      <c r="AJ489" s="710"/>
      <c r="AK489" s="711">
        <v>154.77600000000001</v>
      </c>
      <c r="AL489" s="709"/>
      <c r="AM489" s="710"/>
      <c r="AN489" s="1184">
        <f>117.102+40</f>
        <v>157.102</v>
      </c>
      <c r="AO489" s="709"/>
      <c r="AP489" s="710"/>
      <c r="AQ489" s="711">
        <v>122.15300000000001</v>
      </c>
      <c r="AR489" s="283"/>
      <c r="AS489" s="299"/>
      <c r="AT489" s="244">
        <f t="shared" si="18"/>
        <v>1787.1930000000002</v>
      </c>
      <c r="AU489" s="283"/>
      <c r="AV489" s="284"/>
      <c r="AW489" s="285"/>
      <c r="AX489" s="321"/>
      <c r="AY489" s="260"/>
      <c r="AZ489" s="356"/>
      <c r="BA489" s="356"/>
      <c r="BB489" s="356"/>
      <c r="BC489" s="356"/>
    </row>
    <row r="490" spans="1:55" s="110" customFormat="1">
      <c r="A490" s="179"/>
      <c r="B490" s="179"/>
      <c r="C490" s="179"/>
      <c r="D490" s="181">
        <v>686512</v>
      </c>
      <c r="E490" s="181"/>
      <c r="F490" s="181"/>
      <c r="G490" s="1110">
        <v>686512</v>
      </c>
      <c r="H490" s="132" t="s">
        <v>1329</v>
      </c>
      <c r="I490" s="516" t="s">
        <v>364</v>
      </c>
      <c r="J490" s="262">
        <f>SUM(J491:J492)</f>
        <v>316.67899999999997</v>
      </c>
      <c r="K490" s="246"/>
      <c r="L490" s="282"/>
      <c r="M490" s="317">
        <f>SUM(M491:M492)</f>
        <v>320.25700000000001</v>
      </c>
      <c r="N490" s="246"/>
      <c r="O490" s="282"/>
      <c r="P490" s="317">
        <f>SUM(P491:P492)</f>
        <v>295.13099999999997</v>
      </c>
      <c r="Q490" s="246"/>
      <c r="R490" s="282"/>
      <c r="S490" s="317">
        <f>SUM(S491:S492)</f>
        <v>190.21</v>
      </c>
      <c r="T490" s="246"/>
      <c r="U490" s="282"/>
      <c r="V490" s="317">
        <f>SUM(V491:V492)</f>
        <v>203.024</v>
      </c>
      <c r="W490" s="246"/>
      <c r="X490" s="282"/>
      <c r="Y490" s="317">
        <f>SUM(Y491:Y492)</f>
        <v>204.10599999999999</v>
      </c>
      <c r="Z490" s="246"/>
      <c r="AA490" s="282"/>
      <c r="AB490" s="317">
        <f>SUM(AB491:AB492)</f>
        <v>218.99299999999999</v>
      </c>
      <c r="AC490" s="246"/>
      <c r="AD490" s="282"/>
      <c r="AE490" s="317">
        <f>SUM(AE491:AE492)</f>
        <v>180.44</v>
      </c>
      <c r="AF490" s="246"/>
      <c r="AG490" s="282"/>
      <c r="AH490" s="317">
        <f>SUM(AH491:AH492)</f>
        <v>211.19200000000001</v>
      </c>
      <c r="AI490" s="246"/>
      <c r="AJ490" s="282"/>
      <c r="AK490" s="317">
        <f>SUM(AK491:AK492)</f>
        <v>210.517</v>
      </c>
      <c r="AL490" s="246"/>
      <c r="AM490" s="282"/>
      <c r="AN490" s="317">
        <f>SUM(AN491:AN492)</f>
        <v>246.03899999999999</v>
      </c>
      <c r="AO490" s="246"/>
      <c r="AP490" s="282"/>
      <c r="AQ490" s="317">
        <f>SUM(AQ491:AQ492)</f>
        <v>285.69600000000003</v>
      </c>
      <c r="AR490" s="283"/>
      <c r="AS490" s="299"/>
      <c r="AT490" s="317">
        <f>SUM(AT491:AT492)</f>
        <v>2882.2839999999997</v>
      </c>
      <c r="AU490" s="283"/>
      <c r="AV490" s="284"/>
      <c r="AW490" s="285"/>
      <c r="AX490" s="321"/>
      <c r="AY490" s="1070">
        <v>4535.3065960000004</v>
      </c>
      <c r="AZ490" s="356"/>
      <c r="BA490" s="356"/>
      <c r="BB490" s="356"/>
      <c r="BC490" s="356"/>
    </row>
    <row r="491" spans="1:55" s="110" customFormat="1">
      <c r="A491" s="179"/>
      <c r="B491" s="179"/>
      <c r="C491" s="179"/>
      <c r="D491" s="181"/>
      <c r="E491" s="181"/>
      <c r="F491" s="181"/>
      <c r="G491" s="1110"/>
      <c r="H491" s="148" t="s">
        <v>1333</v>
      </c>
      <c r="I491" s="516"/>
      <c r="J491" s="837">
        <v>173.86799999999999</v>
      </c>
      <c r="K491" s="709"/>
      <c r="L491" s="710"/>
      <c r="M491" s="1185">
        <f>136.829+20</f>
        <v>156.82900000000001</v>
      </c>
      <c r="N491" s="709"/>
      <c r="O491" s="710"/>
      <c r="P491" s="1185">
        <f>132.32+10</f>
        <v>142.32</v>
      </c>
      <c r="Q491" s="709"/>
      <c r="R491" s="710"/>
      <c r="S491" s="837">
        <v>110.206</v>
      </c>
      <c r="T491" s="709"/>
      <c r="U491" s="710"/>
      <c r="V491" s="837">
        <v>104.203</v>
      </c>
      <c r="W491" s="709"/>
      <c r="X491" s="710"/>
      <c r="Y491" s="837">
        <v>111.485</v>
      </c>
      <c r="Z491" s="709"/>
      <c r="AA491" s="710"/>
      <c r="AB491" s="1185">
        <f>85.681+34.77</f>
        <v>120.45099999999999</v>
      </c>
      <c r="AC491" s="709"/>
      <c r="AD491" s="710"/>
      <c r="AE491" s="1185">
        <f>100.44+80</f>
        <v>180.44</v>
      </c>
      <c r="AF491" s="709"/>
      <c r="AG491" s="710"/>
      <c r="AH491" s="1185">
        <f>104.898+10</f>
        <v>114.898</v>
      </c>
      <c r="AI491" s="709"/>
      <c r="AJ491" s="710"/>
      <c r="AK491" s="837">
        <v>74.19</v>
      </c>
      <c r="AL491" s="709"/>
      <c r="AM491" s="710"/>
      <c r="AN491" s="837">
        <v>107.718</v>
      </c>
      <c r="AO491" s="709"/>
      <c r="AP491" s="710"/>
      <c r="AQ491" s="836">
        <v>142.88499999999999</v>
      </c>
      <c r="AR491" s="283"/>
      <c r="AS491" s="299"/>
      <c r="AT491" s="244">
        <f t="shared" si="18"/>
        <v>1539.4929999999999</v>
      </c>
      <c r="AU491" s="283"/>
      <c r="AV491" s="284"/>
      <c r="AW491" s="285"/>
      <c r="AX491" s="321"/>
      <c r="AY491" s="434"/>
      <c r="AZ491" s="356"/>
      <c r="BA491" s="356"/>
      <c r="BB491" s="356"/>
      <c r="BC491" s="356"/>
    </row>
    <row r="492" spans="1:55" s="110" customFormat="1">
      <c r="A492" s="179"/>
      <c r="B492" s="179"/>
      <c r="C492" s="179"/>
      <c r="D492" s="181"/>
      <c r="E492" s="181"/>
      <c r="F492" s="181"/>
      <c r="G492" s="1110"/>
      <c r="H492" s="923" t="s">
        <v>1334</v>
      </c>
      <c r="I492" s="516"/>
      <c r="J492" s="711">
        <v>142.81100000000001</v>
      </c>
      <c r="K492" s="709"/>
      <c r="L492" s="710"/>
      <c r="M492" s="1184">
        <f>133.428+30</f>
        <v>163.428</v>
      </c>
      <c r="N492" s="709"/>
      <c r="O492" s="710"/>
      <c r="P492" s="1184">
        <f>142.811+10</f>
        <v>152.81100000000001</v>
      </c>
      <c r="Q492" s="709"/>
      <c r="R492" s="710"/>
      <c r="S492" s="711">
        <v>80.004000000000005</v>
      </c>
      <c r="T492" s="709"/>
      <c r="U492" s="710"/>
      <c r="V492" s="711">
        <v>98.820999999999998</v>
      </c>
      <c r="W492" s="709"/>
      <c r="X492" s="710"/>
      <c r="Y492" s="711">
        <v>92.620999999999995</v>
      </c>
      <c r="Z492" s="709"/>
      <c r="AA492" s="710"/>
      <c r="AB492" s="1184">
        <f>88.542+10</f>
        <v>98.542000000000002</v>
      </c>
      <c r="AC492" s="709"/>
      <c r="AD492" s="710"/>
      <c r="AE492" s="711">
        <v>0</v>
      </c>
      <c r="AF492" s="709"/>
      <c r="AG492" s="710"/>
      <c r="AH492" s="1184">
        <f>66.294+30</f>
        <v>96.293999999999997</v>
      </c>
      <c r="AI492" s="709"/>
      <c r="AJ492" s="710"/>
      <c r="AK492" s="711">
        <v>136.327</v>
      </c>
      <c r="AL492" s="709"/>
      <c r="AM492" s="710"/>
      <c r="AN492" s="711">
        <v>138.321</v>
      </c>
      <c r="AO492" s="709"/>
      <c r="AP492" s="710"/>
      <c r="AQ492" s="711">
        <v>142.81100000000001</v>
      </c>
      <c r="AR492" s="283"/>
      <c r="AS492" s="299"/>
      <c r="AT492" s="244">
        <f t="shared" si="18"/>
        <v>1342.7909999999999</v>
      </c>
      <c r="AU492" s="283"/>
      <c r="AV492" s="284"/>
      <c r="AW492" s="285"/>
      <c r="AX492" s="321"/>
      <c r="AY492" s="434"/>
      <c r="AZ492" s="356"/>
      <c r="BA492" s="356"/>
      <c r="BB492" s="356"/>
      <c r="BC492" s="356"/>
    </row>
    <row r="493" spans="1:55" s="24" customFormat="1">
      <c r="A493" s="179"/>
      <c r="B493" s="179"/>
      <c r="C493" s="179"/>
      <c r="D493" s="181">
        <v>686514</v>
      </c>
      <c r="E493" s="181"/>
      <c r="F493" s="181"/>
      <c r="G493" s="1110">
        <v>686514</v>
      </c>
      <c r="H493" s="127" t="s">
        <v>1113</v>
      </c>
      <c r="I493" s="516" t="s">
        <v>364</v>
      </c>
      <c r="J493" s="711">
        <v>462.76900000000001</v>
      </c>
      <c r="K493" s="709"/>
      <c r="L493" s="710"/>
      <c r="M493" s="711">
        <v>379.48500000000001</v>
      </c>
      <c r="N493" s="709"/>
      <c r="O493" s="710"/>
      <c r="P493" s="1139">
        <f>351.462+5.968</f>
        <v>357.43</v>
      </c>
      <c r="Q493" s="709"/>
      <c r="R493" s="710"/>
      <c r="S493" s="1139">
        <f>232.043+32.557</f>
        <v>264.60000000000002</v>
      </c>
      <c r="T493" s="709"/>
      <c r="U493" s="710"/>
      <c r="V493" s="1139">
        <f>159.663+52.253</f>
        <v>211.916</v>
      </c>
      <c r="W493" s="709"/>
      <c r="X493" s="710"/>
      <c r="Y493" s="1139">
        <f>173.554+42.746</f>
        <v>216.3</v>
      </c>
      <c r="Z493" s="709"/>
      <c r="AA493" s="710"/>
      <c r="AB493" s="1139">
        <f>163.645+41.699</f>
        <v>205.34399999999999</v>
      </c>
      <c r="AC493" s="709"/>
      <c r="AD493" s="710"/>
      <c r="AE493" s="1139">
        <f>187.637+50.505</f>
        <v>238.142</v>
      </c>
      <c r="AF493" s="709"/>
      <c r="AG493" s="710"/>
      <c r="AH493" s="1139">
        <f>194.392+32.018</f>
        <v>226.41</v>
      </c>
      <c r="AI493" s="709"/>
      <c r="AJ493" s="710"/>
      <c r="AK493" s="1139">
        <f>263.668+38.52</f>
        <v>302.18799999999999</v>
      </c>
      <c r="AL493" s="709"/>
      <c r="AM493" s="710"/>
      <c r="AN493" s="1139">
        <f>347.522+14.338</f>
        <v>361.86</v>
      </c>
      <c r="AO493" s="709"/>
      <c r="AP493" s="710"/>
      <c r="AQ493" s="711">
        <v>423.54199999999997</v>
      </c>
      <c r="AR493" s="246"/>
      <c r="AS493" s="282"/>
      <c r="AT493" s="244">
        <f t="shared" si="18"/>
        <v>3649.9859999999999</v>
      </c>
      <c r="AU493" s="283"/>
      <c r="AV493" s="284"/>
      <c r="AW493" s="285"/>
      <c r="AX493" s="321"/>
      <c r="AY493" s="434">
        <v>3419.4755789999999</v>
      </c>
      <c r="AZ493" s="357"/>
      <c r="BA493" s="357"/>
      <c r="BB493" s="357"/>
      <c r="BC493" s="357"/>
    </row>
    <row r="494" spans="1:55" s="24" customFormat="1">
      <c r="A494" s="179"/>
      <c r="B494" s="179"/>
      <c r="C494" s="179"/>
      <c r="D494" s="181">
        <v>686510</v>
      </c>
      <c r="E494" s="181"/>
      <c r="F494" s="181"/>
      <c r="G494" s="1110">
        <v>686510</v>
      </c>
      <c r="H494" s="127" t="s">
        <v>1335</v>
      </c>
      <c r="I494" s="516" t="s">
        <v>364</v>
      </c>
      <c r="J494" s="711">
        <v>508.45299999999997</v>
      </c>
      <c r="K494" s="709"/>
      <c r="L494" s="710"/>
      <c r="M494" s="711">
        <v>481.827</v>
      </c>
      <c r="N494" s="709"/>
      <c r="O494" s="710"/>
      <c r="P494" s="1139">
        <f>425.854+4.488</f>
        <v>430.34199999999998</v>
      </c>
      <c r="Q494" s="709"/>
      <c r="R494" s="710"/>
      <c r="S494" s="1139">
        <f>368.487+30.033</f>
        <v>398.52000000000004</v>
      </c>
      <c r="T494" s="709"/>
      <c r="U494" s="710"/>
      <c r="V494" s="1139">
        <f>256.732+30.018</f>
        <v>286.75</v>
      </c>
      <c r="W494" s="709"/>
      <c r="X494" s="710"/>
      <c r="Y494" s="1139">
        <f>276.47+36.31</f>
        <v>312.78000000000003</v>
      </c>
      <c r="Z494" s="709"/>
      <c r="AA494" s="710"/>
      <c r="AB494" s="1139">
        <f>307.923+41.013</f>
        <v>348.93599999999998</v>
      </c>
      <c r="AC494" s="709"/>
      <c r="AD494" s="710"/>
      <c r="AE494" s="1139">
        <f>290.438+47.679</f>
        <v>338.11699999999996</v>
      </c>
      <c r="AF494" s="709"/>
      <c r="AG494" s="710"/>
      <c r="AH494" s="1139">
        <f>333.744+31.296</f>
        <v>365.04</v>
      </c>
      <c r="AI494" s="709"/>
      <c r="AJ494" s="710"/>
      <c r="AK494" s="1139">
        <f>371.171+36.665</f>
        <v>407.83600000000001</v>
      </c>
      <c r="AL494" s="709"/>
      <c r="AM494" s="710"/>
      <c r="AN494" s="1139">
        <f>412.92+13.44</f>
        <v>426.36</v>
      </c>
      <c r="AO494" s="709"/>
      <c r="AP494" s="710"/>
      <c r="AQ494" s="711">
        <v>516.73500000000001</v>
      </c>
      <c r="AR494" s="246"/>
      <c r="AS494" s="282"/>
      <c r="AT494" s="244">
        <f t="shared" si="18"/>
        <v>4821.6959999999999</v>
      </c>
      <c r="AU494" s="283"/>
      <c r="AV494" s="284"/>
      <c r="AW494" s="285"/>
      <c r="AX494" s="321"/>
      <c r="AY494" s="434">
        <v>4818.6649809999999</v>
      </c>
      <c r="AZ494" s="357"/>
      <c r="BA494" s="357"/>
      <c r="BB494" s="357"/>
      <c r="BC494" s="357"/>
    </row>
    <row r="495" spans="1:55" s="24" customFormat="1">
      <c r="A495" s="179"/>
      <c r="B495" s="179"/>
      <c r="C495" s="179"/>
      <c r="D495" s="181">
        <v>686515</v>
      </c>
      <c r="E495" s="181"/>
      <c r="F495" s="181"/>
      <c r="G495" s="1110">
        <v>686515</v>
      </c>
      <c r="H495" s="132" t="s">
        <v>1336</v>
      </c>
      <c r="I495" s="516" t="s">
        <v>364</v>
      </c>
      <c r="J495" s="262">
        <f>SUM(J496:J498)</f>
        <v>145.82400000000001</v>
      </c>
      <c r="K495" s="246"/>
      <c r="L495" s="282"/>
      <c r="M495" s="317">
        <f>SUM(M496:M498)</f>
        <v>116.928</v>
      </c>
      <c r="N495" s="246"/>
      <c r="O495" s="282"/>
      <c r="P495" s="317">
        <f>SUM(P496:P498)</f>
        <v>122.32600000000001</v>
      </c>
      <c r="Q495" s="246"/>
      <c r="R495" s="282"/>
      <c r="S495" s="317">
        <f>SUM(S496:S498)</f>
        <v>108</v>
      </c>
      <c r="T495" s="246"/>
      <c r="U495" s="282"/>
      <c r="V495" s="317">
        <f>SUM(V496:V498)</f>
        <v>78.430000000000007</v>
      </c>
      <c r="W495" s="246"/>
      <c r="X495" s="282"/>
      <c r="Y495" s="317">
        <f>SUM(Y496:Y498)</f>
        <v>69.900000000000006</v>
      </c>
      <c r="Z495" s="246"/>
      <c r="AA495" s="282"/>
      <c r="AB495" s="317">
        <f>SUM(AB496:AB498)</f>
        <v>74.400000000000006</v>
      </c>
      <c r="AC495" s="246"/>
      <c r="AD495" s="282"/>
      <c r="AE495" s="317">
        <f>SUM(AE496:AE498)</f>
        <v>76.569999999999993</v>
      </c>
      <c r="AF495" s="246"/>
      <c r="AG495" s="282"/>
      <c r="AH495" s="317">
        <f>SUM(AH496:AH498)</f>
        <v>69.900000000000006</v>
      </c>
      <c r="AI495" s="246"/>
      <c r="AJ495" s="282"/>
      <c r="AK495" s="317">
        <f>SUM(AK496:AK498)</f>
        <v>135.53199999999998</v>
      </c>
      <c r="AL495" s="246"/>
      <c r="AM495" s="282"/>
      <c r="AN495" s="317">
        <f>SUM(AN496:AN498)</f>
        <v>140.52000000000001</v>
      </c>
      <c r="AO495" s="246"/>
      <c r="AP495" s="282"/>
      <c r="AQ495" s="317">
        <f>SUM(AQ496:AQ498)</f>
        <v>148.80000000000001</v>
      </c>
      <c r="AR495" s="246"/>
      <c r="AS495" s="282"/>
      <c r="AT495" s="317">
        <f>SUM(AT496:AT498)</f>
        <v>1287.1299999999999</v>
      </c>
      <c r="AU495" s="283"/>
      <c r="AV495" s="284"/>
      <c r="AW495" s="285"/>
      <c r="AX495" s="321"/>
      <c r="AY495" s="1070">
        <v>1167.4441650000001</v>
      </c>
      <c r="AZ495" s="357"/>
      <c r="BA495" s="357"/>
      <c r="BB495" s="357"/>
      <c r="BC495" s="357"/>
    </row>
    <row r="496" spans="1:55" s="24" customFormat="1">
      <c r="A496" s="179"/>
      <c r="B496" s="179"/>
      <c r="C496" s="179"/>
      <c r="D496" s="181"/>
      <c r="E496" s="181"/>
      <c r="F496" s="181"/>
      <c r="G496" s="1110"/>
      <c r="H496" s="127" t="s">
        <v>1337</v>
      </c>
      <c r="I496" s="127"/>
      <c r="J496" s="837">
        <v>145.82400000000001</v>
      </c>
      <c r="K496" s="709"/>
      <c r="L496" s="710"/>
      <c r="M496" s="837">
        <v>116.928</v>
      </c>
      <c r="N496" s="709"/>
      <c r="O496" s="710"/>
      <c r="P496" s="1140">
        <f>117.552+4.774</f>
        <v>122.32600000000001</v>
      </c>
      <c r="Q496" s="709"/>
      <c r="R496" s="710"/>
      <c r="S496" s="1141">
        <f>93.6+14.4</f>
        <v>108</v>
      </c>
      <c r="T496" s="709"/>
      <c r="U496" s="710"/>
      <c r="V496" s="1140">
        <f>48.36+30.07</f>
        <v>78.430000000000007</v>
      </c>
      <c r="W496" s="709"/>
      <c r="X496" s="710"/>
      <c r="Y496" s="1140">
        <f>46.8+23.1</f>
        <v>69.900000000000006</v>
      </c>
      <c r="Z496" s="709"/>
      <c r="AA496" s="710"/>
      <c r="AB496" s="1140">
        <f>48.36+26.04</f>
        <v>74.400000000000006</v>
      </c>
      <c r="AC496" s="709"/>
      <c r="AD496" s="710"/>
      <c r="AE496" s="1140">
        <f>48.36+28.21</f>
        <v>76.569999999999993</v>
      </c>
      <c r="AF496" s="709"/>
      <c r="AG496" s="710"/>
      <c r="AH496" s="1141">
        <f>46.8+23.1</f>
        <v>69.900000000000006</v>
      </c>
      <c r="AI496" s="709"/>
      <c r="AJ496" s="710"/>
      <c r="AK496" s="1140">
        <f>98.208+37.324</f>
        <v>135.53199999999998</v>
      </c>
      <c r="AL496" s="709"/>
      <c r="AM496" s="710"/>
      <c r="AN496" s="1140">
        <f>126.72+13.8</f>
        <v>140.52000000000001</v>
      </c>
      <c r="AO496" s="709"/>
      <c r="AP496" s="710"/>
      <c r="AQ496" s="837">
        <v>148.80000000000001</v>
      </c>
      <c r="AR496" s="246"/>
      <c r="AS496" s="282"/>
      <c r="AT496" s="244">
        <f t="shared" si="18"/>
        <v>1287.1299999999999</v>
      </c>
      <c r="AU496" s="283"/>
      <c r="AV496" s="284"/>
      <c r="AW496" s="285"/>
      <c r="AX496" s="321"/>
      <c r="AY496" s="260"/>
      <c r="AZ496" s="357"/>
      <c r="BA496" s="357"/>
      <c r="BB496" s="357"/>
      <c r="BC496" s="357"/>
    </row>
    <row r="497" spans="1:55" s="24" customFormat="1">
      <c r="A497" s="179"/>
      <c r="B497" s="179"/>
      <c r="C497" s="179"/>
      <c r="D497" s="181"/>
      <c r="E497" s="181"/>
      <c r="F497" s="181"/>
      <c r="G497" s="1110"/>
      <c r="H497" s="127" t="s">
        <v>1338</v>
      </c>
      <c r="I497" s="127"/>
      <c r="J497" s="711">
        <v>0</v>
      </c>
      <c r="K497" s="709"/>
      <c r="L497" s="710"/>
      <c r="M497" s="711">
        <v>0</v>
      </c>
      <c r="N497" s="709"/>
      <c r="O497" s="710"/>
      <c r="P497" s="711">
        <v>0</v>
      </c>
      <c r="Q497" s="709"/>
      <c r="R497" s="710"/>
      <c r="S497" s="711">
        <v>0</v>
      </c>
      <c r="T497" s="709"/>
      <c r="U497" s="710"/>
      <c r="V497" s="711">
        <v>0</v>
      </c>
      <c r="W497" s="709"/>
      <c r="X497" s="710"/>
      <c r="Y497" s="711">
        <v>0</v>
      </c>
      <c r="Z497" s="709"/>
      <c r="AA497" s="710"/>
      <c r="AB497" s="711">
        <v>0</v>
      </c>
      <c r="AC497" s="709"/>
      <c r="AD497" s="710"/>
      <c r="AE497" s="711">
        <v>0</v>
      </c>
      <c r="AF497" s="709"/>
      <c r="AG497" s="710"/>
      <c r="AH497" s="711">
        <v>0</v>
      </c>
      <c r="AI497" s="709"/>
      <c r="AJ497" s="710"/>
      <c r="AK497" s="711">
        <v>0</v>
      </c>
      <c r="AL497" s="709"/>
      <c r="AM497" s="710"/>
      <c r="AN497" s="711">
        <v>0</v>
      </c>
      <c r="AO497" s="709"/>
      <c r="AP497" s="710"/>
      <c r="AQ497" s="711">
        <v>0</v>
      </c>
      <c r="AR497" s="246"/>
      <c r="AS497" s="282"/>
      <c r="AT497" s="244">
        <f t="shared" si="18"/>
        <v>0</v>
      </c>
      <c r="AU497" s="283"/>
      <c r="AV497" s="284"/>
      <c r="AW497" s="285"/>
      <c r="AX497" s="321"/>
      <c r="AY497" s="260"/>
      <c r="AZ497" s="357"/>
      <c r="BA497" s="357"/>
      <c r="BB497" s="357"/>
      <c r="BC497" s="357"/>
    </row>
    <row r="498" spans="1:55" s="24" customFormat="1">
      <c r="A498" s="179"/>
      <c r="B498" s="179"/>
      <c r="C498" s="179"/>
      <c r="D498" s="181"/>
      <c r="E498" s="181"/>
      <c r="F498" s="181"/>
      <c r="G498" s="1110"/>
      <c r="H498" s="127" t="s">
        <v>1339</v>
      </c>
      <c r="I498" s="127"/>
      <c r="J498" s="711">
        <v>0</v>
      </c>
      <c r="K498" s="709"/>
      <c r="L498" s="710"/>
      <c r="M498" s="711">
        <v>0</v>
      </c>
      <c r="N498" s="709"/>
      <c r="O498" s="710"/>
      <c r="P498" s="711">
        <v>0</v>
      </c>
      <c r="Q498" s="709"/>
      <c r="R498" s="710"/>
      <c r="S498" s="711">
        <v>0</v>
      </c>
      <c r="T498" s="709"/>
      <c r="U498" s="710"/>
      <c r="V498" s="711">
        <v>0</v>
      </c>
      <c r="W498" s="709"/>
      <c r="X498" s="710"/>
      <c r="Y498" s="711">
        <v>0</v>
      </c>
      <c r="Z498" s="709"/>
      <c r="AA498" s="710"/>
      <c r="AB498" s="711">
        <v>0</v>
      </c>
      <c r="AC498" s="709"/>
      <c r="AD498" s="710"/>
      <c r="AE498" s="711">
        <v>0</v>
      </c>
      <c r="AF498" s="709"/>
      <c r="AG498" s="710"/>
      <c r="AH498" s="711">
        <v>0</v>
      </c>
      <c r="AI498" s="709"/>
      <c r="AJ498" s="710"/>
      <c r="AK498" s="711">
        <v>0</v>
      </c>
      <c r="AL498" s="709"/>
      <c r="AM498" s="710"/>
      <c r="AN498" s="711">
        <v>0</v>
      </c>
      <c r="AO498" s="709"/>
      <c r="AP498" s="710"/>
      <c r="AQ498" s="711">
        <v>0</v>
      </c>
      <c r="AR498" s="246"/>
      <c r="AS498" s="282"/>
      <c r="AT498" s="244">
        <f t="shared" si="18"/>
        <v>0</v>
      </c>
      <c r="AU498" s="283"/>
      <c r="AV498" s="284"/>
      <c r="AW498" s="285"/>
      <c r="AX498" s="321"/>
      <c r="AY498" s="260"/>
      <c r="AZ498" s="357"/>
      <c r="BA498" s="357"/>
      <c r="BB498" s="357"/>
      <c r="BC498" s="357"/>
    </row>
    <row r="499" spans="1:55" s="24" customFormat="1">
      <c r="A499" s="179"/>
      <c r="B499" s="179"/>
      <c r="C499" s="179"/>
      <c r="D499" s="181"/>
      <c r="E499" s="181"/>
      <c r="F499" s="181"/>
      <c r="G499" s="1110">
        <v>686526</v>
      </c>
      <c r="H499" s="127" t="s">
        <v>1204</v>
      </c>
      <c r="I499" s="516" t="s">
        <v>364</v>
      </c>
      <c r="J499" s="711">
        <v>0</v>
      </c>
      <c r="K499" s="709"/>
      <c r="L499" s="710"/>
      <c r="M499" s="711">
        <v>0</v>
      </c>
      <c r="N499" s="709"/>
      <c r="O499" s="710"/>
      <c r="P499" s="711">
        <v>0</v>
      </c>
      <c r="Q499" s="709"/>
      <c r="R499" s="710"/>
      <c r="S499" s="711">
        <v>0</v>
      </c>
      <c r="T499" s="709"/>
      <c r="U499" s="710"/>
      <c r="V499" s="711">
        <v>0</v>
      </c>
      <c r="W499" s="709"/>
      <c r="X499" s="710"/>
      <c r="Y499" s="711">
        <v>0</v>
      </c>
      <c r="Z499" s="709"/>
      <c r="AA499" s="710"/>
      <c r="AB499" s="711">
        <v>0</v>
      </c>
      <c r="AC499" s="709"/>
      <c r="AD499" s="710"/>
      <c r="AE499" s="711">
        <v>0</v>
      </c>
      <c r="AF499" s="709"/>
      <c r="AG499" s="710"/>
      <c r="AH499" s="711">
        <v>0</v>
      </c>
      <c r="AI499" s="709"/>
      <c r="AJ499" s="710"/>
      <c r="AK499" s="711">
        <v>0</v>
      </c>
      <c r="AL499" s="709"/>
      <c r="AM499" s="710"/>
      <c r="AN499" s="711">
        <v>0</v>
      </c>
      <c r="AO499" s="709"/>
      <c r="AP499" s="710"/>
      <c r="AQ499" s="711">
        <v>0</v>
      </c>
      <c r="AR499" s="246"/>
      <c r="AS499" s="282"/>
      <c r="AT499" s="244">
        <f t="shared" si="18"/>
        <v>0</v>
      </c>
      <c r="AU499" s="283"/>
      <c r="AV499" s="284"/>
      <c r="AW499" s="285"/>
      <c r="AX499" s="321"/>
      <c r="AY499" s="434">
        <v>0</v>
      </c>
      <c r="AZ499" s="357"/>
      <c r="BA499" s="357"/>
      <c r="BB499" s="357"/>
      <c r="BC499" s="357"/>
    </row>
    <row r="500" spans="1:55" s="24" customFormat="1">
      <c r="A500" s="179"/>
      <c r="B500" s="179"/>
      <c r="C500" s="179"/>
      <c r="D500" s="181">
        <v>686530</v>
      </c>
      <c r="E500" s="181"/>
      <c r="F500" s="181"/>
      <c r="G500" s="1110">
        <v>686530</v>
      </c>
      <c r="H500" s="127" t="s">
        <v>1240</v>
      </c>
      <c r="I500" s="516" t="s">
        <v>364</v>
      </c>
      <c r="J500" s="638">
        <f>ГЭС!C34</f>
        <v>112.08932495117188</v>
      </c>
      <c r="K500" s="246"/>
      <c r="L500" s="282"/>
      <c r="M500" s="638">
        <f>ГЭС!D34</f>
        <v>112.63555145263672</v>
      </c>
      <c r="N500" s="246"/>
      <c r="O500" s="282"/>
      <c r="P500" s="638">
        <f>ГЭС!E34</f>
        <v>130.29869079589844</v>
      </c>
      <c r="Q500" s="246"/>
      <c r="R500" s="282"/>
      <c r="S500" s="638">
        <f>ГЭС!G34</f>
        <v>200.40545654296875</v>
      </c>
      <c r="T500" s="246"/>
      <c r="U500" s="282"/>
      <c r="V500" s="638">
        <f>ГЭС!H34</f>
        <v>213.75741577148438</v>
      </c>
      <c r="W500" s="246"/>
      <c r="X500" s="282"/>
      <c r="Y500" s="638">
        <f>ГЭС!I34</f>
        <v>204.71934509277344</v>
      </c>
      <c r="Z500" s="246"/>
      <c r="AA500" s="282"/>
      <c r="AB500" s="638">
        <f>ГЭС!K34</f>
        <v>146.94338989257813</v>
      </c>
      <c r="AC500" s="246"/>
      <c r="AD500" s="282"/>
      <c r="AE500" s="638">
        <f>ГЭС!L34</f>
        <v>131.60810852050781</v>
      </c>
      <c r="AF500" s="246"/>
      <c r="AG500" s="282"/>
      <c r="AH500" s="638">
        <f>ГЭС!M34</f>
        <v>126.53402709960938</v>
      </c>
      <c r="AI500" s="246"/>
      <c r="AJ500" s="282"/>
      <c r="AK500" s="638">
        <f>ГЭС!O34</f>
        <v>136.48814392089844</v>
      </c>
      <c r="AL500" s="246"/>
      <c r="AM500" s="282"/>
      <c r="AN500" s="638">
        <f>ГЭС!P34</f>
        <v>128.21804809570313</v>
      </c>
      <c r="AO500" s="246"/>
      <c r="AP500" s="282"/>
      <c r="AQ500" s="638">
        <f>ГЭС!Q34</f>
        <v>117.36455535888672</v>
      </c>
      <c r="AR500" s="256"/>
      <c r="AS500" s="302"/>
      <c r="AT500" s="638">
        <f t="shared" si="18"/>
        <v>1761.0620574951172</v>
      </c>
      <c r="AU500" s="256"/>
      <c r="AV500" s="315"/>
      <c r="AW500" s="226"/>
      <c r="AX500" s="321"/>
      <c r="AY500" s="434">
        <v>1885.2737810000001</v>
      </c>
      <c r="AZ500" s="357"/>
      <c r="BA500" s="357"/>
      <c r="BB500" s="357"/>
      <c r="BC500" s="357"/>
    </row>
    <row r="501" spans="1:55" s="24" customFormat="1">
      <c r="A501" s="179"/>
      <c r="B501" s="179"/>
      <c r="C501" s="179"/>
      <c r="D501" s="181"/>
      <c r="E501" s="181"/>
      <c r="F501" s="181"/>
      <c r="G501" s="1110">
        <v>777921</v>
      </c>
      <c r="H501" s="127" t="s">
        <v>1707</v>
      </c>
      <c r="I501" s="516" t="s">
        <v>365</v>
      </c>
      <c r="J501" s="244">
        <v>14.25</v>
      </c>
      <c r="K501" s="246"/>
      <c r="L501" s="282"/>
      <c r="M501" s="244">
        <v>12.87</v>
      </c>
      <c r="N501" s="246"/>
      <c r="O501" s="282"/>
      <c r="P501" s="244">
        <v>14.249000000000001</v>
      </c>
      <c r="Q501" s="246"/>
      <c r="R501" s="282"/>
      <c r="S501" s="244">
        <v>13.798</v>
      </c>
      <c r="T501" s="246"/>
      <c r="U501" s="282"/>
      <c r="V501" s="244">
        <v>8.1370000000000005</v>
      </c>
      <c r="W501" s="246"/>
      <c r="X501" s="282"/>
      <c r="Y501" s="244">
        <v>7.8070000000000004</v>
      </c>
      <c r="Z501" s="246"/>
      <c r="AA501" s="282"/>
      <c r="AB501" s="244">
        <v>8.5749999999999993</v>
      </c>
      <c r="AC501" s="246"/>
      <c r="AD501" s="282"/>
      <c r="AE501" s="244">
        <v>8.6910000000000007</v>
      </c>
      <c r="AF501" s="246"/>
      <c r="AG501" s="282"/>
      <c r="AH501" s="244">
        <v>9.01</v>
      </c>
      <c r="AI501" s="246"/>
      <c r="AJ501" s="282"/>
      <c r="AK501" s="244">
        <v>14.032</v>
      </c>
      <c r="AL501" s="246"/>
      <c r="AM501" s="282"/>
      <c r="AN501" s="244">
        <v>13.789</v>
      </c>
      <c r="AO501" s="246"/>
      <c r="AP501" s="282"/>
      <c r="AQ501" s="244">
        <v>14.249000000000001</v>
      </c>
      <c r="AR501" s="323"/>
      <c r="AS501" s="324"/>
      <c r="AT501" s="244">
        <f t="shared" si="18"/>
        <v>139.45700000000002</v>
      </c>
      <c r="AU501" s="256"/>
      <c r="AV501" s="315"/>
      <c r="AW501" s="226"/>
      <c r="AX501" s="321"/>
      <c r="AY501" s="434"/>
      <c r="AZ501" s="357"/>
      <c r="BA501" s="357"/>
      <c r="BB501" s="357"/>
      <c r="BC501" s="357"/>
    </row>
    <row r="502" spans="1:55" s="24" customFormat="1">
      <c r="A502" s="179"/>
      <c r="B502" s="179"/>
      <c r="C502" s="179"/>
      <c r="D502" s="181"/>
      <c r="E502" s="181"/>
      <c r="F502" s="181"/>
      <c r="G502" s="1110"/>
      <c r="H502" s="165" t="s">
        <v>174</v>
      </c>
      <c r="I502" s="165"/>
      <c r="J502" s="821">
        <f>SUM(J503:J515)</f>
        <v>154.0754</v>
      </c>
      <c r="K502" s="331"/>
      <c r="L502" s="332"/>
      <c r="M502" s="821">
        <f>SUM(M503:M515)</f>
        <v>144.57480000000001</v>
      </c>
      <c r="N502" s="331"/>
      <c r="O502" s="332"/>
      <c r="P502" s="821">
        <f>SUM(P503:P515)</f>
        <v>154.5258</v>
      </c>
      <c r="Q502" s="331"/>
      <c r="R502" s="332"/>
      <c r="S502" s="821">
        <f>SUM(S503:S515)</f>
        <v>144.39879999999999</v>
      </c>
      <c r="T502" s="331"/>
      <c r="U502" s="332"/>
      <c r="V502" s="821">
        <f>SUM(V503:V515)</f>
        <v>136.17660000000001</v>
      </c>
      <c r="W502" s="331"/>
      <c r="X502" s="332"/>
      <c r="Y502" s="821">
        <f>SUM(Y503:Y515)</f>
        <v>126.913</v>
      </c>
      <c r="Z502" s="331"/>
      <c r="AA502" s="332"/>
      <c r="AB502" s="821">
        <f>SUM(AB503:AB515)</f>
        <v>128.7987</v>
      </c>
      <c r="AC502" s="331"/>
      <c r="AD502" s="332"/>
      <c r="AE502" s="821">
        <f>SUM(AE503:AE515)</f>
        <v>122.92819999999999</v>
      </c>
      <c r="AF502" s="331"/>
      <c r="AG502" s="332"/>
      <c r="AH502" s="821">
        <f>SUM(AH503:AH515)</f>
        <v>114.1288</v>
      </c>
      <c r="AI502" s="331"/>
      <c r="AJ502" s="332"/>
      <c r="AK502" s="821">
        <f>SUM(AK503:AK515)</f>
        <v>158.01580000000001</v>
      </c>
      <c r="AL502" s="331"/>
      <c r="AM502" s="332"/>
      <c r="AN502" s="821">
        <f>SUM(AN503:AN515)</f>
        <v>156.24720000000002</v>
      </c>
      <c r="AO502" s="331"/>
      <c r="AP502" s="332"/>
      <c r="AQ502" s="821">
        <f>SUM(AQ503:AQ515)</f>
        <v>161.28540000000001</v>
      </c>
      <c r="AR502" s="359"/>
      <c r="AS502" s="360"/>
      <c r="AT502" s="358">
        <f>SUM(AT503:AT515)</f>
        <v>1702.0685000000003</v>
      </c>
      <c r="AU502" s="359"/>
      <c r="AV502" s="361"/>
      <c r="AW502" s="226"/>
      <c r="AX502" s="335"/>
      <c r="AY502" s="439">
        <v>1164.8362970000001</v>
      </c>
      <c r="AZ502" s="357"/>
      <c r="BA502" s="357"/>
      <c r="BB502" s="357"/>
      <c r="BC502" s="357"/>
    </row>
    <row r="503" spans="1:55" s="24" customFormat="1">
      <c r="A503" s="179"/>
      <c r="B503" s="179"/>
      <c r="C503" s="179"/>
      <c r="D503" s="181">
        <v>686518</v>
      </c>
      <c r="E503" s="181"/>
      <c r="F503" s="181"/>
      <c r="G503" s="1211">
        <v>777001</v>
      </c>
      <c r="H503" s="1142" t="s">
        <v>1241</v>
      </c>
      <c r="I503" s="518" t="s">
        <v>365</v>
      </c>
      <c r="J503" s="715">
        <v>14</v>
      </c>
      <c r="K503" s="713"/>
      <c r="L503" s="714"/>
      <c r="M503" s="715">
        <v>11.8</v>
      </c>
      <c r="N503" s="713"/>
      <c r="O503" s="714"/>
      <c r="P503" s="715">
        <v>13.5</v>
      </c>
      <c r="Q503" s="713"/>
      <c r="R503" s="714"/>
      <c r="S503" s="715">
        <v>9.5</v>
      </c>
      <c r="T503" s="713"/>
      <c r="U503" s="714"/>
      <c r="V503" s="715">
        <v>5</v>
      </c>
      <c r="W503" s="713"/>
      <c r="X503" s="714"/>
      <c r="Y503" s="715">
        <v>4</v>
      </c>
      <c r="Z503" s="713"/>
      <c r="AA503" s="714"/>
      <c r="AB503" s="715">
        <v>5.5</v>
      </c>
      <c r="AC503" s="713"/>
      <c r="AD503" s="714"/>
      <c r="AE503" s="715">
        <v>7</v>
      </c>
      <c r="AF503" s="713"/>
      <c r="AG503" s="714"/>
      <c r="AH503" s="715">
        <v>6.2</v>
      </c>
      <c r="AI503" s="713"/>
      <c r="AJ503" s="714"/>
      <c r="AK503" s="715">
        <v>11</v>
      </c>
      <c r="AL503" s="713"/>
      <c r="AM503" s="714"/>
      <c r="AN503" s="715">
        <v>12</v>
      </c>
      <c r="AO503" s="713"/>
      <c r="AP503" s="714"/>
      <c r="AQ503" s="715">
        <v>14</v>
      </c>
      <c r="AR503" s="288"/>
      <c r="AS503" s="289"/>
      <c r="AT503" s="294">
        <f t="shared" si="18"/>
        <v>113.5</v>
      </c>
      <c r="AU503" s="288"/>
      <c r="AV503" s="290"/>
      <c r="AW503" s="226"/>
      <c r="AX503" s="335"/>
      <c r="AY503" s="439"/>
      <c r="AZ503" s="357"/>
      <c r="BA503" s="357"/>
      <c r="BB503" s="357"/>
      <c r="BC503" s="357"/>
    </row>
    <row r="504" spans="1:55" s="24" customFormat="1">
      <c r="A504" s="179"/>
      <c r="B504" s="179"/>
      <c r="C504" s="179"/>
      <c r="D504" s="181">
        <v>686541</v>
      </c>
      <c r="E504" s="181"/>
      <c r="F504" s="181"/>
      <c r="G504" s="1110">
        <v>686518</v>
      </c>
      <c r="H504" s="1142" t="s">
        <v>857</v>
      </c>
      <c r="I504" s="518" t="s">
        <v>365</v>
      </c>
      <c r="J504" s="715">
        <v>53.95</v>
      </c>
      <c r="K504" s="713"/>
      <c r="L504" s="714"/>
      <c r="M504" s="715">
        <v>50.45</v>
      </c>
      <c r="N504" s="713"/>
      <c r="O504" s="714"/>
      <c r="P504" s="715">
        <v>53.21</v>
      </c>
      <c r="Q504" s="713"/>
      <c r="R504" s="714"/>
      <c r="S504" s="715">
        <v>49.05</v>
      </c>
      <c r="T504" s="713"/>
      <c r="U504" s="714"/>
      <c r="V504" s="715">
        <v>48.39</v>
      </c>
      <c r="W504" s="713"/>
      <c r="X504" s="714"/>
      <c r="Y504" s="715">
        <v>41.08</v>
      </c>
      <c r="Z504" s="713"/>
      <c r="AA504" s="714"/>
      <c r="AB504" s="715">
        <v>42.6</v>
      </c>
      <c r="AC504" s="713"/>
      <c r="AD504" s="714"/>
      <c r="AE504" s="715">
        <v>39.56</v>
      </c>
      <c r="AF504" s="713"/>
      <c r="AG504" s="714"/>
      <c r="AH504" s="715">
        <v>24.99</v>
      </c>
      <c r="AI504" s="713"/>
      <c r="AJ504" s="714"/>
      <c r="AK504" s="715">
        <v>53.21</v>
      </c>
      <c r="AL504" s="713"/>
      <c r="AM504" s="714"/>
      <c r="AN504" s="715">
        <v>52.12</v>
      </c>
      <c r="AO504" s="713"/>
      <c r="AP504" s="714"/>
      <c r="AQ504" s="715">
        <v>53.95</v>
      </c>
      <c r="AR504" s="288"/>
      <c r="AS504" s="289"/>
      <c r="AT504" s="294">
        <f t="shared" si="18"/>
        <v>562.56000000000006</v>
      </c>
      <c r="AU504" s="288"/>
      <c r="AV504" s="290"/>
      <c r="AW504" s="226"/>
      <c r="AX504" s="335"/>
      <c r="AY504" s="439"/>
      <c r="AZ504" s="357"/>
      <c r="BA504" s="357"/>
      <c r="BB504" s="357"/>
      <c r="BC504" s="357"/>
    </row>
    <row r="505" spans="1:55" s="24" customFormat="1">
      <c r="A505" s="179"/>
      <c r="B505" s="179"/>
      <c r="C505" s="179"/>
      <c r="D505" s="181">
        <v>777002</v>
      </c>
      <c r="E505" s="181"/>
      <c r="F505" s="181"/>
      <c r="G505" s="1110">
        <v>777002</v>
      </c>
      <c r="H505" s="1142" t="s">
        <v>1242</v>
      </c>
      <c r="I505" s="518" t="s">
        <v>365</v>
      </c>
      <c r="J505" s="715">
        <v>0</v>
      </c>
      <c r="K505" s="713"/>
      <c r="L505" s="714"/>
      <c r="M505" s="715">
        <v>0</v>
      </c>
      <c r="N505" s="713"/>
      <c r="O505" s="714"/>
      <c r="P505" s="715">
        <v>0</v>
      </c>
      <c r="Q505" s="713"/>
      <c r="R505" s="714"/>
      <c r="S505" s="715">
        <v>0</v>
      </c>
      <c r="T505" s="713"/>
      <c r="U505" s="714"/>
      <c r="V505" s="715">
        <v>0</v>
      </c>
      <c r="W505" s="713"/>
      <c r="X505" s="714"/>
      <c r="Y505" s="715">
        <v>0</v>
      </c>
      <c r="Z505" s="713"/>
      <c r="AA505" s="714"/>
      <c r="AB505" s="715">
        <v>0</v>
      </c>
      <c r="AC505" s="713"/>
      <c r="AD505" s="714"/>
      <c r="AE505" s="715">
        <v>0</v>
      </c>
      <c r="AF505" s="713"/>
      <c r="AG505" s="714"/>
      <c r="AH505" s="715">
        <v>3</v>
      </c>
      <c r="AI505" s="713"/>
      <c r="AJ505" s="714"/>
      <c r="AK505" s="715">
        <v>6</v>
      </c>
      <c r="AL505" s="713"/>
      <c r="AM505" s="714"/>
      <c r="AN505" s="715">
        <v>6</v>
      </c>
      <c r="AO505" s="713"/>
      <c r="AP505" s="714"/>
      <c r="AQ505" s="715">
        <v>6</v>
      </c>
      <c r="AR505" s="288"/>
      <c r="AS505" s="289"/>
      <c r="AT505" s="294">
        <f t="shared" si="18"/>
        <v>21</v>
      </c>
      <c r="AU505" s="288"/>
      <c r="AV505" s="290"/>
      <c r="AW505" s="226"/>
      <c r="AX505" s="335"/>
      <c r="AY505" s="890"/>
      <c r="AZ505" s="357"/>
      <c r="BA505" s="357"/>
      <c r="BB505" s="357"/>
      <c r="BC505" s="357"/>
    </row>
    <row r="506" spans="1:55" s="24" customFormat="1">
      <c r="A506" s="179"/>
      <c r="B506" s="179"/>
      <c r="C506" s="179"/>
      <c r="D506" s="181">
        <v>777294</v>
      </c>
      <c r="E506" s="181"/>
      <c r="F506" s="181"/>
      <c r="G506" s="1110">
        <v>777293</v>
      </c>
      <c r="H506" s="1142" t="s">
        <v>1243</v>
      </c>
      <c r="I506" s="518" t="s">
        <v>365</v>
      </c>
      <c r="J506" s="715">
        <v>6.2</v>
      </c>
      <c r="K506" s="713"/>
      <c r="L506" s="714"/>
      <c r="M506" s="715">
        <v>5.9</v>
      </c>
      <c r="N506" s="713"/>
      <c r="O506" s="714"/>
      <c r="P506" s="715">
        <v>6</v>
      </c>
      <c r="Q506" s="713"/>
      <c r="R506" s="714"/>
      <c r="S506" s="715">
        <v>5.9</v>
      </c>
      <c r="T506" s="713"/>
      <c r="U506" s="714"/>
      <c r="V506" s="715">
        <v>5.9</v>
      </c>
      <c r="W506" s="713"/>
      <c r="X506" s="714"/>
      <c r="Y506" s="715">
        <v>5.9</v>
      </c>
      <c r="Z506" s="713"/>
      <c r="AA506" s="714"/>
      <c r="AB506" s="715">
        <v>5.9</v>
      </c>
      <c r="AC506" s="713"/>
      <c r="AD506" s="714"/>
      <c r="AE506" s="715">
        <v>3.5</v>
      </c>
      <c r="AF506" s="713"/>
      <c r="AG506" s="714"/>
      <c r="AH506" s="715">
        <v>4.3</v>
      </c>
      <c r="AI506" s="713"/>
      <c r="AJ506" s="714"/>
      <c r="AK506" s="715">
        <v>6</v>
      </c>
      <c r="AL506" s="713"/>
      <c r="AM506" s="714"/>
      <c r="AN506" s="715">
        <v>6.2</v>
      </c>
      <c r="AO506" s="713"/>
      <c r="AP506" s="714"/>
      <c r="AQ506" s="715">
        <v>6.2</v>
      </c>
      <c r="AR506" s="288"/>
      <c r="AS506" s="289"/>
      <c r="AT506" s="294">
        <f t="shared" si="18"/>
        <v>67.899999999999991</v>
      </c>
      <c r="AU506" s="288"/>
      <c r="AV506" s="290"/>
      <c r="AW506" s="226"/>
      <c r="AX506" s="335"/>
      <c r="AY506" s="890"/>
      <c r="AZ506" s="357"/>
      <c r="BA506" s="357"/>
      <c r="BB506" s="357"/>
      <c r="BC506" s="357"/>
    </row>
    <row r="507" spans="1:55" s="24" customFormat="1">
      <c r="A507" s="179"/>
      <c r="B507" s="179"/>
      <c r="C507" s="179"/>
      <c r="D507" s="181">
        <v>777295</v>
      </c>
      <c r="E507" s="181"/>
      <c r="F507" s="181"/>
      <c r="G507" s="1110">
        <v>777294</v>
      </c>
      <c r="H507" s="1142" t="s">
        <v>899</v>
      </c>
      <c r="I507" s="518" t="s">
        <v>365</v>
      </c>
      <c r="J507" s="715">
        <v>3.4952999999999999</v>
      </c>
      <c r="K507" s="713"/>
      <c r="L507" s="714"/>
      <c r="M507" s="715">
        <v>3.5078</v>
      </c>
      <c r="N507" s="713"/>
      <c r="O507" s="714"/>
      <c r="P507" s="715">
        <v>3.8837000000000002</v>
      </c>
      <c r="Q507" s="713"/>
      <c r="R507" s="714"/>
      <c r="S507" s="715">
        <v>3.7584</v>
      </c>
      <c r="T507" s="713"/>
      <c r="U507" s="714"/>
      <c r="V507" s="715">
        <v>3.8837000000000002</v>
      </c>
      <c r="W507" s="713"/>
      <c r="X507" s="714"/>
      <c r="Y507" s="715">
        <v>3.3826000000000001</v>
      </c>
      <c r="Z507" s="713"/>
      <c r="AA507" s="714"/>
      <c r="AB507" s="715">
        <v>2.2549999999999999</v>
      </c>
      <c r="AC507" s="713"/>
      <c r="AD507" s="714"/>
      <c r="AE507" s="715">
        <v>3.8837000000000002</v>
      </c>
      <c r="AF507" s="713"/>
      <c r="AG507" s="714"/>
      <c r="AH507" s="715">
        <v>3.7584</v>
      </c>
      <c r="AI507" s="713"/>
      <c r="AJ507" s="714"/>
      <c r="AK507" s="715">
        <v>3.8837000000000002</v>
      </c>
      <c r="AL507" s="713"/>
      <c r="AM507" s="714"/>
      <c r="AN507" s="715">
        <v>3.7368000000000001</v>
      </c>
      <c r="AO507" s="713"/>
      <c r="AP507" s="714"/>
      <c r="AQ507" s="715">
        <v>3.8532999999999999</v>
      </c>
      <c r="AR507" s="288"/>
      <c r="AS507" s="289"/>
      <c r="AT507" s="294">
        <f t="shared" si="18"/>
        <v>43.282399999999996</v>
      </c>
      <c r="AU507" s="288"/>
      <c r="AV507" s="290"/>
      <c r="AW507" s="226"/>
      <c r="AX507" s="335"/>
      <c r="AY507" s="890"/>
      <c r="AZ507" s="357"/>
      <c r="BA507" s="357"/>
      <c r="BB507" s="357"/>
      <c r="BC507" s="357"/>
    </row>
    <row r="508" spans="1:55" s="24" customFormat="1">
      <c r="A508" s="179"/>
      <c r="B508" s="179"/>
      <c r="C508" s="179"/>
      <c r="D508" s="181">
        <v>777296</v>
      </c>
      <c r="E508" s="181"/>
      <c r="F508" s="181"/>
      <c r="G508" s="1110">
        <v>777295</v>
      </c>
      <c r="H508" s="1142" t="s">
        <v>900</v>
      </c>
      <c r="I508" s="518" t="s">
        <v>365</v>
      </c>
      <c r="J508" s="715">
        <v>3.8837000000000002</v>
      </c>
      <c r="K508" s="713"/>
      <c r="L508" s="714"/>
      <c r="M508" s="715">
        <v>3.5078</v>
      </c>
      <c r="N508" s="713"/>
      <c r="O508" s="714"/>
      <c r="P508" s="715">
        <v>3.8837000000000002</v>
      </c>
      <c r="Q508" s="713"/>
      <c r="R508" s="714"/>
      <c r="S508" s="715">
        <v>3.7584</v>
      </c>
      <c r="T508" s="713"/>
      <c r="U508" s="714"/>
      <c r="V508" s="715">
        <v>2.0045000000000002</v>
      </c>
      <c r="W508" s="713"/>
      <c r="X508" s="714"/>
      <c r="Y508" s="715">
        <v>3.7584</v>
      </c>
      <c r="Z508" s="713"/>
      <c r="AA508" s="714"/>
      <c r="AB508" s="715">
        <v>3.8837000000000002</v>
      </c>
      <c r="AC508" s="713"/>
      <c r="AD508" s="714"/>
      <c r="AE508" s="715">
        <v>3.8837000000000002</v>
      </c>
      <c r="AF508" s="713"/>
      <c r="AG508" s="714"/>
      <c r="AH508" s="715">
        <v>3.7584</v>
      </c>
      <c r="AI508" s="713"/>
      <c r="AJ508" s="714"/>
      <c r="AK508" s="715">
        <v>3.8837000000000002</v>
      </c>
      <c r="AL508" s="713"/>
      <c r="AM508" s="714"/>
      <c r="AN508" s="715">
        <v>3.7584</v>
      </c>
      <c r="AO508" s="713"/>
      <c r="AP508" s="714"/>
      <c r="AQ508" s="715">
        <v>3.8837000000000002</v>
      </c>
      <c r="AR508" s="288"/>
      <c r="AS508" s="289"/>
      <c r="AT508" s="294">
        <f t="shared" si="18"/>
        <v>43.848100000000002</v>
      </c>
      <c r="AU508" s="288"/>
      <c r="AV508" s="290"/>
      <c r="AW508" s="226"/>
      <c r="AX508" s="335"/>
      <c r="AY508" s="890"/>
      <c r="AZ508" s="357"/>
      <c r="BA508" s="357"/>
      <c r="BB508" s="357"/>
      <c r="BC508" s="357"/>
    </row>
    <row r="509" spans="1:55" s="24" customFormat="1">
      <c r="A509" s="179"/>
      <c r="B509" s="179"/>
      <c r="C509" s="179"/>
      <c r="D509" s="181"/>
      <c r="E509" s="181"/>
      <c r="F509" s="181"/>
      <c r="G509" s="1110">
        <v>777296</v>
      </c>
      <c r="H509" s="1142" t="s">
        <v>901</v>
      </c>
      <c r="I509" s="518" t="s">
        <v>365</v>
      </c>
      <c r="J509" s="715">
        <v>6.3983999999999996</v>
      </c>
      <c r="K509" s="713"/>
      <c r="L509" s="714"/>
      <c r="M509" s="715">
        <v>5.7792000000000003</v>
      </c>
      <c r="N509" s="713"/>
      <c r="O509" s="714"/>
      <c r="P509" s="715">
        <v>6.3983999999999996</v>
      </c>
      <c r="Q509" s="713"/>
      <c r="R509" s="714"/>
      <c r="S509" s="715">
        <v>6.1920000000000002</v>
      </c>
      <c r="T509" s="713"/>
      <c r="U509" s="714"/>
      <c r="V509" s="715">
        <v>6.3983999999999996</v>
      </c>
      <c r="W509" s="713"/>
      <c r="X509" s="714"/>
      <c r="Y509" s="715">
        <v>6.1920000000000002</v>
      </c>
      <c r="Z509" s="713"/>
      <c r="AA509" s="714"/>
      <c r="AB509" s="715">
        <v>5.16</v>
      </c>
      <c r="AC509" s="713"/>
      <c r="AD509" s="714"/>
      <c r="AE509" s="715">
        <v>4.5407999999999999</v>
      </c>
      <c r="AF509" s="713"/>
      <c r="AG509" s="714"/>
      <c r="AH509" s="715">
        <v>6.1920000000000002</v>
      </c>
      <c r="AI509" s="713"/>
      <c r="AJ509" s="714"/>
      <c r="AK509" s="715">
        <v>6.3983999999999996</v>
      </c>
      <c r="AL509" s="713"/>
      <c r="AM509" s="714"/>
      <c r="AN509" s="715">
        <v>6.1920000000000002</v>
      </c>
      <c r="AO509" s="713"/>
      <c r="AP509" s="714"/>
      <c r="AQ509" s="715">
        <v>6.3983999999999996</v>
      </c>
      <c r="AR509" s="288"/>
      <c r="AS509" s="289"/>
      <c r="AT509" s="294">
        <f t="shared" si="18"/>
        <v>72.239999999999995</v>
      </c>
      <c r="AU509" s="288"/>
      <c r="AV509" s="290"/>
      <c r="AW509" s="226"/>
      <c r="AX509" s="335"/>
      <c r="AY509" s="890"/>
      <c r="AZ509" s="357"/>
      <c r="BA509" s="357"/>
      <c r="BB509" s="357"/>
      <c r="BC509" s="357"/>
    </row>
    <row r="510" spans="1:55" s="24" customFormat="1">
      <c r="A510" s="179"/>
      <c r="B510" s="179"/>
      <c r="C510" s="179"/>
      <c r="D510" s="181"/>
      <c r="E510" s="181"/>
      <c r="F510" s="181"/>
      <c r="G510" s="1110" t="s">
        <v>1114</v>
      </c>
      <c r="H510" s="1142" t="s">
        <v>1115</v>
      </c>
      <c r="I510" s="956" t="s">
        <v>365</v>
      </c>
      <c r="J510" s="715">
        <v>30.5</v>
      </c>
      <c r="K510" s="713"/>
      <c r="L510" s="714"/>
      <c r="M510" s="715">
        <v>27.9</v>
      </c>
      <c r="N510" s="713"/>
      <c r="O510" s="714"/>
      <c r="P510" s="715">
        <v>30.5</v>
      </c>
      <c r="Q510" s="713"/>
      <c r="R510" s="714"/>
      <c r="S510" s="715">
        <v>29.5</v>
      </c>
      <c r="T510" s="713"/>
      <c r="U510" s="714"/>
      <c r="V510" s="715">
        <v>28.2</v>
      </c>
      <c r="W510" s="713"/>
      <c r="X510" s="714"/>
      <c r="Y510" s="715">
        <v>27.3</v>
      </c>
      <c r="Z510" s="713"/>
      <c r="AA510" s="714"/>
      <c r="AB510" s="715">
        <v>28.2</v>
      </c>
      <c r="AC510" s="713"/>
      <c r="AD510" s="714"/>
      <c r="AE510" s="715">
        <v>28.2</v>
      </c>
      <c r="AF510" s="713"/>
      <c r="AG510" s="714"/>
      <c r="AH510" s="715">
        <v>27.3</v>
      </c>
      <c r="AI510" s="713"/>
      <c r="AJ510" s="714"/>
      <c r="AK510" s="715">
        <v>30.5</v>
      </c>
      <c r="AL510" s="713"/>
      <c r="AM510" s="714"/>
      <c r="AN510" s="715">
        <v>29.5</v>
      </c>
      <c r="AO510" s="713"/>
      <c r="AP510" s="714"/>
      <c r="AQ510" s="715">
        <v>30.5</v>
      </c>
      <c r="AR510" s="704"/>
      <c r="AS510" s="705"/>
      <c r="AT510" s="294">
        <f t="shared" si="18"/>
        <v>348.09999999999997</v>
      </c>
      <c r="AU510" s="288"/>
      <c r="AV510" s="290"/>
      <c r="AW510" s="226"/>
      <c r="AX510" s="335"/>
      <c r="AY510" s="890"/>
      <c r="AZ510" s="357"/>
      <c r="BA510" s="357"/>
      <c r="BB510" s="357"/>
      <c r="BC510" s="357"/>
    </row>
    <row r="511" spans="1:55" s="24" customFormat="1">
      <c r="A511" s="179"/>
      <c r="B511" s="179"/>
      <c r="C511" s="179"/>
      <c r="D511" s="181">
        <v>777293</v>
      </c>
      <c r="E511" s="181"/>
      <c r="F511" s="181"/>
      <c r="G511" s="1110">
        <v>777283</v>
      </c>
      <c r="H511" s="1142" t="s">
        <v>1253</v>
      </c>
      <c r="I511" s="518" t="s">
        <v>365</v>
      </c>
      <c r="J511" s="715">
        <v>12.648</v>
      </c>
      <c r="K511" s="713"/>
      <c r="L511" s="714"/>
      <c r="M511" s="715">
        <v>11.83</v>
      </c>
      <c r="N511" s="713"/>
      <c r="O511" s="714"/>
      <c r="P511" s="715">
        <v>12.65</v>
      </c>
      <c r="Q511" s="713"/>
      <c r="R511" s="714"/>
      <c r="S511" s="715">
        <v>12.24</v>
      </c>
      <c r="T511" s="713"/>
      <c r="U511" s="714"/>
      <c r="V511" s="715">
        <v>11.9</v>
      </c>
      <c r="W511" s="713"/>
      <c r="X511" s="714"/>
      <c r="Y511" s="715">
        <v>10.8</v>
      </c>
      <c r="Z511" s="713"/>
      <c r="AA511" s="714"/>
      <c r="AB511" s="715">
        <v>10.8</v>
      </c>
      <c r="AC511" s="713"/>
      <c r="AD511" s="714"/>
      <c r="AE511" s="715">
        <v>11.16</v>
      </c>
      <c r="AF511" s="713"/>
      <c r="AG511" s="714"/>
      <c r="AH511" s="715">
        <v>11.13</v>
      </c>
      <c r="AI511" s="713"/>
      <c r="AJ511" s="714"/>
      <c r="AK511" s="715">
        <v>12.64</v>
      </c>
      <c r="AL511" s="713"/>
      <c r="AM511" s="714"/>
      <c r="AN511" s="715">
        <v>12.24</v>
      </c>
      <c r="AO511" s="713"/>
      <c r="AP511" s="714"/>
      <c r="AQ511" s="715">
        <v>12</v>
      </c>
      <c r="AR511" s="288"/>
      <c r="AS511" s="289"/>
      <c r="AT511" s="294">
        <f t="shared" si="18"/>
        <v>142.03799999999998</v>
      </c>
      <c r="AU511" s="288"/>
      <c r="AV511" s="289"/>
      <c r="AW511" s="226"/>
      <c r="AX511" s="335"/>
      <c r="AY511" s="890"/>
      <c r="AZ511" s="357"/>
      <c r="BA511" s="357"/>
      <c r="BB511" s="357"/>
      <c r="BC511" s="357"/>
    </row>
    <row r="512" spans="1:55" s="24" customFormat="1">
      <c r="A512" s="179"/>
      <c r="B512" s="179"/>
      <c r="C512" s="179"/>
      <c r="D512" s="181"/>
      <c r="E512" s="181"/>
      <c r="F512" s="181"/>
      <c r="G512" s="1110">
        <v>777841</v>
      </c>
      <c r="H512" s="1142" t="s">
        <v>1708</v>
      </c>
      <c r="I512" s="518" t="s">
        <v>365</v>
      </c>
      <c r="J512" s="715">
        <v>17</v>
      </c>
      <c r="K512" s="713"/>
      <c r="L512" s="714"/>
      <c r="M512" s="715">
        <v>17</v>
      </c>
      <c r="N512" s="713"/>
      <c r="O512" s="714"/>
      <c r="P512" s="715">
        <v>17</v>
      </c>
      <c r="Q512" s="713"/>
      <c r="R512" s="714"/>
      <c r="S512" s="715">
        <v>17</v>
      </c>
      <c r="T512" s="713"/>
      <c r="U512" s="714"/>
      <c r="V512" s="715">
        <v>17</v>
      </c>
      <c r="W512" s="713"/>
      <c r="X512" s="714"/>
      <c r="Y512" s="715">
        <v>17</v>
      </c>
      <c r="Z512" s="713"/>
      <c r="AA512" s="714"/>
      <c r="AB512" s="715">
        <v>17</v>
      </c>
      <c r="AC512" s="713"/>
      <c r="AD512" s="714"/>
      <c r="AE512" s="715">
        <v>17</v>
      </c>
      <c r="AF512" s="713"/>
      <c r="AG512" s="714"/>
      <c r="AH512" s="715">
        <v>17</v>
      </c>
      <c r="AI512" s="713"/>
      <c r="AJ512" s="714"/>
      <c r="AK512" s="715">
        <v>17</v>
      </c>
      <c r="AL512" s="713"/>
      <c r="AM512" s="714"/>
      <c r="AN512" s="715">
        <v>17</v>
      </c>
      <c r="AO512" s="713"/>
      <c r="AP512" s="714"/>
      <c r="AQ512" s="715">
        <v>17</v>
      </c>
      <c r="AR512" s="288"/>
      <c r="AS512" s="289"/>
      <c r="AT512" s="294">
        <f t="shared" si="18"/>
        <v>204</v>
      </c>
      <c r="AU512" s="288"/>
      <c r="AV512" s="290"/>
      <c r="AW512" s="226"/>
      <c r="AX512" s="335"/>
      <c r="AY512" s="890"/>
      <c r="AZ512" s="357"/>
      <c r="BA512" s="357"/>
      <c r="BB512" s="357"/>
      <c r="BC512" s="357"/>
    </row>
    <row r="513" spans="1:55" s="24" customFormat="1">
      <c r="A513" s="179"/>
      <c r="B513" s="179"/>
      <c r="C513" s="179"/>
      <c r="D513" s="181"/>
      <c r="E513" s="181"/>
      <c r="F513" s="181"/>
      <c r="G513" s="1110">
        <v>777823</v>
      </c>
      <c r="H513" s="1142" t="s">
        <v>1518</v>
      </c>
      <c r="I513" s="518"/>
      <c r="J513" s="715">
        <v>2.1</v>
      </c>
      <c r="K513" s="713"/>
      <c r="L513" s="714"/>
      <c r="M513" s="715">
        <v>2.4</v>
      </c>
      <c r="N513" s="713"/>
      <c r="O513" s="714"/>
      <c r="P513" s="715">
        <v>2.5</v>
      </c>
      <c r="Q513" s="713"/>
      <c r="R513" s="714"/>
      <c r="S513" s="715">
        <v>2.5</v>
      </c>
      <c r="T513" s="713"/>
      <c r="U513" s="714"/>
      <c r="V513" s="715">
        <v>2.5</v>
      </c>
      <c r="W513" s="713"/>
      <c r="X513" s="714"/>
      <c r="Y513" s="715">
        <v>2.5</v>
      </c>
      <c r="Z513" s="713"/>
      <c r="AA513" s="714"/>
      <c r="AB513" s="715">
        <v>2.5</v>
      </c>
      <c r="AC513" s="713"/>
      <c r="AD513" s="714"/>
      <c r="AE513" s="715">
        <v>1.5</v>
      </c>
      <c r="AF513" s="713"/>
      <c r="AG513" s="714"/>
      <c r="AH513" s="715">
        <v>2.2000000000000002</v>
      </c>
      <c r="AI513" s="713"/>
      <c r="AJ513" s="714"/>
      <c r="AK513" s="715">
        <v>2.5</v>
      </c>
      <c r="AL513" s="713"/>
      <c r="AM513" s="714"/>
      <c r="AN513" s="715">
        <v>2.5</v>
      </c>
      <c r="AO513" s="713"/>
      <c r="AP513" s="714"/>
      <c r="AQ513" s="715">
        <v>2.5</v>
      </c>
      <c r="AR513" s="288"/>
      <c r="AS513" s="289"/>
      <c r="AT513" s="294">
        <f t="shared" si="18"/>
        <v>28.2</v>
      </c>
      <c r="AU513" s="288"/>
      <c r="AV513" s="290"/>
      <c r="AW513" s="226"/>
      <c r="AX513" s="335"/>
      <c r="AY513" s="890"/>
      <c r="AZ513" s="357"/>
      <c r="BA513" s="357"/>
      <c r="BB513" s="357"/>
      <c r="BC513" s="357"/>
    </row>
    <row r="514" spans="1:55" s="24" customFormat="1">
      <c r="A514" s="179"/>
      <c r="B514" s="179"/>
      <c r="C514" s="179"/>
      <c r="D514" s="181"/>
      <c r="E514" s="181"/>
      <c r="F514" s="181"/>
      <c r="G514" s="1110">
        <v>777824</v>
      </c>
      <c r="H514" s="1142" t="s">
        <v>1519</v>
      </c>
      <c r="I514" s="518" t="s">
        <v>365</v>
      </c>
      <c r="J514" s="715">
        <v>2</v>
      </c>
      <c r="K514" s="713"/>
      <c r="L514" s="714"/>
      <c r="M514" s="715">
        <v>2.1</v>
      </c>
      <c r="N514" s="713"/>
      <c r="O514" s="714"/>
      <c r="P514" s="715">
        <v>2.5</v>
      </c>
      <c r="Q514" s="713"/>
      <c r="R514" s="714"/>
      <c r="S514" s="715">
        <v>2.5</v>
      </c>
      <c r="T514" s="713"/>
      <c r="U514" s="714"/>
      <c r="V514" s="715">
        <v>2.5</v>
      </c>
      <c r="W514" s="713"/>
      <c r="X514" s="714"/>
      <c r="Y514" s="715">
        <v>2.5</v>
      </c>
      <c r="Z514" s="713"/>
      <c r="AA514" s="714"/>
      <c r="AB514" s="715">
        <v>2.5</v>
      </c>
      <c r="AC514" s="713"/>
      <c r="AD514" s="714"/>
      <c r="AE514" s="715">
        <v>1.2</v>
      </c>
      <c r="AF514" s="713"/>
      <c r="AG514" s="714"/>
      <c r="AH514" s="715">
        <v>2.1</v>
      </c>
      <c r="AI514" s="713"/>
      <c r="AJ514" s="714"/>
      <c r="AK514" s="715">
        <v>2.5</v>
      </c>
      <c r="AL514" s="713"/>
      <c r="AM514" s="714"/>
      <c r="AN514" s="715">
        <v>2.5</v>
      </c>
      <c r="AO514" s="713"/>
      <c r="AP514" s="714"/>
      <c r="AQ514" s="715">
        <v>2.5</v>
      </c>
      <c r="AR514" s="288"/>
      <c r="AS514" s="289"/>
      <c r="AT514" s="294">
        <f t="shared" si="18"/>
        <v>27.400000000000002</v>
      </c>
      <c r="AU514" s="288"/>
      <c r="AV514" s="290"/>
      <c r="AW514" s="226"/>
      <c r="AX514" s="335"/>
      <c r="AY514" s="890"/>
      <c r="AZ514" s="357"/>
      <c r="BA514" s="357"/>
      <c r="BB514" s="357"/>
      <c r="BC514" s="357"/>
    </row>
    <row r="515" spans="1:55" s="24" customFormat="1">
      <c r="A515" s="179"/>
      <c r="B515" s="179"/>
      <c r="C515" s="179"/>
      <c r="D515" s="181"/>
      <c r="E515" s="181"/>
      <c r="F515" s="181"/>
      <c r="G515" s="1110">
        <v>777825</v>
      </c>
      <c r="H515" s="1142" t="s">
        <v>1520</v>
      </c>
      <c r="I515" s="518" t="s">
        <v>365</v>
      </c>
      <c r="J515" s="715">
        <v>1.9</v>
      </c>
      <c r="K515" s="713"/>
      <c r="L515" s="714"/>
      <c r="M515" s="715">
        <v>2.4</v>
      </c>
      <c r="N515" s="713"/>
      <c r="O515" s="714"/>
      <c r="P515" s="715">
        <v>2.5</v>
      </c>
      <c r="Q515" s="713"/>
      <c r="R515" s="714"/>
      <c r="S515" s="715">
        <v>2.5</v>
      </c>
      <c r="T515" s="713"/>
      <c r="U515" s="714"/>
      <c r="V515" s="715">
        <v>2.5</v>
      </c>
      <c r="W515" s="713"/>
      <c r="X515" s="714"/>
      <c r="Y515" s="715">
        <v>2.5</v>
      </c>
      <c r="Z515" s="713"/>
      <c r="AA515" s="714"/>
      <c r="AB515" s="715">
        <v>2.5</v>
      </c>
      <c r="AC515" s="713"/>
      <c r="AD515" s="714"/>
      <c r="AE515" s="715">
        <v>1.5</v>
      </c>
      <c r="AF515" s="713"/>
      <c r="AG515" s="714"/>
      <c r="AH515" s="715">
        <v>2.2000000000000002</v>
      </c>
      <c r="AI515" s="713"/>
      <c r="AJ515" s="714"/>
      <c r="AK515" s="715">
        <v>2.5</v>
      </c>
      <c r="AL515" s="713"/>
      <c r="AM515" s="714"/>
      <c r="AN515" s="715">
        <v>2.5</v>
      </c>
      <c r="AO515" s="713"/>
      <c r="AP515" s="714"/>
      <c r="AQ515" s="715">
        <v>2.5</v>
      </c>
      <c r="AR515" s="288"/>
      <c r="AS515" s="289"/>
      <c r="AT515" s="294">
        <f t="shared" si="18"/>
        <v>28</v>
      </c>
      <c r="AU515" s="288"/>
      <c r="AV515" s="290"/>
      <c r="AW515" s="226"/>
      <c r="AX515" s="335"/>
      <c r="AY515" s="890"/>
      <c r="AZ515" s="357"/>
      <c r="BA515" s="357"/>
      <c r="BB515" s="357"/>
      <c r="BC515" s="357"/>
    </row>
    <row r="516" spans="1:55" ht="18.75">
      <c r="B516" s="179"/>
      <c r="C516" s="179"/>
      <c r="D516" s="181">
        <v>316300</v>
      </c>
      <c r="E516" s="181"/>
      <c r="F516" s="181"/>
      <c r="G516" s="181">
        <v>316300</v>
      </c>
      <c r="H516" s="473" t="s">
        <v>1593</v>
      </c>
      <c r="I516" s="473"/>
      <c r="J516" s="277">
        <f>SUM(J517:J519)</f>
        <v>351.16003333333327</v>
      </c>
      <c r="K516" s="275">
        <f>L516-J516</f>
        <v>210.76155395896484</v>
      </c>
      <c r="L516" s="276">
        <f>Потребление!D38</f>
        <v>561.92158729229811</v>
      </c>
      <c r="M516" s="274">
        <f>SUM(M517:M519)</f>
        <v>317.20894599999997</v>
      </c>
      <c r="N516" s="275">
        <f>O516-M516</f>
        <v>208.2206700223669</v>
      </c>
      <c r="O516" s="276">
        <f>Потребление!E38</f>
        <v>525.42961602236687</v>
      </c>
      <c r="P516" s="274">
        <f>SUM(P517:P519)</f>
        <v>322.36600666666675</v>
      </c>
      <c r="Q516" s="275">
        <f>R516-P516</f>
        <v>210.98796083205298</v>
      </c>
      <c r="R516" s="276">
        <f>Потребление!F38</f>
        <v>533.35396749871973</v>
      </c>
      <c r="S516" s="274">
        <f>SUM(S517:S519)</f>
        <v>243.05023399999996</v>
      </c>
      <c r="T516" s="275">
        <f>U516-S516</f>
        <v>228.93064697357491</v>
      </c>
      <c r="U516" s="276">
        <f>Потребление!G38</f>
        <v>471.98088097357487</v>
      </c>
      <c r="V516" s="274">
        <f>SUM(V517:V519)</f>
        <v>132.51931266666668</v>
      </c>
      <c r="W516" s="275">
        <f>X516-V516</f>
        <v>286.33216880334089</v>
      </c>
      <c r="X516" s="276">
        <f>Потребление!H38</f>
        <v>418.85148147000757</v>
      </c>
      <c r="Y516" s="274">
        <f>SUM(Y517:Y519)</f>
        <v>124.376186</v>
      </c>
      <c r="Z516" s="275">
        <f>AA516-Y516</f>
        <v>292.90799917229253</v>
      </c>
      <c r="AA516" s="276">
        <f>Потребление!I38</f>
        <v>417.28418517229255</v>
      </c>
      <c r="AB516" s="274">
        <f>SUM(AB517:AB519)</f>
        <v>119.97964733333336</v>
      </c>
      <c r="AC516" s="275">
        <f>AD516-AB516</f>
        <v>302.54002708332609</v>
      </c>
      <c r="AD516" s="276">
        <f>Потребление!J38</f>
        <v>422.51967441665943</v>
      </c>
      <c r="AE516" s="274">
        <f>SUM(AE517:AE519)</f>
        <v>123.01804800000001</v>
      </c>
      <c r="AF516" s="275">
        <f>AG516-AE516</f>
        <v>285.60333344358895</v>
      </c>
      <c r="AG516" s="276">
        <f>Потребление!K38</f>
        <v>408.62138144358897</v>
      </c>
      <c r="AH516" s="274">
        <f>SUM(AH517:AH519)</f>
        <v>145.77283866666664</v>
      </c>
      <c r="AI516" s="275">
        <f>AJ516-AH516</f>
        <v>268.01085154906264</v>
      </c>
      <c r="AJ516" s="276">
        <f>Потребление!L38</f>
        <v>413.78369021572928</v>
      </c>
      <c r="AK516" s="274">
        <f>SUM(AK517:AK519)</f>
        <v>250.436408</v>
      </c>
      <c r="AL516" s="275">
        <f>AM516-AK516</f>
        <v>243.67562793094882</v>
      </c>
      <c r="AM516" s="276">
        <f>Потребление!M38</f>
        <v>494.11203593094882</v>
      </c>
      <c r="AN516" s="274">
        <f>SUM(AN517:AN519)</f>
        <v>282.18704133333335</v>
      </c>
      <c r="AO516" s="275">
        <f>AP516-AN516</f>
        <v>239.23065428380551</v>
      </c>
      <c r="AP516" s="276">
        <f>Потребление!N38</f>
        <v>521.41769561713886</v>
      </c>
      <c r="AQ516" s="274">
        <f>SUM(AQ517:AQ519)</f>
        <v>350.23767066666665</v>
      </c>
      <c r="AR516" s="275">
        <f>AS516-AQ516</f>
        <v>219.40630456849453</v>
      </c>
      <c r="AS516" s="276">
        <f>Потребление!O38</f>
        <v>569.64397523516118</v>
      </c>
      <c r="AT516" s="274">
        <f>SUM(AT517:AT519)</f>
        <v>2762.3123726666668</v>
      </c>
      <c r="AU516" s="275">
        <f>AV516-AT516</f>
        <v>2996.6077986218193</v>
      </c>
      <c r="AV516" s="278">
        <f>L516+O516+R516+U516+X516+AA516+AD516+AG516+AJ516+AM516+AP516+AS516</f>
        <v>5758.920171288486</v>
      </c>
      <c r="AW516" s="279"/>
      <c r="AX516" s="1067">
        <v>5845.4712720999996</v>
      </c>
      <c r="AY516" s="298">
        <f>SUM(AY517:AY519)</f>
        <v>2691.9500380000004</v>
      </c>
      <c r="AZ516" s="261"/>
      <c r="BA516" s="261"/>
      <c r="BB516" s="261"/>
      <c r="BC516" s="261"/>
    </row>
    <row r="517" spans="1:55">
      <c r="B517" s="179"/>
      <c r="C517" s="179"/>
      <c r="D517" s="181"/>
      <c r="E517" s="181"/>
      <c r="F517" s="181"/>
      <c r="G517" s="181"/>
      <c r="H517" s="10" t="s">
        <v>56</v>
      </c>
      <c r="I517" s="10"/>
      <c r="J517" s="223">
        <f>SUM(J520:J521)</f>
        <v>285.47899999999998</v>
      </c>
      <c r="K517" s="271"/>
      <c r="L517" s="224"/>
      <c r="M517" s="270">
        <f>SUM(M520:M521)</f>
        <v>266.23366666666664</v>
      </c>
      <c r="N517" s="271"/>
      <c r="O517" s="224"/>
      <c r="P517" s="270">
        <f>SUM(P520:P521)</f>
        <v>269.404</v>
      </c>
      <c r="Q517" s="271"/>
      <c r="R517" s="224"/>
      <c r="S517" s="270">
        <f>SUM(S520:S521)</f>
        <v>189.84166666666667</v>
      </c>
      <c r="T517" s="271"/>
      <c r="U517" s="224"/>
      <c r="V517" s="270">
        <f>SUM(V520:V521)</f>
        <v>82.460666666666668</v>
      </c>
      <c r="W517" s="271"/>
      <c r="X517" s="224"/>
      <c r="Y517" s="270">
        <f>SUM(Y520:Y521)</f>
        <v>80.942333333333337</v>
      </c>
      <c r="Z517" s="271"/>
      <c r="AA517" s="224"/>
      <c r="AB517" s="270">
        <f>SUM(AB520:AB521)</f>
        <v>94.54800000000003</v>
      </c>
      <c r="AC517" s="271"/>
      <c r="AD517" s="224"/>
      <c r="AE517" s="270">
        <f>SUM(AE520:AE521)</f>
        <v>100.93433333333334</v>
      </c>
      <c r="AF517" s="271"/>
      <c r="AG517" s="224"/>
      <c r="AH517" s="270">
        <f>SUM(AH520:AH521)</f>
        <v>106.74866666666665</v>
      </c>
      <c r="AI517" s="271"/>
      <c r="AJ517" s="224"/>
      <c r="AK517" s="270">
        <f>SUM(AK520:AK521)</f>
        <v>196.286</v>
      </c>
      <c r="AL517" s="271"/>
      <c r="AM517" s="224"/>
      <c r="AN517" s="270">
        <f>SUM(AN520:AN521)</f>
        <v>225.91633333333334</v>
      </c>
      <c r="AO517" s="271"/>
      <c r="AP517" s="224"/>
      <c r="AQ517" s="270">
        <f>SUM(AQ520:AQ521)</f>
        <v>291.62866666666667</v>
      </c>
      <c r="AR517" s="271"/>
      <c r="AS517" s="224"/>
      <c r="AT517" s="270">
        <f>SUM(AT520:AT521)</f>
        <v>2190.4233333333332</v>
      </c>
      <c r="AU517" s="271"/>
      <c r="AV517" s="229"/>
      <c r="AW517" s="226"/>
      <c r="AX517" s="230"/>
      <c r="AY517" s="231">
        <f>SUM(AY520:AY521)</f>
        <v>2211.2271650000002</v>
      </c>
      <c r="AZ517" s="261"/>
      <c r="BA517" s="261"/>
      <c r="BB517" s="261"/>
      <c r="BC517" s="261"/>
    </row>
    <row r="518" spans="1:55">
      <c r="B518" s="179"/>
      <c r="C518" s="179"/>
      <c r="D518" s="181"/>
      <c r="E518" s="181"/>
      <c r="F518" s="181"/>
      <c r="G518" s="181"/>
      <c r="H518" s="10" t="s">
        <v>346</v>
      </c>
      <c r="I518" s="10"/>
      <c r="J518" s="223">
        <f>J522+J523+J524</f>
        <v>20.750999999999998</v>
      </c>
      <c r="K518" s="271"/>
      <c r="L518" s="224"/>
      <c r="M518" s="223">
        <f>M522+M523+M524</f>
        <v>13.151</v>
      </c>
      <c r="N518" s="271"/>
      <c r="O518" s="224"/>
      <c r="P518" s="223">
        <f>P522+P523+P524</f>
        <v>19.475000000000001</v>
      </c>
      <c r="Q518" s="271"/>
      <c r="R518" s="224"/>
      <c r="S518" s="223">
        <f>S522+S523+S524</f>
        <v>24.739000000000001</v>
      </c>
      <c r="T518" s="271"/>
      <c r="U518" s="224"/>
      <c r="V518" s="223">
        <f>V522+V523+V524</f>
        <v>21.787000000000003</v>
      </c>
      <c r="W518" s="271"/>
      <c r="X518" s="224"/>
      <c r="Y518" s="223">
        <f>Y522+Y523+Y524</f>
        <v>19.414000000000001</v>
      </c>
      <c r="Z518" s="271"/>
      <c r="AA518" s="224"/>
      <c r="AB518" s="223">
        <f>AB522+AB523+AB524</f>
        <v>13.318</v>
      </c>
      <c r="AC518" s="271"/>
      <c r="AD518" s="224"/>
      <c r="AE518" s="223">
        <f>AE522+AE523+AE524</f>
        <v>12.015000000000001</v>
      </c>
      <c r="AF518" s="271"/>
      <c r="AG518" s="224"/>
      <c r="AH518" s="223">
        <f>AH522+AH523+AH524</f>
        <v>12.974</v>
      </c>
      <c r="AI518" s="271"/>
      <c r="AJ518" s="224"/>
      <c r="AK518" s="223">
        <f>AK522+AK523+AK524</f>
        <v>12.814</v>
      </c>
      <c r="AL518" s="271"/>
      <c r="AM518" s="224"/>
      <c r="AN518" s="223">
        <f>AN522+AN523+AN524</f>
        <v>16.271999999999998</v>
      </c>
      <c r="AO518" s="271"/>
      <c r="AP518" s="224"/>
      <c r="AQ518" s="223">
        <f>AQ522+AQ523+AQ524</f>
        <v>14.885</v>
      </c>
      <c r="AR518" s="271"/>
      <c r="AS518" s="224"/>
      <c r="AT518" s="223">
        <f>AT522+AT523+AT524</f>
        <v>201.59500000000003</v>
      </c>
      <c r="AU518" s="271"/>
      <c r="AV518" s="229"/>
      <c r="AW518" s="226"/>
      <c r="AX518" s="230"/>
      <c r="AY518" s="231">
        <f>AY522+AY523</f>
        <v>87.654268999999999</v>
      </c>
      <c r="AZ518" s="261"/>
      <c r="BA518" s="261"/>
      <c r="BB518" s="261"/>
      <c r="BC518" s="261"/>
    </row>
    <row r="519" spans="1:55" s="107" customFormat="1">
      <c r="A519" s="179"/>
      <c r="B519" s="179"/>
      <c r="C519" s="179"/>
      <c r="D519" s="181"/>
      <c r="E519" s="181"/>
      <c r="F519" s="181"/>
      <c r="G519" s="181"/>
      <c r="H519" s="10" t="s">
        <v>99</v>
      </c>
      <c r="I519" s="10"/>
      <c r="J519" s="223">
        <f>J525</f>
        <v>44.930033333333306</v>
      </c>
      <c r="K519" s="271"/>
      <c r="L519" s="224"/>
      <c r="M519" s="270">
        <f>M525</f>
        <v>37.824279333333301</v>
      </c>
      <c r="N519" s="271"/>
      <c r="O519" s="224"/>
      <c r="P519" s="270">
        <f>P525</f>
        <v>33.487006666666701</v>
      </c>
      <c r="Q519" s="271"/>
      <c r="R519" s="224"/>
      <c r="S519" s="270">
        <f>S525</f>
        <v>28.469567333333298</v>
      </c>
      <c r="T519" s="271"/>
      <c r="U519" s="224"/>
      <c r="V519" s="270">
        <f>V525</f>
        <v>28.271646</v>
      </c>
      <c r="W519" s="271"/>
      <c r="X519" s="224"/>
      <c r="Y519" s="270">
        <f>Y525</f>
        <v>24.019852666666669</v>
      </c>
      <c r="Z519" s="271"/>
      <c r="AA519" s="224"/>
      <c r="AB519" s="270">
        <f>AB525</f>
        <v>12.11364733333334</v>
      </c>
      <c r="AC519" s="271"/>
      <c r="AD519" s="224"/>
      <c r="AE519" s="270">
        <f>AE525</f>
        <v>10.06871466666666</v>
      </c>
      <c r="AF519" s="271"/>
      <c r="AG519" s="224"/>
      <c r="AH519" s="270">
        <f>AH525</f>
        <v>26.050172</v>
      </c>
      <c r="AI519" s="271"/>
      <c r="AJ519" s="224"/>
      <c r="AK519" s="270">
        <f>AK525</f>
        <v>41.336408000000006</v>
      </c>
      <c r="AL519" s="271"/>
      <c r="AM519" s="224"/>
      <c r="AN519" s="270">
        <f>AN525</f>
        <v>39.998708000000001</v>
      </c>
      <c r="AO519" s="271"/>
      <c r="AP519" s="224"/>
      <c r="AQ519" s="270">
        <f>AQ525</f>
        <v>43.724004000000001</v>
      </c>
      <c r="AR519" s="271"/>
      <c r="AS519" s="224"/>
      <c r="AT519" s="270">
        <f>AT525</f>
        <v>370.29403933333333</v>
      </c>
      <c r="AU519" s="271"/>
      <c r="AV519" s="229"/>
      <c r="AW519" s="226"/>
      <c r="AX519" s="230"/>
      <c r="AY519" s="231">
        <f>AY525</f>
        <v>393.06860399999999</v>
      </c>
      <c r="AZ519" s="346"/>
      <c r="BA519" s="346"/>
      <c r="BB519" s="346"/>
      <c r="BC519" s="346"/>
    </row>
    <row r="520" spans="1:55">
      <c r="B520" s="179"/>
      <c r="C520" s="179"/>
      <c r="D520" s="181">
        <v>316310</v>
      </c>
      <c r="E520" s="181"/>
      <c r="F520" s="181"/>
      <c r="G520" s="1110">
        <v>316310</v>
      </c>
      <c r="H520" s="127" t="s">
        <v>1236</v>
      </c>
      <c r="I520" s="516" t="s">
        <v>364</v>
      </c>
      <c r="J520" s="244">
        <v>182.45666666666665</v>
      </c>
      <c r="K520" s="709"/>
      <c r="L520" s="710"/>
      <c r="M520" s="244">
        <v>162.71833333333333</v>
      </c>
      <c r="N520" s="709"/>
      <c r="O520" s="710"/>
      <c r="P520" s="244">
        <v>160.01266666666666</v>
      </c>
      <c r="Q520" s="709"/>
      <c r="R520" s="710"/>
      <c r="S520" s="244">
        <v>109.24933333333333</v>
      </c>
      <c r="T520" s="709"/>
      <c r="U520" s="710"/>
      <c r="V520" s="244">
        <v>40.662666666666667</v>
      </c>
      <c r="W520" s="709"/>
      <c r="X520" s="710"/>
      <c r="Y520" s="244">
        <v>39.622333333333337</v>
      </c>
      <c r="Z520" s="709"/>
      <c r="AA520" s="710"/>
      <c r="AB520" s="244">
        <v>38.685333333333332</v>
      </c>
      <c r="AC520" s="709"/>
      <c r="AD520" s="710"/>
      <c r="AE520" s="244">
        <v>38.081333333333333</v>
      </c>
      <c r="AF520" s="709"/>
      <c r="AG520" s="710"/>
      <c r="AH520" s="244">
        <v>45.634666666666661</v>
      </c>
      <c r="AI520" s="709"/>
      <c r="AJ520" s="710"/>
      <c r="AK520" s="244">
        <v>112.43833333333333</v>
      </c>
      <c r="AL520" s="709"/>
      <c r="AM520" s="710"/>
      <c r="AN520" s="244">
        <v>128.00933333333333</v>
      </c>
      <c r="AO520" s="709"/>
      <c r="AP520" s="710"/>
      <c r="AQ520" s="244">
        <v>183.56700000000001</v>
      </c>
      <c r="AR520" s="246"/>
      <c r="AS520" s="282"/>
      <c r="AT520" s="244">
        <f t="shared" ref="AT520:AT525" si="19">J520+M520+P520+S520+V520+Y520+AB520+AE520+AH520+AK520+AN520+AQ520</f>
        <v>1241.1379999999999</v>
      </c>
      <c r="AU520" s="283"/>
      <c r="AV520" s="284"/>
      <c r="AW520" s="285"/>
      <c r="AX520" s="321"/>
      <c r="AY520" s="435">
        <v>1273.866698</v>
      </c>
      <c r="AZ520" s="261"/>
      <c r="BA520" s="261"/>
      <c r="BB520" s="261"/>
      <c r="BC520" s="261"/>
    </row>
    <row r="521" spans="1:55">
      <c r="B521" s="179"/>
      <c r="C521" s="179"/>
      <c r="D521" s="181">
        <v>316312</v>
      </c>
      <c r="E521" s="181"/>
      <c r="F521" s="181"/>
      <c r="G521" s="1110">
        <v>316312</v>
      </c>
      <c r="H521" s="127" t="s">
        <v>1237</v>
      </c>
      <c r="I521" s="516" t="s">
        <v>364</v>
      </c>
      <c r="J521" s="244">
        <v>103.02233333333334</v>
      </c>
      <c r="K521" s="709"/>
      <c r="L521" s="710"/>
      <c r="M521" s="244">
        <v>103.51533333333333</v>
      </c>
      <c r="N521" s="709"/>
      <c r="O521" s="710"/>
      <c r="P521" s="244">
        <v>109.39133333333332</v>
      </c>
      <c r="Q521" s="709"/>
      <c r="R521" s="710"/>
      <c r="S521" s="244">
        <v>80.592333333333343</v>
      </c>
      <c r="T521" s="709"/>
      <c r="U521" s="710"/>
      <c r="V521" s="244">
        <v>41.798000000000002</v>
      </c>
      <c r="W521" s="709"/>
      <c r="X521" s="710"/>
      <c r="Y521" s="244">
        <v>41.32</v>
      </c>
      <c r="Z521" s="709"/>
      <c r="AA521" s="710"/>
      <c r="AB521" s="345">
        <f>45.8626666666667+10</f>
        <v>55.862666666666698</v>
      </c>
      <c r="AC521" s="709"/>
      <c r="AD521" s="710"/>
      <c r="AE521" s="244">
        <v>62.853000000000002</v>
      </c>
      <c r="AF521" s="709"/>
      <c r="AG521" s="710"/>
      <c r="AH521" s="244">
        <v>61.113999999999997</v>
      </c>
      <c r="AI521" s="709"/>
      <c r="AJ521" s="710"/>
      <c r="AK521" s="244">
        <v>83.847666666666655</v>
      </c>
      <c r="AL521" s="709"/>
      <c r="AM521" s="710"/>
      <c r="AN521" s="244">
        <v>97.906999999999996</v>
      </c>
      <c r="AO521" s="709"/>
      <c r="AP521" s="710"/>
      <c r="AQ521" s="244">
        <v>108.06166666666667</v>
      </c>
      <c r="AR521" s="246"/>
      <c r="AS521" s="282"/>
      <c r="AT521" s="244">
        <f t="shared" si="19"/>
        <v>949.28533333333326</v>
      </c>
      <c r="AU521" s="283"/>
      <c r="AV521" s="284"/>
      <c r="AW521" s="285"/>
      <c r="AX521" s="321"/>
      <c r="AY521" s="435">
        <v>937.36046699999997</v>
      </c>
      <c r="AZ521" s="261"/>
      <c r="BA521" s="261"/>
      <c r="BB521" s="261"/>
      <c r="BC521" s="261"/>
    </row>
    <row r="522" spans="1:55">
      <c r="B522" s="179"/>
      <c r="C522" s="179"/>
      <c r="D522" s="181"/>
      <c r="E522" s="181"/>
      <c r="F522" s="181"/>
      <c r="G522" s="1110">
        <v>777330</v>
      </c>
      <c r="H522" s="1143" t="s">
        <v>1709</v>
      </c>
      <c r="I522" s="516" t="s">
        <v>364</v>
      </c>
      <c r="J522" s="244">
        <v>8.5449999999999999</v>
      </c>
      <c r="K522" s="709"/>
      <c r="L522" s="710"/>
      <c r="M522" s="244">
        <v>5.415</v>
      </c>
      <c r="N522" s="709"/>
      <c r="O522" s="710"/>
      <c r="P522" s="244">
        <v>8.0190000000000001</v>
      </c>
      <c r="Q522" s="709"/>
      <c r="R522" s="710"/>
      <c r="S522" s="244">
        <v>10.186999999999999</v>
      </c>
      <c r="T522" s="709"/>
      <c r="U522" s="710"/>
      <c r="V522" s="244">
        <v>8.9710000000000001</v>
      </c>
      <c r="W522" s="709"/>
      <c r="X522" s="710"/>
      <c r="Y522" s="244">
        <v>7.9939999999999998</v>
      </c>
      <c r="Z522" s="709"/>
      <c r="AA522" s="710"/>
      <c r="AB522" s="244">
        <v>5.484</v>
      </c>
      <c r="AC522" s="709"/>
      <c r="AD522" s="710"/>
      <c r="AE522" s="244">
        <v>4.9470000000000001</v>
      </c>
      <c r="AF522" s="709"/>
      <c r="AG522" s="710"/>
      <c r="AH522" s="244">
        <v>5.3419999999999996</v>
      </c>
      <c r="AI522" s="709"/>
      <c r="AJ522" s="710"/>
      <c r="AK522" s="244">
        <v>5.2759999999999998</v>
      </c>
      <c r="AL522" s="709"/>
      <c r="AM522" s="710"/>
      <c r="AN522" s="244">
        <v>6.7</v>
      </c>
      <c r="AO522" s="709"/>
      <c r="AP522" s="710"/>
      <c r="AQ522" s="244">
        <v>6.1289999999999996</v>
      </c>
      <c r="AR522" s="246"/>
      <c r="AS522" s="282"/>
      <c r="AT522" s="244">
        <f t="shared" si="19"/>
        <v>83.009000000000015</v>
      </c>
      <c r="AU522" s="283"/>
      <c r="AV522" s="284"/>
      <c r="AW522" s="285"/>
      <c r="AX522" s="321"/>
      <c r="AY522" s="435">
        <v>87.654268999999999</v>
      </c>
      <c r="AZ522" s="261"/>
      <c r="BA522" s="261"/>
      <c r="BB522" s="261"/>
      <c r="BC522" s="261"/>
    </row>
    <row r="523" spans="1:55">
      <c r="B523" s="179"/>
      <c r="C523" s="179"/>
      <c r="D523" s="181"/>
      <c r="E523" s="181"/>
      <c r="F523" s="181"/>
      <c r="G523" s="1110" t="s">
        <v>1710</v>
      </c>
      <c r="H523" s="1143" t="s">
        <v>1711</v>
      </c>
      <c r="I523" s="516" t="s">
        <v>364</v>
      </c>
      <c r="J523" s="244">
        <v>6.1029999999999998</v>
      </c>
      <c r="K523" s="709"/>
      <c r="L523" s="710"/>
      <c r="M523" s="244">
        <v>3.8679999999999999</v>
      </c>
      <c r="N523" s="709"/>
      <c r="O523" s="710"/>
      <c r="P523" s="244">
        <v>5.7279999999999998</v>
      </c>
      <c r="Q523" s="709"/>
      <c r="R523" s="710"/>
      <c r="S523" s="244">
        <v>7.2759999999999998</v>
      </c>
      <c r="T523" s="709"/>
      <c r="U523" s="710"/>
      <c r="V523" s="244">
        <v>6.4080000000000004</v>
      </c>
      <c r="W523" s="709"/>
      <c r="X523" s="710"/>
      <c r="Y523" s="244">
        <v>5.71</v>
      </c>
      <c r="Z523" s="709"/>
      <c r="AA523" s="710"/>
      <c r="AB523" s="244">
        <v>3.9169999999999998</v>
      </c>
      <c r="AC523" s="709"/>
      <c r="AD523" s="710"/>
      <c r="AE523" s="244">
        <v>3.5339999999999998</v>
      </c>
      <c r="AF523" s="709"/>
      <c r="AG523" s="710"/>
      <c r="AH523" s="244">
        <v>3.8159999999999998</v>
      </c>
      <c r="AI523" s="709"/>
      <c r="AJ523" s="710"/>
      <c r="AK523" s="244">
        <v>3.7690000000000001</v>
      </c>
      <c r="AL523" s="709"/>
      <c r="AM523" s="710"/>
      <c r="AN523" s="244">
        <v>4.7859999999999996</v>
      </c>
      <c r="AO523" s="709"/>
      <c r="AP523" s="710"/>
      <c r="AQ523" s="244">
        <v>4.3780000000000001</v>
      </c>
      <c r="AR523" s="246"/>
      <c r="AS523" s="282"/>
      <c r="AT523" s="244">
        <f t="shared" si="19"/>
        <v>59.293000000000006</v>
      </c>
      <c r="AU523" s="283"/>
      <c r="AV523" s="284"/>
      <c r="AW523" s="285"/>
      <c r="AX523" s="321"/>
      <c r="AY523" s="707"/>
      <c r="AZ523" s="261"/>
      <c r="BA523" s="261"/>
      <c r="BB523" s="261"/>
      <c r="BC523" s="261"/>
    </row>
    <row r="524" spans="1:55">
      <c r="B524" s="179"/>
      <c r="C524" s="179"/>
      <c r="D524" s="181"/>
      <c r="E524" s="181"/>
      <c r="F524" s="181"/>
      <c r="G524" s="1110" t="s">
        <v>1710</v>
      </c>
      <c r="H524" s="1143" t="s">
        <v>1712</v>
      </c>
      <c r="I524" s="516" t="s">
        <v>364</v>
      </c>
      <c r="J524" s="244">
        <v>6.1029999999999998</v>
      </c>
      <c r="K524" s="709"/>
      <c r="L524" s="710"/>
      <c r="M524" s="244">
        <v>3.8679999999999999</v>
      </c>
      <c r="N524" s="709"/>
      <c r="O524" s="710"/>
      <c r="P524" s="244">
        <v>5.7279999999999998</v>
      </c>
      <c r="Q524" s="709"/>
      <c r="R524" s="710"/>
      <c r="S524" s="244">
        <v>7.2759999999999998</v>
      </c>
      <c r="T524" s="709"/>
      <c r="U524" s="710"/>
      <c r="V524" s="244">
        <v>6.4080000000000004</v>
      </c>
      <c r="W524" s="709"/>
      <c r="X524" s="710"/>
      <c r="Y524" s="244">
        <v>5.71</v>
      </c>
      <c r="Z524" s="709"/>
      <c r="AA524" s="710"/>
      <c r="AB524" s="244">
        <v>3.9169999999999998</v>
      </c>
      <c r="AC524" s="709"/>
      <c r="AD524" s="710"/>
      <c r="AE524" s="244">
        <v>3.5339999999999998</v>
      </c>
      <c r="AF524" s="709"/>
      <c r="AG524" s="710"/>
      <c r="AH524" s="244">
        <v>3.8159999999999998</v>
      </c>
      <c r="AI524" s="709"/>
      <c r="AJ524" s="710"/>
      <c r="AK524" s="244">
        <v>3.7690000000000001</v>
      </c>
      <c r="AL524" s="709"/>
      <c r="AM524" s="710"/>
      <c r="AN524" s="244">
        <v>4.7859999999999996</v>
      </c>
      <c r="AO524" s="709"/>
      <c r="AP524" s="710"/>
      <c r="AQ524" s="244">
        <v>4.3780000000000001</v>
      </c>
      <c r="AR524" s="246"/>
      <c r="AS524" s="282"/>
      <c r="AT524" s="244">
        <f t="shared" si="19"/>
        <v>59.293000000000006</v>
      </c>
      <c r="AU524" s="283"/>
      <c r="AV524" s="284"/>
      <c r="AW524" s="285"/>
      <c r="AX524" s="321"/>
      <c r="AY524" s="707"/>
      <c r="AZ524" s="261"/>
      <c r="BA524" s="261"/>
      <c r="BB524" s="261"/>
      <c r="BC524" s="261"/>
    </row>
    <row r="525" spans="1:55">
      <c r="B525" s="179"/>
      <c r="C525" s="179"/>
      <c r="D525" s="181">
        <v>316377</v>
      </c>
      <c r="E525" s="181"/>
      <c r="F525" s="181"/>
      <c r="G525" s="1110"/>
      <c r="H525" s="138" t="s">
        <v>174</v>
      </c>
      <c r="I525" s="138"/>
      <c r="J525" s="954">
        <f>J526+J527</f>
        <v>44.930033333333306</v>
      </c>
      <c r="K525" s="288"/>
      <c r="L525" s="289"/>
      <c r="M525" s="954">
        <f>M526+M527</f>
        <v>37.824279333333301</v>
      </c>
      <c r="N525" s="288"/>
      <c r="O525" s="289"/>
      <c r="P525" s="954">
        <f>P526+P527</f>
        <v>33.487006666666701</v>
      </c>
      <c r="Q525" s="288"/>
      <c r="R525" s="289"/>
      <c r="S525" s="954">
        <f>S526+S527</f>
        <v>28.469567333333298</v>
      </c>
      <c r="T525" s="288"/>
      <c r="U525" s="289"/>
      <c r="V525" s="954">
        <f>V526+V527</f>
        <v>28.271646</v>
      </c>
      <c r="W525" s="288"/>
      <c r="X525" s="289"/>
      <c r="Y525" s="954">
        <f>Y526+Y527</f>
        <v>24.019852666666669</v>
      </c>
      <c r="Z525" s="288"/>
      <c r="AA525" s="289"/>
      <c r="AB525" s="954">
        <f>AB526+AB527</f>
        <v>12.11364733333334</v>
      </c>
      <c r="AC525" s="288"/>
      <c r="AD525" s="289"/>
      <c r="AE525" s="954">
        <f>AE526+AE527</f>
        <v>10.06871466666666</v>
      </c>
      <c r="AF525" s="288"/>
      <c r="AG525" s="289"/>
      <c r="AH525" s="954">
        <f>AH526+AH527</f>
        <v>26.050172</v>
      </c>
      <c r="AI525" s="288"/>
      <c r="AJ525" s="289"/>
      <c r="AK525" s="954">
        <f>AK526+AK527</f>
        <v>41.336408000000006</v>
      </c>
      <c r="AL525" s="288"/>
      <c r="AM525" s="289"/>
      <c r="AN525" s="954">
        <f>AN526+AN527</f>
        <v>39.998708000000001</v>
      </c>
      <c r="AO525" s="288"/>
      <c r="AP525" s="289"/>
      <c r="AQ525" s="954">
        <f>AQ526+AQ527</f>
        <v>43.724004000000001</v>
      </c>
      <c r="AR525" s="288"/>
      <c r="AS525" s="289"/>
      <c r="AT525" s="319">
        <f t="shared" si="19"/>
        <v>370.29403933333333</v>
      </c>
      <c r="AU525" s="288"/>
      <c r="AV525" s="290"/>
      <c r="AW525" s="285"/>
      <c r="AX525" s="296"/>
      <c r="AY525" s="436">
        <v>393.06860399999999</v>
      </c>
      <c r="AZ525" s="261"/>
      <c r="BA525" s="261"/>
      <c r="BB525" s="261"/>
      <c r="BC525" s="261"/>
    </row>
    <row r="526" spans="1:55">
      <c r="B526" s="179"/>
      <c r="C526" s="179"/>
      <c r="D526" s="181">
        <v>316341</v>
      </c>
      <c r="E526" s="181"/>
      <c r="F526" s="181"/>
      <c r="G526" s="1110">
        <v>316341</v>
      </c>
      <c r="H526" s="135" t="s">
        <v>1238</v>
      </c>
      <c r="I526" s="518" t="s">
        <v>365</v>
      </c>
      <c r="J526" s="294">
        <v>33.270000000000003</v>
      </c>
      <c r="K526" s="713"/>
      <c r="L526" s="714"/>
      <c r="M526" s="294">
        <v>27.740000000000002</v>
      </c>
      <c r="N526" s="713"/>
      <c r="O526" s="714"/>
      <c r="P526" s="294">
        <v>22.78</v>
      </c>
      <c r="Q526" s="713"/>
      <c r="R526" s="714"/>
      <c r="S526" s="294">
        <v>18.009999999999998</v>
      </c>
      <c r="T526" s="713"/>
      <c r="U526" s="714"/>
      <c r="V526" s="294">
        <v>22.82</v>
      </c>
      <c r="W526" s="713"/>
      <c r="X526" s="714"/>
      <c r="Y526" s="294">
        <v>19.579999999999998</v>
      </c>
      <c r="Z526" s="713"/>
      <c r="AA526" s="714"/>
      <c r="AB526" s="294">
        <v>7.1899999999999995</v>
      </c>
      <c r="AC526" s="713"/>
      <c r="AD526" s="714"/>
      <c r="AE526" s="294">
        <v>5.7799999999999994</v>
      </c>
      <c r="AF526" s="713"/>
      <c r="AG526" s="714"/>
      <c r="AH526" s="294">
        <v>20.97</v>
      </c>
      <c r="AI526" s="713"/>
      <c r="AJ526" s="714"/>
      <c r="AK526" s="294">
        <v>32.67</v>
      </c>
      <c r="AL526" s="713"/>
      <c r="AM526" s="714"/>
      <c r="AN526" s="294">
        <v>29.39</v>
      </c>
      <c r="AO526" s="713"/>
      <c r="AP526" s="714"/>
      <c r="AQ526" s="294">
        <v>31.9</v>
      </c>
      <c r="AR526" s="288"/>
      <c r="AS526" s="289"/>
      <c r="AT526" s="294">
        <v>301.27</v>
      </c>
      <c r="AU526" s="288"/>
      <c r="AV526" s="290"/>
      <c r="AW526" s="285"/>
      <c r="AX526" s="296"/>
      <c r="AY526" s="313"/>
      <c r="AZ526" s="261"/>
      <c r="BA526" s="261"/>
      <c r="BB526" s="261"/>
      <c r="BC526" s="261"/>
    </row>
    <row r="527" spans="1:55">
      <c r="B527" s="179"/>
      <c r="C527" s="179"/>
      <c r="D527" s="181">
        <v>316340</v>
      </c>
      <c r="E527" s="181"/>
      <c r="F527" s="181"/>
      <c r="G527" s="1110">
        <v>316340</v>
      </c>
      <c r="H527" s="135" t="s">
        <v>1239</v>
      </c>
      <c r="I527" s="518" t="s">
        <v>365</v>
      </c>
      <c r="J527" s="294">
        <v>11.660033333333301</v>
      </c>
      <c r="K527" s="713"/>
      <c r="L527" s="714"/>
      <c r="M527" s="294">
        <v>10.084279333333299</v>
      </c>
      <c r="N527" s="713"/>
      <c r="O527" s="714"/>
      <c r="P527" s="294">
        <v>10.7070066666667</v>
      </c>
      <c r="Q527" s="713"/>
      <c r="R527" s="714"/>
      <c r="S527" s="294">
        <v>10.4595673333333</v>
      </c>
      <c r="T527" s="713"/>
      <c r="U527" s="714"/>
      <c r="V527" s="294">
        <v>5.4516460000000002</v>
      </c>
      <c r="W527" s="713"/>
      <c r="X527" s="714"/>
      <c r="Y527" s="294">
        <v>4.4398526666666696</v>
      </c>
      <c r="Z527" s="713"/>
      <c r="AA527" s="714"/>
      <c r="AB527" s="294">
        <v>4.9236473333333404</v>
      </c>
      <c r="AC527" s="713"/>
      <c r="AD527" s="714"/>
      <c r="AE527" s="294">
        <v>4.2887146666666602</v>
      </c>
      <c r="AF527" s="713"/>
      <c r="AG527" s="714"/>
      <c r="AH527" s="294">
        <v>5.0801720000000001</v>
      </c>
      <c r="AI527" s="713"/>
      <c r="AJ527" s="714"/>
      <c r="AK527" s="294">
        <v>8.6664080000000006</v>
      </c>
      <c r="AL527" s="713"/>
      <c r="AM527" s="714"/>
      <c r="AN527" s="294">
        <v>10.608708</v>
      </c>
      <c r="AO527" s="713"/>
      <c r="AP527" s="714"/>
      <c r="AQ527" s="294">
        <v>11.824004</v>
      </c>
      <c r="AR527" s="288"/>
      <c r="AS527" s="289"/>
      <c r="AT527" s="294">
        <v>101.91</v>
      </c>
      <c r="AU527" s="288"/>
      <c r="AV527" s="290"/>
      <c r="AW527" s="285"/>
      <c r="AX527" s="296"/>
      <c r="AY527" s="313"/>
      <c r="AZ527" s="261"/>
      <c r="BA527" s="261"/>
      <c r="BB527" s="261"/>
      <c r="BC527" s="261"/>
    </row>
    <row r="528" spans="1:55" ht="18.75">
      <c r="B528" s="179"/>
      <c r="C528" s="179"/>
      <c r="D528" s="181">
        <v>316600</v>
      </c>
      <c r="E528" s="181"/>
      <c r="F528" s="181"/>
      <c r="G528" s="181">
        <v>316600</v>
      </c>
      <c r="H528" s="473" t="s">
        <v>1594</v>
      </c>
      <c r="I528" s="473"/>
      <c r="J528" s="277">
        <f>SUM(J529:J530)</f>
        <v>467.49515930175778</v>
      </c>
      <c r="K528" s="275">
        <f>L528-J528</f>
        <v>42.110655715762277</v>
      </c>
      <c r="L528" s="276">
        <f>Потребление!D39</f>
        <v>509.60581501752006</v>
      </c>
      <c r="M528" s="274">
        <f>SUM(M529:M530)</f>
        <v>441.22547973632811</v>
      </c>
      <c r="N528" s="275">
        <f>O528-M528</f>
        <v>30.435574881347463</v>
      </c>
      <c r="O528" s="276">
        <f>Потребление!E39</f>
        <v>471.66105461767557</v>
      </c>
      <c r="P528" s="274">
        <f>SUM(P529:P530)</f>
        <v>442.36446105957032</v>
      </c>
      <c r="Q528" s="275">
        <f>R528-P528</f>
        <v>46.77149285727927</v>
      </c>
      <c r="R528" s="276">
        <f>Потребление!F39</f>
        <v>489.13595391684959</v>
      </c>
      <c r="S528" s="274">
        <f>SUM(S529:S530)</f>
        <v>459.89644042968752</v>
      </c>
      <c r="T528" s="275">
        <f>U528-S528</f>
        <v>-29.594397785355454</v>
      </c>
      <c r="U528" s="276">
        <f>Потребление!G39</f>
        <v>430.30204264433206</v>
      </c>
      <c r="V528" s="274">
        <f>SUM(V529:V530)</f>
        <v>424.93915527343751</v>
      </c>
      <c r="W528" s="275">
        <f>X528-V528</f>
        <v>-41.605084574885495</v>
      </c>
      <c r="X528" s="276">
        <f>Потребление!H39</f>
        <v>383.33407069855201</v>
      </c>
      <c r="Y528" s="274">
        <f>SUM(Y529:Y530)</f>
        <v>299.67820007324218</v>
      </c>
      <c r="Z528" s="275">
        <f>AA528-Y528</f>
        <v>76.874237019778548</v>
      </c>
      <c r="AA528" s="276">
        <f>Потребление!I39</f>
        <v>376.55243709302073</v>
      </c>
      <c r="AB528" s="274">
        <f>SUM(AB529:AB530)</f>
        <v>286.25859313964844</v>
      </c>
      <c r="AC528" s="275">
        <f>AD528-AB528</f>
        <v>94.904725485953065</v>
      </c>
      <c r="AD528" s="276">
        <f>Потребление!J39</f>
        <v>381.16331862560151</v>
      </c>
      <c r="AE528" s="274">
        <f>SUM(AE529:AE530)</f>
        <v>267.1938427734375</v>
      </c>
      <c r="AF528" s="275">
        <f>AG528-AE528</f>
        <v>111.1999288599182</v>
      </c>
      <c r="AG528" s="276">
        <f>Потребление!K39</f>
        <v>378.3937716333557</v>
      </c>
      <c r="AH528" s="274">
        <f>SUM(AH529:AH530)</f>
        <v>284.95237365722653</v>
      </c>
      <c r="AI528" s="275">
        <f>AJ528-AH528</f>
        <v>98.696024210454027</v>
      </c>
      <c r="AJ528" s="276">
        <f>Потребление!L39</f>
        <v>383.64839786768056</v>
      </c>
      <c r="AK528" s="274">
        <f>SUM(AK529:AK530)</f>
        <v>382.13767395019534</v>
      </c>
      <c r="AL528" s="275">
        <f>AM528-AK528</f>
        <v>71.841998633839182</v>
      </c>
      <c r="AM528" s="276">
        <f>Потребление!M39</f>
        <v>453.97967258403452</v>
      </c>
      <c r="AN528" s="274">
        <f>SUM(AN529:AN530)</f>
        <v>463.56322814941404</v>
      </c>
      <c r="AO528" s="275">
        <f>AP528-AN528</f>
        <v>15.851262719231556</v>
      </c>
      <c r="AP528" s="276">
        <f>Потребление!N39</f>
        <v>479.4144908686456</v>
      </c>
      <c r="AQ528" s="274">
        <f>SUM(AQ529:AQ530)</f>
        <v>458.64627380371093</v>
      </c>
      <c r="AR528" s="275">
        <f>AS528-AQ528</f>
        <v>59.002798875005226</v>
      </c>
      <c r="AS528" s="276">
        <f>Потребление!O39</f>
        <v>517.64907267871615</v>
      </c>
      <c r="AT528" s="274">
        <f>SUM(AT529:AT530)</f>
        <v>4678.3508813476565</v>
      </c>
      <c r="AU528" s="275">
        <f>AV528-AT528</f>
        <v>576.48921689832696</v>
      </c>
      <c r="AV528" s="278">
        <f>L528+O528+R528+U528+X528+AA528+AD528+AG528+AJ528+AM528+AP528+AS528</f>
        <v>5254.8400982459834</v>
      </c>
      <c r="AW528" s="279"/>
      <c r="AX528" s="1067">
        <v>5097.9857220000004</v>
      </c>
      <c r="AY528" s="298">
        <f>AY529+AY530</f>
        <v>4552.7303499999998</v>
      </c>
      <c r="AZ528" s="261"/>
      <c r="BA528" s="261"/>
      <c r="BB528" s="261"/>
      <c r="BC528" s="261"/>
    </row>
    <row r="529" spans="1:55">
      <c r="B529" s="179"/>
      <c r="C529" s="179"/>
      <c r="D529" s="181"/>
      <c r="E529" s="181"/>
      <c r="F529" s="181"/>
      <c r="G529" s="181"/>
      <c r="H529" s="10" t="s">
        <v>56</v>
      </c>
      <c r="I529" s="10"/>
      <c r="J529" s="223">
        <f>J531+J532</f>
        <v>316.40999999999997</v>
      </c>
      <c r="K529" s="271"/>
      <c r="L529" s="224"/>
      <c r="M529" s="270">
        <f>M531+M532</f>
        <v>286.14</v>
      </c>
      <c r="N529" s="271"/>
      <c r="O529" s="224"/>
      <c r="P529" s="270">
        <f>P531+P532</f>
        <v>245.37</v>
      </c>
      <c r="Q529" s="271"/>
      <c r="R529" s="224"/>
      <c r="S529" s="270">
        <f>S531+S532</f>
        <v>174.92000000000002</v>
      </c>
      <c r="T529" s="271"/>
      <c r="U529" s="224"/>
      <c r="V529" s="270">
        <f>V531+V532</f>
        <v>121.93</v>
      </c>
      <c r="W529" s="271"/>
      <c r="X529" s="224"/>
      <c r="Y529" s="270">
        <f>Y531+Y532</f>
        <v>105.07</v>
      </c>
      <c r="Z529" s="271"/>
      <c r="AA529" s="224"/>
      <c r="AB529" s="270">
        <f>AB531+AB532</f>
        <v>123.81</v>
      </c>
      <c r="AC529" s="271"/>
      <c r="AD529" s="224"/>
      <c r="AE529" s="270">
        <f>AE531+AE532</f>
        <v>121.88</v>
      </c>
      <c r="AF529" s="271"/>
      <c r="AG529" s="224"/>
      <c r="AH529" s="270">
        <f>AH531+AH532</f>
        <v>138.41</v>
      </c>
      <c r="AI529" s="271"/>
      <c r="AJ529" s="224"/>
      <c r="AK529" s="270">
        <f>AK531+AK532</f>
        <v>217.35000000000002</v>
      </c>
      <c r="AL529" s="271"/>
      <c r="AM529" s="224"/>
      <c r="AN529" s="270">
        <f>AN531+AN532</f>
        <v>297.52</v>
      </c>
      <c r="AO529" s="271"/>
      <c r="AP529" s="224"/>
      <c r="AQ529" s="270">
        <f>AQ531+AQ532</f>
        <v>300.45</v>
      </c>
      <c r="AR529" s="271"/>
      <c r="AS529" s="224"/>
      <c r="AT529" s="270">
        <f>AT531+AT532</f>
        <v>2449.2600000000002</v>
      </c>
      <c r="AU529" s="271"/>
      <c r="AV529" s="229"/>
      <c r="AW529" s="226"/>
      <c r="AX529" s="230"/>
      <c r="AY529" s="231">
        <f>SUM(AY531:AY536)</f>
        <v>2365.4759469999999</v>
      </c>
      <c r="AZ529" s="261"/>
      <c r="BA529" s="261"/>
      <c r="BB529" s="261"/>
      <c r="BC529" s="261"/>
    </row>
    <row r="530" spans="1:55">
      <c r="B530" s="179"/>
      <c r="C530" s="179"/>
      <c r="D530" s="181"/>
      <c r="E530" s="181"/>
      <c r="F530" s="181"/>
      <c r="G530" s="181"/>
      <c r="H530" s="10" t="s">
        <v>55</v>
      </c>
      <c r="I530" s="10"/>
      <c r="J530" s="223">
        <f>J537</f>
        <v>151.08515930175781</v>
      </c>
      <c r="K530" s="271"/>
      <c r="L530" s="224"/>
      <c r="M530" s="270">
        <f>M537</f>
        <v>155.08547973632813</v>
      </c>
      <c r="N530" s="271"/>
      <c r="O530" s="224"/>
      <c r="P530" s="270">
        <f>P537</f>
        <v>196.99446105957031</v>
      </c>
      <c r="Q530" s="271"/>
      <c r="R530" s="224"/>
      <c r="S530" s="270">
        <f>S537</f>
        <v>284.9764404296875</v>
      </c>
      <c r="T530" s="271"/>
      <c r="U530" s="224"/>
      <c r="V530" s="270">
        <f>V537</f>
        <v>303.0091552734375</v>
      </c>
      <c r="W530" s="271"/>
      <c r="X530" s="224"/>
      <c r="Y530" s="270">
        <f>Y537</f>
        <v>194.60820007324219</v>
      </c>
      <c r="Z530" s="271"/>
      <c r="AA530" s="224"/>
      <c r="AB530" s="270">
        <f>AB537</f>
        <v>162.44859313964844</v>
      </c>
      <c r="AC530" s="271"/>
      <c r="AD530" s="224"/>
      <c r="AE530" s="270">
        <f>AE537</f>
        <v>145.3138427734375</v>
      </c>
      <c r="AF530" s="271"/>
      <c r="AG530" s="224"/>
      <c r="AH530" s="270">
        <f>AH537</f>
        <v>146.54237365722656</v>
      </c>
      <c r="AI530" s="271"/>
      <c r="AJ530" s="224"/>
      <c r="AK530" s="270">
        <f>AK537</f>
        <v>164.78767395019531</v>
      </c>
      <c r="AL530" s="271"/>
      <c r="AM530" s="224"/>
      <c r="AN530" s="270">
        <f>AN537</f>
        <v>166.04322814941406</v>
      </c>
      <c r="AO530" s="271"/>
      <c r="AP530" s="224"/>
      <c r="AQ530" s="270">
        <f>AQ537</f>
        <v>158.19627380371094</v>
      </c>
      <c r="AR530" s="271"/>
      <c r="AS530" s="224"/>
      <c r="AT530" s="270">
        <f>AT537</f>
        <v>2229.0908813476563</v>
      </c>
      <c r="AU530" s="271"/>
      <c r="AV530" s="229"/>
      <c r="AW530" s="226"/>
      <c r="AX530" s="230"/>
      <c r="AY530" s="231">
        <f>AY537</f>
        <v>2187.2544029999999</v>
      </c>
      <c r="AZ530" s="261"/>
      <c r="BA530" s="261"/>
      <c r="BB530" s="261"/>
      <c r="BC530" s="261"/>
    </row>
    <row r="531" spans="1:55" s="92" customFormat="1">
      <c r="A531" s="179"/>
      <c r="B531" s="179"/>
      <c r="C531" s="179"/>
      <c r="D531" s="181">
        <v>316612</v>
      </c>
      <c r="E531" s="181"/>
      <c r="F531" s="181"/>
      <c r="G531" s="1110">
        <v>316612</v>
      </c>
      <c r="H531" s="127" t="s">
        <v>852</v>
      </c>
      <c r="I531" s="516" t="s">
        <v>364</v>
      </c>
      <c r="J531" s="244">
        <v>183.23</v>
      </c>
      <c r="K531" s="709"/>
      <c r="L531" s="710"/>
      <c r="M531" s="345">
        <f>151.3+20</f>
        <v>171.3</v>
      </c>
      <c r="N531" s="709"/>
      <c r="O531" s="710"/>
      <c r="P531" s="244">
        <v>141.94999999999999</v>
      </c>
      <c r="Q531" s="709"/>
      <c r="R531" s="710"/>
      <c r="S531" s="320">
        <f>102.84-10</f>
        <v>92.84</v>
      </c>
      <c r="T531" s="709"/>
      <c r="U531" s="710"/>
      <c r="V531" s="244">
        <v>53.29</v>
      </c>
      <c r="W531" s="709"/>
      <c r="X531" s="710"/>
      <c r="Y531" s="244">
        <v>50.11</v>
      </c>
      <c r="Z531" s="709"/>
      <c r="AA531" s="710"/>
      <c r="AB531" s="244">
        <v>62.73</v>
      </c>
      <c r="AC531" s="709"/>
      <c r="AD531" s="710"/>
      <c r="AE531" s="244">
        <v>63.68</v>
      </c>
      <c r="AF531" s="709"/>
      <c r="AG531" s="710"/>
      <c r="AH531" s="244">
        <v>62.91</v>
      </c>
      <c r="AI531" s="709"/>
      <c r="AJ531" s="710"/>
      <c r="AK531" s="244">
        <v>117.33</v>
      </c>
      <c r="AL531" s="709"/>
      <c r="AM531" s="710"/>
      <c r="AN531" s="345">
        <f>134.32+30</f>
        <v>164.32</v>
      </c>
      <c r="AO531" s="709"/>
      <c r="AP531" s="710"/>
      <c r="AQ531" s="244">
        <v>170.25</v>
      </c>
      <c r="AR531" s="283"/>
      <c r="AS531" s="299"/>
      <c r="AT531" s="244">
        <f>J531+M531+P531+S531+V531+Y531+AB531+AE531+AH531+AK531+AN531+AQ531</f>
        <v>1333.9399999999998</v>
      </c>
      <c r="AU531" s="283"/>
      <c r="AV531" s="284"/>
      <c r="AW531" s="285"/>
      <c r="AX531" s="321"/>
      <c r="AY531" s="435">
        <v>1251.979149</v>
      </c>
      <c r="AZ531" s="306"/>
      <c r="BA531" s="306"/>
      <c r="BB531" s="306"/>
      <c r="BC531" s="306"/>
    </row>
    <row r="532" spans="1:55" s="92" customFormat="1">
      <c r="A532" s="179"/>
      <c r="B532" s="179"/>
      <c r="C532" s="179"/>
      <c r="D532" s="181">
        <v>316610</v>
      </c>
      <c r="E532" s="181"/>
      <c r="F532" s="181"/>
      <c r="G532" s="1110">
        <v>316610</v>
      </c>
      <c r="H532" s="132" t="s">
        <v>853</v>
      </c>
      <c r="I532" s="516" t="s">
        <v>364</v>
      </c>
      <c r="J532" s="262">
        <f>SUM(J533:J535)</f>
        <v>133.18</v>
      </c>
      <c r="K532" s="323"/>
      <c r="L532" s="324"/>
      <c r="M532" s="317">
        <f>SUM(M533:M535)</f>
        <v>114.84</v>
      </c>
      <c r="N532" s="323"/>
      <c r="O532" s="324"/>
      <c r="P532" s="317">
        <f>SUM(P533:P535)</f>
        <v>103.42</v>
      </c>
      <c r="Q532" s="323"/>
      <c r="R532" s="324"/>
      <c r="S532" s="317">
        <f>SUM(S533:S535)</f>
        <v>82.08</v>
      </c>
      <c r="T532" s="323"/>
      <c r="U532" s="324"/>
      <c r="V532" s="317">
        <f>SUM(V533:V535)</f>
        <v>68.64</v>
      </c>
      <c r="W532" s="323"/>
      <c r="X532" s="324"/>
      <c r="Y532" s="317">
        <f>SUM(Y533:Y535)</f>
        <v>54.96</v>
      </c>
      <c r="Z532" s="323"/>
      <c r="AA532" s="324"/>
      <c r="AB532" s="317">
        <f>SUM(AB533:AB535)</f>
        <v>61.08</v>
      </c>
      <c r="AC532" s="323"/>
      <c r="AD532" s="324"/>
      <c r="AE532" s="317">
        <f>SUM(AE533:AE535)</f>
        <v>58.2</v>
      </c>
      <c r="AF532" s="323"/>
      <c r="AG532" s="324"/>
      <c r="AH532" s="317">
        <f>SUM(AH533:AH535)</f>
        <v>75.5</v>
      </c>
      <c r="AI532" s="323"/>
      <c r="AJ532" s="324"/>
      <c r="AK532" s="317">
        <f>SUM(AK533:AK535)</f>
        <v>100.02000000000001</v>
      </c>
      <c r="AL532" s="323"/>
      <c r="AM532" s="324"/>
      <c r="AN532" s="317">
        <f>SUM(AN533:AN535)</f>
        <v>133.19999999999999</v>
      </c>
      <c r="AO532" s="323"/>
      <c r="AP532" s="324"/>
      <c r="AQ532" s="317">
        <f>SUM(AQ533:AQ535)</f>
        <v>130.19999999999999</v>
      </c>
      <c r="AR532" s="283"/>
      <c r="AS532" s="299"/>
      <c r="AT532" s="317">
        <f>SUM(AT533:AT535)</f>
        <v>1115.3200000000002</v>
      </c>
      <c r="AU532" s="283"/>
      <c r="AV532" s="284"/>
      <c r="AW532" s="285"/>
      <c r="AX532" s="321"/>
      <c r="AY532" s="888">
        <v>1113.4967979999999</v>
      </c>
      <c r="AZ532" s="306"/>
      <c r="BA532" s="306"/>
      <c r="BB532" s="306"/>
      <c r="BC532" s="306"/>
    </row>
    <row r="533" spans="1:55" s="92" customFormat="1">
      <c r="A533" s="179"/>
      <c r="B533" s="179"/>
      <c r="C533" s="179"/>
      <c r="D533" s="181"/>
      <c r="E533" s="181"/>
      <c r="F533" s="181"/>
      <c r="G533" s="1110"/>
      <c r="H533" s="148" t="s">
        <v>856</v>
      </c>
      <c r="I533" s="148"/>
      <c r="J533" s="244">
        <v>84.82</v>
      </c>
      <c r="K533" s="709"/>
      <c r="L533" s="710"/>
      <c r="M533" s="244">
        <v>69.599999999999994</v>
      </c>
      <c r="N533" s="709"/>
      <c r="O533" s="710"/>
      <c r="P533" s="244">
        <v>55.06</v>
      </c>
      <c r="Q533" s="709"/>
      <c r="R533" s="710"/>
      <c r="S533" s="244">
        <v>56.16</v>
      </c>
      <c r="T533" s="709"/>
      <c r="U533" s="710"/>
      <c r="V533" s="244">
        <v>24</v>
      </c>
      <c r="W533" s="709"/>
      <c r="X533" s="710"/>
      <c r="Y533" s="244">
        <v>15.36</v>
      </c>
      <c r="Z533" s="709"/>
      <c r="AA533" s="710"/>
      <c r="AB533" s="244">
        <v>20.16</v>
      </c>
      <c r="AC533" s="709"/>
      <c r="AD533" s="710"/>
      <c r="AE533" s="244">
        <v>17.28</v>
      </c>
      <c r="AF533" s="709"/>
      <c r="AG533" s="710"/>
      <c r="AH533" s="345">
        <f>13.38+20</f>
        <v>33.380000000000003</v>
      </c>
      <c r="AI533" s="709"/>
      <c r="AJ533" s="710"/>
      <c r="AK533" s="244">
        <v>65.7</v>
      </c>
      <c r="AL533" s="709"/>
      <c r="AM533" s="710"/>
      <c r="AN533" s="244">
        <v>86.4</v>
      </c>
      <c r="AO533" s="709"/>
      <c r="AP533" s="710"/>
      <c r="AQ533" s="244">
        <v>81.84</v>
      </c>
      <c r="AR533" s="283"/>
      <c r="AS533" s="299"/>
      <c r="AT533" s="244">
        <f>J533+M533+P533+S533+V533+Y533+AB533+AE533+AH533+AK533+AN533+AQ533</f>
        <v>609.7600000000001</v>
      </c>
      <c r="AU533" s="283"/>
      <c r="AV533" s="284"/>
      <c r="AW533" s="285"/>
      <c r="AX533" s="321"/>
      <c r="AY533" s="300"/>
      <c r="AZ533" s="306"/>
      <c r="BA533" s="306"/>
      <c r="BB533" s="306"/>
      <c r="BC533" s="306"/>
    </row>
    <row r="534" spans="1:55" s="92" customFormat="1">
      <c r="A534" s="179"/>
      <c r="B534" s="179"/>
      <c r="C534" s="179"/>
      <c r="D534" s="181"/>
      <c r="E534" s="181"/>
      <c r="F534" s="181"/>
      <c r="G534" s="1110"/>
      <c r="H534" s="148" t="s">
        <v>855</v>
      </c>
      <c r="I534" s="148"/>
      <c r="J534" s="244">
        <v>0</v>
      </c>
      <c r="K534" s="709"/>
      <c r="L534" s="710"/>
      <c r="M534" s="244">
        <v>0</v>
      </c>
      <c r="N534" s="709"/>
      <c r="O534" s="710"/>
      <c r="P534" s="244">
        <v>0</v>
      </c>
      <c r="Q534" s="709"/>
      <c r="R534" s="710"/>
      <c r="S534" s="244">
        <v>0</v>
      </c>
      <c r="T534" s="709"/>
      <c r="U534" s="710"/>
      <c r="V534" s="244">
        <v>0</v>
      </c>
      <c r="W534" s="709"/>
      <c r="X534" s="710"/>
      <c r="Y534" s="244">
        <v>0</v>
      </c>
      <c r="Z534" s="709"/>
      <c r="AA534" s="710"/>
      <c r="AB534" s="244">
        <v>0</v>
      </c>
      <c r="AC534" s="709"/>
      <c r="AD534" s="710"/>
      <c r="AE534" s="244">
        <v>0</v>
      </c>
      <c r="AF534" s="709"/>
      <c r="AG534" s="710"/>
      <c r="AH534" s="244">
        <v>0</v>
      </c>
      <c r="AI534" s="709"/>
      <c r="AJ534" s="710"/>
      <c r="AK534" s="244">
        <v>0</v>
      </c>
      <c r="AL534" s="709"/>
      <c r="AM534" s="710"/>
      <c r="AN534" s="244">
        <v>0</v>
      </c>
      <c r="AO534" s="709"/>
      <c r="AP534" s="710"/>
      <c r="AQ534" s="244">
        <v>0</v>
      </c>
      <c r="AR534" s="283"/>
      <c r="AS534" s="299"/>
      <c r="AT534" s="244">
        <f>J534+M534+P534+S534+V534+Y534+AB534+AE534+AH534+AK534+AN534+AQ534</f>
        <v>0</v>
      </c>
      <c r="AU534" s="283"/>
      <c r="AV534" s="284"/>
      <c r="AW534" s="285"/>
      <c r="AX534" s="321"/>
      <c r="AY534" s="300"/>
      <c r="AZ534" s="306"/>
      <c r="BA534" s="306"/>
      <c r="BB534" s="306"/>
      <c r="BC534" s="306"/>
    </row>
    <row r="535" spans="1:55" s="92" customFormat="1">
      <c r="A535" s="179"/>
      <c r="B535" s="179"/>
      <c r="C535" s="179"/>
      <c r="D535" s="181"/>
      <c r="E535" s="181"/>
      <c r="F535" s="181"/>
      <c r="G535" s="1110"/>
      <c r="H535" s="148" t="s">
        <v>854</v>
      </c>
      <c r="I535" s="148"/>
      <c r="J535" s="244">
        <v>48.36</v>
      </c>
      <c r="K535" s="709"/>
      <c r="L535" s="710"/>
      <c r="M535" s="244">
        <v>45.24</v>
      </c>
      <c r="N535" s="709"/>
      <c r="O535" s="710"/>
      <c r="P535" s="244">
        <v>48.36</v>
      </c>
      <c r="Q535" s="709"/>
      <c r="R535" s="710"/>
      <c r="S535" s="244">
        <v>25.92</v>
      </c>
      <c r="T535" s="709"/>
      <c r="U535" s="710"/>
      <c r="V535" s="244">
        <v>44.64</v>
      </c>
      <c r="W535" s="709"/>
      <c r="X535" s="710"/>
      <c r="Y535" s="244">
        <v>39.6</v>
      </c>
      <c r="Z535" s="709"/>
      <c r="AA535" s="710"/>
      <c r="AB535" s="244">
        <v>40.92</v>
      </c>
      <c r="AC535" s="709"/>
      <c r="AD535" s="710"/>
      <c r="AE535" s="244">
        <v>40.92</v>
      </c>
      <c r="AF535" s="709"/>
      <c r="AG535" s="710"/>
      <c r="AH535" s="244">
        <v>42.12</v>
      </c>
      <c r="AI535" s="709"/>
      <c r="AJ535" s="710"/>
      <c r="AK535" s="244">
        <v>34.32</v>
      </c>
      <c r="AL535" s="709"/>
      <c r="AM535" s="710"/>
      <c r="AN535" s="244">
        <v>46.8</v>
      </c>
      <c r="AO535" s="709"/>
      <c r="AP535" s="710"/>
      <c r="AQ535" s="244">
        <v>48.36</v>
      </c>
      <c r="AR535" s="283"/>
      <c r="AS535" s="299"/>
      <c r="AT535" s="244">
        <f>J535+M535+P535+S535+V535+Y535+AB535+AE535+AH535+AK535+AN535+AQ535</f>
        <v>505.56</v>
      </c>
      <c r="AU535" s="283"/>
      <c r="AV535" s="284"/>
      <c r="AW535" s="285"/>
      <c r="AX535" s="321"/>
      <c r="AY535" s="300"/>
      <c r="AZ535" s="306"/>
      <c r="BA535" s="306"/>
      <c r="BB535" s="306"/>
      <c r="BC535" s="306"/>
    </row>
    <row r="536" spans="1:55" s="92" customFormat="1" hidden="1">
      <c r="A536" s="179"/>
      <c r="B536" s="179"/>
      <c r="C536" s="179"/>
      <c r="D536" s="181">
        <v>316611</v>
      </c>
      <c r="E536" s="181"/>
      <c r="F536" s="181"/>
      <c r="G536" s="1110">
        <v>316611</v>
      </c>
      <c r="H536" s="127" t="s">
        <v>191</v>
      </c>
      <c r="I536" s="127"/>
      <c r="J536" s="262"/>
      <c r="K536" s="323"/>
      <c r="L536" s="324"/>
      <c r="M536" s="262"/>
      <c r="N536" s="323"/>
      <c r="O536" s="324"/>
      <c r="P536" s="262"/>
      <c r="Q536" s="323"/>
      <c r="R536" s="324"/>
      <c r="S536" s="262"/>
      <c r="T536" s="323"/>
      <c r="U536" s="324"/>
      <c r="V536" s="262"/>
      <c r="W536" s="323"/>
      <c r="X536" s="324"/>
      <c r="Y536" s="262"/>
      <c r="Z536" s="323"/>
      <c r="AA536" s="324"/>
      <c r="AB536" s="262"/>
      <c r="AC536" s="323"/>
      <c r="AD536" s="324"/>
      <c r="AE536" s="262"/>
      <c r="AF536" s="323"/>
      <c r="AG536" s="324"/>
      <c r="AH536" s="262"/>
      <c r="AI536" s="323"/>
      <c r="AJ536" s="324"/>
      <c r="AK536" s="262"/>
      <c r="AL536" s="323"/>
      <c r="AM536" s="324"/>
      <c r="AN536" s="262"/>
      <c r="AO536" s="323"/>
      <c r="AP536" s="324"/>
      <c r="AQ536" s="262"/>
      <c r="AR536" s="283"/>
      <c r="AS536" s="299"/>
      <c r="AT536" s="244">
        <f>J536+M536+P536+S536+V536+Y536+AB536+AE536+AH536+AK536+AN536+AQ536</f>
        <v>0</v>
      </c>
      <c r="AU536" s="283"/>
      <c r="AV536" s="284"/>
      <c r="AW536" s="285"/>
      <c r="AX536" s="321"/>
      <c r="AY536" s="300">
        <v>0</v>
      </c>
      <c r="AZ536" s="306"/>
      <c r="BA536" s="306"/>
      <c r="BB536" s="306"/>
      <c r="BC536" s="306"/>
    </row>
    <row r="537" spans="1:55" s="113" customFormat="1" ht="16.5" thickBot="1">
      <c r="A537" s="179"/>
      <c r="B537" s="179"/>
      <c r="C537" s="179"/>
      <c r="D537" s="181">
        <v>316630</v>
      </c>
      <c r="E537" s="181"/>
      <c r="F537" s="181"/>
      <c r="G537" s="1110">
        <v>316630</v>
      </c>
      <c r="H537" s="127" t="s">
        <v>782</v>
      </c>
      <c r="I537" s="516" t="s">
        <v>364</v>
      </c>
      <c r="J537" s="638">
        <f>ГЭС!C32</f>
        <v>151.08515930175781</v>
      </c>
      <c r="K537" s="246"/>
      <c r="L537" s="282"/>
      <c r="M537" s="638">
        <f>ГЭС!D32</f>
        <v>155.08547973632813</v>
      </c>
      <c r="N537" s="246"/>
      <c r="O537" s="282"/>
      <c r="P537" s="638">
        <f>ГЭС!E32</f>
        <v>196.99446105957031</v>
      </c>
      <c r="Q537" s="246"/>
      <c r="R537" s="282"/>
      <c r="S537" s="638">
        <f>ГЭС!G32</f>
        <v>284.9764404296875</v>
      </c>
      <c r="T537" s="246"/>
      <c r="U537" s="282"/>
      <c r="V537" s="638">
        <f>ГЭС!H32</f>
        <v>303.0091552734375</v>
      </c>
      <c r="W537" s="246"/>
      <c r="X537" s="282"/>
      <c r="Y537" s="638">
        <f>ГЭС!I32</f>
        <v>194.60820007324219</v>
      </c>
      <c r="Z537" s="246"/>
      <c r="AA537" s="282"/>
      <c r="AB537" s="638">
        <f>ГЭС!K32</f>
        <v>162.44859313964844</v>
      </c>
      <c r="AC537" s="246"/>
      <c r="AD537" s="282"/>
      <c r="AE537" s="638">
        <f>ГЭС!L32</f>
        <v>145.3138427734375</v>
      </c>
      <c r="AF537" s="246"/>
      <c r="AG537" s="282"/>
      <c r="AH537" s="638">
        <f>ГЭС!M32</f>
        <v>146.54237365722656</v>
      </c>
      <c r="AI537" s="246"/>
      <c r="AJ537" s="282"/>
      <c r="AK537" s="638">
        <f>ГЭС!O32</f>
        <v>164.78767395019531</v>
      </c>
      <c r="AL537" s="246"/>
      <c r="AM537" s="282"/>
      <c r="AN537" s="638">
        <f>ГЭС!P32</f>
        <v>166.04322814941406</v>
      </c>
      <c r="AO537" s="246"/>
      <c r="AP537" s="282"/>
      <c r="AQ537" s="638">
        <f>ГЭС!Q32</f>
        <v>158.19627380371094</v>
      </c>
      <c r="AR537" s="256"/>
      <c r="AS537" s="302"/>
      <c r="AT537" s="638">
        <f>J537+M537+P537+S537+V537+Y537+AB537+AE537+AH537+AK537+AN537+AQ537</f>
        <v>2229.0908813476563</v>
      </c>
      <c r="AU537" s="256"/>
      <c r="AV537" s="315"/>
      <c r="AW537" s="226"/>
      <c r="AX537" s="321"/>
      <c r="AY537" s="434">
        <v>2187.2544029999999</v>
      </c>
      <c r="AZ537" s="355"/>
      <c r="BA537" s="355"/>
      <c r="BB537" s="355"/>
      <c r="BC537" s="355"/>
    </row>
    <row r="538" spans="1:55" s="24" customFormat="1" ht="18.75">
      <c r="A538" s="179"/>
      <c r="B538" s="179"/>
      <c r="C538" s="179"/>
      <c r="D538" s="181">
        <v>630000</v>
      </c>
      <c r="E538" s="181"/>
      <c r="F538" s="181"/>
      <c r="G538" s="181">
        <v>630000</v>
      </c>
      <c r="H538" s="472" t="s">
        <v>93</v>
      </c>
      <c r="I538" s="472"/>
      <c r="J538" s="266">
        <f>J545+J585+J599+J608+J643+J681+J789+J802+J729</f>
        <v>25217.729560851341</v>
      </c>
      <c r="K538" s="264">
        <f>L538-J538</f>
        <v>-244.98949637439</v>
      </c>
      <c r="L538" s="265">
        <f>L545+L585+L599+L608+L643+L681+L789+L802+L729</f>
        <v>24972.740064476951</v>
      </c>
      <c r="M538" s="266">
        <f>M545+M585+M599+M608+M643+M681+M789+M802+M729</f>
        <v>23798.145908362807</v>
      </c>
      <c r="N538" s="264">
        <f>O538-M538</f>
        <v>-404.9971148855293</v>
      </c>
      <c r="O538" s="265">
        <f>O545+O585+O599+O608+O643+O681+O789+O802+O729</f>
        <v>23393.148793477278</v>
      </c>
      <c r="P538" s="266">
        <f>P545+P585+P599+P608+P643+P681+P789+P802+P729</f>
        <v>24272.261567404261</v>
      </c>
      <c r="Q538" s="264">
        <f>R538-P538</f>
        <v>-377.01167990462272</v>
      </c>
      <c r="R538" s="265">
        <f>R545+R585+R599+R608+R643+R681+R789+R802+R729</f>
        <v>23895.249887499638</v>
      </c>
      <c r="S538" s="266">
        <f>S545+S585+S599+S608+S643+S681+S789+S802+S729</f>
        <v>21279.6460635736</v>
      </c>
      <c r="T538" s="264">
        <f>U538-S538</f>
        <v>457.01496491198486</v>
      </c>
      <c r="U538" s="265">
        <f>U545+U585+U599+U608+U643+U681+U789+U802+U729</f>
        <v>21736.661028485585</v>
      </c>
      <c r="V538" s="266">
        <f>V545+V585+V599+V608+V643+V681+V789+V802+V729</f>
        <v>21050.815711122545</v>
      </c>
      <c r="W538" s="264">
        <f>X538-V538</f>
        <v>-65.008747670322919</v>
      </c>
      <c r="X538" s="265">
        <f>X545+X585+X599+X608+X643+X681+X789+X802+X729</f>
        <v>20985.806963452222</v>
      </c>
      <c r="Y538" s="266">
        <f>Y545+Y585+Y599+Y608+Y643+Y681+Y789+Y802+Y729</f>
        <v>19922.569263269488</v>
      </c>
      <c r="Z538" s="264">
        <f>AA538-Y538</f>
        <v>-185.99397823567779</v>
      </c>
      <c r="AA538" s="265">
        <f>AA545+AA585+AA599+AA608+AA643+AA681+AA789+AA802+AA729</f>
        <v>19736.57528503381</v>
      </c>
      <c r="AB538" s="266">
        <f>AB545+AB585+AB599+AB608+AB643+AB681+AB789+AB802+AB729</f>
        <v>20354.380423453156</v>
      </c>
      <c r="AC538" s="264">
        <f>AD538-AB538</f>
        <v>-377.00848061506986</v>
      </c>
      <c r="AD538" s="265">
        <f>AD545+AD585+AD599+AD608+AD643+AD681+AD789+AD802+AD729</f>
        <v>19977.371942838086</v>
      </c>
      <c r="AE538" s="266">
        <f>AE545+AE585+AE599+AE608+AE643+AE681+AE789+AE802+AE729</f>
        <v>20776.511481545873</v>
      </c>
      <c r="AF538" s="264">
        <f>AG538-AE538</f>
        <v>-338.00603250213317</v>
      </c>
      <c r="AG538" s="265">
        <f>AG545+AG585+AG599+AG608+AG643+AG681+AG789+AG802+AG729</f>
        <v>20438.50544904374</v>
      </c>
      <c r="AH538" s="266">
        <f>AH545+AH585+AH599+AH608+AH643+AH681+AH789+AH802+AH729</f>
        <v>21132.459897346173</v>
      </c>
      <c r="AI538" s="264">
        <f>AJ538-AH538</f>
        <v>-525.0047770361416</v>
      </c>
      <c r="AJ538" s="265">
        <f>AJ545+AJ585+AJ599+AJ608+AJ643+AJ681+AJ789+AJ802+AJ729</f>
        <v>20607.455120310031</v>
      </c>
      <c r="AK538" s="266">
        <f>AK545+AK585+AK599+AK608+AK643+AK681+AK789+AK802+AK729</f>
        <v>23260.688580846778</v>
      </c>
      <c r="AL538" s="264">
        <f>AM538-AK538</f>
        <v>-382.99638905854226</v>
      </c>
      <c r="AM538" s="265">
        <f>AM545+AM585+AM599+AM608+AM643+AM681+AM789+AM802+AM729</f>
        <v>22877.692191788236</v>
      </c>
      <c r="AN538" s="266">
        <f>AN545+AN585+AN599+AN608+AN643+AN681+AN789+AN802+AN729</f>
        <v>23881.068181530871</v>
      </c>
      <c r="AO538" s="264">
        <f>AP538-AN538</f>
        <v>-452.9979184821641</v>
      </c>
      <c r="AP538" s="265">
        <f>AP545+AP585+AP599+AP608+AP643+AP681+AP789+AP802+AP729</f>
        <v>23428.070263048707</v>
      </c>
      <c r="AQ538" s="266">
        <f>AQ545+AQ585+AQ599+AQ608+AQ643+AQ681+AQ789+AQ802+AQ729</f>
        <v>25762.817273151988</v>
      </c>
      <c r="AR538" s="264">
        <f>AS538-AQ538</f>
        <v>-557.00479432879729</v>
      </c>
      <c r="AS538" s="265">
        <f>AS545+AS585+AS599+AS608+AS643+AS681+AS789+AS802+AS729</f>
        <v>25205.812478823191</v>
      </c>
      <c r="AT538" s="266">
        <f>AT545+AT585+AT599+AT608+AT643+AT681+AT789+AT802+AT729</f>
        <v>270709.09391245886</v>
      </c>
      <c r="AU538" s="264">
        <f>AV538-AT538</f>
        <v>-3454.0044441813952</v>
      </c>
      <c r="AV538" s="267">
        <f>L538+O538+R538+U538+X538+AA538+AD538+AG538+AJ538+AM538+AP538+AS538</f>
        <v>267255.08946827747</v>
      </c>
      <c r="AW538" s="268"/>
      <c r="AX538" s="269">
        <f>AX545+AX585+AX599+AX608+AX643+AX681+AX789+AX802+AX729</f>
        <v>261139.18107749999</v>
      </c>
      <c r="AY538" s="1039">
        <f>AY545+AY585+AY599+AY608+AY643+AY681+AY789+AY802+AY729</f>
        <v>263682.1347086</v>
      </c>
      <c r="AZ538" s="357"/>
      <c r="BA538" s="357"/>
      <c r="BB538" s="357"/>
      <c r="BC538" s="357"/>
    </row>
    <row r="539" spans="1:55" s="24" customFormat="1">
      <c r="A539" s="179"/>
      <c r="B539" s="179"/>
      <c r="C539" s="179"/>
      <c r="D539" s="181"/>
      <c r="E539" s="181"/>
      <c r="F539" s="181"/>
      <c r="G539" s="181"/>
      <c r="H539" s="10" t="s">
        <v>56</v>
      </c>
      <c r="I539" s="10"/>
      <c r="J539" s="223">
        <f>J546+J586+J600+J609+J644+J682+J790+J803+J730</f>
        <v>21120.803728540777</v>
      </c>
      <c r="K539" s="271"/>
      <c r="L539" s="224"/>
      <c r="M539" s="223">
        <f>M546+M586+M600+M609+M644+M682+M790+M803+M730</f>
        <v>20068.412328101855</v>
      </c>
      <c r="N539" s="271"/>
      <c r="O539" s="224"/>
      <c r="P539" s="223">
        <f>P546+P586+P600+P609+P644+P682+P790+P803+P730</f>
        <v>20427.294562033207</v>
      </c>
      <c r="Q539" s="271"/>
      <c r="R539" s="224"/>
      <c r="S539" s="223">
        <f>S546+S586+S600+S609+S644+S682+S790+S803+S730</f>
        <v>17393.363842694995</v>
      </c>
      <c r="T539" s="271"/>
      <c r="U539" s="224"/>
      <c r="V539" s="223">
        <f>V546+V586+V600+V609+V644+V682+V790+V803+V730</f>
        <v>17200.275297634929</v>
      </c>
      <c r="W539" s="271"/>
      <c r="X539" s="224"/>
      <c r="Y539" s="223">
        <f>Y546+Y586+Y600+Y609+Y644+Y682+Y790+Y803+Y730</f>
        <v>15987.31218759337</v>
      </c>
      <c r="Z539" s="271"/>
      <c r="AA539" s="224"/>
      <c r="AB539" s="223">
        <f>AB546+AB586+AB600+AB609+AB644+AB682+AB790+AB803+AB730</f>
        <v>16599.687416291847</v>
      </c>
      <c r="AC539" s="271"/>
      <c r="AD539" s="224"/>
      <c r="AE539" s="223">
        <f>AE546+AE586+AE600+AE609+AE644+AE682+AE790+AE803+AE730</f>
        <v>17420.906335402884</v>
      </c>
      <c r="AF539" s="271"/>
      <c r="AG539" s="224"/>
      <c r="AH539" s="223">
        <f>AH546+AH586+AH600+AH609+AH644+AH682+AH790+AH803+AH730</f>
        <v>17532.957401437619</v>
      </c>
      <c r="AI539" s="271"/>
      <c r="AJ539" s="224"/>
      <c r="AK539" s="223">
        <f>AK546+AK586+AK600+AK609+AK644+AK682+AK790+AK803+AK730</f>
        <v>19173.95336986192</v>
      </c>
      <c r="AL539" s="271"/>
      <c r="AM539" s="224"/>
      <c r="AN539" s="223">
        <f>AN546+AN586+AN600+AN609+AN644+AN682+AN790+AN803+AN730</f>
        <v>20396.548407937262</v>
      </c>
      <c r="AO539" s="271"/>
      <c r="AP539" s="224"/>
      <c r="AQ539" s="223">
        <f>AQ546+AQ586+AQ600+AQ609+AQ644+AQ682+AQ790+AQ803+AQ730</f>
        <v>21949.634111250398</v>
      </c>
      <c r="AR539" s="271"/>
      <c r="AS539" s="224"/>
      <c r="AT539" s="223">
        <f>AT546+AT586+AT600+AT609+AT644+AT682+AT790+AT803+AT730</f>
        <v>225271.14898878103</v>
      </c>
      <c r="AU539" s="271"/>
      <c r="AV539" s="229"/>
      <c r="AW539" s="226"/>
      <c r="AX539" s="230"/>
      <c r="AY539" s="223">
        <f>AY546+AY586+AY600+AY609+AY644+AY682+AY790+AY803+AY730</f>
        <v>222043.98797819999</v>
      </c>
      <c r="AZ539" s="357"/>
      <c r="BA539" s="357"/>
      <c r="BB539" s="357"/>
      <c r="BC539" s="357"/>
    </row>
    <row r="540" spans="1:55" s="24" customFormat="1">
      <c r="A540" s="179"/>
      <c r="B540" s="179"/>
      <c r="C540" s="179"/>
      <c r="D540" s="181"/>
      <c r="E540" s="181"/>
      <c r="F540" s="181"/>
      <c r="G540" s="181"/>
      <c r="H540" s="124" t="s">
        <v>55</v>
      </c>
      <c r="I540" s="124"/>
      <c r="J540" s="365">
        <f>J547+J610+J645+J683</f>
        <v>324.80059660226107</v>
      </c>
      <c r="K540" s="363"/>
      <c r="L540" s="364"/>
      <c r="M540" s="365">
        <f>M547+M610+M645+M683</f>
        <v>295.2575733885169</v>
      </c>
      <c r="N540" s="363"/>
      <c r="O540" s="364"/>
      <c r="P540" s="365">
        <f>P547+P610+P645+P683</f>
        <v>298.19995807111263</v>
      </c>
      <c r="Q540" s="363"/>
      <c r="R540" s="364"/>
      <c r="S540" s="365">
        <f>S547+S610+S645+S683</f>
        <v>418.96486329287291</v>
      </c>
      <c r="T540" s="363"/>
      <c r="U540" s="364"/>
      <c r="V540" s="365">
        <f>V547+V610+V645+V683</f>
        <v>942.86962160468102</v>
      </c>
      <c r="W540" s="363"/>
      <c r="X540" s="364"/>
      <c r="Y540" s="365">
        <f>Y547+Y610+Y645+Y683</f>
        <v>730.40932482481003</v>
      </c>
      <c r="Z540" s="363"/>
      <c r="AA540" s="364"/>
      <c r="AB540" s="365">
        <f>AB547+AB610+AB645+AB683</f>
        <v>494.71951404213905</v>
      </c>
      <c r="AC540" s="363"/>
      <c r="AD540" s="364"/>
      <c r="AE540" s="365">
        <f>AE547+AE610+AE645+AE683</f>
        <v>417.35209991037846</v>
      </c>
      <c r="AF540" s="363"/>
      <c r="AG540" s="364"/>
      <c r="AH540" s="365">
        <f>AH547+AH610+AH645+AH683</f>
        <v>385.37567883729935</v>
      </c>
      <c r="AI540" s="363"/>
      <c r="AJ540" s="364"/>
      <c r="AK540" s="365">
        <f>AK547+AK610+AK645+AK683</f>
        <v>437.96234405040741</v>
      </c>
      <c r="AL540" s="363"/>
      <c r="AM540" s="364"/>
      <c r="AN540" s="365">
        <f>AN547+AN610+AN645+AN683</f>
        <v>394.10865573585033</v>
      </c>
      <c r="AO540" s="363"/>
      <c r="AP540" s="364"/>
      <c r="AQ540" s="365">
        <f>AQ547+AQ610+AQ645+AQ683</f>
        <v>356.37406688928604</v>
      </c>
      <c r="AR540" s="363"/>
      <c r="AS540" s="364"/>
      <c r="AT540" s="365">
        <f>AT547+AT610+AT645+AT683</f>
        <v>5496.3942972496152</v>
      </c>
      <c r="AU540" s="363"/>
      <c r="AV540" s="229"/>
      <c r="AW540" s="226"/>
      <c r="AX540" s="366"/>
      <c r="AY540" s="365">
        <f>AY547+AY610+AY645+AY683</f>
        <v>6009.1875080000009</v>
      </c>
      <c r="AZ540" s="357"/>
      <c r="BA540" s="357"/>
      <c r="BB540" s="357"/>
      <c r="BC540" s="357"/>
    </row>
    <row r="541" spans="1:55" s="24" customFormat="1">
      <c r="A541" s="179"/>
      <c r="B541" s="179"/>
      <c r="C541" s="179"/>
      <c r="D541" s="181"/>
      <c r="E541" s="181"/>
      <c r="F541" s="181"/>
      <c r="G541" s="181"/>
      <c r="H541" s="10" t="s">
        <v>98</v>
      </c>
      <c r="I541" s="10"/>
      <c r="J541" s="223">
        <f>J684</f>
        <v>1061</v>
      </c>
      <c r="K541" s="271"/>
      <c r="L541" s="224"/>
      <c r="M541" s="223">
        <f>M684</f>
        <v>932</v>
      </c>
      <c r="N541" s="271"/>
      <c r="O541" s="224"/>
      <c r="P541" s="223">
        <f>P684</f>
        <v>888</v>
      </c>
      <c r="Q541" s="271"/>
      <c r="R541" s="224"/>
      <c r="S541" s="223">
        <f>S684</f>
        <v>1029</v>
      </c>
      <c r="T541" s="271"/>
      <c r="U541" s="224"/>
      <c r="V541" s="223">
        <f>V684</f>
        <v>555</v>
      </c>
      <c r="W541" s="271"/>
      <c r="X541" s="224"/>
      <c r="Y541" s="223">
        <f>Y684</f>
        <v>1029</v>
      </c>
      <c r="Z541" s="271"/>
      <c r="AA541" s="224"/>
      <c r="AB541" s="223">
        <f>AB684</f>
        <v>988</v>
      </c>
      <c r="AC541" s="271"/>
      <c r="AD541" s="224"/>
      <c r="AE541" s="223">
        <f>AE684</f>
        <v>628</v>
      </c>
      <c r="AF541" s="271"/>
      <c r="AG541" s="224"/>
      <c r="AH541" s="223">
        <f>AH684</f>
        <v>899</v>
      </c>
      <c r="AI541" s="271"/>
      <c r="AJ541" s="224"/>
      <c r="AK541" s="223">
        <f>AK684</f>
        <v>1061</v>
      </c>
      <c r="AL541" s="271"/>
      <c r="AM541" s="224"/>
      <c r="AN541" s="223">
        <f>AN684</f>
        <v>460</v>
      </c>
      <c r="AO541" s="271"/>
      <c r="AP541" s="224"/>
      <c r="AQ541" s="223">
        <f>AQ684</f>
        <v>717</v>
      </c>
      <c r="AR541" s="271"/>
      <c r="AS541" s="224"/>
      <c r="AT541" s="223">
        <f>AT684</f>
        <v>10247</v>
      </c>
      <c r="AU541" s="271"/>
      <c r="AV541" s="229"/>
      <c r="AW541" s="226"/>
      <c r="AX541" s="230"/>
      <c r="AY541" s="223">
        <f>AY684</f>
        <v>8838.2273530000002</v>
      </c>
      <c r="AZ541" s="357"/>
      <c r="BA541" s="357"/>
      <c r="BB541" s="357"/>
      <c r="BC541" s="357"/>
    </row>
    <row r="542" spans="1:55" s="24" customFormat="1">
      <c r="A542" s="179"/>
      <c r="B542" s="179"/>
      <c r="C542" s="179"/>
      <c r="D542" s="181"/>
      <c r="E542" s="181"/>
      <c r="F542" s="181"/>
      <c r="G542" s="181"/>
      <c r="H542" s="10" t="s">
        <v>346</v>
      </c>
      <c r="I542" s="10"/>
      <c r="J542" s="223">
        <f>J548+J612</f>
        <v>0.28000000000000003</v>
      </c>
      <c r="K542" s="271"/>
      <c r="L542" s="224"/>
      <c r="M542" s="223">
        <f>M548+M612</f>
        <v>0.26</v>
      </c>
      <c r="N542" s="271"/>
      <c r="O542" s="224"/>
      <c r="P542" s="223">
        <f>P548+P612</f>
        <v>0.30000000000000004</v>
      </c>
      <c r="Q542" s="271"/>
      <c r="R542" s="224"/>
      <c r="S542" s="223">
        <f>S548+S612</f>
        <v>0.31</v>
      </c>
      <c r="T542" s="271"/>
      <c r="U542" s="224"/>
      <c r="V542" s="223">
        <f>V548+V612</f>
        <v>0.92</v>
      </c>
      <c r="W542" s="271"/>
      <c r="X542" s="224"/>
      <c r="Y542" s="223">
        <f>Y548+Y612</f>
        <v>0.78999999999999992</v>
      </c>
      <c r="Z542" s="271"/>
      <c r="AA542" s="224"/>
      <c r="AB542" s="223">
        <f>AB548+AB612</f>
        <v>0.8600000000000001</v>
      </c>
      <c r="AC542" s="271"/>
      <c r="AD542" s="224"/>
      <c r="AE542" s="223">
        <f>AE548+AE612</f>
        <v>0.75</v>
      </c>
      <c r="AF542" s="271"/>
      <c r="AG542" s="224"/>
      <c r="AH542" s="223">
        <f>AH548+AH612</f>
        <v>0.88</v>
      </c>
      <c r="AI542" s="271"/>
      <c r="AJ542" s="224"/>
      <c r="AK542" s="223">
        <f>AK548+AK612</f>
        <v>0.70000000000000007</v>
      </c>
      <c r="AL542" s="271"/>
      <c r="AM542" s="224"/>
      <c r="AN542" s="223">
        <f>AN548+AN612</f>
        <v>0.66</v>
      </c>
      <c r="AO542" s="271"/>
      <c r="AP542" s="224"/>
      <c r="AQ542" s="223">
        <f>AQ548+AQ612</f>
        <v>0.70000000000000007</v>
      </c>
      <c r="AR542" s="271"/>
      <c r="AS542" s="224"/>
      <c r="AT542" s="223">
        <f>AT548+AT612</f>
        <v>7.410000000000001</v>
      </c>
      <c r="AU542" s="271"/>
      <c r="AV542" s="229"/>
      <c r="AW542" s="226"/>
      <c r="AX542" s="230"/>
      <c r="AY542" s="223">
        <f>AY548+AY612</f>
        <v>1.017476</v>
      </c>
      <c r="AZ542" s="357"/>
      <c r="BA542" s="357"/>
      <c r="BB542" s="357"/>
      <c r="BC542" s="357"/>
    </row>
    <row r="543" spans="1:55" s="24" customFormat="1">
      <c r="A543" s="179"/>
      <c r="B543" s="179"/>
      <c r="C543" s="179"/>
      <c r="D543" s="181"/>
      <c r="E543" s="181"/>
      <c r="F543" s="181"/>
      <c r="G543" s="181"/>
      <c r="H543" s="10" t="s">
        <v>347</v>
      </c>
      <c r="I543" s="10"/>
      <c r="J543" s="223">
        <f>J549+J611</f>
        <v>14.477618249999999</v>
      </c>
      <c r="K543" s="271"/>
      <c r="L543" s="224"/>
      <c r="M543" s="223">
        <f>M549+M611</f>
        <v>23.575122500000003</v>
      </c>
      <c r="N543" s="271"/>
      <c r="O543" s="224"/>
      <c r="P543" s="223">
        <f>P549+P611</f>
        <v>39.35046091666667</v>
      </c>
      <c r="Q543" s="271"/>
      <c r="R543" s="224"/>
      <c r="S543" s="223">
        <f>S549+S611</f>
        <v>42.57114008333334</v>
      </c>
      <c r="T543" s="271"/>
      <c r="U543" s="224"/>
      <c r="V543" s="223">
        <f>V549+V611</f>
        <v>55.352496416666668</v>
      </c>
      <c r="W543" s="271"/>
      <c r="X543" s="224"/>
      <c r="Y543" s="223">
        <f>Y549+Y611</f>
        <v>53.571818666666672</v>
      </c>
      <c r="Z543" s="271"/>
      <c r="AA543" s="224"/>
      <c r="AB543" s="223">
        <f>AB549+AB611</f>
        <v>62.233826416666666</v>
      </c>
      <c r="AC543" s="271"/>
      <c r="AD543" s="224"/>
      <c r="AE543" s="223">
        <f>AE549+AE611</f>
        <v>60.275318500000012</v>
      </c>
      <c r="AF543" s="271"/>
      <c r="AG543" s="224"/>
      <c r="AH543" s="223">
        <f>AH549+AH611</f>
        <v>43.447985666666661</v>
      </c>
      <c r="AI543" s="271"/>
      <c r="AJ543" s="224"/>
      <c r="AK543" s="223">
        <f>AK549+AK611</f>
        <v>19.378008000000001</v>
      </c>
      <c r="AL543" s="271"/>
      <c r="AM543" s="224"/>
      <c r="AN543" s="223">
        <f>AN549+AN611</f>
        <v>16.692805749999998</v>
      </c>
      <c r="AO543" s="271"/>
      <c r="AP543" s="224"/>
      <c r="AQ543" s="223">
        <f>AQ549+AQ611</f>
        <v>11.842691250000001</v>
      </c>
      <c r="AR543" s="271"/>
      <c r="AS543" s="224"/>
      <c r="AT543" s="223">
        <f>AT549+AT611</f>
        <v>442.7692924166667</v>
      </c>
      <c r="AU543" s="271"/>
      <c r="AV543" s="229"/>
      <c r="AW543" s="226"/>
      <c r="AX543" s="230"/>
      <c r="AY543" s="223">
        <f>AY549+AY611</f>
        <v>171.32138699999999</v>
      </c>
      <c r="AZ543" s="357"/>
      <c r="BA543" s="357"/>
      <c r="BB543" s="357"/>
      <c r="BC543" s="357"/>
    </row>
    <row r="544" spans="1:55" s="24" customFormat="1" ht="16.5" thickBot="1">
      <c r="A544" s="179"/>
      <c r="B544" s="179"/>
      <c r="C544" s="179"/>
      <c r="D544" s="181"/>
      <c r="E544" s="181"/>
      <c r="F544" s="181"/>
      <c r="G544" s="181"/>
      <c r="H544" s="121" t="s">
        <v>99</v>
      </c>
      <c r="I544" s="121"/>
      <c r="J544" s="820">
        <f>J550+J587+J601+J613+J646+J685+J791+J804+J731</f>
        <v>2696.3676174583038</v>
      </c>
      <c r="K544" s="273"/>
      <c r="L544" s="233"/>
      <c r="M544" s="820">
        <f>M550+M587+M601+M613+M646+M685+M791+M804+M731</f>
        <v>2478.6408843724366</v>
      </c>
      <c r="N544" s="273"/>
      <c r="O544" s="233"/>
      <c r="P544" s="820">
        <f>P550+P587+P601+P613+P646+P685+P791+P804+P731</f>
        <v>2619.1165863832766</v>
      </c>
      <c r="Q544" s="273"/>
      <c r="R544" s="233"/>
      <c r="S544" s="820">
        <f>S550+S587+S601+S613+S646+S685+S791+S804+S731</f>
        <v>2395.4362175023966</v>
      </c>
      <c r="T544" s="273"/>
      <c r="U544" s="233"/>
      <c r="V544" s="820">
        <f>V550+V587+V601+V613+V646+V685+V791+V804+V731</f>
        <v>2296.3982954662683</v>
      </c>
      <c r="W544" s="273"/>
      <c r="X544" s="233"/>
      <c r="Y544" s="820">
        <f>Y550+Y587+Y601+Y613+Y646+Y685+Y791+Y804+Y731</f>
        <v>2121.4859321846416</v>
      </c>
      <c r="Z544" s="273"/>
      <c r="AA544" s="233"/>
      <c r="AB544" s="820">
        <f>AB550+AB587+AB601+AB613+AB646+AB685+AB791+AB804+AB731</f>
        <v>2208.8796667025044</v>
      </c>
      <c r="AC544" s="273"/>
      <c r="AD544" s="233"/>
      <c r="AE544" s="820">
        <f>AE550+AE587+AE601+AE613+AE646+AE685+AE791+AE804+AE731</f>
        <v>2249.2277277326093</v>
      </c>
      <c r="AF544" s="273"/>
      <c r="AG544" s="233"/>
      <c r="AH544" s="820">
        <f>AH550+AH587+AH601+AH613+AH646+AH685+AH791+AH804+AH731</f>
        <v>2270.7988314045856</v>
      </c>
      <c r="AI544" s="273"/>
      <c r="AJ544" s="233"/>
      <c r="AK544" s="820">
        <f>AK550+AK587+AK601+AK613+AK646+AK685+AK791+AK804+AK731</f>
        <v>2567.6948589344547</v>
      </c>
      <c r="AL544" s="273"/>
      <c r="AM544" s="233"/>
      <c r="AN544" s="820">
        <f>AN550+AN587+AN601+AN613+AN646+AN685+AN791+AN804+AN731</f>
        <v>2613.058312107757</v>
      </c>
      <c r="AO544" s="273"/>
      <c r="AP544" s="233"/>
      <c r="AQ544" s="820">
        <f>AQ550+AQ587+AQ601+AQ613+AQ646+AQ685+AQ791+AQ804+AQ731</f>
        <v>2727.2664037623035</v>
      </c>
      <c r="AR544" s="273"/>
      <c r="AS544" s="233"/>
      <c r="AT544" s="820">
        <f>AT550+AT587+AT601+AT613+AT646+AT685+AT791+AT804+AT731</f>
        <v>29244.371334011543</v>
      </c>
      <c r="AU544" s="273"/>
      <c r="AV544" s="234"/>
      <c r="AW544" s="235"/>
      <c r="AX544" s="236"/>
      <c r="AY544" s="820">
        <f>AY550+AY587+AY601+AY613+AY646+AY685+AY791+AY804+AY731</f>
        <v>26618.393006400001</v>
      </c>
      <c r="AZ544" s="357"/>
      <c r="BA544" s="357"/>
      <c r="BB544" s="357"/>
      <c r="BC544" s="357"/>
    </row>
    <row r="545" spans="1:55" s="24" customFormat="1" ht="18.75">
      <c r="A545" s="179"/>
      <c r="B545" s="179"/>
      <c r="C545" s="179"/>
      <c r="D545" s="181">
        <v>339000</v>
      </c>
      <c r="E545" s="181"/>
      <c r="F545" s="181"/>
      <c r="G545" s="181">
        <v>339000</v>
      </c>
      <c r="H545" s="473" t="s">
        <v>1595</v>
      </c>
      <c r="I545" s="473"/>
      <c r="J545" s="277">
        <f>SUM(J546:J550)</f>
        <v>2245.1184462812539</v>
      </c>
      <c r="K545" s="275">
        <f>L545-J545</f>
        <v>424.8340653289456</v>
      </c>
      <c r="L545" s="276">
        <f>Потребление!D42</f>
        <v>2669.9525116101995</v>
      </c>
      <c r="M545" s="274">
        <f>SUM(M546:M550)</f>
        <v>2214.8221907410034</v>
      </c>
      <c r="N545" s="275">
        <f>O545-M545</f>
        <v>303.84108243551691</v>
      </c>
      <c r="O545" s="276">
        <f>Потребление!E42</f>
        <v>2518.6632731765203</v>
      </c>
      <c r="P545" s="274">
        <f>SUM(P546:P550)</f>
        <v>2186.29613497436</v>
      </c>
      <c r="Q545" s="275">
        <f>R545-P545</f>
        <v>355.08560165380868</v>
      </c>
      <c r="R545" s="276">
        <f>Потребление!F42</f>
        <v>2541.3817366281687</v>
      </c>
      <c r="S545" s="274">
        <f>SUM(S546:S550)</f>
        <v>2119.5076249715685</v>
      </c>
      <c r="T545" s="275">
        <f>U545-S545</f>
        <v>158.474264040241</v>
      </c>
      <c r="U545" s="276">
        <f>Потребление!G42</f>
        <v>2277.9818890118095</v>
      </c>
      <c r="V545" s="274">
        <f>SUM(V546:V550)</f>
        <v>1962.2366227185721</v>
      </c>
      <c r="W545" s="275">
        <f>X545-V545</f>
        <v>170.67007112053125</v>
      </c>
      <c r="X545" s="276">
        <f>Потребление!H42</f>
        <v>2132.9066938391034</v>
      </c>
      <c r="Y545" s="274">
        <f>SUM(Y546:Y550)</f>
        <v>1859.0250862574576</v>
      </c>
      <c r="Z545" s="275">
        <f>AA545-Y545</f>
        <v>177.78109497601213</v>
      </c>
      <c r="AA545" s="276">
        <f>Потребление!I42</f>
        <v>2036.8061812334697</v>
      </c>
      <c r="AB545" s="274">
        <f>SUM(AB546:AB550)</f>
        <v>1744.8615663492681</v>
      </c>
      <c r="AC545" s="275">
        <f>AD545-AB545</f>
        <v>280.64613087734824</v>
      </c>
      <c r="AD545" s="276">
        <f>Потребление!J42</f>
        <v>2025.5076972266163</v>
      </c>
      <c r="AE545" s="274">
        <f>SUM(AE546:AE550)</f>
        <v>1942.7868604761363</v>
      </c>
      <c r="AF545" s="275">
        <f>AG545-AE545</f>
        <v>103.54800731569117</v>
      </c>
      <c r="AG545" s="276">
        <f>Потребление!K42</f>
        <v>2046.3348677918275</v>
      </c>
      <c r="AH545" s="274">
        <f>SUM(AH546:AH550)</f>
        <v>2048.5484506773951</v>
      </c>
      <c r="AI545" s="275">
        <f>AJ545-AH545</f>
        <v>9.7037162427945987</v>
      </c>
      <c r="AJ545" s="276">
        <f>Потребление!L42</f>
        <v>2058.2521669201897</v>
      </c>
      <c r="AK545" s="274">
        <f>SUM(AK546:AK550)</f>
        <v>2242.0911770153052</v>
      </c>
      <c r="AL545" s="275">
        <f>AM545-AK545</f>
        <v>134.84889703957606</v>
      </c>
      <c r="AM545" s="276">
        <f>Потребление!M42</f>
        <v>2376.9400740548813</v>
      </c>
      <c r="AN545" s="274">
        <f>SUM(AN546:AN550)</f>
        <v>2461.1054464071995</v>
      </c>
      <c r="AO545" s="275">
        <f>AP545-AN545</f>
        <v>58.633829187764604</v>
      </c>
      <c r="AP545" s="276">
        <f>Потребление!N42</f>
        <v>2519.7392755949641</v>
      </c>
      <c r="AQ545" s="274">
        <f>SUM(AQ546:AQ550)</f>
        <v>2531.8173272657396</v>
      </c>
      <c r="AR545" s="275">
        <f>AS545-AQ545</f>
        <v>196.56936057910025</v>
      </c>
      <c r="AS545" s="276">
        <f>Потребление!O42</f>
        <v>2728.3866878448398</v>
      </c>
      <c r="AT545" s="274">
        <f>SUM(AT546:AT550)</f>
        <v>25558.216934135256</v>
      </c>
      <c r="AU545" s="275">
        <f>AV545-AT545</f>
        <v>2374.6361207973314</v>
      </c>
      <c r="AV545" s="278">
        <f>L545+O545+R545+U545+X545+AA545+AD545+AG545+AJ545+AM545+AP545+AS545</f>
        <v>27932.853054932588</v>
      </c>
      <c r="AW545" s="279"/>
      <c r="AX545" s="1067">
        <v>27584.367243799999</v>
      </c>
      <c r="AY545" s="298">
        <f>SUM(AY546:AY550)</f>
        <v>24450.023227000001</v>
      </c>
      <c r="AZ545" s="357"/>
      <c r="BA545" s="357"/>
      <c r="BB545" s="357"/>
      <c r="BC545" s="357"/>
    </row>
    <row r="546" spans="1:55" s="24" customFormat="1">
      <c r="A546" s="179"/>
      <c r="B546" s="179"/>
      <c r="C546" s="179"/>
      <c r="D546" s="181"/>
      <c r="E546" s="181"/>
      <c r="F546" s="181"/>
      <c r="G546" s="181"/>
      <c r="H546" s="10" t="s">
        <v>56</v>
      </c>
      <c r="I546" s="10"/>
      <c r="J546" s="270">
        <f>SUM(J551:J568)</f>
        <v>2177.8699999999994</v>
      </c>
      <c r="K546" s="271"/>
      <c r="L546" s="224"/>
      <c r="M546" s="270">
        <f>SUM(M551:M568)</f>
        <v>2151.1000000000008</v>
      </c>
      <c r="N546" s="271"/>
      <c r="O546" s="224"/>
      <c r="P546" s="270">
        <f>SUM(P551:P568)</f>
        <v>2116.7199999999998</v>
      </c>
      <c r="Q546" s="271"/>
      <c r="R546" s="224"/>
      <c r="S546" s="270">
        <f>SUM(S551:S568)</f>
        <v>2006.03</v>
      </c>
      <c r="T546" s="271"/>
      <c r="U546" s="224"/>
      <c r="V546" s="270">
        <f>SUM(V551:V568)</f>
        <v>1790.6799999999996</v>
      </c>
      <c r="W546" s="271"/>
      <c r="X546" s="224"/>
      <c r="Y546" s="270">
        <f>SUM(Y551:Y568)</f>
        <v>1753.28</v>
      </c>
      <c r="Z546" s="271"/>
      <c r="AA546" s="224"/>
      <c r="AB546" s="270">
        <f>SUM(AB551:AB568)</f>
        <v>1652.89</v>
      </c>
      <c r="AC546" s="271"/>
      <c r="AD546" s="224"/>
      <c r="AE546" s="270">
        <f>SUM(AE551:AE568)</f>
        <v>1859.6000000000001</v>
      </c>
      <c r="AF546" s="271"/>
      <c r="AG546" s="224"/>
      <c r="AH546" s="270">
        <f>SUM(AH551:AH568)</f>
        <v>1974.51</v>
      </c>
      <c r="AI546" s="271"/>
      <c r="AJ546" s="224"/>
      <c r="AK546" s="270">
        <f>SUM(AK551:AK568)</f>
        <v>2158.2000000000007</v>
      </c>
      <c r="AL546" s="271"/>
      <c r="AM546" s="224"/>
      <c r="AN546" s="270">
        <f>SUM(AN551:AN568)</f>
        <v>2383.9500000000003</v>
      </c>
      <c r="AO546" s="271"/>
      <c r="AP546" s="224"/>
      <c r="AQ546" s="270">
        <f>SUM(AQ551:AQ568)</f>
        <v>2462.16</v>
      </c>
      <c r="AR546" s="271"/>
      <c r="AS546" s="224"/>
      <c r="AT546" s="270">
        <f>SUM(AT551:AT568)</f>
        <v>24486.989999999998</v>
      </c>
      <c r="AU546" s="223"/>
      <c r="AV546" s="229"/>
      <c r="AW546" s="226"/>
      <c r="AX546" s="230"/>
      <c r="AY546" s="231">
        <f>SUM(AY551:AY568)</f>
        <v>23434.897502000003</v>
      </c>
      <c r="AZ546" s="357"/>
      <c r="BA546" s="357"/>
      <c r="BB546" s="357"/>
      <c r="BC546" s="357"/>
    </row>
    <row r="547" spans="1:55" s="24" customFormat="1">
      <c r="A547" s="179"/>
      <c r="B547" s="179"/>
      <c r="C547" s="179"/>
      <c r="D547" s="181"/>
      <c r="E547" s="181"/>
      <c r="F547" s="181"/>
      <c r="G547" s="181"/>
      <c r="H547" s="10" t="s">
        <v>55</v>
      </c>
      <c r="I547" s="10"/>
      <c r="J547" s="223">
        <f>J569+J570+J572+J573</f>
        <v>46.698446281254292</v>
      </c>
      <c r="K547" s="271"/>
      <c r="L547" s="224"/>
      <c r="M547" s="270">
        <f>M569+M570+M572+M573</f>
        <v>42.49219074100256</v>
      </c>
      <c r="N547" s="271"/>
      <c r="O547" s="224"/>
      <c r="P547" s="270">
        <f>P569+P570+P572+P573</f>
        <v>45.816134974360466</v>
      </c>
      <c r="Q547" s="271"/>
      <c r="R547" s="224"/>
      <c r="S547" s="270">
        <f>S569+S570+S572+S573</f>
        <v>91.137624971568584</v>
      </c>
      <c r="T547" s="271"/>
      <c r="U547" s="224"/>
      <c r="V547" s="270">
        <f>V569+V570+V572+V573</f>
        <v>145.92662271857262</v>
      </c>
      <c r="W547" s="271"/>
      <c r="X547" s="224"/>
      <c r="Y547" s="270">
        <f>Y569+Y570+Y572+Y573</f>
        <v>83.615086257457733</v>
      </c>
      <c r="Z547" s="271"/>
      <c r="AA547" s="224"/>
      <c r="AB547" s="270">
        <f>AB569+AB570+AB572+AB573</f>
        <v>67.97156634926796</v>
      </c>
      <c r="AC547" s="271"/>
      <c r="AD547" s="224"/>
      <c r="AE547" s="270">
        <f>AE569+AE570+AE572+AE573</f>
        <v>58.666860476136208</v>
      </c>
      <c r="AF547" s="271"/>
      <c r="AG547" s="224"/>
      <c r="AH547" s="270">
        <f>AH569+AH570+AH572+AH573</f>
        <v>51.768450677394867</v>
      </c>
      <c r="AI547" s="271"/>
      <c r="AJ547" s="224"/>
      <c r="AK547" s="270">
        <f>AK569+AK570+AK572+AK573</f>
        <v>63.311177015304565</v>
      </c>
      <c r="AL547" s="271"/>
      <c r="AM547" s="224"/>
      <c r="AN547" s="270">
        <f>AN569+AN570+AN572+AN573</f>
        <v>56.455446407198906</v>
      </c>
      <c r="AO547" s="271"/>
      <c r="AP547" s="224"/>
      <c r="AQ547" s="270">
        <f>AQ569+AQ570+AQ572+AQ573</f>
        <v>49.687327265739441</v>
      </c>
      <c r="AR547" s="271"/>
      <c r="AS547" s="224"/>
      <c r="AT547" s="270">
        <f>AT569+AT570+AT572+AT573</f>
        <v>803.5469341352582</v>
      </c>
      <c r="AU547" s="271"/>
      <c r="AV547" s="229"/>
      <c r="AW547" s="226"/>
      <c r="AX547" s="230"/>
      <c r="AY547" s="231">
        <f>SUM(AY569:AY570)+SUM(AY572:AY573)</f>
        <v>791.50483400000007</v>
      </c>
      <c r="AZ547" s="357"/>
      <c r="BA547" s="357"/>
      <c r="BB547" s="357"/>
      <c r="BC547" s="357"/>
    </row>
    <row r="548" spans="1:55" s="24" customFormat="1">
      <c r="A548" s="179"/>
      <c r="B548" s="179"/>
      <c r="C548" s="179"/>
      <c r="D548" s="181"/>
      <c r="E548" s="181"/>
      <c r="F548" s="181"/>
      <c r="G548" s="181"/>
      <c r="H548" s="10" t="s">
        <v>346</v>
      </c>
      <c r="I548" s="10"/>
      <c r="J548" s="223">
        <f>J571</f>
        <v>0.08</v>
      </c>
      <c r="K548" s="271"/>
      <c r="L548" s="224"/>
      <c r="M548" s="270">
        <f>M571</f>
        <v>0.04</v>
      </c>
      <c r="N548" s="271"/>
      <c r="O548" s="224"/>
      <c r="P548" s="270">
        <f>P571</f>
        <v>0.1</v>
      </c>
      <c r="Q548" s="271"/>
      <c r="R548" s="224"/>
      <c r="S548" s="270">
        <f>S571</f>
        <v>0.11</v>
      </c>
      <c r="T548" s="271"/>
      <c r="U548" s="224"/>
      <c r="V548" s="270">
        <f>V571</f>
        <v>0.12</v>
      </c>
      <c r="W548" s="271"/>
      <c r="X548" s="224"/>
      <c r="Y548" s="270">
        <f>Y571</f>
        <v>0.09</v>
      </c>
      <c r="Z548" s="271"/>
      <c r="AA548" s="224"/>
      <c r="AB548" s="270">
        <f>AB571</f>
        <v>0.06</v>
      </c>
      <c r="AC548" s="271"/>
      <c r="AD548" s="224"/>
      <c r="AE548" s="270">
        <f>AE571</f>
        <v>0.05</v>
      </c>
      <c r="AF548" s="271"/>
      <c r="AG548" s="224"/>
      <c r="AH548" s="270">
        <f>AH571</f>
        <v>0.08</v>
      </c>
      <c r="AI548" s="271"/>
      <c r="AJ548" s="224"/>
      <c r="AK548" s="270">
        <f>AK571</f>
        <v>0.15</v>
      </c>
      <c r="AL548" s="271"/>
      <c r="AM548" s="224"/>
      <c r="AN548" s="270">
        <f>AN571</f>
        <v>0.1</v>
      </c>
      <c r="AO548" s="271"/>
      <c r="AP548" s="224"/>
      <c r="AQ548" s="270">
        <f>AQ571</f>
        <v>0.05</v>
      </c>
      <c r="AR548" s="271"/>
      <c r="AS548" s="224"/>
      <c r="AT548" s="270">
        <f>AT571</f>
        <v>1.03</v>
      </c>
      <c r="AU548" s="271"/>
      <c r="AV548" s="229"/>
      <c r="AW548" s="226"/>
      <c r="AX548" s="230"/>
      <c r="AY548" s="231">
        <f>AY571</f>
        <v>1.017476</v>
      </c>
      <c r="AZ548" s="357"/>
      <c r="BA548" s="357"/>
      <c r="BB548" s="357"/>
      <c r="BC548" s="357"/>
    </row>
    <row r="549" spans="1:55" s="24" customFormat="1">
      <c r="A549" s="179"/>
      <c r="B549" s="179"/>
      <c r="C549" s="179"/>
      <c r="D549" s="181"/>
      <c r="E549" s="181"/>
      <c r="F549" s="181"/>
      <c r="G549" s="181"/>
      <c r="H549" s="10" t="s">
        <v>347</v>
      </c>
      <c r="I549" s="10"/>
      <c r="J549" s="223">
        <f>SUM(J574:J578)</f>
        <v>1.69</v>
      </c>
      <c r="K549" s="271"/>
      <c r="L549" s="224"/>
      <c r="M549" s="223">
        <f>SUM(M574:M578)</f>
        <v>3.19</v>
      </c>
      <c r="N549" s="271"/>
      <c r="O549" s="224"/>
      <c r="P549" s="223">
        <f>SUM(P574:P578)</f>
        <v>5.4300000000000006</v>
      </c>
      <c r="Q549" s="271"/>
      <c r="R549" s="224"/>
      <c r="S549" s="223">
        <f>SUM(S574:S578)</f>
        <v>6.07</v>
      </c>
      <c r="T549" s="271"/>
      <c r="U549" s="224"/>
      <c r="V549" s="223">
        <f>SUM(V574:V578)</f>
        <v>10.76</v>
      </c>
      <c r="W549" s="271"/>
      <c r="X549" s="224"/>
      <c r="Y549" s="223">
        <f>SUM(Y574:Y578)</f>
        <v>10.71</v>
      </c>
      <c r="Z549" s="271"/>
      <c r="AA549" s="224"/>
      <c r="AB549" s="223">
        <f>SUM(AB574:AB578)</f>
        <v>10.97</v>
      </c>
      <c r="AC549" s="271"/>
      <c r="AD549" s="224"/>
      <c r="AE549" s="223">
        <f>SUM(AE574:AE578)</f>
        <v>10.52</v>
      </c>
      <c r="AF549" s="271"/>
      <c r="AG549" s="224"/>
      <c r="AH549" s="223">
        <f>SUM(AH574:AH578)</f>
        <v>7.6400000000000006</v>
      </c>
      <c r="AI549" s="271"/>
      <c r="AJ549" s="224"/>
      <c r="AK549" s="223">
        <f>SUM(AK574:AK578)</f>
        <v>4.1900000000000004</v>
      </c>
      <c r="AL549" s="271"/>
      <c r="AM549" s="224"/>
      <c r="AN549" s="223">
        <f>SUM(AN574:AN578)</f>
        <v>3.5700000000000003</v>
      </c>
      <c r="AO549" s="271"/>
      <c r="AP549" s="224"/>
      <c r="AQ549" s="223">
        <f>SUM(AQ574:AQ578)</f>
        <v>2.34</v>
      </c>
      <c r="AR549" s="271"/>
      <c r="AS549" s="224"/>
      <c r="AT549" s="223">
        <f>SUM(AT574:AT578)</f>
        <v>77.08</v>
      </c>
      <c r="AU549" s="271"/>
      <c r="AV549" s="229"/>
      <c r="AW549" s="226"/>
      <c r="AX549" s="230"/>
      <c r="AY549" s="231">
        <f>SUM(AY574:AY578)</f>
        <v>54.966692999999999</v>
      </c>
      <c r="AZ549" s="357"/>
      <c r="BA549" s="357"/>
      <c r="BB549" s="357"/>
      <c r="BC549" s="357"/>
    </row>
    <row r="550" spans="1:55" s="24" customFormat="1">
      <c r="A550" s="179"/>
      <c r="B550" s="179"/>
      <c r="C550" s="179"/>
      <c r="D550" s="181"/>
      <c r="E550" s="181"/>
      <c r="F550" s="181"/>
      <c r="G550" s="181"/>
      <c r="H550" s="10" t="s">
        <v>99</v>
      </c>
      <c r="I550" s="10"/>
      <c r="J550" s="223">
        <f>J579</f>
        <v>18.78</v>
      </c>
      <c r="K550" s="271"/>
      <c r="L550" s="224"/>
      <c r="M550" s="270">
        <f>M579</f>
        <v>17.999999999999996</v>
      </c>
      <c r="N550" s="271"/>
      <c r="O550" s="224"/>
      <c r="P550" s="270">
        <f>P579</f>
        <v>18.23</v>
      </c>
      <c r="Q550" s="271"/>
      <c r="R550" s="224"/>
      <c r="S550" s="270">
        <f>S579</f>
        <v>16.16</v>
      </c>
      <c r="T550" s="271"/>
      <c r="U550" s="224"/>
      <c r="V550" s="270">
        <f>V579</f>
        <v>14.750000000000002</v>
      </c>
      <c r="W550" s="271"/>
      <c r="X550" s="224"/>
      <c r="Y550" s="270">
        <f>Y579</f>
        <v>11.330000000000002</v>
      </c>
      <c r="Z550" s="271"/>
      <c r="AA550" s="224"/>
      <c r="AB550" s="270">
        <f>AB579</f>
        <v>12.97</v>
      </c>
      <c r="AC550" s="271"/>
      <c r="AD550" s="224"/>
      <c r="AE550" s="270">
        <f>AE579</f>
        <v>13.95</v>
      </c>
      <c r="AF550" s="271"/>
      <c r="AG550" s="224"/>
      <c r="AH550" s="270">
        <f>AH579</f>
        <v>14.55</v>
      </c>
      <c r="AI550" s="271"/>
      <c r="AJ550" s="224"/>
      <c r="AK550" s="270">
        <f>AK579</f>
        <v>16.239999999999998</v>
      </c>
      <c r="AL550" s="271"/>
      <c r="AM550" s="224"/>
      <c r="AN550" s="270">
        <f>AN579</f>
        <v>17.029999999999998</v>
      </c>
      <c r="AO550" s="271"/>
      <c r="AP550" s="224"/>
      <c r="AQ550" s="270">
        <f>AQ579</f>
        <v>17.580000000000002</v>
      </c>
      <c r="AR550" s="271"/>
      <c r="AS550" s="224"/>
      <c r="AT550" s="270">
        <f>AT579</f>
        <v>189.57</v>
      </c>
      <c r="AU550" s="271"/>
      <c r="AV550" s="229"/>
      <c r="AW550" s="226"/>
      <c r="AX550" s="230"/>
      <c r="AY550" s="231">
        <f>AY579</f>
        <v>167.63672199999999</v>
      </c>
      <c r="AZ550" s="357"/>
      <c r="BA550" s="357"/>
      <c r="BB550" s="357"/>
      <c r="BC550" s="357"/>
    </row>
    <row r="551" spans="1:55" s="24" customFormat="1">
      <c r="A551" s="1116"/>
      <c r="B551" s="1116"/>
      <c r="C551" s="1116"/>
      <c r="D551" s="1110">
        <v>339001</v>
      </c>
      <c r="E551" s="1110"/>
      <c r="F551" s="1110"/>
      <c r="G551" s="1110">
        <v>339001</v>
      </c>
      <c r="H551" s="122" t="s">
        <v>310</v>
      </c>
      <c r="I551" s="516" t="s">
        <v>364</v>
      </c>
      <c r="J551" s="1170">
        <f>597.68+50</f>
        <v>647.67999999999995</v>
      </c>
      <c r="K551" s="721"/>
      <c r="L551" s="722"/>
      <c r="M551" s="345">
        <f>559.11+80</f>
        <v>639.11</v>
      </c>
      <c r="N551" s="721"/>
      <c r="O551" s="722"/>
      <c r="P551" s="345">
        <f>583.89+70</f>
        <v>653.89</v>
      </c>
      <c r="Q551" s="721"/>
      <c r="R551" s="722"/>
      <c r="S551" s="345">
        <f>550.46+100</f>
        <v>650.46</v>
      </c>
      <c r="T551" s="721"/>
      <c r="U551" s="722"/>
      <c r="V551" s="345">
        <f>553.73+100</f>
        <v>653.73</v>
      </c>
      <c r="W551" s="721"/>
      <c r="X551" s="722"/>
      <c r="Y551" s="345">
        <f>535.87+100</f>
        <v>635.87</v>
      </c>
      <c r="Z551" s="721"/>
      <c r="AA551" s="722"/>
      <c r="AB551" s="345">
        <f>553.73+40</f>
        <v>593.73</v>
      </c>
      <c r="AC551" s="721"/>
      <c r="AD551" s="722"/>
      <c r="AE551" s="345">
        <f>553.73+35</f>
        <v>588.73</v>
      </c>
      <c r="AF551" s="721"/>
      <c r="AG551" s="722"/>
      <c r="AH551" s="345">
        <f>535.87+100</f>
        <v>635.87</v>
      </c>
      <c r="AI551" s="721"/>
      <c r="AJ551" s="722"/>
      <c r="AK551" s="345">
        <f>568.81+120</f>
        <v>688.81</v>
      </c>
      <c r="AL551" s="721"/>
      <c r="AM551" s="722"/>
      <c r="AN551" s="1205">
        <f>565.06+100</f>
        <v>665.06</v>
      </c>
      <c r="AO551" s="721"/>
      <c r="AP551" s="722"/>
      <c r="AQ551" s="1205">
        <f>597.67+50</f>
        <v>647.66999999999996</v>
      </c>
      <c r="AR551" s="246"/>
      <c r="AS551" s="282"/>
      <c r="AT551" s="244">
        <f t="shared" ref="AT551:AT584" si="20">J551+M551+P551+S551+V551+Y551+AB551+AE551+AH551+AK551+AN551+AQ551</f>
        <v>7700.6099999999988</v>
      </c>
      <c r="AU551" s="246"/>
      <c r="AV551" s="336"/>
      <c r="AW551" s="285"/>
      <c r="AX551" s="249"/>
      <c r="AY551" s="438">
        <v>7178.5556159999996</v>
      </c>
      <c r="AZ551" s="357"/>
      <c r="BA551" s="357"/>
      <c r="BB551" s="357"/>
      <c r="BC551" s="357"/>
    </row>
    <row r="552" spans="1:55" s="24" customFormat="1">
      <c r="A552" s="1116"/>
      <c r="B552" s="1116"/>
      <c r="C552" s="1116"/>
      <c r="D552" s="1110">
        <v>339026</v>
      </c>
      <c r="E552" s="1110"/>
      <c r="F552" s="1110"/>
      <c r="G552" s="1110">
        <v>339026</v>
      </c>
      <c r="H552" s="143" t="s">
        <v>311</v>
      </c>
      <c r="I552" s="516" t="s">
        <v>364</v>
      </c>
      <c r="J552" s="724">
        <v>46.87</v>
      </c>
      <c r="K552" s="721"/>
      <c r="L552" s="722"/>
      <c r="M552" s="724">
        <v>41.76</v>
      </c>
      <c r="N552" s="721"/>
      <c r="O552" s="722"/>
      <c r="P552" s="720">
        <v>33.479999999999997</v>
      </c>
      <c r="Q552" s="721"/>
      <c r="R552" s="722"/>
      <c r="S552" s="720">
        <v>27.36</v>
      </c>
      <c r="T552" s="721"/>
      <c r="U552" s="722"/>
      <c r="V552" s="724">
        <v>3.72</v>
      </c>
      <c r="W552" s="721"/>
      <c r="X552" s="722"/>
      <c r="Y552" s="724">
        <v>3.67</v>
      </c>
      <c r="Z552" s="721"/>
      <c r="AA552" s="722"/>
      <c r="AB552" s="724">
        <v>3.72</v>
      </c>
      <c r="AC552" s="721"/>
      <c r="AD552" s="722"/>
      <c r="AE552" s="724">
        <v>3.72</v>
      </c>
      <c r="AF552" s="721"/>
      <c r="AG552" s="722"/>
      <c r="AH552" s="724">
        <v>3.67</v>
      </c>
      <c r="AI552" s="721"/>
      <c r="AJ552" s="722"/>
      <c r="AK552" s="720">
        <v>23.06</v>
      </c>
      <c r="AL552" s="721"/>
      <c r="AM552" s="722"/>
      <c r="AN552" s="720">
        <v>36</v>
      </c>
      <c r="AO552" s="721"/>
      <c r="AP552" s="722"/>
      <c r="AQ552" s="720">
        <v>44.64</v>
      </c>
      <c r="AR552" s="246"/>
      <c r="AS552" s="282"/>
      <c r="AT552" s="244">
        <f t="shared" si="20"/>
        <v>271.66999999999996</v>
      </c>
      <c r="AU552" s="246"/>
      <c r="AV552" s="336"/>
      <c r="AW552" s="285"/>
      <c r="AX552" s="249"/>
      <c r="AY552" s="438">
        <v>271.94155999999998</v>
      </c>
      <c r="AZ552" s="357"/>
      <c r="BA552" s="357"/>
      <c r="BB552" s="357"/>
      <c r="BC552" s="357"/>
    </row>
    <row r="553" spans="1:55" s="24" customFormat="1">
      <c r="A553" s="1116"/>
      <c r="B553" s="1116"/>
      <c r="C553" s="1116"/>
      <c r="D553" s="1110">
        <v>339014</v>
      </c>
      <c r="E553" s="1110"/>
      <c r="F553" s="1110"/>
      <c r="G553" s="1110">
        <v>339014</v>
      </c>
      <c r="H553" s="143" t="s">
        <v>312</v>
      </c>
      <c r="I553" s="516" t="s">
        <v>364</v>
      </c>
      <c r="J553" s="720">
        <v>331.2</v>
      </c>
      <c r="K553" s="721"/>
      <c r="L553" s="722"/>
      <c r="M553" s="1171">
        <f>267.62+50</f>
        <v>317.62</v>
      </c>
      <c r="N553" s="721"/>
      <c r="O553" s="722"/>
      <c r="P553" s="1171">
        <f>248.5+40</f>
        <v>288.5</v>
      </c>
      <c r="Q553" s="721"/>
      <c r="R553" s="722"/>
      <c r="S553" s="802">
        <f>180.77+20.89+50</f>
        <v>251.66000000000003</v>
      </c>
      <c r="T553" s="724"/>
      <c r="U553" s="725"/>
      <c r="V553" s="802">
        <f>72.17+127.11</f>
        <v>199.28</v>
      </c>
      <c r="W553" s="724"/>
      <c r="X553" s="725"/>
      <c r="Y553" s="802">
        <f>66.24+137.34</f>
        <v>203.57999999999998</v>
      </c>
      <c r="Z553" s="724"/>
      <c r="AA553" s="725"/>
      <c r="AB553" s="802">
        <f>66.96+102.52+10</f>
        <v>179.48</v>
      </c>
      <c r="AC553" s="724"/>
      <c r="AD553" s="725"/>
      <c r="AE553" s="802">
        <f>65.47+17.18+130</f>
        <v>212.65</v>
      </c>
      <c r="AF553" s="724"/>
      <c r="AG553" s="725"/>
      <c r="AH553" s="802">
        <f>66.96+102.09+55</f>
        <v>224.05</v>
      </c>
      <c r="AI553" s="724"/>
      <c r="AJ553" s="725"/>
      <c r="AK553" s="802">
        <f>197.9+25.76+20</f>
        <v>243.66</v>
      </c>
      <c r="AL553" s="724"/>
      <c r="AM553" s="725"/>
      <c r="AN553" s="802">
        <f>250.56+24+40</f>
        <v>314.56</v>
      </c>
      <c r="AO553" s="724"/>
      <c r="AP553" s="725"/>
      <c r="AQ553" s="1205">
        <f>291.65+70</f>
        <v>361.65</v>
      </c>
      <c r="AR553" s="246"/>
      <c r="AS553" s="282"/>
      <c r="AT553" s="244">
        <f t="shared" si="20"/>
        <v>3127.89</v>
      </c>
      <c r="AU553" s="246"/>
      <c r="AV553" s="336"/>
      <c r="AW553" s="285"/>
      <c r="AX553" s="249"/>
      <c r="AY553" s="441">
        <v>3073.1820419999999</v>
      </c>
      <c r="AZ553" s="357"/>
      <c r="BA553" s="357"/>
      <c r="BB553" s="357"/>
      <c r="BC553" s="357"/>
    </row>
    <row r="554" spans="1:55" s="13" customFormat="1">
      <c r="A554" s="1116"/>
      <c r="B554" s="1116"/>
      <c r="C554" s="1116"/>
      <c r="D554" s="1110">
        <v>339016</v>
      </c>
      <c r="E554" s="1110"/>
      <c r="F554" s="1110"/>
      <c r="G554" s="1110">
        <v>339016</v>
      </c>
      <c r="H554" s="127" t="s">
        <v>313</v>
      </c>
      <c r="I554" s="516" t="s">
        <v>364</v>
      </c>
      <c r="J554" s="720">
        <v>56.47</v>
      </c>
      <c r="K554" s="721"/>
      <c r="L554" s="722"/>
      <c r="M554" s="629">
        <v>50.81</v>
      </c>
      <c r="N554" s="721"/>
      <c r="O554" s="722"/>
      <c r="P554" s="629">
        <v>51.26</v>
      </c>
      <c r="Q554" s="721"/>
      <c r="R554" s="722"/>
      <c r="S554" s="629">
        <v>40.32</v>
      </c>
      <c r="T554" s="721"/>
      <c r="U554" s="722"/>
      <c r="V554" s="1115">
        <v>31.55</v>
      </c>
      <c r="W554" s="1036"/>
      <c r="X554" s="1037"/>
      <c r="Y554" s="629">
        <v>18.72</v>
      </c>
      <c r="Z554" s="721"/>
      <c r="AA554" s="722"/>
      <c r="AB554" s="930">
        <v>23.21</v>
      </c>
      <c r="AC554" s="721"/>
      <c r="AD554" s="722"/>
      <c r="AE554" s="930">
        <v>30.36</v>
      </c>
      <c r="AF554" s="721"/>
      <c r="AG554" s="722"/>
      <c r="AH554" s="629">
        <v>32.18</v>
      </c>
      <c r="AI554" s="721"/>
      <c r="AJ554" s="722"/>
      <c r="AK554" s="629">
        <v>41.96</v>
      </c>
      <c r="AL554" s="721"/>
      <c r="AM554" s="722"/>
      <c r="AN554" s="629">
        <v>48.74</v>
      </c>
      <c r="AO554" s="721"/>
      <c r="AP554" s="722"/>
      <c r="AQ554" s="629">
        <v>54.61</v>
      </c>
      <c r="AR554" s="246"/>
      <c r="AS554" s="282"/>
      <c r="AT554" s="244">
        <f t="shared" si="20"/>
        <v>480.19</v>
      </c>
      <c r="AU554" s="246"/>
      <c r="AV554" s="336"/>
      <c r="AW554" s="285"/>
      <c r="AX554" s="249"/>
      <c r="AY554" s="441">
        <v>519.78258300000005</v>
      </c>
      <c r="AZ554" s="367"/>
      <c r="BA554" s="367"/>
      <c r="BB554" s="367"/>
      <c r="BC554" s="367"/>
    </row>
    <row r="555" spans="1:55" s="13" customFormat="1">
      <c r="A555" s="1116"/>
      <c r="B555" s="1116"/>
      <c r="C555" s="1116"/>
      <c r="D555" s="1110">
        <v>339011</v>
      </c>
      <c r="E555" s="1110"/>
      <c r="F555" s="1110"/>
      <c r="G555" s="1110">
        <v>339011</v>
      </c>
      <c r="H555" s="127" t="s">
        <v>314</v>
      </c>
      <c r="I555" s="516" t="s">
        <v>364</v>
      </c>
      <c r="J555" s="720">
        <v>74.03</v>
      </c>
      <c r="K555" s="721"/>
      <c r="L555" s="722"/>
      <c r="M555" s="802">
        <f>65.77+10.79</f>
        <v>76.56</v>
      </c>
      <c r="N555" s="724"/>
      <c r="O555" s="725"/>
      <c r="P555" s="802">
        <f>61.38+20.46</f>
        <v>81.84</v>
      </c>
      <c r="Q555" s="724"/>
      <c r="R555" s="725"/>
      <c r="S555" s="802">
        <f>50.4+1.96+30</f>
        <v>82.36</v>
      </c>
      <c r="T555" s="724"/>
      <c r="U555" s="725"/>
      <c r="V555" s="802">
        <f>37.2+14.32+30</f>
        <v>81.52000000000001</v>
      </c>
      <c r="W555" s="724"/>
      <c r="X555" s="725"/>
      <c r="Y555" s="802">
        <f>37.44+26.16+20</f>
        <v>83.6</v>
      </c>
      <c r="Z555" s="724"/>
      <c r="AA555" s="725"/>
      <c r="AB555" s="802">
        <f>38.69+48.71+20</f>
        <v>107.4</v>
      </c>
      <c r="AC555" s="724"/>
      <c r="AD555" s="725"/>
      <c r="AE555" s="802">
        <f>38.69+17.38+60</f>
        <v>116.07</v>
      </c>
      <c r="AF555" s="724"/>
      <c r="AG555" s="725"/>
      <c r="AH555" s="802">
        <f>36+12.6+65</f>
        <v>113.6</v>
      </c>
      <c r="AI555" s="724"/>
      <c r="AJ555" s="725"/>
      <c r="AK555" s="737">
        <f>49.1+50</f>
        <v>99.1</v>
      </c>
      <c r="AL555" s="724"/>
      <c r="AM555" s="725"/>
      <c r="AN555" s="1184">
        <f>61.2+30</f>
        <v>91.2</v>
      </c>
      <c r="AO555" s="721"/>
      <c r="AP555" s="722"/>
      <c r="AQ555" s="802">
        <f>71.1+10.74</f>
        <v>81.839999999999989</v>
      </c>
      <c r="AR555" s="246"/>
      <c r="AS555" s="282"/>
      <c r="AT555" s="244">
        <f t="shared" si="20"/>
        <v>1089.1200000000001</v>
      </c>
      <c r="AU555" s="246"/>
      <c r="AV555" s="336"/>
      <c r="AW555" s="285"/>
      <c r="AX555" s="249"/>
      <c r="AY555" s="441">
        <v>1072.9590860000001</v>
      </c>
      <c r="AZ555" s="367"/>
      <c r="BA555" s="367"/>
      <c r="BB555" s="367"/>
      <c r="BC555" s="367"/>
    </row>
    <row r="556" spans="1:55" s="13" customFormat="1">
      <c r="A556" s="1116"/>
      <c r="B556" s="1116"/>
      <c r="C556" s="1116"/>
      <c r="D556" s="1110"/>
      <c r="E556" s="1110"/>
      <c r="F556" s="1110"/>
      <c r="G556" s="1110">
        <v>777314</v>
      </c>
      <c r="H556" s="1113" t="s">
        <v>1116</v>
      </c>
      <c r="I556" s="516" t="s">
        <v>364</v>
      </c>
      <c r="J556" s="930">
        <v>95.98</v>
      </c>
      <c r="K556" s="721"/>
      <c r="L556" s="722"/>
      <c r="M556" s="629">
        <v>89.78</v>
      </c>
      <c r="N556" s="721"/>
      <c r="O556" s="722"/>
      <c r="P556" s="629">
        <v>95.98</v>
      </c>
      <c r="Q556" s="721"/>
      <c r="R556" s="722"/>
      <c r="S556" s="802">
        <f>92.88+104.12</f>
        <v>197</v>
      </c>
      <c r="T556" s="724"/>
      <c r="U556" s="725"/>
      <c r="V556" s="802">
        <f>96.72+4.85+15</f>
        <v>116.57</v>
      </c>
      <c r="W556" s="724"/>
      <c r="X556" s="725"/>
      <c r="Y556" s="802">
        <f>92.88+2.7+35</f>
        <v>130.57999999999998</v>
      </c>
      <c r="Z556" s="724"/>
      <c r="AA556" s="725"/>
      <c r="AB556" s="802">
        <f>95.98+107.05</f>
        <v>203.03</v>
      </c>
      <c r="AC556" s="724"/>
      <c r="AD556" s="725"/>
      <c r="AE556" s="802">
        <f>95.98+106.64</f>
        <v>202.62</v>
      </c>
      <c r="AF556" s="724"/>
      <c r="AG556" s="725"/>
      <c r="AH556" s="802">
        <f>92.88+98.24</f>
        <v>191.12</v>
      </c>
      <c r="AI556" s="724"/>
      <c r="AJ556" s="725"/>
      <c r="AK556" s="802">
        <f>96.72+3.51+140</f>
        <v>240.23000000000002</v>
      </c>
      <c r="AL556" s="724"/>
      <c r="AM556" s="725"/>
      <c r="AN556" s="345">
        <f>92.88+170</f>
        <v>262.88</v>
      </c>
      <c r="AO556" s="721"/>
      <c r="AP556" s="722"/>
      <c r="AQ556" s="1184">
        <f>95.98+185</f>
        <v>280.98</v>
      </c>
      <c r="AR556" s="246"/>
      <c r="AS556" s="282"/>
      <c r="AT556" s="244">
        <f t="shared" si="20"/>
        <v>2106.75</v>
      </c>
      <c r="AU556" s="246"/>
      <c r="AV556" s="336"/>
      <c r="AW556" s="285"/>
      <c r="AX556" s="249"/>
      <c r="AY556" s="441">
        <v>1744.890353</v>
      </c>
      <c r="AZ556" s="367"/>
      <c r="BA556" s="367"/>
      <c r="BB556" s="367"/>
      <c r="BC556" s="367"/>
    </row>
    <row r="557" spans="1:55" s="13" customFormat="1">
      <c r="A557" s="1116"/>
      <c r="B557" s="1116"/>
      <c r="C557" s="1116"/>
      <c r="D557" s="1110">
        <v>339012</v>
      </c>
      <c r="E557" s="1110"/>
      <c r="F557" s="1110"/>
      <c r="G557" s="1110">
        <v>339012</v>
      </c>
      <c r="H557" s="127" t="s">
        <v>315</v>
      </c>
      <c r="I557" s="516" t="s">
        <v>364</v>
      </c>
      <c r="J557" s="930">
        <v>88.51</v>
      </c>
      <c r="K557" s="721"/>
      <c r="L557" s="722"/>
      <c r="M557" s="629">
        <v>77.95</v>
      </c>
      <c r="N557" s="721"/>
      <c r="O557" s="722"/>
      <c r="P557" s="629">
        <v>74.400000000000006</v>
      </c>
      <c r="Q557" s="721"/>
      <c r="R557" s="722"/>
      <c r="S557" s="629">
        <v>56.18</v>
      </c>
      <c r="T557" s="721"/>
      <c r="U557" s="722"/>
      <c r="V557" s="629">
        <v>39.44</v>
      </c>
      <c r="W557" s="721"/>
      <c r="X557" s="722"/>
      <c r="Y557" s="930">
        <v>38.159999999999997</v>
      </c>
      <c r="Z557" s="721"/>
      <c r="AA557" s="722"/>
      <c r="AB557" s="629">
        <v>39.44</v>
      </c>
      <c r="AC557" s="721"/>
      <c r="AD557" s="722"/>
      <c r="AE557" s="1115">
        <v>39.44</v>
      </c>
      <c r="AF557" s="1036"/>
      <c r="AG557" s="1037"/>
      <c r="AH557" s="1115">
        <v>38.159999999999997</v>
      </c>
      <c r="AI557" s="1036"/>
      <c r="AJ557" s="1037"/>
      <c r="AK557" s="629">
        <v>62.5</v>
      </c>
      <c r="AL557" s="721"/>
      <c r="AM557" s="722"/>
      <c r="AN557" s="629">
        <v>72</v>
      </c>
      <c r="AO557" s="721"/>
      <c r="AP557" s="722"/>
      <c r="AQ557" s="930">
        <v>81.84</v>
      </c>
      <c r="AR557" s="246"/>
      <c r="AS557" s="282"/>
      <c r="AT557" s="244">
        <f t="shared" si="20"/>
        <v>708.02</v>
      </c>
      <c r="AU557" s="246"/>
      <c r="AV557" s="336"/>
      <c r="AW557" s="285"/>
      <c r="AX557" s="249"/>
      <c r="AY557" s="441">
        <v>689.33906999999999</v>
      </c>
      <c r="AZ557" s="367"/>
      <c r="BA557" s="367"/>
      <c r="BB557" s="367"/>
      <c r="BC557" s="367"/>
    </row>
    <row r="558" spans="1:55" s="13" customFormat="1">
      <c r="A558" s="1116"/>
      <c r="B558" s="1116"/>
      <c r="C558" s="1116"/>
      <c r="D558" s="1110"/>
      <c r="E558" s="1110"/>
      <c r="F558" s="1110"/>
      <c r="G558" s="1110">
        <v>339013</v>
      </c>
      <c r="H558" s="127" t="s">
        <v>1117</v>
      </c>
      <c r="I558" s="516" t="s">
        <v>364</v>
      </c>
      <c r="J558" s="831">
        <v>200.88</v>
      </c>
      <c r="K558" s="721"/>
      <c r="L558" s="722"/>
      <c r="M558" s="1171">
        <f>187.92+20</f>
        <v>207.92</v>
      </c>
      <c r="N558" s="721"/>
      <c r="O558" s="722"/>
      <c r="P558" s="720">
        <v>200.88</v>
      </c>
      <c r="Q558" s="721"/>
      <c r="R558" s="722"/>
      <c r="S558" s="720">
        <v>194.4</v>
      </c>
      <c r="T558" s="721"/>
      <c r="U558" s="722"/>
      <c r="V558" s="802">
        <f>131.69+9.67+20</f>
        <v>161.35999999999999</v>
      </c>
      <c r="W558" s="724"/>
      <c r="X558" s="725"/>
      <c r="Y558" s="802">
        <f>127.44+7.92+30</f>
        <v>165.35999999999999</v>
      </c>
      <c r="Z558" s="724"/>
      <c r="AA558" s="725"/>
      <c r="AB558" s="802">
        <f>131.69+5.95+20</f>
        <v>157.63999999999999</v>
      </c>
      <c r="AC558" s="724"/>
      <c r="AD558" s="725"/>
      <c r="AE558" s="802">
        <f>131.69+9.62</f>
        <v>141.31</v>
      </c>
      <c r="AF558" s="724"/>
      <c r="AG558" s="725"/>
      <c r="AH558" s="802">
        <f>127.44+7.92+19.62</f>
        <v>154.97999999999999</v>
      </c>
      <c r="AI558" s="724"/>
      <c r="AJ558" s="725"/>
      <c r="AK558" s="802">
        <f>153.36+19.77</f>
        <v>173.13000000000002</v>
      </c>
      <c r="AL558" s="724"/>
      <c r="AM558" s="725"/>
      <c r="AN558" s="802">
        <f>158.4+0.72+50</f>
        <v>209.12</v>
      </c>
      <c r="AO558" s="724"/>
      <c r="AP558" s="725"/>
      <c r="AQ558" s="720">
        <v>193.68</v>
      </c>
      <c r="AR558" s="246"/>
      <c r="AS558" s="282"/>
      <c r="AT558" s="244">
        <f t="shared" si="20"/>
        <v>2160.66</v>
      </c>
      <c r="AU558" s="246"/>
      <c r="AV558" s="336"/>
      <c r="AW558" s="285"/>
      <c r="AX558" s="249"/>
      <c r="AY558" s="441">
        <v>1912.210243</v>
      </c>
      <c r="AZ558" s="367"/>
      <c r="BA558" s="367"/>
      <c r="BB558" s="367"/>
      <c r="BC558" s="367"/>
    </row>
    <row r="559" spans="1:55" s="13" customFormat="1">
      <c r="A559" s="1116"/>
      <c r="B559" s="1116"/>
      <c r="C559" s="1116"/>
      <c r="D559" s="1110"/>
      <c r="E559" s="1110"/>
      <c r="F559" s="1110"/>
      <c r="G559" s="1110">
        <v>339022</v>
      </c>
      <c r="H559" s="127" t="s">
        <v>914</v>
      </c>
      <c r="I559" s="516" t="s">
        <v>364</v>
      </c>
      <c r="J559" s="732">
        <v>220.13</v>
      </c>
      <c r="K559" s="724"/>
      <c r="L559" s="725"/>
      <c r="M559" s="737">
        <f>227.99+40</f>
        <v>267.99</v>
      </c>
      <c r="N559" s="724"/>
      <c r="O559" s="725"/>
      <c r="P559" s="1191">
        <f>220.13+50</f>
        <v>270.13</v>
      </c>
      <c r="Q559" s="724"/>
      <c r="R559" s="725"/>
      <c r="S559" s="732">
        <v>230</v>
      </c>
      <c r="T559" s="724"/>
      <c r="U559" s="725"/>
      <c r="V559" s="802">
        <f>207.39+10.59+50</f>
        <v>267.98</v>
      </c>
      <c r="W559" s="724"/>
      <c r="X559" s="725"/>
      <c r="Y559" s="737">
        <f>222.2+30</f>
        <v>252.2</v>
      </c>
      <c r="Z559" s="724"/>
      <c r="AA559" s="725"/>
      <c r="AB559" s="737">
        <f>66.66+20</f>
        <v>86.66</v>
      </c>
      <c r="AC559" s="724"/>
      <c r="AD559" s="725"/>
      <c r="AE559" s="732">
        <v>229.61</v>
      </c>
      <c r="AF559" s="724"/>
      <c r="AG559" s="725"/>
      <c r="AH559" s="737">
        <f>199.98+35</f>
        <v>234.98</v>
      </c>
      <c r="AI559" s="724"/>
      <c r="AJ559" s="725"/>
      <c r="AK559" s="732">
        <v>237.67</v>
      </c>
      <c r="AL559" s="724"/>
      <c r="AM559" s="725"/>
      <c r="AN559" s="737">
        <f>212.27+70</f>
        <v>282.27</v>
      </c>
      <c r="AO559" s="724"/>
      <c r="AP559" s="725"/>
      <c r="AQ559" s="737">
        <f>243.72+50</f>
        <v>293.72000000000003</v>
      </c>
      <c r="AR559" s="246"/>
      <c r="AS559" s="282"/>
      <c r="AT559" s="244">
        <f t="shared" si="20"/>
        <v>2873.34</v>
      </c>
      <c r="AU559" s="246"/>
      <c r="AV559" s="336"/>
      <c r="AW559" s="285"/>
      <c r="AX559" s="249"/>
      <c r="AY559" s="441">
        <v>2999.5258170000002</v>
      </c>
      <c r="AZ559" s="367"/>
      <c r="BA559" s="367"/>
      <c r="BB559" s="367"/>
      <c r="BC559" s="367"/>
    </row>
    <row r="560" spans="1:55" s="13" customFormat="1">
      <c r="A560" s="1116"/>
      <c r="B560" s="1116"/>
      <c r="C560" s="1116"/>
      <c r="D560" s="1110">
        <v>339010</v>
      </c>
      <c r="E560" s="1110"/>
      <c r="F560" s="1110"/>
      <c r="G560" s="1110">
        <v>339010</v>
      </c>
      <c r="H560" s="127" t="s">
        <v>317</v>
      </c>
      <c r="I560" s="516" t="s">
        <v>364</v>
      </c>
      <c r="J560" s="720">
        <v>147.63999999999999</v>
      </c>
      <c r="K560" s="721"/>
      <c r="L560" s="722"/>
      <c r="M560" s="629">
        <v>133.19</v>
      </c>
      <c r="N560" s="721"/>
      <c r="O560" s="722"/>
      <c r="P560" s="629">
        <v>130.88</v>
      </c>
      <c r="Q560" s="721"/>
      <c r="R560" s="722"/>
      <c r="S560" s="802">
        <f>94.32+4.57</f>
        <v>98.889999999999986</v>
      </c>
      <c r="T560" s="724"/>
      <c r="U560" s="725"/>
      <c r="V560" s="802">
        <f>58.78+12.27+30</f>
        <v>101.05</v>
      </c>
      <c r="W560" s="724"/>
      <c r="X560" s="725"/>
      <c r="Y560" s="1184">
        <f>51.34+40</f>
        <v>91.34</v>
      </c>
      <c r="Z560" s="721"/>
      <c r="AA560" s="722"/>
      <c r="AB560" s="1184">
        <f>51.34+40</f>
        <v>91.34</v>
      </c>
      <c r="AC560" s="721"/>
      <c r="AD560" s="722"/>
      <c r="AE560" s="802">
        <f>46.87+42.23+10</f>
        <v>99.1</v>
      </c>
      <c r="AF560" s="724"/>
      <c r="AG560" s="725"/>
      <c r="AH560" s="345">
        <f>73.86+50</f>
        <v>123.86</v>
      </c>
      <c r="AI560" s="721"/>
      <c r="AJ560" s="722"/>
      <c r="AK560" s="345">
        <f>89.61+30</f>
        <v>119.61</v>
      </c>
      <c r="AL560" s="721"/>
      <c r="AM560" s="722"/>
      <c r="AN560" s="345">
        <f>129.52+10</f>
        <v>139.52000000000001</v>
      </c>
      <c r="AO560" s="721"/>
      <c r="AP560" s="722"/>
      <c r="AQ560" s="830">
        <v>154.66</v>
      </c>
      <c r="AR560" s="246"/>
      <c r="AS560" s="282"/>
      <c r="AT560" s="244">
        <f t="shared" si="20"/>
        <v>1431.0800000000002</v>
      </c>
      <c r="AU560" s="246"/>
      <c r="AV560" s="336"/>
      <c r="AW560" s="285"/>
      <c r="AX560" s="249"/>
      <c r="AY560" s="441">
        <v>1502.9714280000001</v>
      </c>
      <c r="AZ560" s="367"/>
      <c r="BA560" s="367"/>
      <c r="BB560" s="367"/>
      <c r="BC560" s="367"/>
    </row>
    <row r="561" spans="1:55" s="110" customFormat="1">
      <c r="A561" s="1116"/>
      <c r="B561" s="1116"/>
      <c r="C561" s="1116"/>
      <c r="D561" s="1110">
        <v>339018</v>
      </c>
      <c r="E561" s="1110"/>
      <c r="F561" s="1110"/>
      <c r="G561" s="1110">
        <v>339018</v>
      </c>
      <c r="H561" s="127" t="s">
        <v>318</v>
      </c>
      <c r="I561" s="516" t="s">
        <v>364</v>
      </c>
      <c r="J561" s="629">
        <v>148.06</v>
      </c>
      <c r="K561" s="721"/>
      <c r="L561" s="722"/>
      <c r="M561" s="345">
        <f>128.76+10</f>
        <v>138.76</v>
      </c>
      <c r="N561" s="721"/>
      <c r="O561" s="722"/>
      <c r="P561" s="345">
        <f>116.06+20</f>
        <v>136.06</v>
      </c>
      <c r="Q561" s="721"/>
      <c r="R561" s="722"/>
      <c r="S561" s="802">
        <f>81.36+5.03</f>
        <v>86.39</v>
      </c>
      <c r="T561" s="721"/>
      <c r="U561" s="722"/>
      <c r="V561" s="1184">
        <f>33.48+40</f>
        <v>73.47999999999999</v>
      </c>
      <c r="W561" s="721"/>
      <c r="X561" s="722"/>
      <c r="Y561" s="1184">
        <f>37.44+30</f>
        <v>67.44</v>
      </c>
      <c r="Z561" s="721"/>
      <c r="AA561" s="722"/>
      <c r="AB561" s="737">
        <f>38.69+30</f>
        <v>68.69</v>
      </c>
      <c r="AC561" s="724"/>
      <c r="AD561" s="725"/>
      <c r="AE561" s="802">
        <f>38.69+34.73+30</f>
        <v>103.41999999999999</v>
      </c>
      <c r="AF561" s="721"/>
      <c r="AG561" s="722"/>
      <c r="AH561" s="345">
        <f>32.4+90</f>
        <v>122.4</v>
      </c>
      <c r="AI561" s="721"/>
      <c r="AJ561" s="722"/>
      <c r="AK561" s="1184">
        <f>93.74+20</f>
        <v>113.74</v>
      </c>
      <c r="AL561" s="721"/>
      <c r="AM561" s="722"/>
      <c r="AN561" s="345">
        <f>127.44+20</f>
        <v>147.44</v>
      </c>
      <c r="AO561" s="721"/>
      <c r="AP561" s="722"/>
      <c r="AQ561" s="629">
        <v>148.06</v>
      </c>
      <c r="AR561" s="246"/>
      <c r="AS561" s="282"/>
      <c r="AT561" s="244">
        <f t="shared" si="20"/>
        <v>1353.94</v>
      </c>
      <c r="AU561" s="246"/>
      <c r="AV561" s="336"/>
      <c r="AW561" s="285"/>
      <c r="AX561" s="249"/>
      <c r="AY561" s="441">
        <v>1328.0945850000001</v>
      </c>
      <c r="AZ561" s="356"/>
      <c r="BA561" s="356"/>
      <c r="BB561" s="356"/>
      <c r="BC561" s="356"/>
    </row>
    <row r="562" spans="1:55" s="110" customFormat="1">
      <c r="A562" s="1116"/>
      <c r="B562" s="1116"/>
      <c r="C562" s="1116"/>
      <c r="D562" s="1110">
        <v>339015</v>
      </c>
      <c r="E562" s="1110"/>
      <c r="F562" s="1110"/>
      <c r="G562" s="1110">
        <v>339015</v>
      </c>
      <c r="H562" s="127" t="s">
        <v>1665</v>
      </c>
      <c r="I562" s="516" t="s">
        <v>364</v>
      </c>
      <c r="J562" s="629">
        <v>41.66</v>
      </c>
      <c r="K562" s="721"/>
      <c r="L562" s="722"/>
      <c r="M562" s="802">
        <f>36.89+0.69</f>
        <v>37.58</v>
      </c>
      <c r="N562" s="721"/>
      <c r="O562" s="722"/>
      <c r="P562" s="629">
        <v>35.71</v>
      </c>
      <c r="Q562" s="721"/>
      <c r="R562" s="722"/>
      <c r="S562" s="629">
        <v>27.12</v>
      </c>
      <c r="T562" s="721"/>
      <c r="U562" s="722"/>
      <c r="V562" s="629">
        <v>24.75</v>
      </c>
      <c r="W562" s="721"/>
      <c r="X562" s="722"/>
      <c r="Y562" s="629">
        <v>23.76</v>
      </c>
      <c r="Z562" s="721"/>
      <c r="AA562" s="722"/>
      <c r="AB562" s="629">
        <v>24.55</v>
      </c>
      <c r="AC562" s="721"/>
      <c r="AD562" s="722"/>
      <c r="AE562" s="629">
        <v>24.55</v>
      </c>
      <c r="AF562" s="721"/>
      <c r="AG562" s="722"/>
      <c r="AH562" s="629">
        <v>23.76</v>
      </c>
      <c r="AI562" s="721"/>
      <c r="AJ562" s="722"/>
      <c r="AK562" s="629">
        <v>28.08</v>
      </c>
      <c r="AL562" s="721"/>
      <c r="AM562" s="722"/>
      <c r="AN562" s="629">
        <v>34.56</v>
      </c>
      <c r="AO562" s="721"/>
      <c r="AP562" s="722"/>
      <c r="AQ562" s="629">
        <v>41.66</v>
      </c>
      <c r="AR562" s="246"/>
      <c r="AS562" s="282"/>
      <c r="AT562" s="244">
        <f t="shared" si="20"/>
        <v>367.74</v>
      </c>
      <c r="AU562" s="246"/>
      <c r="AV562" s="336"/>
      <c r="AW562" s="285"/>
      <c r="AX562" s="249"/>
      <c r="AY562" s="441">
        <v>400.85921200000001</v>
      </c>
      <c r="AZ562" s="356"/>
      <c r="BA562" s="356"/>
      <c r="BB562" s="356"/>
      <c r="BC562" s="356"/>
    </row>
    <row r="563" spans="1:55" s="24" customFormat="1">
      <c r="A563" s="1116"/>
      <c r="B563" s="1116"/>
      <c r="C563" s="1116"/>
      <c r="D563" s="1110">
        <v>339019</v>
      </c>
      <c r="E563" s="1110"/>
      <c r="F563" s="1110"/>
      <c r="G563" s="1110">
        <v>339019</v>
      </c>
      <c r="H563" s="122" t="s">
        <v>319</v>
      </c>
      <c r="I563" s="516" t="s">
        <v>364</v>
      </c>
      <c r="J563" s="720">
        <v>41.66</v>
      </c>
      <c r="K563" s="721"/>
      <c r="L563" s="722"/>
      <c r="M563" s="629">
        <v>39.32</v>
      </c>
      <c r="N563" s="721"/>
      <c r="O563" s="722"/>
      <c r="P563" s="629">
        <v>41.66</v>
      </c>
      <c r="Q563" s="721"/>
      <c r="R563" s="722"/>
      <c r="S563" s="930">
        <v>46.11</v>
      </c>
      <c r="T563" s="721"/>
      <c r="U563" s="722"/>
      <c r="V563" s="930">
        <v>26.78</v>
      </c>
      <c r="W563" s="721"/>
      <c r="X563" s="722"/>
      <c r="Y563" s="930">
        <v>26.71</v>
      </c>
      <c r="Z563" s="721"/>
      <c r="AA563" s="722"/>
      <c r="AB563" s="802">
        <f>26.04+37.2</f>
        <v>63.24</v>
      </c>
      <c r="AC563" s="721"/>
      <c r="AD563" s="722"/>
      <c r="AE563" s="629">
        <v>59.52</v>
      </c>
      <c r="AF563" s="721"/>
      <c r="AG563" s="722"/>
      <c r="AH563" s="724">
        <v>61.66</v>
      </c>
      <c r="AI563" s="721"/>
      <c r="AJ563" s="722"/>
      <c r="AK563" s="629">
        <v>57.56</v>
      </c>
      <c r="AL563" s="721"/>
      <c r="AM563" s="722"/>
      <c r="AN563" s="930">
        <v>48.31</v>
      </c>
      <c r="AO563" s="721"/>
      <c r="AP563" s="722"/>
      <c r="AQ563" s="830">
        <v>41.66</v>
      </c>
      <c r="AR563" s="246"/>
      <c r="AS563" s="282"/>
      <c r="AT563" s="244">
        <f t="shared" si="20"/>
        <v>554.18999999999994</v>
      </c>
      <c r="AU563" s="246"/>
      <c r="AV563" s="336"/>
      <c r="AW563" s="285"/>
      <c r="AX563" s="249"/>
      <c r="AY563" s="441">
        <v>517.78947300000004</v>
      </c>
      <c r="AZ563" s="357"/>
      <c r="BA563" s="357"/>
      <c r="BB563" s="357"/>
      <c r="BC563" s="357"/>
    </row>
    <row r="564" spans="1:55" s="24" customFormat="1">
      <c r="A564" s="1116"/>
      <c r="B564" s="1116"/>
      <c r="C564" s="1116"/>
      <c r="D564" s="1110">
        <v>339074</v>
      </c>
      <c r="E564" s="1110"/>
      <c r="F564" s="1110"/>
      <c r="G564" s="1110">
        <v>339074</v>
      </c>
      <c r="H564" s="187" t="s">
        <v>320</v>
      </c>
      <c r="I564" s="519" t="s">
        <v>365</v>
      </c>
      <c r="J564" s="629">
        <v>11.26</v>
      </c>
      <c r="K564" s="721"/>
      <c r="L564" s="722"/>
      <c r="M564" s="720">
        <v>10.9</v>
      </c>
      <c r="N564" s="721"/>
      <c r="O564" s="722"/>
      <c r="P564" s="720">
        <v>11.74</v>
      </c>
      <c r="Q564" s="721"/>
      <c r="R564" s="722"/>
      <c r="S564" s="720">
        <v>10.84</v>
      </c>
      <c r="T564" s="721"/>
      <c r="U564" s="722"/>
      <c r="V564" s="720">
        <v>7.1</v>
      </c>
      <c r="W564" s="721"/>
      <c r="X564" s="722"/>
      <c r="Y564" s="720">
        <v>7.97</v>
      </c>
      <c r="Z564" s="721"/>
      <c r="AA564" s="722"/>
      <c r="AB564" s="720">
        <v>8.39</v>
      </c>
      <c r="AC564" s="721"/>
      <c r="AD564" s="722"/>
      <c r="AE564" s="629">
        <v>7.1</v>
      </c>
      <c r="AF564" s="721"/>
      <c r="AG564" s="722"/>
      <c r="AH564" s="720">
        <v>10.48</v>
      </c>
      <c r="AI564" s="721"/>
      <c r="AJ564" s="722"/>
      <c r="AK564" s="720">
        <v>10.78</v>
      </c>
      <c r="AL564" s="721"/>
      <c r="AM564" s="722"/>
      <c r="AN564" s="720">
        <v>11.32</v>
      </c>
      <c r="AO564" s="721"/>
      <c r="AP564" s="722"/>
      <c r="AQ564" s="720">
        <v>11.74</v>
      </c>
      <c r="AR564" s="246"/>
      <c r="AS564" s="282"/>
      <c r="AT564" s="244">
        <f t="shared" si="20"/>
        <v>119.61999999999999</v>
      </c>
      <c r="AU564" s="246"/>
      <c r="AV564" s="336"/>
      <c r="AW564" s="285"/>
      <c r="AX564" s="249"/>
      <c r="AY564" s="441">
        <v>117.14248600000001</v>
      </c>
      <c r="AZ564" s="357"/>
      <c r="BA564" s="357"/>
      <c r="BB564" s="357"/>
      <c r="BC564" s="357"/>
    </row>
    <row r="565" spans="1:55" s="110" customFormat="1">
      <c r="A565" s="1116"/>
      <c r="B565" s="1116"/>
      <c r="C565" s="1116"/>
      <c r="D565" s="1110">
        <v>339060</v>
      </c>
      <c r="E565" s="1110"/>
      <c r="F565" s="1110"/>
      <c r="G565" s="1110">
        <v>339060</v>
      </c>
      <c r="H565" s="123" t="s">
        <v>321</v>
      </c>
      <c r="I565" s="519" t="s">
        <v>365</v>
      </c>
      <c r="J565" s="629">
        <v>4.43</v>
      </c>
      <c r="K565" s="721"/>
      <c r="L565" s="722"/>
      <c r="M565" s="629">
        <v>4.8</v>
      </c>
      <c r="N565" s="721"/>
      <c r="O565" s="722"/>
      <c r="P565" s="629">
        <v>2.98</v>
      </c>
      <c r="Q565" s="721"/>
      <c r="R565" s="722"/>
      <c r="S565" s="629">
        <v>1.3</v>
      </c>
      <c r="T565" s="721"/>
      <c r="U565" s="722"/>
      <c r="V565" s="629">
        <v>0</v>
      </c>
      <c r="W565" s="721"/>
      <c r="X565" s="722"/>
      <c r="Y565" s="629">
        <v>0</v>
      </c>
      <c r="Z565" s="721"/>
      <c r="AA565" s="722"/>
      <c r="AB565" s="629">
        <v>0</v>
      </c>
      <c r="AC565" s="721"/>
      <c r="AD565" s="722"/>
      <c r="AE565" s="629">
        <v>0</v>
      </c>
      <c r="AF565" s="721"/>
      <c r="AG565" s="722"/>
      <c r="AH565" s="629">
        <v>0</v>
      </c>
      <c r="AI565" s="721"/>
      <c r="AJ565" s="722"/>
      <c r="AK565" s="629">
        <v>3.57</v>
      </c>
      <c r="AL565" s="721"/>
      <c r="AM565" s="722"/>
      <c r="AN565" s="629">
        <v>3.89</v>
      </c>
      <c r="AO565" s="721"/>
      <c r="AP565" s="722"/>
      <c r="AQ565" s="629">
        <v>5.28</v>
      </c>
      <c r="AR565" s="246"/>
      <c r="AS565" s="282"/>
      <c r="AT565" s="244">
        <f t="shared" si="20"/>
        <v>26.250000000000004</v>
      </c>
      <c r="AU565" s="246"/>
      <c r="AV565" s="336"/>
      <c r="AW565" s="285"/>
      <c r="AX565" s="249"/>
      <c r="AY565" s="441">
        <v>18.12443</v>
      </c>
      <c r="AZ565" s="356"/>
      <c r="BA565" s="356"/>
      <c r="BB565" s="356"/>
      <c r="BC565" s="356"/>
    </row>
    <row r="566" spans="1:55" s="109" customFormat="1">
      <c r="A566" s="1116"/>
      <c r="B566" s="1116"/>
      <c r="C566" s="1116"/>
      <c r="D566" s="1110">
        <v>339027</v>
      </c>
      <c r="E566" s="1110"/>
      <c r="F566" s="1110"/>
      <c r="G566" s="1110">
        <v>339027</v>
      </c>
      <c r="H566" s="123" t="s">
        <v>322</v>
      </c>
      <c r="I566" s="519" t="s">
        <v>365</v>
      </c>
      <c r="J566" s="629">
        <v>4.46</v>
      </c>
      <c r="K566" s="721"/>
      <c r="L566" s="722"/>
      <c r="M566" s="629">
        <v>4.1100000000000003</v>
      </c>
      <c r="N566" s="721"/>
      <c r="O566" s="722"/>
      <c r="P566" s="629">
        <v>2.87</v>
      </c>
      <c r="Q566" s="721"/>
      <c r="R566" s="722"/>
      <c r="S566" s="629">
        <v>3.96</v>
      </c>
      <c r="T566" s="721"/>
      <c r="U566" s="722"/>
      <c r="V566" s="629">
        <v>2.37</v>
      </c>
      <c r="W566" s="721"/>
      <c r="X566" s="722"/>
      <c r="Y566" s="629">
        <v>4.32</v>
      </c>
      <c r="Z566" s="721"/>
      <c r="AA566" s="722"/>
      <c r="AB566" s="629">
        <v>2.37</v>
      </c>
      <c r="AC566" s="721"/>
      <c r="AD566" s="722"/>
      <c r="AE566" s="629">
        <v>1.4</v>
      </c>
      <c r="AF566" s="721"/>
      <c r="AG566" s="722"/>
      <c r="AH566" s="629">
        <v>3.74</v>
      </c>
      <c r="AI566" s="721"/>
      <c r="AJ566" s="722"/>
      <c r="AK566" s="629">
        <v>2.37</v>
      </c>
      <c r="AL566" s="721"/>
      <c r="AM566" s="722"/>
      <c r="AN566" s="629">
        <v>3.96</v>
      </c>
      <c r="AO566" s="721"/>
      <c r="AP566" s="722"/>
      <c r="AQ566" s="629">
        <v>4.09</v>
      </c>
      <c r="AR566" s="246"/>
      <c r="AS566" s="282"/>
      <c r="AT566" s="244">
        <f t="shared" si="20"/>
        <v>40.019999999999996</v>
      </c>
      <c r="AU566" s="246"/>
      <c r="AV566" s="336"/>
      <c r="AW566" s="285"/>
      <c r="AX566" s="249"/>
      <c r="AY566" s="441">
        <v>8.3462840000000007</v>
      </c>
      <c r="AZ566" s="368"/>
      <c r="BA566" s="368"/>
      <c r="BB566" s="368"/>
      <c r="BC566" s="368"/>
    </row>
    <row r="567" spans="1:55" s="109" customFormat="1">
      <c r="A567" s="1116"/>
      <c r="B567" s="1116"/>
      <c r="C567" s="1116"/>
      <c r="D567" s="1110">
        <v>339021</v>
      </c>
      <c r="E567" s="1110"/>
      <c r="F567" s="1110"/>
      <c r="G567" s="1110">
        <v>339021</v>
      </c>
      <c r="H567" s="123" t="s">
        <v>323</v>
      </c>
      <c r="I567" s="519" t="s">
        <v>365</v>
      </c>
      <c r="J567" s="629">
        <v>5.21</v>
      </c>
      <c r="K567" s="721"/>
      <c r="L567" s="722"/>
      <c r="M567" s="629">
        <v>1.96</v>
      </c>
      <c r="N567" s="721"/>
      <c r="O567" s="722"/>
      <c r="P567" s="629">
        <v>4.46</v>
      </c>
      <c r="Q567" s="721"/>
      <c r="R567" s="722"/>
      <c r="S567" s="629">
        <v>1.68</v>
      </c>
      <c r="T567" s="721"/>
      <c r="U567" s="722"/>
      <c r="V567" s="629">
        <v>0</v>
      </c>
      <c r="W567" s="721"/>
      <c r="X567" s="722"/>
      <c r="Y567" s="629">
        <v>0</v>
      </c>
      <c r="Z567" s="721"/>
      <c r="AA567" s="722"/>
      <c r="AB567" s="629">
        <v>0</v>
      </c>
      <c r="AC567" s="721"/>
      <c r="AD567" s="722"/>
      <c r="AE567" s="629">
        <v>0</v>
      </c>
      <c r="AF567" s="721"/>
      <c r="AG567" s="722"/>
      <c r="AH567" s="629">
        <v>0</v>
      </c>
      <c r="AI567" s="721"/>
      <c r="AJ567" s="722"/>
      <c r="AK567" s="629">
        <v>1.51</v>
      </c>
      <c r="AL567" s="721"/>
      <c r="AM567" s="722"/>
      <c r="AN567" s="629">
        <v>2.82</v>
      </c>
      <c r="AO567" s="721"/>
      <c r="AP567" s="722"/>
      <c r="AQ567" s="629">
        <v>4.84</v>
      </c>
      <c r="AR567" s="246"/>
      <c r="AS567" s="282"/>
      <c r="AT567" s="244">
        <f t="shared" si="20"/>
        <v>22.479999999999997</v>
      </c>
      <c r="AU567" s="246"/>
      <c r="AV567" s="336"/>
      <c r="AW567" s="285"/>
      <c r="AX567" s="249"/>
      <c r="AY567" s="441">
        <v>3.6446689999999999</v>
      </c>
      <c r="AZ567" s="368"/>
      <c r="BA567" s="368"/>
      <c r="BB567" s="368"/>
      <c r="BC567" s="368"/>
    </row>
    <row r="568" spans="1:55" s="24" customFormat="1">
      <c r="A568" s="1116"/>
      <c r="B568" s="1116"/>
      <c r="C568" s="1116"/>
      <c r="D568" s="1110">
        <v>339035</v>
      </c>
      <c r="E568" s="1110"/>
      <c r="F568" s="1110"/>
      <c r="G568" s="1110">
        <v>339035</v>
      </c>
      <c r="H568" s="123" t="s">
        <v>316</v>
      </c>
      <c r="I568" s="519" t="s">
        <v>365</v>
      </c>
      <c r="J568" s="629">
        <v>11.74</v>
      </c>
      <c r="K568" s="721"/>
      <c r="L568" s="722"/>
      <c r="M568" s="629">
        <v>10.98</v>
      </c>
      <c r="N568" s="721"/>
      <c r="O568" s="722"/>
      <c r="P568" s="629">
        <v>0</v>
      </c>
      <c r="Q568" s="721"/>
      <c r="R568" s="722"/>
      <c r="S568" s="629">
        <v>0</v>
      </c>
      <c r="T568" s="721"/>
      <c r="U568" s="722"/>
      <c r="V568" s="629">
        <v>0</v>
      </c>
      <c r="W568" s="721"/>
      <c r="X568" s="722"/>
      <c r="Y568" s="629">
        <v>0</v>
      </c>
      <c r="Z568" s="721"/>
      <c r="AA568" s="722"/>
      <c r="AB568" s="629">
        <v>0</v>
      </c>
      <c r="AC568" s="721"/>
      <c r="AD568" s="722"/>
      <c r="AE568" s="629">
        <v>0</v>
      </c>
      <c r="AF568" s="721"/>
      <c r="AG568" s="722"/>
      <c r="AH568" s="629">
        <v>0</v>
      </c>
      <c r="AI568" s="721"/>
      <c r="AJ568" s="722"/>
      <c r="AK568" s="629">
        <v>10.86</v>
      </c>
      <c r="AL568" s="721"/>
      <c r="AM568" s="722"/>
      <c r="AN568" s="629">
        <v>10.3</v>
      </c>
      <c r="AO568" s="721"/>
      <c r="AP568" s="722"/>
      <c r="AQ568" s="629">
        <v>9.5399999999999991</v>
      </c>
      <c r="AR568" s="246"/>
      <c r="AS568" s="282"/>
      <c r="AT568" s="244">
        <f t="shared" si="20"/>
        <v>53.419999999999995</v>
      </c>
      <c r="AU568" s="246"/>
      <c r="AV568" s="336"/>
      <c r="AW568" s="285"/>
      <c r="AX568" s="249"/>
      <c r="AY568" s="441">
        <v>75.538565000000006</v>
      </c>
      <c r="AZ568" s="357"/>
      <c r="BA568" s="357"/>
      <c r="BB568" s="357"/>
      <c r="BC568" s="357"/>
    </row>
    <row r="569" spans="1:55" s="24" customFormat="1">
      <c r="A569" s="1116"/>
      <c r="B569" s="1116"/>
      <c r="C569" s="1116"/>
      <c r="D569" s="1110">
        <v>339030</v>
      </c>
      <c r="E569" s="1110"/>
      <c r="F569" s="1110"/>
      <c r="G569" s="1110">
        <v>339030</v>
      </c>
      <c r="H569" s="122" t="s">
        <v>324</v>
      </c>
      <c r="I569" s="516" t="s">
        <v>364</v>
      </c>
      <c r="J569" s="638">
        <f>ГЭС!C38</f>
        <v>36.168060302734375</v>
      </c>
      <c r="K569" s="246"/>
      <c r="L569" s="282"/>
      <c r="M569" s="638">
        <f>ГЭС!D38</f>
        <v>34.419864654541016</v>
      </c>
      <c r="N569" s="246"/>
      <c r="O569" s="282"/>
      <c r="P569" s="638">
        <f>ГЭС!E38</f>
        <v>38.383331298828125</v>
      </c>
      <c r="Q569" s="246"/>
      <c r="R569" s="282"/>
      <c r="S569" s="638">
        <f>ГЭС!G38</f>
        <v>76.950592041015625</v>
      </c>
      <c r="T569" s="246"/>
      <c r="U569" s="282"/>
      <c r="V569" s="638">
        <f>ГЭС!H38</f>
        <v>113.67478179931641</v>
      </c>
      <c r="W569" s="246"/>
      <c r="X569" s="282"/>
      <c r="Y569" s="638">
        <f>ГЭС!I38</f>
        <v>66.322952270507813</v>
      </c>
      <c r="Z569" s="246"/>
      <c r="AA569" s="282"/>
      <c r="AB569" s="638">
        <f>ГЭС!K38</f>
        <v>55.361072540283203</v>
      </c>
      <c r="AC569" s="246"/>
      <c r="AD569" s="282"/>
      <c r="AE569" s="638">
        <f>ГЭС!L38</f>
        <v>45.624019622802734</v>
      </c>
      <c r="AF569" s="246"/>
      <c r="AG569" s="282"/>
      <c r="AH569" s="638">
        <f>ГЭС!M38</f>
        <v>41.749855041503906</v>
      </c>
      <c r="AI569" s="246"/>
      <c r="AJ569" s="282"/>
      <c r="AK569" s="638">
        <f>ГЭС!O38</f>
        <v>50.188194274902344</v>
      </c>
      <c r="AL569" s="246"/>
      <c r="AM569" s="282"/>
      <c r="AN569" s="638">
        <f>ГЭС!P38</f>
        <v>43.595924377441406</v>
      </c>
      <c r="AO569" s="246"/>
      <c r="AP569" s="282"/>
      <c r="AQ569" s="638">
        <f>ГЭС!Q38</f>
        <v>38.135204315185547</v>
      </c>
      <c r="AR569" s="246"/>
      <c r="AS569" s="282"/>
      <c r="AT569" s="638">
        <f t="shared" si="20"/>
        <v>640.5738525390625</v>
      </c>
      <c r="AU569" s="246"/>
      <c r="AV569" s="336"/>
      <c r="AW569" s="285"/>
      <c r="AX569" s="249"/>
      <c r="AY569" s="441">
        <v>651.64956800000004</v>
      </c>
      <c r="AZ569" s="357"/>
      <c r="BA569" s="357"/>
      <c r="BB569" s="357"/>
      <c r="BC569" s="357"/>
    </row>
    <row r="570" spans="1:55" s="24" customFormat="1">
      <c r="A570" s="1116"/>
      <c r="B570" s="1116"/>
      <c r="C570" s="1116"/>
      <c r="D570" s="1110">
        <v>339033</v>
      </c>
      <c r="E570" s="1110"/>
      <c r="F570" s="1110"/>
      <c r="G570" s="1110">
        <v>339033</v>
      </c>
      <c r="H570" s="122" t="s">
        <v>325</v>
      </c>
      <c r="I570" s="516" t="s">
        <v>364</v>
      </c>
      <c r="J570" s="638">
        <f>ГЭС!C39</f>
        <v>7.2184829711914063</v>
      </c>
      <c r="K570" s="246"/>
      <c r="L570" s="282"/>
      <c r="M570" s="638">
        <f>ГЭС!D39</f>
        <v>5.7559781074523926</v>
      </c>
      <c r="N570" s="246"/>
      <c r="O570" s="282"/>
      <c r="P570" s="638">
        <f>ГЭС!E39</f>
        <v>5.6617650985717773</v>
      </c>
      <c r="Q570" s="246"/>
      <c r="R570" s="282"/>
      <c r="S570" s="638">
        <f>ГЭС!G39</f>
        <v>11.585275650024414</v>
      </c>
      <c r="T570" s="246"/>
      <c r="U570" s="282"/>
      <c r="V570" s="638">
        <f>ГЭС!H39</f>
        <v>26.808759689331055</v>
      </c>
      <c r="W570" s="246"/>
      <c r="X570" s="282"/>
      <c r="Y570" s="638">
        <f>ГЭС!I39</f>
        <v>14.945294380187988</v>
      </c>
      <c r="Z570" s="246"/>
      <c r="AA570" s="282"/>
      <c r="AB570" s="638">
        <f>ГЭС!K39</f>
        <v>10.982243537902832</v>
      </c>
      <c r="AC570" s="246"/>
      <c r="AD570" s="282"/>
      <c r="AE570" s="638">
        <f>ГЭС!L39</f>
        <v>11.58788013458252</v>
      </c>
      <c r="AF570" s="246"/>
      <c r="AG570" s="282"/>
      <c r="AH570" s="638">
        <f>ГЭС!M39</f>
        <v>8.2259950637817383</v>
      </c>
      <c r="AI570" s="246"/>
      <c r="AJ570" s="282"/>
      <c r="AK570" s="638">
        <f>ГЭС!O39</f>
        <v>9.9982538223266602</v>
      </c>
      <c r="AL570" s="246"/>
      <c r="AM570" s="282"/>
      <c r="AN570" s="638">
        <f>ГЭС!P39</f>
        <v>8.8797397613525391</v>
      </c>
      <c r="AO570" s="246"/>
      <c r="AP570" s="282"/>
      <c r="AQ570" s="638">
        <f>ГЭС!Q39</f>
        <v>7.7084803581237793</v>
      </c>
      <c r="AR570" s="246"/>
      <c r="AS570" s="282"/>
      <c r="AT570" s="638">
        <f t="shared" si="20"/>
        <v>129.3581485748291</v>
      </c>
      <c r="AU570" s="246"/>
      <c r="AV570" s="336"/>
      <c r="AW570" s="285"/>
      <c r="AX570" s="249"/>
      <c r="AY570" s="441">
        <v>113.573831</v>
      </c>
      <c r="AZ570" s="357"/>
      <c r="BA570" s="357"/>
      <c r="BB570" s="357"/>
      <c r="BC570" s="357"/>
    </row>
    <row r="571" spans="1:55" s="24" customFormat="1">
      <c r="A571" s="1116"/>
      <c r="B571" s="1116"/>
      <c r="C571" s="1116"/>
      <c r="D571" s="1110">
        <v>631990</v>
      </c>
      <c r="E571" s="1110"/>
      <c r="F571" s="1110"/>
      <c r="G571" s="1110">
        <v>631990</v>
      </c>
      <c r="H571" s="122" t="s">
        <v>858</v>
      </c>
      <c r="I571" s="519" t="s">
        <v>365</v>
      </c>
      <c r="J571" s="244">
        <v>0.08</v>
      </c>
      <c r="K571" s="246"/>
      <c r="L571" s="282"/>
      <c r="M571" s="244">
        <v>0.04</v>
      </c>
      <c r="N571" s="246"/>
      <c r="O571" s="282"/>
      <c r="P571" s="244">
        <v>0.1</v>
      </c>
      <c r="Q571" s="246"/>
      <c r="R571" s="282"/>
      <c r="S571" s="244">
        <v>0.11</v>
      </c>
      <c r="T571" s="246"/>
      <c r="U571" s="282"/>
      <c r="V571" s="244">
        <v>0.12</v>
      </c>
      <c r="W571" s="246"/>
      <c r="X571" s="282"/>
      <c r="Y571" s="244">
        <v>0.09</v>
      </c>
      <c r="Z571" s="246"/>
      <c r="AA571" s="282"/>
      <c r="AB571" s="244">
        <v>0.06</v>
      </c>
      <c r="AC571" s="246"/>
      <c r="AD571" s="282"/>
      <c r="AE571" s="244">
        <v>0.05</v>
      </c>
      <c r="AF571" s="246"/>
      <c r="AG571" s="282"/>
      <c r="AH571" s="244">
        <v>0.08</v>
      </c>
      <c r="AI571" s="246"/>
      <c r="AJ571" s="282"/>
      <c r="AK571" s="244">
        <v>0.15</v>
      </c>
      <c r="AL571" s="246"/>
      <c r="AM571" s="282"/>
      <c r="AN571" s="244">
        <v>0.1</v>
      </c>
      <c r="AO571" s="246"/>
      <c r="AP571" s="282"/>
      <c r="AQ571" s="244">
        <v>0.05</v>
      </c>
      <c r="AR571" s="246"/>
      <c r="AS571" s="282"/>
      <c r="AT571" s="244">
        <f t="shared" si="20"/>
        <v>1.03</v>
      </c>
      <c r="AU571" s="246"/>
      <c r="AV571" s="336"/>
      <c r="AW571" s="285"/>
      <c r="AX571" s="249"/>
      <c r="AY571" s="441">
        <v>1.017476</v>
      </c>
      <c r="AZ571" s="357"/>
      <c r="BA571" s="357"/>
      <c r="BB571" s="357"/>
      <c r="BC571" s="357"/>
    </row>
    <row r="572" spans="1:55" s="109" customFormat="1">
      <c r="A572" s="1116"/>
      <c r="B572" s="1116"/>
      <c r="C572" s="1116"/>
      <c r="D572" s="1110">
        <v>631990</v>
      </c>
      <c r="E572" s="1110"/>
      <c r="F572" s="1110"/>
      <c r="G572" s="1110">
        <v>339006</v>
      </c>
      <c r="H572" s="123" t="s">
        <v>859</v>
      </c>
      <c r="I572" s="519" t="s">
        <v>365</v>
      </c>
      <c r="J572" s="587">
        <v>9.9856860935688019E-2</v>
      </c>
      <c r="K572" s="246"/>
      <c r="L572" s="282"/>
      <c r="M572" s="587">
        <v>7.1591995656490326E-2</v>
      </c>
      <c r="N572" s="246"/>
      <c r="O572" s="282"/>
      <c r="P572" s="587">
        <v>7.579474151134491E-2</v>
      </c>
      <c r="Q572" s="246"/>
      <c r="R572" s="282"/>
      <c r="S572" s="587">
        <v>8.0468647181987762E-2</v>
      </c>
      <c r="T572" s="246"/>
      <c r="U572" s="282"/>
      <c r="V572" s="587">
        <v>0.1929076611995697</v>
      </c>
      <c r="W572" s="246"/>
      <c r="X572" s="282"/>
      <c r="Y572" s="587">
        <v>0.19052904844284058</v>
      </c>
      <c r="Z572" s="246"/>
      <c r="AA572" s="282"/>
      <c r="AB572" s="587">
        <v>0.14948645234107971</v>
      </c>
      <c r="AC572" s="246"/>
      <c r="AD572" s="282"/>
      <c r="AE572" s="587">
        <v>0.1482788473367691</v>
      </c>
      <c r="AF572" s="246"/>
      <c r="AG572" s="282"/>
      <c r="AH572" s="587">
        <v>0.12428492307662964</v>
      </c>
      <c r="AI572" s="246"/>
      <c r="AJ572" s="282"/>
      <c r="AK572" s="587">
        <v>0.1553950309753418</v>
      </c>
      <c r="AL572" s="246"/>
      <c r="AM572" s="282"/>
      <c r="AN572" s="587">
        <v>0.16089718043804169</v>
      </c>
      <c r="AO572" s="246"/>
      <c r="AP572" s="282"/>
      <c r="AQ572" s="587">
        <v>0.14539134502410889</v>
      </c>
      <c r="AR572" s="246"/>
      <c r="AS572" s="282"/>
      <c r="AT572" s="587">
        <f t="shared" si="20"/>
        <v>1.5948827341198921</v>
      </c>
      <c r="AU572" s="246"/>
      <c r="AV572" s="336"/>
      <c r="AW572" s="285"/>
      <c r="AX572" s="249"/>
      <c r="AY572" s="441">
        <v>1.6740349999999999</v>
      </c>
      <c r="AZ572" s="368"/>
      <c r="BA572" s="368"/>
      <c r="BB572" s="368"/>
      <c r="BC572" s="368"/>
    </row>
    <row r="573" spans="1:55" s="109" customFormat="1">
      <c r="A573" s="1116"/>
      <c r="B573" s="1116"/>
      <c r="C573" s="1116"/>
      <c r="D573" s="1110">
        <v>339049</v>
      </c>
      <c r="E573" s="1110"/>
      <c r="F573" s="1110"/>
      <c r="G573" s="1110">
        <v>339049</v>
      </c>
      <c r="H573" s="123" t="s">
        <v>915</v>
      </c>
      <c r="I573" s="516" t="s">
        <v>364</v>
      </c>
      <c r="J573" s="587">
        <v>3.2120461463928223</v>
      </c>
      <c r="K573" s="246"/>
      <c r="L573" s="282"/>
      <c r="M573" s="587">
        <v>2.2447559833526611</v>
      </c>
      <c r="N573" s="246"/>
      <c r="O573" s="282"/>
      <c r="P573" s="587">
        <v>1.6952438354492188</v>
      </c>
      <c r="Q573" s="246"/>
      <c r="R573" s="282"/>
      <c r="S573" s="587">
        <v>2.5212886333465576</v>
      </c>
      <c r="T573" s="246"/>
      <c r="U573" s="282"/>
      <c r="V573" s="587">
        <v>5.2501735687255859</v>
      </c>
      <c r="W573" s="246"/>
      <c r="X573" s="282"/>
      <c r="Y573" s="587">
        <v>2.1563105583190918</v>
      </c>
      <c r="Z573" s="246"/>
      <c r="AA573" s="282"/>
      <c r="AB573" s="587">
        <v>1.4787638187408447</v>
      </c>
      <c r="AC573" s="246"/>
      <c r="AD573" s="282"/>
      <c r="AE573" s="587">
        <v>1.3066818714141846</v>
      </c>
      <c r="AF573" s="246"/>
      <c r="AG573" s="282"/>
      <c r="AH573" s="587">
        <v>1.6683156490325928</v>
      </c>
      <c r="AI573" s="246"/>
      <c r="AJ573" s="282"/>
      <c r="AK573" s="587">
        <v>2.9693338871002197</v>
      </c>
      <c r="AL573" s="246"/>
      <c r="AM573" s="282"/>
      <c r="AN573" s="587">
        <v>3.8188850879669189</v>
      </c>
      <c r="AO573" s="246"/>
      <c r="AP573" s="282"/>
      <c r="AQ573" s="587">
        <v>3.6982512474060059</v>
      </c>
      <c r="AR573" s="246"/>
      <c r="AS573" s="282"/>
      <c r="AT573" s="587">
        <f t="shared" si="20"/>
        <v>32.020050287246704</v>
      </c>
      <c r="AU573" s="246"/>
      <c r="AV573" s="336"/>
      <c r="AW573" s="285"/>
      <c r="AX573" s="249"/>
      <c r="AY573" s="441">
        <v>24.607399999999998</v>
      </c>
      <c r="AZ573" s="368"/>
      <c r="BA573" s="368"/>
      <c r="BB573" s="368"/>
      <c r="BC573" s="368"/>
    </row>
    <row r="574" spans="1:55" s="109" customFormat="1">
      <c r="A574" s="1116"/>
      <c r="B574" s="1116"/>
      <c r="C574" s="1116"/>
      <c r="D574" s="1110">
        <v>777164</v>
      </c>
      <c r="E574" s="1110"/>
      <c r="F574" s="1110"/>
      <c r="G574" s="1110">
        <v>777164</v>
      </c>
      <c r="H574" s="123" t="s">
        <v>916</v>
      </c>
      <c r="I574" s="519" t="s">
        <v>364</v>
      </c>
      <c r="J574" s="244">
        <v>0.88</v>
      </c>
      <c r="K574" s="246"/>
      <c r="L574" s="282"/>
      <c r="M574" s="244">
        <v>1.46</v>
      </c>
      <c r="N574" s="246"/>
      <c r="O574" s="282"/>
      <c r="P574" s="244">
        <v>2.37</v>
      </c>
      <c r="Q574" s="246"/>
      <c r="R574" s="282"/>
      <c r="S574" s="244">
        <v>2.54</v>
      </c>
      <c r="T574" s="246"/>
      <c r="U574" s="282"/>
      <c r="V574" s="244">
        <v>2.95</v>
      </c>
      <c r="W574" s="246"/>
      <c r="X574" s="282"/>
      <c r="Y574" s="244">
        <v>3.07</v>
      </c>
      <c r="Z574" s="246"/>
      <c r="AA574" s="282"/>
      <c r="AB574" s="244">
        <v>3.13</v>
      </c>
      <c r="AC574" s="246"/>
      <c r="AD574" s="282"/>
      <c r="AE574" s="244">
        <v>2.92</v>
      </c>
      <c r="AF574" s="246"/>
      <c r="AG574" s="282"/>
      <c r="AH574" s="244">
        <v>1.95</v>
      </c>
      <c r="AI574" s="246"/>
      <c r="AJ574" s="282"/>
      <c r="AK574" s="244">
        <v>0</v>
      </c>
      <c r="AL574" s="246"/>
      <c r="AM574" s="282"/>
      <c r="AN574" s="244">
        <v>0.75</v>
      </c>
      <c r="AO574" s="246"/>
      <c r="AP574" s="282"/>
      <c r="AQ574" s="244">
        <v>0.57999999999999996</v>
      </c>
      <c r="AR574" s="246"/>
      <c r="AS574" s="282"/>
      <c r="AT574" s="244">
        <f t="shared" si="20"/>
        <v>22.599999999999998</v>
      </c>
      <c r="AU574" s="246"/>
      <c r="AV574" s="336"/>
      <c r="AW574" s="285"/>
      <c r="AX574" s="249"/>
      <c r="AY574" s="441">
        <v>25.313472000000001</v>
      </c>
      <c r="AZ574" s="368"/>
      <c r="BA574" s="368"/>
      <c r="BB574" s="368"/>
      <c r="BC574" s="368"/>
    </row>
    <row r="575" spans="1:55" s="109" customFormat="1">
      <c r="A575" s="1116"/>
      <c r="B575" s="1116"/>
      <c r="C575" s="1116"/>
      <c r="D575" s="1110">
        <v>777165</v>
      </c>
      <c r="E575" s="1110"/>
      <c r="F575" s="1110"/>
      <c r="G575" s="1110">
        <v>777165</v>
      </c>
      <c r="H575" s="123" t="s">
        <v>1340</v>
      </c>
      <c r="I575" s="519" t="s">
        <v>364</v>
      </c>
      <c r="J575" s="244">
        <v>0.69</v>
      </c>
      <c r="K575" s="246"/>
      <c r="L575" s="282"/>
      <c r="M575" s="244">
        <v>1.21</v>
      </c>
      <c r="N575" s="246"/>
      <c r="O575" s="282"/>
      <c r="P575" s="244">
        <v>2.11</v>
      </c>
      <c r="Q575" s="246"/>
      <c r="R575" s="282"/>
      <c r="S575" s="244">
        <v>2.1800000000000002</v>
      </c>
      <c r="T575" s="246"/>
      <c r="U575" s="282"/>
      <c r="V575" s="244">
        <v>2.48</v>
      </c>
      <c r="W575" s="246"/>
      <c r="X575" s="282"/>
      <c r="Y575" s="244">
        <v>2.46</v>
      </c>
      <c r="Z575" s="246"/>
      <c r="AA575" s="282"/>
      <c r="AB575" s="244">
        <v>2.64</v>
      </c>
      <c r="AC575" s="246"/>
      <c r="AD575" s="282"/>
      <c r="AE575" s="244">
        <v>2.2799999999999998</v>
      </c>
      <c r="AF575" s="246"/>
      <c r="AG575" s="282"/>
      <c r="AH575" s="244">
        <v>1.63</v>
      </c>
      <c r="AI575" s="246"/>
      <c r="AJ575" s="282"/>
      <c r="AK575" s="244">
        <v>0</v>
      </c>
      <c r="AL575" s="246"/>
      <c r="AM575" s="282"/>
      <c r="AN575" s="244">
        <v>0.5</v>
      </c>
      <c r="AO575" s="246"/>
      <c r="AP575" s="282"/>
      <c r="AQ575" s="244">
        <v>0.24</v>
      </c>
      <c r="AR575" s="246"/>
      <c r="AS575" s="282"/>
      <c r="AT575" s="244">
        <f t="shared" si="20"/>
        <v>18.419999999999998</v>
      </c>
      <c r="AU575" s="246"/>
      <c r="AV575" s="336"/>
      <c r="AW575" s="285"/>
      <c r="AX575" s="249"/>
      <c r="AY575" s="441">
        <v>19.454784</v>
      </c>
      <c r="AZ575" s="368"/>
      <c r="BA575" s="368"/>
      <c r="BB575" s="368"/>
      <c r="BC575" s="368"/>
    </row>
    <row r="576" spans="1:55" s="109" customFormat="1">
      <c r="A576" s="1116"/>
      <c r="B576" s="1116"/>
      <c r="C576" s="1116"/>
      <c r="D576" s="1110"/>
      <c r="E576" s="1110"/>
      <c r="F576" s="1110"/>
      <c r="G576" s="1110">
        <v>777166</v>
      </c>
      <c r="H576" s="123" t="s">
        <v>917</v>
      </c>
      <c r="I576" s="519" t="s">
        <v>364</v>
      </c>
      <c r="J576" s="244">
        <v>0.12</v>
      </c>
      <c r="K576" s="246"/>
      <c r="L576" s="282"/>
      <c r="M576" s="244">
        <v>0.52</v>
      </c>
      <c r="N576" s="246"/>
      <c r="O576" s="282"/>
      <c r="P576" s="244">
        <v>0.95</v>
      </c>
      <c r="Q576" s="246"/>
      <c r="R576" s="282"/>
      <c r="S576" s="244">
        <v>1.35</v>
      </c>
      <c r="T576" s="246"/>
      <c r="U576" s="282"/>
      <c r="V576" s="244">
        <v>1.36</v>
      </c>
      <c r="W576" s="246"/>
      <c r="X576" s="282"/>
      <c r="Y576" s="244">
        <v>1.48</v>
      </c>
      <c r="Z576" s="246"/>
      <c r="AA576" s="282"/>
      <c r="AB576" s="244">
        <v>1.48</v>
      </c>
      <c r="AC576" s="246"/>
      <c r="AD576" s="282"/>
      <c r="AE576" s="244">
        <v>1.19</v>
      </c>
      <c r="AF576" s="246"/>
      <c r="AG576" s="282"/>
      <c r="AH576" s="244">
        <v>0.81</v>
      </c>
      <c r="AI576" s="246"/>
      <c r="AJ576" s="282"/>
      <c r="AK576" s="244">
        <v>0</v>
      </c>
      <c r="AL576" s="246"/>
      <c r="AM576" s="282"/>
      <c r="AN576" s="244">
        <v>0.21</v>
      </c>
      <c r="AO576" s="246"/>
      <c r="AP576" s="282"/>
      <c r="AQ576" s="244">
        <v>0.06</v>
      </c>
      <c r="AR576" s="246"/>
      <c r="AS576" s="282"/>
      <c r="AT576" s="244">
        <f t="shared" si="20"/>
        <v>9.5300000000000011</v>
      </c>
      <c r="AU576" s="246"/>
      <c r="AV576" s="336"/>
      <c r="AW576" s="285"/>
      <c r="AX576" s="249"/>
      <c r="AY576" s="441"/>
      <c r="AZ576" s="368"/>
      <c r="BA576" s="368"/>
      <c r="BB576" s="368"/>
      <c r="BC576" s="368"/>
    </row>
    <row r="577" spans="1:55" s="109" customFormat="1">
      <c r="A577" s="1116"/>
      <c r="B577" s="1116"/>
      <c r="C577" s="1116"/>
      <c r="D577" s="1110"/>
      <c r="E577" s="1110"/>
      <c r="F577" s="1110"/>
      <c r="G577" s="1211">
        <v>777827</v>
      </c>
      <c r="H577" s="172" t="s">
        <v>1666</v>
      </c>
      <c r="I577" s="519" t="s">
        <v>364</v>
      </c>
      <c r="J577" s="244">
        <v>0</v>
      </c>
      <c r="K577" s="246"/>
      <c r="L577" s="282"/>
      <c r="M577" s="244">
        <v>0</v>
      </c>
      <c r="N577" s="246"/>
      <c r="O577" s="282"/>
      <c r="P577" s="244">
        <v>0</v>
      </c>
      <c r="Q577" s="246"/>
      <c r="R577" s="282"/>
      <c r="S577" s="244">
        <v>0</v>
      </c>
      <c r="T577" s="246"/>
      <c r="U577" s="282"/>
      <c r="V577" s="244">
        <v>3.97</v>
      </c>
      <c r="W577" s="246"/>
      <c r="X577" s="282"/>
      <c r="Y577" s="244">
        <v>3.7</v>
      </c>
      <c r="Z577" s="246"/>
      <c r="AA577" s="282"/>
      <c r="AB577" s="244">
        <v>3.72</v>
      </c>
      <c r="AC577" s="246"/>
      <c r="AD577" s="282"/>
      <c r="AE577" s="244">
        <v>4.13</v>
      </c>
      <c r="AF577" s="246"/>
      <c r="AG577" s="282"/>
      <c r="AH577" s="244">
        <v>3.25</v>
      </c>
      <c r="AI577" s="246"/>
      <c r="AJ577" s="282"/>
      <c r="AK577" s="244">
        <v>2.62</v>
      </c>
      <c r="AL577" s="246"/>
      <c r="AM577" s="282"/>
      <c r="AN577" s="244">
        <v>1.32</v>
      </c>
      <c r="AO577" s="246"/>
      <c r="AP577" s="282"/>
      <c r="AQ577" s="244">
        <v>0.91</v>
      </c>
      <c r="AR577" s="246"/>
      <c r="AS577" s="282"/>
      <c r="AT577" s="244">
        <f t="shared" si="20"/>
        <v>23.62</v>
      </c>
      <c r="AU577" s="246"/>
      <c r="AV577" s="336"/>
      <c r="AW577" s="285"/>
      <c r="AX577" s="249"/>
      <c r="AY577" s="441"/>
      <c r="AZ577" s="368"/>
      <c r="BA577" s="368"/>
      <c r="BB577" s="368"/>
      <c r="BC577" s="368"/>
    </row>
    <row r="578" spans="1:55" s="109" customFormat="1">
      <c r="A578" s="1116"/>
      <c r="B578" s="1116"/>
      <c r="C578" s="1116"/>
      <c r="D578" s="1110">
        <v>777166</v>
      </c>
      <c r="E578" s="1110"/>
      <c r="F578" s="1110"/>
      <c r="G578" s="1211">
        <v>777991</v>
      </c>
      <c r="H578" s="172" t="s">
        <v>1667</v>
      </c>
      <c r="I578" s="519" t="s">
        <v>364</v>
      </c>
      <c r="J578" s="244">
        <v>0</v>
      </c>
      <c r="K578" s="246"/>
      <c r="L578" s="282"/>
      <c r="M578" s="244">
        <v>0</v>
      </c>
      <c r="N578" s="246"/>
      <c r="O578" s="282"/>
      <c r="P578" s="244">
        <v>0</v>
      </c>
      <c r="Q578" s="246"/>
      <c r="R578" s="282"/>
      <c r="S578" s="244">
        <v>0</v>
      </c>
      <c r="T578" s="246"/>
      <c r="U578" s="282"/>
      <c r="V578" s="244">
        <v>0</v>
      </c>
      <c r="W578" s="246"/>
      <c r="X578" s="282"/>
      <c r="Y578" s="244">
        <v>0</v>
      </c>
      <c r="Z578" s="246"/>
      <c r="AA578" s="282"/>
      <c r="AB578" s="244">
        <v>0</v>
      </c>
      <c r="AC578" s="246"/>
      <c r="AD578" s="282"/>
      <c r="AE578" s="244">
        <v>0</v>
      </c>
      <c r="AF578" s="246"/>
      <c r="AG578" s="282"/>
      <c r="AH578" s="244">
        <v>0</v>
      </c>
      <c r="AI578" s="246"/>
      <c r="AJ578" s="282"/>
      <c r="AK578" s="244">
        <v>1.57</v>
      </c>
      <c r="AL578" s="246"/>
      <c r="AM578" s="282"/>
      <c r="AN578" s="244">
        <v>0.79</v>
      </c>
      <c r="AO578" s="246"/>
      <c r="AP578" s="282"/>
      <c r="AQ578" s="244">
        <v>0.55000000000000004</v>
      </c>
      <c r="AR578" s="246"/>
      <c r="AS578" s="282"/>
      <c r="AT578" s="244">
        <f t="shared" si="20"/>
        <v>2.91</v>
      </c>
      <c r="AU578" s="246"/>
      <c r="AV578" s="336"/>
      <c r="AW578" s="285"/>
      <c r="AX578" s="249"/>
      <c r="AY578" s="441">
        <v>10.198437</v>
      </c>
      <c r="AZ578" s="368"/>
      <c r="BA578" s="368"/>
      <c r="BB578" s="368"/>
      <c r="BC578" s="368"/>
    </row>
    <row r="579" spans="1:55" s="24" customFormat="1">
      <c r="A579" s="1116"/>
      <c r="B579" s="1116"/>
      <c r="C579" s="1116"/>
      <c r="D579" s="1110">
        <v>339059</v>
      </c>
      <c r="E579" s="1110"/>
      <c r="F579" s="1110"/>
      <c r="G579" s="1110"/>
      <c r="H579" s="165" t="s">
        <v>174</v>
      </c>
      <c r="I579" s="165"/>
      <c r="J579" s="821">
        <f>SUM(J580:J584)</f>
        <v>18.78</v>
      </c>
      <c r="K579" s="369"/>
      <c r="L579" s="370"/>
      <c r="M579" s="358">
        <f>SUM(M580:M584)</f>
        <v>17.999999999999996</v>
      </c>
      <c r="N579" s="369"/>
      <c r="O579" s="370"/>
      <c r="P579" s="358">
        <f>SUM(P580:P584)</f>
        <v>18.23</v>
      </c>
      <c r="Q579" s="369"/>
      <c r="R579" s="370"/>
      <c r="S579" s="358">
        <f>SUM(S580:S584)</f>
        <v>16.16</v>
      </c>
      <c r="T579" s="369"/>
      <c r="U579" s="370"/>
      <c r="V579" s="358">
        <f>SUM(V580:V584)</f>
        <v>14.750000000000002</v>
      </c>
      <c r="W579" s="369"/>
      <c r="X579" s="370"/>
      <c r="Y579" s="358">
        <f>SUM(Y580:Y584)</f>
        <v>11.330000000000002</v>
      </c>
      <c r="Z579" s="369"/>
      <c r="AA579" s="370"/>
      <c r="AB579" s="358">
        <f>SUM(AB580:AB584)</f>
        <v>12.97</v>
      </c>
      <c r="AC579" s="369"/>
      <c r="AD579" s="370"/>
      <c r="AE579" s="358">
        <f>SUM(AE580:AE584)</f>
        <v>13.95</v>
      </c>
      <c r="AF579" s="369"/>
      <c r="AG579" s="370"/>
      <c r="AH579" s="358">
        <f>SUM(AH580:AH584)</f>
        <v>14.55</v>
      </c>
      <c r="AI579" s="369"/>
      <c r="AJ579" s="370"/>
      <c r="AK579" s="358">
        <f>SUM(AK580:AK584)</f>
        <v>16.239999999999998</v>
      </c>
      <c r="AL579" s="369"/>
      <c r="AM579" s="370"/>
      <c r="AN579" s="358">
        <f>SUM(AN580:AN584)</f>
        <v>17.029999999999998</v>
      </c>
      <c r="AO579" s="369"/>
      <c r="AP579" s="370"/>
      <c r="AQ579" s="358">
        <f>SUM(AQ580:AQ584)</f>
        <v>17.580000000000002</v>
      </c>
      <c r="AR579" s="331"/>
      <c r="AS579" s="332"/>
      <c r="AT579" s="358">
        <f>SUM(AT580:AT584)</f>
        <v>189.57</v>
      </c>
      <c r="AU579" s="331"/>
      <c r="AV579" s="334"/>
      <c r="AW579" s="285"/>
      <c r="AX579" s="371"/>
      <c r="AY579" s="1071">
        <v>167.63672199999999</v>
      </c>
      <c r="AZ579" s="357"/>
      <c r="BA579" s="357"/>
      <c r="BB579" s="357"/>
      <c r="BC579" s="357"/>
    </row>
    <row r="580" spans="1:55" s="24" customFormat="1">
      <c r="A580" s="1116"/>
      <c r="B580" s="1116"/>
      <c r="C580" s="1116"/>
      <c r="D580" s="1110">
        <v>339040</v>
      </c>
      <c r="E580" s="1110"/>
      <c r="F580" s="1110"/>
      <c r="G580" s="1110">
        <v>339040</v>
      </c>
      <c r="H580" s="164" t="s">
        <v>326</v>
      </c>
      <c r="I580" s="518" t="s">
        <v>365</v>
      </c>
      <c r="J580" s="293">
        <v>12</v>
      </c>
      <c r="K580" s="288"/>
      <c r="L580" s="289"/>
      <c r="M580" s="294">
        <v>11.5</v>
      </c>
      <c r="N580" s="288"/>
      <c r="O580" s="289"/>
      <c r="P580" s="294">
        <v>11.6</v>
      </c>
      <c r="Q580" s="288"/>
      <c r="R580" s="289"/>
      <c r="S580" s="294">
        <v>10</v>
      </c>
      <c r="T580" s="288"/>
      <c r="U580" s="289"/>
      <c r="V580" s="294">
        <v>8.8000000000000007</v>
      </c>
      <c r="W580" s="288"/>
      <c r="X580" s="289"/>
      <c r="Y580" s="294">
        <v>6.2</v>
      </c>
      <c r="Z580" s="288"/>
      <c r="AA580" s="289"/>
      <c r="AB580" s="294">
        <v>8</v>
      </c>
      <c r="AC580" s="288"/>
      <c r="AD580" s="289"/>
      <c r="AE580" s="294">
        <v>8.6</v>
      </c>
      <c r="AF580" s="288"/>
      <c r="AG580" s="289"/>
      <c r="AH580" s="294">
        <v>8.6</v>
      </c>
      <c r="AI580" s="288"/>
      <c r="AJ580" s="289"/>
      <c r="AK580" s="294">
        <v>10</v>
      </c>
      <c r="AL580" s="288"/>
      <c r="AM580" s="289"/>
      <c r="AN580" s="294">
        <v>10.7</v>
      </c>
      <c r="AO580" s="288"/>
      <c r="AP580" s="289"/>
      <c r="AQ580" s="294">
        <v>11</v>
      </c>
      <c r="AR580" s="331"/>
      <c r="AS580" s="332"/>
      <c r="AT580" s="333">
        <f t="shared" si="20"/>
        <v>117</v>
      </c>
      <c r="AU580" s="331"/>
      <c r="AV580" s="334"/>
      <c r="AW580" s="285"/>
      <c r="AX580" s="371"/>
      <c r="AY580" s="1038"/>
      <c r="AZ580" s="357"/>
      <c r="BA580" s="357"/>
      <c r="BB580" s="357"/>
      <c r="BC580" s="357"/>
    </row>
    <row r="581" spans="1:55" s="24" customFormat="1">
      <c r="A581" s="1116"/>
      <c r="B581" s="1116"/>
      <c r="C581" s="1116"/>
      <c r="D581" s="1110">
        <v>339034</v>
      </c>
      <c r="E581" s="1110"/>
      <c r="F581" s="1110"/>
      <c r="G581" s="1110">
        <v>339034</v>
      </c>
      <c r="H581" s="164" t="s">
        <v>327</v>
      </c>
      <c r="I581" s="518" t="s">
        <v>365</v>
      </c>
      <c r="J581" s="924">
        <v>0</v>
      </c>
      <c r="K581" s="925"/>
      <c r="L581" s="926"/>
      <c r="M581" s="924">
        <v>0</v>
      </c>
      <c r="N581" s="925"/>
      <c r="O581" s="926"/>
      <c r="P581" s="924">
        <v>0</v>
      </c>
      <c r="Q581" s="925"/>
      <c r="R581" s="926"/>
      <c r="S581" s="924">
        <v>0</v>
      </c>
      <c r="T581" s="925"/>
      <c r="U581" s="926"/>
      <c r="V581" s="924">
        <v>0</v>
      </c>
      <c r="W581" s="925"/>
      <c r="X581" s="926"/>
      <c r="Y581" s="924">
        <v>0</v>
      </c>
      <c r="Z581" s="925"/>
      <c r="AA581" s="926"/>
      <c r="AB581" s="924">
        <v>0</v>
      </c>
      <c r="AC581" s="925"/>
      <c r="AD581" s="926"/>
      <c r="AE581" s="924">
        <v>0</v>
      </c>
      <c r="AF581" s="925"/>
      <c r="AG581" s="926"/>
      <c r="AH581" s="924">
        <v>0</v>
      </c>
      <c r="AI581" s="925"/>
      <c r="AJ581" s="926"/>
      <c r="AK581" s="924">
        <v>0</v>
      </c>
      <c r="AL581" s="925"/>
      <c r="AM581" s="926"/>
      <c r="AN581" s="924">
        <v>0</v>
      </c>
      <c r="AO581" s="925"/>
      <c r="AP581" s="926"/>
      <c r="AQ581" s="924">
        <v>0</v>
      </c>
      <c r="AR581" s="331"/>
      <c r="AS581" s="332"/>
      <c r="AT581" s="333">
        <f t="shared" si="20"/>
        <v>0</v>
      </c>
      <c r="AU581" s="331"/>
      <c r="AV581" s="334"/>
      <c r="AW581" s="285"/>
      <c r="AX581" s="371"/>
      <c r="AY581" s="1038"/>
      <c r="AZ581" s="357"/>
      <c r="BA581" s="357"/>
      <c r="BB581" s="357"/>
      <c r="BC581" s="357"/>
    </row>
    <row r="582" spans="1:55" s="24" customFormat="1">
      <c r="A582" s="1116"/>
      <c r="B582" s="1116"/>
      <c r="C582" s="1116"/>
      <c r="D582" s="1110"/>
      <c r="E582" s="1110"/>
      <c r="F582" s="1110"/>
      <c r="G582" s="1110">
        <v>339042</v>
      </c>
      <c r="H582" s="164" t="s">
        <v>328</v>
      </c>
      <c r="I582" s="518" t="s">
        <v>365</v>
      </c>
      <c r="J582" s="924">
        <v>5.77</v>
      </c>
      <c r="K582" s="925"/>
      <c r="L582" s="926"/>
      <c r="M582" s="924">
        <v>5.56</v>
      </c>
      <c r="N582" s="925"/>
      <c r="O582" s="926"/>
      <c r="P582" s="924">
        <v>5.63</v>
      </c>
      <c r="Q582" s="925"/>
      <c r="R582" s="926"/>
      <c r="S582" s="924">
        <v>5.2</v>
      </c>
      <c r="T582" s="925"/>
      <c r="U582" s="926"/>
      <c r="V582" s="924">
        <v>4.99</v>
      </c>
      <c r="W582" s="925"/>
      <c r="X582" s="926"/>
      <c r="Y582" s="924">
        <v>4.24</v>
      </c>
      <c r="Z582" s="925"/>
      <c r="AA582" s="926"/>
      <c r="AB582" s="924">
        <v>4.07</v>
      </c>
      <c r="AC582" s="925"/>
      <c r="AD582" s="926"/>
      <c r="AE582" s="924">
        <v>4.46</v>
      </c>
      <c r="AF582" s="925"/>
      <c r="AG582" s="926"/>
      <c r="AH582" s="924">
        <v>5.0599999999999996</v>
      </c>
      <c r="AI582" s="925"/>
      <c r="AJ582" s="926"/>
      <c r="AK582" s="924">
        <v>5.34</v>
      </c>
      <c r="AL582" s="925"/>
      <c r="AM582" s="926"/>
      <c r="AN582" s="924">
        <v>5.44</v>
      </c>
      <c r="AO582" s="925"/>
      <c r="AP582" s="926"/>
      <c r="AQ582" s="924">
        <v>5.67</v>
      </c>
      <c r="AR582" s="331"/>
      <c r="AS582" s="332"/>
      <c r="AT582" s="333">
        <f t="shared" si="20"/>
        <v>61.430000000000007</v>
      </c>
      <c r="AU582" s="331"/>
      <c r="AV582" s="334"/>
      <c r="AW582" s="285"/>
      <c r="AX582" s="371"/>
      <c r="AY582" s="1038"/>
      <c r="AZ582" s="357"/>
      <c r="BA582" s="357"/>
      <c r="BB582" s="357"/>
      <c r="BC582" s="357"/>
    </row>
    <row r="583" spans="1:55" s="24" customFormat="1">
      <c r="A583" s="1116"/>
      <c r="B583" s="1116"/>
      <c r="C583" s="1116"/>
      <c r="D583" s="1110"/>
      <c r="E583" s="1110"/>
      <c r="F583" s="1110"/>
      <c r="G583" s="1110">
        <v>777787</v>
      </c>
      <c r="H583" s="1114" t="s">
        <v>1668</v>
      </c>
      <c r="I583" s="518" t="s">
        <v>365</v>
      </c>
      <c r="J583" s="924">
        <v>0.5</v>
      </c>
      <c r="K583" s="925"/>
      <c r="L583" s="926"/>
      <c r="M583" s="924">
        <v>0.47</v>
      </c>
      <c r="N583" s="925"/>
      <c r="O583" s="926"/>
      <c r="P583" s="924">
        <v>0.5</v>
      </c>
      <c r="Q583" s="925"/>
      <c r="R583" s="926"/>
      <c r="S583" s="924">
        <v>0.48</v>
      </c>
      <c r="T583" s="925"/>
      <c r="U583" s="926"/>
      <c r="V583" s="924">
        <v>0.5</v>
      </c>
      <c r="W583" s="925"/>
      <c r="X583" s="926"/>
      <c r="Y583" s="924">
        <v>0.5</v>
      </c>
      <c r="Z583" s="925"/>
      <c r="AA583" s="926"/>
      <c r="AB583" s="924">
        <v>0.5</v>
      </c>
      <c r="AC583" s="925"/>
      <c r="AD583" s="926"/>
      <c r="AE583" s="924">
        <v>0.48</v>
      </c>
      <c r="AF583" s="925"/>
      <c r="AG583" s="926"/>
      <c r="AH583" s="924">
        <v>0.49</v>
      </c>
      <c r="AI583" s="925"/>
      <c r="AJ583" s="926"/>
      <c r="AK583" s="924">
        <v>0.49</v>
      </c>
      <c r="AL583" s="925"/>
      <c r="AM583" s="926"/>
      <c r="AN583" s="924">
        <v>0.49</v>
      </c>
      <c r="AO583" s="925"/>
      <c r="AP583" s="926"/>
      <c r="AQ583" s="924">
        <v>0.49</v>
      </c>
      <c r="AR583" s="331"/>
      <c r="AS583" s="332"/>
      <c r="AT583" s="333">
        <f t="shared" si="20"/>
        <v>5.8900000000000006</v>
      </c>
      <c r="AU583" s="331"/>
      <c r="AV583" s="334"/>
      <c r="AW583" s="285"/>
      <c r="AX583" s="371"/>
      <c r="AY583" s="1038"/>
      <c r="AZ583" s="357"/>
      <c r="BA583" s="357"/>
      <c r="BB583" s="357"/>
      <c r="BC583" s="357"/>
    </row>
    <row r="584" spans="1:55" s="24" customFormat="1">
      <c r="A584" s="1116"/>
      <c r="B584" s="1116"/>
      <c r="C584" s="1116"/>
      <c r="D584" s="1110">
        <v>339042</v>
      </c>
      <c r="E584" s="1110"/>
      <c r="F584" s="1110"/>
      <c r="G584" s="1110">
        <v>777788</v>
      </c>
      <c r="H584" s="1114" t="s">
        <v>1669</v>
      </c>
      <c r="I584" s="518" t="s">
        <v>365</v>
      </c>
      <c r="J584" s="924">
        <v>0.51</v>
      </c>
      <c r="K584" s="925"/>
      <c r="L584" s="926"/>
      <c r="M584" s="924">
        <v>0.47</v>
      </c>
      <c r="N584" s="925"/>
      <c r="O584" s="926"/>
      <c r="P584" s="924">
        <v>0.5</v>
      </c>
      <c r="Q584" s="925"/>
      <c r="R584" s="926"/>
      <c r="S584" s="924">
        <v>0.48</v>
      </c>
      <c r="T584" s="925"/>
      <c r="U584" s="926"/>
      <c r="V584" s="924">
        <v>0.46</v>
      </c>
      <c r="W584" s="925"/>
      <c r="X584" s="926"/>
      <c r="Y584" s="924">
        <v>0.39</v>
      </c>
      <c r="Z584" s="925"/>
      <c r="AA584" s="926"/>
      <c r="AB584" s="924">
        <v>0.4</v>
      </c>
      <c r="AC584" s="925"/>
      <c r="AD584" s="926"/>
      <c r="AE584" s="924">
        <v>0.41</v>
      </c>
      <c r="AF584" s="925"/>
      <c r="AG584" s="926"/>
      <c r="AH584" s="924">
        <v>0.4</v>
      </c>
      <c r="AI584" s="925"/>
      <c r="AJ584" s="926"/>
      <c r="AK584" s="924">
        <v>0.41</v>
      </c>
      <c r="AL584" s="925"/>
      <c r="AM584" s="926"/>
      <c r="AN584" s="924">
        <v>0.4</v>
      </c>
      <c r="AO584" s="925"/>
      <c r="AP584" s="926"/>
      <c r="AQ584" s="924">
        <v>0.42</v>
      </c>
      <c r="AR584" s="331"/>
      <c r="AS584" s="332"/>
      <c r="AT584" s="333">
        <f t="shared" si="20"/>
        <v>5.2500000000000009</v>
      </c>
      <c r="AU584" s="331"/>
      <c r="AV584" s="334"/>
      <c r="AW584" s="285"/>
      <c r="AX584" s="371"/>
      <c r="AY584" s="1038"/>
      <c r="AZ584" s="357"/>
      <c r="BA584" s="357"/>
      <c r="BB584" s="357"/>
      <c r="BC584" s="357"/>
    </row>
    <row r="585" spans="1:55" s="24" customFormat="1" ht="18.75">
      <c r="A585" s="179"/>
      <c r="B585" s="179"/>
      <c r="C585" s="179"/>
      <c r="D585" s="181">
        <v>338900</v>
      </c>
      <c r="E585" s="181"/>
      <c r="F585" s="181"/>
      <c r="G585" s="181">
        <v>338900</v>
      </c>
      <c r="H585" s="473" t="s">
        <v>1596</v>
      </c>
      <c r="I585" s="473"/>
      <c r="J585" s="277">
        <f>SUM(J586:J587)</f>
        <v>514.68900000000008</v>
      </c>
      <c r="K585" s="275">
        <f>L585-J585</f>
        <v>189.46207090342944</v>
      </c>
      <c r="L585" s="276">
        <f>Потребление!D43</f>
        <v>704.15107090342951</v>
      </c>
      <c r="M585" s="277">
        <f>SUM(M586:M587)</f>
        <v>459.9</v>
      </c>
      <c r="N585" s="275">
        <f>O585-M585</f>
        <v>183.13943087842438</v>
      </c>
      <c r="O585" s="276">
        <f>Потребление!E43</f>
        <v>643.03943087842435</v>
      </c>
      <c r="P585" s="277">
        <f>SUM(P586:P587)</f>
        <v>455.97200000000004</v>
      </c>
      <c r="Q585" s="275">
        <f>R585-P585</f>
        <v>209.75573737231815</v>
      </c>
      <c r="R585" s="276">
        <f>Потребление!F43</f>
        <v>665.72773737231819</v>
      </c>
      <c r="S585" s="277">
        <f>SUM(S586:S587)</f>
        <v>360.7568</v>
      </c>
      <c r="T585" s="275">
        <f>U585-S585</f>
        <v>226.31285907116126</v>
      </c>
      <c r="U585" s="276">
        <f>Потребление!G43</f>
        <v>587.06965907116125</v>
      </c>
      <c r="V585" s="277">
        <f>SUM(V586:V587)</f>
        <v>317.83500000000004</v>
      </c>
      <c r="W585" s="275">
        <f>X585-V585</f>
        <v>248.9215950770207</v>
      </c>
      <c r="X585" s="276">
        <f>Потребление!H43</f>
        <v>566.75659507702073</v>
      </c>
      <c r="Y585" s="277">
        <f>SUM(Y586:Y587)</f>
        <v>309.06876</v>
      </c>
      <c r="Z585" s="275">
        <f>AA585-Y585</f>
        <v>216.13165673001913</v>
      </c>
      <c r="AA585" s="276">
        <f>Потребление!I43</f>
        <v>525.20041673001913</v>
      </c>
      <c r="AB585" s="277">
        <f>SUM(AB586:AB587)</f>
        <v>217.99300000000002</v>
      </c>
      <c r="AC585" s="275">
        <f>AD585-AB585</f>
        <v>295.42240056695425</v>
      </c>
      <c r="AD585" s="276">
        <f>Потребление!J43</f>
        <v>513.4154005669543</v>
      </c>
      <c r="AE585" s="277">
        <f>SUM(AE586:AE587)</f>
        <v>296.60000000000002</v>
      </c>
      <c r="AF585" s="275">
        <f>AG585-AE585</f>
        <v>244.41614987021683</v>
      </c>
      <c r="AG585" s="276">
        <f>Потребление!K43</f>
        <v>541.01614987021685</v>
      </c>
      <c r="AH585" s="277">
        <f>SUM(AH586:AH587)</f>
        <v>319.23799999999994</v>
      </c>
      <c r="AI585" s="275">
        <f>AJ585-AH585</f>
        <v>241.67621278048966</v>
      </c>
      <c r="AJ585" s="276">
        <f>Потребление!L43</f>
        <v>560.91421278048961</v>
      </c>
      <c r="AK585" s="277">
        <f>SUM(AK586:AK587)</f>
        <v>389.10300000000001</v>
      </c>
      <c r="AL585" s="275">
        <f>AM585-AK585</f>
        <v>246.68078970231937</v>
      </c>
      <c r="AM585" s="276">
        <f>Потребление!M43</f>
        <v>635.78378970231938</v>
      </c>
      <c r="AN585" s="277">
        <f>SUM(AN586:AN587)</f>
        <v>433.94776000000002</v>
      </c>
      <c r="AO585" s="275">
        <f>AP585-AN585</f>
        <v>214.15238500359419</v>
      </c>
      <c r="AP585" s="276">
        <f>Потребление!N43</f>
        <v>648.10014500359421</v>
      </c>
      <c r="AQ585" s="277">
        <f>SUM(AQ586:AQ587)</f>
        <v>493.52923999999996</v>
      </c>
      <c r="AR585" s="275">
        <f>AS585-AQ585</f>
        <v>211.05029451907205</v>
      </c>
      <c r="AS585" s="276">
        <f>Потребление!O43</f>
        <v>704.57953451907201</v>
      </c>
      <c r="AT585" s="277">
        <f>SUM(AT586:AT587)</f>
        <v>4568.6325600000009</v>
      </c>
      <c r="AU585" s="275">
        <f>AV585-AT585</f>
        <v>2727.1215824750179</v>
      </c>
      <c r="AV585" s="278">
        <f>L585+O585+R585+U585+X585+AA585+AD585+AG585+AJ585+AM585+AP585+AS585</f>
        <v>7295.7541424750189</v>
      </c>
      <c r="AW585" s="279"/>
      <c r="AX585" s="1067">
        <v>7300.4987350000001</v>
      </c>
      <c r="AY585" s="298">
        <f>SUM(AY586:AY587)</f>
        <v>4329.7897000000003</v>
      </c>
      <c r="AZ585" s="357"/>
      <c r="BA585" s="357"/>
      <c r="BB585" s="357"/>
      <c r="BC585" s="357"/>
    </row>
    <row r="586" spans="1:55" s="24" customFormat="1">
      <c r="A586" s="179"/>
      <c r="B586" s="179"/>
      <c r="C586" s="179"/>
      <c r="D586" s="181"/>
      <c r="E586" s="181"/>
      <c r="F586" s="181"/>
      <c r="G586" s="181"/>
      <c r="H586" s="124" t="s">
        <v>56</v>
      </c>
      <c r="I586" s="124"/>
      <c r="J586" s="365">
        <f>J588+J589+J592+J596</f>
        <v>512.48900000000003</v>
      </c>
      <c r="K586" s="363"/>
      <c r="L586" s="364"/>
      <c r="M586" s="365">
        <f>M588+M589+M592+M596</f>
        <v>457.9</v>
      </c>
      <c r="N586" s="363"/>
      <c r="O586" s="364"/>
      <c r="P586" s="365">
        <f>P588+P589+P592+P596</f>
        <v>454.47200000000004</v>
      </c>
      <c r="Q586" s="363"/>
      <c r="R586" s="364"/>
      <c r="S586" s="365">
        <f>S588+S589+S592+S596</f>
        <v>359.85680000000002</v>
      </c>
      <c r="T586" s="363"/>
      <c r="U586" s="364"/>
      <c r="V586" s="365">
        <f>V588+V589+V592+V596</f>
        <v>317.03500000000003</v>
      </c>
      <c r="W586" s="363"/>
      <c r="X586" s="364"/>
      <c r="Y586" s="365">
        <f>Y588+Y589+Y592+Y596</f>
        <v>308.06876</v>
      </c>
      <c r="Z586" s="363"/>
      <c r="AA586" s="364"/>
      <c r="AB586" s="365">
        <f>AB588+AB589+AB592+AB596</f>
        <v>217.19300000000001</v>
      </c>
      <c r="AC586" s="363"/>
      <c r="AD586" s="364"/>
      <c r="AE586" s="365">
        <f>AE588+AE589+AE592+AE596</f>
        <v>295.8</v>
      </c>
      <c r="AF586" s="363"/>
      <c r="AG586" s="364"/>
      <c r="AH586" s="365">
        <f>AH588+AH589+AH592+AH596</f>
        <v>318.73799999999994</v>
      </c>
      <c r="AI586" s="363"/>
      <c r="AJ586" s="364"/>
      <c r="AK586" s="365">
        <f>AK588+AK589+AK592+AK596</f>
        <v>388.303</v>
      </c>
      <c r="AL586" s="363"/>
      <c r="AM586" s="364"/>
      <c r="AN586" s="365">
        <f>AN588+AN589+AN592+AN596</f>
        <v>432.44776000000002</v>
      </c>
      <c r="AO586" s="363"/>
      <c r="AP586" s="364"/>
      <c r="AQ586" s="365">
        <f>AQ588+AQ589+AQ592+AQ596</f>
        <v>491.52923999999996</v>
      </c>
      <c r="AR586" s="363"/>
      <c r="AS586" s="364"/>
      <c r="AT586" s="365">
        <f>AT588+AT589+AT592+AT596</f>
        <v>4553.8325600000007</v>
      </c>
      <c r="AU586" s="363"/>
      <c r="AV586" s="229"/>
      <c r="AW586" s="226"/>
      <c r="AX586" s="366"/>
      <c r="AY586" s="339">
        <f>AY588+AY589+AY592+AY596</f>
        <v>4329.7897000000003</v>
      </c>
      <c r="AZ586" s="357"/>
      <c r="BA586" s="357"/>
      <c r="BB586" s="357"/>
      <c r="BC586" s="357"/>
    </row>
    <row r="587" spans="1:55" s="24" customFormat="1">
      <c r="A587" s="179"/>
      <c r="B587" s="179"/>
      <c r="C587" s="179"/>
      <c r="D587" s="181"/>
      <c r="E587" s="181"/>
      <c r="F587" s="181"/>
      <c r="G587" s="181"/>
      <c r="H587" s="124" t="s">
        <v>99</v>
      </c>
      <c r="I587" s="124"/>
      <c r="J587" s="365">
        <f>J597</f>
        <v>2.2000000000000002</v>
      </c>
      <c r="K587" s="363"/>
      <c r="L587" s="364"/>
      <c r="M587" s="365">
        <f>M597</f>
        <v>2</v>
      </c>
      <c r="N587" s="363"/>
      <c r="O587" s="364"/>
      <c r="P587" s="365">
        <f>P597</f>
        <v>1.5</v>
      </c>
      <c r="Q587" s="363"/>
      <c r="R587" s="364"/>
      <c r="S587" s="365">
        <f>S597</f>
        <v>0.9</v>
      </c>
      <c r="T587" s="363"/>
      <c r="U587" s="364"/>
      <c r="V587" s="365">
        <f>V597</f>
        <v>0.8</v>
      </c>
      <c r="W587" s="363"/>
      <c r="X587" s="364"/>
      <c r="Y587" s="365">
        <f>Y597</f>
        <v>1</v>
      </c>
      <c r="Z587" s="363"/>
      <c r="AA587" s="364"/>
      <c r="AB587" s="365">
        <f>AB597</f>
        <v>0.8</v>
      </c>
      <c r="AC587" s="363"/>
      <c r="AD587" s="364"/>
      <c r="AE587" s="365">
        <f>AE597</f>
        <v>0.8</v>
      </c>
      <c r="AF587" s="363"/>
      <c r="AG587" s="364"/>
      <c r="AH587" s="365">
        <f>AH597</f>
        <v>0.5</v>
      </c>
      <c r="AI587" s="363"/>
      <c r="AJ587" s="364"/>
      <c r="AK587" s="365">
        <f>AK597</f>
        <v>0.8</v>
      </c>
      <c r="AL587" s="363"/>
      <c r="AM587" s="364"/>
      <c r="AN587" s="365">
        <f>AN597</f>
        <v>1.5</v>
      </c>
      <c r="AO587" s="363"/>
      <c r="AP587" s="364"/>
      <c r="AQ587" s="365">
        <f>AQ597</f>
        <v>2</v>
      </c>
      <c r="AR587" s="363"/>
      <c r="AS587" s="364"/>
      <c r="AT587" s="365">
        <f>AT597</f>
        <v>14.800000000000002</v>
      </c>
      <c r="AU587" s="363"/>
      <c r="AV587" s="229"/>
      <c r="AW587" s="226"/>
      <c r="AX587" s="366"/>
      <c r="AY587" s="339">
        <f>AY597</f>
        <v>0</v>
      </c>
      <c r="AZ587" s="357"/>
      <c r="BA587" s="357"/>
      <c r="BB587" s="357"/>
      <c r="BC587" s="357"/>
    </row>
    <row r="588" spans="1:55" s="24" customFormat="1">
      <c r="A588" s="179"/>
      <c r="B588" s="179"/>
      <c r="C588" s="179"/>
      <c r="D588" s="181">
        <v>338911</v>
      </c>
      <c r="E588" s="181"/>
      <c r="F588" s="181"/>
      <c r="G588" s="1110">
        <v>338911</v>
      </c>
      <c r="H588" s="123" t="s">
        <v>581</v>
      </c>
      <c r="I588" s="519" t="s">
        <v>365</v>
      </c>
      <c r="J588" s="732">
        <v>5.6890000000000001</v>
      </c>
      <c r="K588" s="724"/>
      <c r="L588" s="725"/>
      <c r="M588" s="732">
        <v>4.8869999999999996</v>
      </c>
      <c r="N588" s="724"/>
      <c r="O588" s="725"/>
      <c r="P588" s="732">
        <v>3.8780000000000001</v>
      </c>
      <c r="Q588" s="724"/>
      <c r="R588" s="725"/>
      <c r="S588" s="732">
        <v>2.5499999999999998</v>
      </c>
      <c r="T588" s="724"/>
      <c r="U588" s="725"/>
      <c r="V588" s="732">
        <v>0.72</v>
      </c>
      <c r="W588" s="724"/>
      <c r="X588" s="725"/>
      <c r="Y588" s="732">
        <v>0.72</v>
      </c>
      <c r="Z588" s="724"/>
      <c r="AA588" s="725"/>
      <c r="AB588" s="732">
        <v>0.66</v>
      </c>
      <c r="AC588" s="724"/>
      <c r="AD588" s="725"/>
      <c r="AE588" s="732">
        <v>0.66800000000000004</v>
      </c>
      <c r="AF588" s="724"/>
      <c r="AG588" s="725"/>
      <c r="AH588" s="732">
        <v>1.641</v>
      </c>
      <c r="AI588" s="724"/>
      <c r="AJ588" s="725"/>
      <c r="AK588" s="732">
        <v>3.7570000000000001</v>
      </c>
      <c r="AL588" s="724"/>
      <c r="AM588" s="725"/>
      <c r="AN588" s="732">
        <v>4.4809999999999999</v>
      </c>
      <c r="AO588" s="724"/>
      <c r="AP588" s="725"/>
      <c r="AQ588" s="732">
        <v>5.3220000000000001</v>
      </c>
      <c r="AR588" s="246"/>
      <c r="AS588" s="282"/>
      <c r="AT588" s="244">
        <f>J588+M588+P588+S588+V588+Y588+AB588+AE588+AH588+AK588+AN588+AQ588</f>
        <v>34.972999999999999</v>
      </c>
      <c r="AU588" s="246"/>
      <c r="AV588" s="336"/>
      <c r="AW588" s="285"/>
      <c r="AX588" s="249"/>
      <c r="AY588" s="438">
        <v>35.906637000000003</v>
      </c>
      <c r="AZ588" s="357"/>
      <c r="BA588" s="357"/>
      <c r="BB588" s="357"/>
      <c r="BC588" s="357"/>
    </row>
    <row r="589" spans="1:55" s="24" customFormat="1">
      <c r="A589" s="179"/>
      <c r="B589" s="179"/>
      <c r="C589" s="179"/>
      <c r="D589" s="181">
        <v>338926</v>
      </c>
      <c r="E589" s="181"/>
      <c r="F589" s="181"/>
      <c r="G589" s="1110">
        <v>338926</v>
      </c>
      <c r="H589" s="132" t="s">
        <v>582</v>
      </c>
      <c r="I589" s="516" t="s">
        <v>364</v>
      </c>
      <c r="J589" s="262">
        <f>J590+J591</f>
        <v>152.25200000000001</v>
      </c>
      <c r="K589" s="246"/>
      <c r="L589" s="282"/>
      <c r="M589" s="317">
        <f>M590+M591</f>
        <v>133.732</v>
      </c>
      <c r="N589" s="246"/>
      <c r="O589" s="282"/>
      <c r="P589" s="317">
        <f>P590+P591</f>
        <v>152.244</v>
      </c>
      <c r="Q589" s="246"/>
      <c r="R589" s="282"/>
      <c r="S589" s="317">
        <f>S590+S591</f>
        <v>137.63399999999999</v>
      </c>
      <c r="T589" s="246"/>
      <c r="U589" s="282"/>
      <c r="V589" s="317">
        <f>V590+V591</f>
        <v>138.84</v>
      </c>
      <c r="W589" s="246"/>
      <c r="X589" s="282"/>
      <c r="Y589" s="317">
        <f>Y590+Y591</f>
        <v>130.71776</v>
      </c>
      <c r="Z589" s="246"/>
      <c r="AA589" s="282"/>
      <c r="AB589" s="317">
        <f>AB590+AB591</f>
        <v>52.536000000000001</v>
      </c>
      <c r="AC589" s="246"/>
      <c r="AD589" s="282"/>
      <c r="AE589" s="317">
        <f>AE590+AE591</f>
        <v>139.72800000000001</v>
      </c>
      <c r="AF589" s="246"/>
      <c r="AG589" s="282"/>
      <c r="AH589" s="317">
        <f>AH590+AH591</f>
        <v>146.00799999999998</v>
      </c>
      <c r="AI589" s="246"/>
      <c r="AJ589" s="282"/>
      <c r="AK589" s="317">
        <f>AK590+AK591</f>
        <v>146.988</v>
      </c>
      <c r="AL589" s="246"/>
      <c r="AM589" s="282"/>
      <c r="AN589" s="317">
        <f>AN590+AN591</f>
        <v>123.42576</v>
      </c>
      <c r="AO589" s="246"/>
      <c r="AP589" s="282"/>
      <c r="AQ589" s="317">
        <f>AQ590+AQ591</f>
        <v>135.25424000000001</v>
      </c>
      <c r="AR589" s="246"/>
      <c r="AS589" s="282"/>
      <c r="AT589" s="317">
        <f>AT590+AT591</f>
        <v>1589.3597599999998</v>
      </c>
      <c r="AU589" s="246"/>
      <c r="AV589" s="336"/>
      <c r="AW589" s="285"/>
      <c r="AX589" s="249"/>
      <c r="AY589" s="1068">
        <v>1622.58251</v>
      </c>
      <c r="AZ589" s="357"/>
      <c r="BA589" s="357"/>
      <c r="BB589" s="357"/>
      <c r="BC589" s="357"/>
    </row>
    <row r="590" spans="1:55" s="24" customFormat="1">
      <c r="A590" s="179"/>
      <c r="B590" s="179"/>
      <c r="C590" s="179"/>
      <c r="D590" s="181"/>
      <c r="E590" s="181"/>
      <c r="F590" s="181"/>
      <c r="G590" s="1110"/>
      <c r="H590" s="127" t="s">
        <v>583</v>
      </c>
      <c r="I590" s="127"/>
      <c r="J590" s="832">
        <v>16.315999999999999</v>
      </c>
      <c r="K590" s="724"/>
      <c r="L590" s="725"/>
      <c r="M590" s="802">
        <f>14.688+0.1</f>
        <v>14.788</v>
      </c>
      <c r="N590" s="724"/>
      <c r="O590" s="725"/>
      <c r="P590" s="832">
        <v>16.308</v>
      </c>
      <c r="Q590" s="724"/>
      <c r="R590" s="725"/>
      <c r="S590" s="832">
        <v>7.3620000000000001</v>
      </c>
      <c r="T590" s="724"/>
      <c r="U590" s="725"/>
      <c r="V590" s="802">
        <f>10.872+2.04</f>
        <v>12.911999999999999</v>
      </c>
      <c r="W590" s="724"/>
      <c r="X590" s="725"/>
      <c r="Y590" s="832">
        <v>11.776</v>
      </c>
      <c r="Z590" s="724"/>
      <c r="AA590" s="725"/>
      <c r="AB590" s="802">
        <f>12.708+0.18</f>
        <v>12.888</v>
      </c>
      <c r="AC590" s="724"/>
      <c r="AD590" s="725"/>
      <c r="AE590" s="832">
        <v>15.12</v>
      </c>
      <c r="AF590" s="724"/>
      <c r="AG590" s="725"/>
      <c r="AH590" s="832">
        <v>15.736000000000001</v>
      </c>
      <c r="AI590" s="724"/>
      <c r="AJ590" s="725"/>
      <c r="AK590" s="832">
        <v>11.052</v>
      </c>
      <c r="AL590" s="724"/>
      <c r="AM590" s="725"/>
      <c r="AN590" s="832">
        <v>15.804</v>
      </c>
      <c r="AO590" s="724"/>
      <c r="AP590" s="725"/>
      <c r="AQ590" s="832">
        <v>16.308</v>
      </c>
      <c r="AR590" s="246"/>
      <c r="AS590" s="282"/>
      <c r="AT590" s="244">
        <f>J590+M590+P590+S590+V590+Y590+AB590+AE590+AH590+AK590+AN590+AQ590</f>
        <v>166.37</v>
      </c>
      <c r="AU590" s="246"/>
      <c r="AV590" s="336"/>
      <c r="AW590" s="285"/>
      <c r="AX590" s="249"/>
      <c r="AY590" s="249"/>
      <c r="AZ590" s="357"/>
      <c r="BA590" s="357"/>
      <c r="BB590" s="357"/>
      <c r="BC590" s="357"/>
    </row>
    <row r="591" spans="1:55" s="24" customFormat="1">
      <c r="A591" s="179"/>
      <c r="B591" s="179"/>
      <c r="C591" s="179"/>
      <c r="D591" s="181"/>
      <c r="E591" s="181"/>
      <c r="F591" s="181"/>
      <c r="G591" s="1110"/>
      <c r="H591" s="127" t="s">
        <v>584</v>
      </c>
      <c r="I591" s="127"/>
      <c r="J591" s="832">
        <v>135.93600000000001</v>
      </c>
      <c r="K591" s="724"/>
      <c r="L591" s="725"/>
      <c r="M591" s="832">
        <v>118.944</v>
      </c>
      <c r="N591" s="724"/>
      <c r="O591" s="725"/>
      <c r="P591" s="832">
        <v>135.93600000000001</v>
      </c>
      <c r="Q591" s="724"/>
      <c r="R591" s="725"/>
      <c r="S591" s="832">
        <v>130.27199999999999</v>
      </c>
      <c r="T591" s="724"/>
      <c r="U591" s="725"/>
      <c r="V591" s="832">
        <v>125.928</v>
      </c>
      <c r="W591" s="721"/>
      <c r="X591" s="722"/>
      <c r="Y591" s="579">
        <f>130.27176-11.33</f>
        <v>118.94176</v>
      </c>
      <c r="Z591" s="721"/>
      <c r="AA591" s="722"/>
      <c r="AB591" s="579">
        <f>67.968-28.32</f>
        <v>39.648000000000003</v>
      </c>
      <c r="AC591" s="724"/>
      <c r="AD591" s="725"/>
      <c r="AE591" s="732">
        <v>124.608</v>
      </c>
      <c r="AF591" s="724"/>
      <c r="AG591" s="725"/>
      <c r="AH591" s="832">
        <v>130.27199999999999</v>
      </c>
      <c r="AI591" s="724"/>
      <c r="AJ591" s="725"/>
      <c r="AK591" s="832">
        <v>135.93600000000001</v>
      </c>
      <c r="AL591" s="724"/>
      <c r="AM591" s="725"/>
      <c r="AN591" s="579">
        <f>130.27176-22.65</f>
        <v>107.62175999999999</v>
      </c>
      <c r="AO591" s="724"/>
      <c r="AP591" s="725"/>
      <c r="AQ591" s="579">
        <f>135.93624-16.99</f>
        <v>118.94624</v>
      </c>
      <c r="AR591" s="246"/>
      <c r="AS591" s="282"/>
      <c r="AT591" s="244">
        <f>J591+M591+P591+S591+V591+Y591+AB591+AE591+AH591+AK591+AN591+AQ591</f>
        <v>1422.9897599999999</v>
      </c>
      <c r="AU591" s="246"/>
      <c r="AV591" s="336"/>
      <c r="AW591" s="285"/>
      <c r="AX591" s="249"/>
      <c r="AY591" s="249"/>
      <c r="AZ591" s="357"/>
      <c r="BA591" s="357"/>
      <c r="BB591" s="357"/>
      <c r="BC591" s="357"/>
    </row>
    <row r="592" spans="1:55" s="24" customFormat="1">
      <c r="A592" s="179"/>
      <c r="B592" s="179"/>
      <c r="C592" s="179"/>
      <c r="D592" s="181">
        <v>338910</v>
      </c>
      <c r="E592" s="181"/>
      <c r="F592" s="181"/>
      <c r="G592" s="1110">
        <v>338910</v>
      </c>
      <c r="H592" s="132" t="s">
        <v>585</v>
      </c>
      <c r="I592" s="516" t="s">
        <v>364</v>
      </c>
      <c r="J592" s="262">
        <f>SUM(J593:J595)</f>
        <v>142.44</v>
      </c>
      <c r="K592" s="246"/>
      <c r="L592" s="282"/>
      <c r="M592" s="317">
        <f>SUM(M593:M595)</f>
        <v>126.66799999999999</v>
      </c>
      <c r="N592" s="246"/>
      <c r="O592" s="282"/>
      <c r="P592" s="317">
        <f>SUM(P593:P595)</f>
        <v>133.92000000000002</v>
      </c>
      <c r="Q592" s="246"/>
      <c r="R592" s="282"/>
      <c r="S592" s="317">
        <f>SUM(S593:S595)</f>
        <v>79.996800000000007</v>
      </c>
      <c r="T592" s="246"/>
      <c r="U592" s="282"/>
      <c r="V592" s="317">
        <f>SUM(V593:V595)</f>
        <v>70.679999999999993</v>
      </c>
      <c r="W592" s="246"/>
      <c r="X592" s="282"/>
      <c r="Y592" s="317">
        <f>SUM(Y593:Y595)</f>
        <v>79.867999999999995</v>
      </c>
      <c r="Z592" s="246"/>
      <c r="AA592" s="282"/>
      <c r="AB592" s="317">
        <f>SUM(AB593:AB595)</f>
        <v>73.080000000000013</v>
      </c>
      <c r="AC592" s="246"/>
      <c r="AD592" s="282"/>
      <c r="AE592" s="317">
        <f>SUM(AE593:AE595)</f>
        <v>97.32</v>
      </c>
      <c r="AF592" s="246"/>
      <c r="AG592" s="282"/>
      <c r="AH592" s="317">
        <f>SUM(AH593:AH595)</f>
        <v>83.88</v>
      </c>
      <c r="AI592" s="246"/>
      <c r="AJ592" s="282"/>
      <c r="AK592" s="317">
        <f>SUM(AK593:AK595)</f>
        <v>96.200000000000017</v>
      </c>
      <c r="AL592" s="246"/>
      <c r="AM592" s="282"/>
      <c r="AN592" s="317">
        <f>SUM(AN593:AN595)</f>
        <v>136.80000000000001</v>
      </c>
      <c r="AO592" s="246"/>
      <c r="AP592" s="282"/>
      <c r="AQ592" s="317">
        <f>SUM(AQ593:AQ595)</f>
        <v>151.36000000000001</v>
      </c>
      <c r="AR592" s="246"/>
      <c r="AS592" s="282"/>
      <c r="AT592" s="317">
        <f>SUM(AT593:AT595)</f>
        <v>1272.2128000000002</v>
      </c>
      <c r="AU592" s="246"/>
      <c r="AV592" s="336"/>
      <c r="AW592" s="285"/>
      <c r="AX592" s="249"/>
      <c r="AY592" s="440">
        <v>1163.3833070000001</v>
      </c>
      <c r="AZ592" s="357"/>
      <c r="BA592" s="357"/>
      <c r="BB592" s="357"/>
      <c r="BC592" s="357"/>
    </row>
    <row r="593" spans="1:55" s="24" customFormat="1">
      <c r="A593" s="179"/>
      <c r="B593" s="179"/>
      <c r="C593" s="179"/>
      <c r="D593" s="181"/>
      <c r="E593" s="181"/>
      <c r="F593" s="181"/>
      <c r="G593" s="1110"/>
      <c r="H593" s="127" t="s">
        <v>588</v>
      </c>
      <c r="I593" s="127"/>
      <c r="J593" s="802">
        <f>29.76+0.72</f>
        <v>30.48</v>
      </c>
      <c r="K593" s="724"/>
      <c r="L593" s="725"/>
      <c r="M593" s="802">
        <f>27.84+2.638</f>
        <v>30.478000000000002</v>
      </c>
      <c r="N593" s="724"/>
      <c r="O593" s="725"/>
      <c r="P593" s="732">
        <v>29.76</v>
      </c>
      <c r="Q593" s="732"/>
      <c r="R593" s="991"/>
      <c r="S593" s="832">
        <v>36</v>
      </c>
      <c r="T593" s="732"/>
      <c r="U593" s="732"/>
      <c r="V593" s="802">
        <f>0+3.72</f>
        <v>3.72</v>
      </c>
      <c r="W593" s="724"/>
      <c r="X593" s="725"/>
      <c r="Y593" s="802">
        <f>0+14.638</f>
        <v>14.638</v>
      </c>
      <c r="Z593" s="724"/>
      <c r="AA593" s="725"/>
      <c r="AB593" s="732">
        <v>29.76</v>
      </c>
      <c r="AC593" s="724"/>
      <c r="AD593" s="725"/>
      <c r="AE593" s="802">
        <f>0+5.4</f>
        <v>5.4</v>
      </c>
      <c r="AF593" s="724"/>
      <c r="AG593" s="725"/>
      <c r="AH593" s="802">
        <f>0+11.04</f>
        <v>11.04</v>
      </c>
      <c r="AI593" s="724"/>
      <c r="AJ593" s="725"/>
      <c r="AK593" s="802">
        <f>22.32+10.16</f>
        <v>32.480000000000004</v>
      </c>
      <c r="AL593" s="724"/>
      <c r="AM593" s="725"/>
      <c r="AN593" s="832">
        <v>28.8</v>
      </c>
      <c r="AO593" s="724"/>
      <c r="AP593" s="725"/>
      <c r="AQ593" s="832">
        <v>29.76</v>
      </c>
      <c r="AR593" s="246"/>
      <c r="AS593" s="282"/>
      <c r="AT593" s="244">
        <f>J593+M593+P593+S593+V593+Y593+AB593+AE593+AH593+AK593+AN593+AQ593</f>
        <v>282.31600000000003</v>
      </c>
      <c r="AU593" s="246"/>
      <c r="AV593" s="336"/>
      <c r="AW593" s="285"/>
      <c r="AX593" s="249"/>
      <c r="AY593" s="249"/>
      <c r="AZ593" s="357"/>
      <c r="BA593" s="357"/>
      <c r="BB593" s="357"/>
      <c r="BC593" s="357"/>
    </row>
    <row r="594" spans="1:55" s="24" customFormat="1">
      <c r="A594" s="179"/>
      <c r="B594" s="179"/>
      <c r="C594" s="179"/>
      <c r="D594" s="181"/>
      <c r="E594" s="181"/>
      <c r="F594" s="181"/>
      <c r="G594" s="1110"/>
      <c r="H594" s="127" t="s">
        <v>586</v>
      </c>
      <c r="I594" s="127"/>
      <c r="J594" s="802">
        <f>44.64+0.36</f>
        <v>45</v>
      </c>
      <c r="K594" s="724"/>
      <c r="L594" s="725"/>
      <c r="M594" s="802">
        <f>41.76+1.32</f>
        <v>43.08</v>
      </c>
      <c r="N594" s="724"/>
      <c r="O594" s="725"/>
      <c r="P594" s="832">
        <v>44.64</v>
      </c>
      <c r="Q594" s="724"/>
      <c r="R594" s="725"/>
      <c r="S594" s="579">
        <f>42.7968-36.55</f>
        <v>6.2468000000000004</v>
      </c>
      <c r="T594" s="721"/>
      <c r="U594" s="722"/>
      <c r="V594" s="832">
        <v>0</v>
      </c>
      <c r="W594" s="724"/>
      <c r="X594" s="725"/>
      <c r="Y594" s="802">
        <f>0+18</f>
        <v>18</v>
      </c>
      <c r="Z594" s="724"/>
      <c r="AA594" s="725"/>
      <c r="AB594" s="732">
        <v>37.200000000000003</v>
      </c>
      <c r="AC594" s="721"/>
      <c r="AD594" s="722"/>
      <c r="AE594" s="802">
        <f>0+24.96</f>
        <v>24.96</v>
      </c>
      <c r="AF594" s="724"/>
      <c r="AG594" s="725"/>
      <c r="AH594" s="802">
        <f>0+25.61</f>
        <v>25.61</v>
      </c>
      <c r="AI594" s="724"/>
      <c r="AJ594" s="725"/>
      <c r="AK594" s="579">
        <f>37.2-10.68</f>
        <v>26.520000000000003</v>
      </c>
      <c r="AL594" s="724"/>
      <c r="AM594" s="725"/>
      <c r="AN594" s="832">
        <v>43.2</v>
      </c>
      <c r="AO594" s="724"/>
      <c r="AP594" s="725"/>
      <c r="AQ594" s="832">
        <v>44.64</v>
      </c>
      <c r="AR594" s="246"/>
      <c r="AS594" s="282"/>
      <c r="AT594" s="244">
        <f>J594+M594+P594+S594+V594+Y594+AB594+AE594+AH594+AK594+AN594+AQ594</f>
        <v>359.09679999999997</v>
      </c>
      <c r="AU594" s="246"/>
      <c r="AV594" s="336"/>
      <c r="AW594" s="285"/>
      <c r="AX594" s="249"/>
      <c r="AY594" s="249"/>
      <c r="AZ594" s="357"/>
      <c r="BA594" s="357"/>
      <c r="BB594" s="357"/>
      <c r="BC594" s="357"/>
    </row>
    <row r="595" spans="1:55" s="24" customFormat="1">
      <c r="A595" s="179"/>
      <c r="B595" s="179"/>
      <c r="C595" s="179"/>
      <c r="D595" s="181"/>
      <c r="E595" s="181"/>
      <c r="F595" s="181"/>
      <c r="G595" s="1110"/>
      <c r="H595" s="127" t="s">
        <v>587</v>
      </c>
      <c r="I595" s="127"/>
      <c r="J595" s="832">
        <v>66.959999999999994</v>
      </c>
      <c r="K595" s="724"/>
      <c r="L595" s="725"/>
      <c r="M595" s="579">
        <f>62.64-9.53</f>
        <v>53.11</v>
      </c>
      <c r="N595" s="724"/>
      <c r="O595" s="725"/>
      <c r="P595" s="832">
        <v>59.52</v>
      </c>
      <c r="Q595" s="724"/>
      <c r="R595" s="725"/>
      <c r="S595" s="802">
        <f>0+37.75</f>
        <v>37.75</v>
      </c>
      <c r="T595" s="732"/>
      <c r="U595" s="732"/>
      <c r="V595" s="832">
        <v>66.959999999999994</v>
      </c>
      <c r="W595" s="724"/>
      <c r="X595" s="725"/>
      <c r="Y595" s="579">
        <f>64.8-17.57</f>
        <v>47.23</v>
      </c>
      <c r="Z595" s="724"/>
      <c r="AA595" s="725"/>
      <c r="AB595" s="802">
        <f>0+6.12</f>
        <v>6.12</v>
      </c>
      <c r="AC595" s="724"/>
      <c r="AD595" s="725"/>
      <c r="AE595" s="732">
        <v>66.959999999999994</v>
      </c>
      <c r="AF595" s="724"/>
      <c r="AG595" s="725"/>
      <c r="AH595" s="579">
        <f>64.8-17.57</f>
        <v>47.23</v>
      </c>
      <c r="AI595" s="724"/>
      <c r="AJ595" s="725"/>
      <c r="AK595" s="832">
        <v>37.200000000000003</v>
      </c>
      <c r="AL595" s="724"/>
      <c r="AM595" s="725"/>
      <c r="AN595" s="832">
        <v>64.8</v>
      </c>
      <c r="AO595" s="724"/>
      <c r="AP595" s="725"/>
      <c r="AQ595" s="802">
        <f>66.96+10</f>
        <v>76.959999999999994</v>
      </c>
      <c r="AR595" s="246"/>
      <c r="AS595" s="282"/>
      <c r="AT595" s="244">
        <f>J595+M595+P595+S595+V595+Y595+AB595+AE595+AH595+AK595+AN595+AQ595</f>
        <v>630.80000000000007</v>
      </c>
      <c r="AU595" s="246"/>
      <c r="AV595" s="336"/>
      <c r="AW595" s="285"/>
      <c r="AX595" s="249"/>
      <c r="AY595" s="438"/>
      <c r="AZ595" s="357"/>
      <c r="BA595" s="357"/>
      <c r="BB595" s="357"/>
      <c r="BC595" s="357"/>
    </row>
    <row r="596" spans="1:55" s="24" customFormat="1">
      <c r="A596" s="179"/>
      <c r="B596" s="179"/>
      <c r="C596" s="179"/>
      <c r="D596" s="181">
        <v>338912</v>
      </c>
      <c r="E596" s="181"/>
      <c r="F596" s="181"/>
      <c r="G596" s="1110">
        <v>338912</v>
      </c>
      <c r="H596" s="127" t="s">
        <v>589</v>
      </c>
      <c r="I596" s="516" t="s">
        <v>364</v>
      </c>
      <c r="J596" s="832">
        <v>212.108</v>
      </c>
      <c r="K596" s="724"/>
      <c r="L596" s="725"/>
      <c r="M596" s="802">
        <f>164.673+7.94+20</f>
        <v>192.613</v>
      </c>
      <c r="N596" s="724"/>
      <c r="O596" s="725"/>
      <c r="P596" s="832">
        <v>164.43</v>
      </c>
      <c r="Q596" s="724"/>
      <c r="R596" s="725"/>
      <c r="S596" s="802">
        <f>122.486+17.19</f>
        <v>139.67600000000002</v>
      </c>
      <c r="T596" s="724"/>
      <c r="U596" s="725"/>
      <c r="V596" s="732">
        <v>106.795</v>
      </c>
      <c r="W596" s="724"/>
      <c r="X596" s="725"/>
      <c r="Y596" s="802">
        <f>64.493+2.27+30</f>
        <v>96.762999999999991</v>
      </c>
      <c r="Z596" s="724"/>
      <c r="AA596" s="725"/>
      <c r="AB596" s="802">
        <f>54.947+15.97+20</f>
        <v>90.917000000000002</v>
      </c>
      <c r="AC596" s="724"/>
      <c r="AD596" s="725"/>
      <c r="AE596" s="732">
        <v>58.084000000000003</v>
      </c>
      <c r="AF596" s="724"/>
      <c r="AG596" s="725"/>
      <c r="AH596" s="737">
        <f>77.209+10</f>
        <v>87.209000000000003</v>
      </c>
      <c r="AI596" s="724"/>
      <c r="AJ596" s="725"/>
      <c r="AK596" s="802">
        <f>133.898+7.46</f>
        <v>141.358</v>
      </c>
      <c r="AL596" s="724"/>
      <c r="AM596" s="725"/>
      <c r="AN596" s="832">
        <v>167.74100000000001</v>
      </c>
      <c r="AO596" s="724"/>
      <c r="AP596" s="725"/>
      <c r="AQ596" s="732">
        <v>199.59299999999999</v>
      </c>
      <c r="AR596" s="246"/>
      <c r="AS596" s="282"/>
      <c r="AT596" s="244">
        <f>J596+M596+P596+S596+V596+Y596+AB596+AE596+AH596+AK596+AN596+AQ596</f>
        <v>1657.2870000000003</v>
      </c>
      <c r="AU596" s="246"/>
      <c r="AV596" s="336"/>
      <c r="AW596" s="285"/>
      <c r="AX596" s="249"/>
      <c r="AY596" s="438">
        <v>1507.917246</v>
      </c>
      <c r="AZ596" s="357"/>
      <c r="BA596" s="357"/>
      <c r="BB596" s="357"/>
      <c r="BC596" s="357"/>
    </row>
    <row r="597" spans="1:55" s="24" customFormat="1">
      <c r="A597" s="179"/>
      <c r="B597" s="179"/>
      <c r="C597" s="179"/>
      <c r="D597" s="181"/>
      <c r="E597" s="181"/>
      <c r="F597" s="181"/>
      <c r="G597" s="1110"/>
      <c r="H597" s="138" t="s">
        <v>174</v>
      </c>
      <c r="I597" s="138"/>
      <c r="J597" s="319">
        <f>J598</f>
        <v>2.2000000000000002</v>
      </c>
      <c r="K597" s="288"/>
      <c r="L597" s="289"/>
      <c r="M597" s="319">
        <f>M598</f>
        <v>2</v>
      </c>
      <c r="N597" s="288"/>
      <c r="O597" s="289"/>
      <c r="P597" s="319">
        <f>P598</f>
        <v>1.5</v>
      </c>
      <c r="Q597" s="288"/>
      <c r="R597" s="289"/>
      <c r="S597" s="319">
        <f>S598</f>
        <v>0.9</v>
      </c>
      <c r="T597" s="288"/>
      <c r="U597" s="289"/>
      <c r="V597" s="319">
        <f>V598</f>
        <v>0.8</v>
      </c>
      <c r="W597" s="288"/>
      <c r="X597" s="289"/>
      <c r="Y597" s="319">
        <f>Y598</f>
        <v>1</v>
      </c>
      <c r="Z597" s="288"/>
      <c r="AA597" s="289"/>
      <c r="AB597" s="319">
        <f>AB598</f>
        <v>0.8</v>
      </c>
      <c r="AC597" s="288"/>
      <c r="AD597" s="289"/>
      <c r="AE597" s="319">
        <f>AE598</f>
        <v>0.8</v>
      </c>
      <c r="AF597" s="288"/>
      <c r="AG597" s="289"/>
      <c r="AH597" s="319">
        <f>AH598</f>
        <v>0.5</v>
      </c>
      <c r="AI597" s="288"/>
      <c r="AJ597" s="289"/>
      <c r="AK597" s="319">
        <f>AK598</f>
        <v>0.8</v>
      </c>
      <c r="AL597" s="288"/>
      <c r="AM597" s="289"/>
      <c r="AN597" s="319">
        <f>AN598</f>
        <v>1.5</v>
      </c>
      <c r="AO597" s="288"/>
      <c r="AP597" s="289"/>
      <c r="AQ597" s="319">
        <f>AQ598</f>
        <v>2</v>
      </c>
      <c r="AR597" s="288"/>
      <c r="AS597" s="289"/>
      <c r="AT597" s="319">
        <f>AT598</f>
        <v>14.800000000000002</v>
      </c>
      <c r="AU597" s="288"/>
      <c r="AV597" s="290"/>
      <c r="AW597" s="285"/>
      <c r="AX597" s="295"/>
      <c r="AY597" s="436">
        <v>0</v>
      </c>
      <c r="AZ597" s="357"/>
      <c r="BA597" s="357"/>
      <c r="BB597" s="357"/>
      <c r="BC597" s="357"/>
    </row>
    <row r="598" spans="1:55" s="24" customFormat="1">
      <c r="A598" s="179"/>
      <c r="B598" s="179"/>
      <c r="C598" s="179"/>
      <c r="D598" s="181"/>
      <c r="E598" s="181"/>
      <c r="F598" s="181"/>
      <c r="G598" s="1211">
        <v>338941</v>
      </c>
      <c r="H598" s="145" t="s">
        <v>1671</v>
      </c>
      <c r="I598" s="518" t="s">
        <v>365</v>
      </c>
      <c r="J598" s="293">
        <v>2.2000000000000002</v>
      </c>
      <c r="K598" s="288"/>
      <c r="L598" s="289"/>
      <c r="M598" s="294">
        <v>2</v>
      </c>
      <c r="N598" s="288"/>
      <c r="O598" s="289"/>
      <c r="P598" s="294">
        <v>1.5</v>
      </c>
      <c r="Q598" s="288"/>
      <c r="R598" s="289"/>
      <c r="S598" s="294">
        <v>0.9</v>
      </c>
      <c r="T598" s="288"/>
      <c r="U598" s="289"/>
      <c r="V598" s="294">
        <v>0.8</v>
      </c>
      <c r="W598" s="288"/>
      <c r="X598" s="289"/>
      <c r="Y598" s="294">
        <v>1</v>
      </c>
      <c r="Z598" s="288"/>
      <c r="AA598" s="289"/>
      <c r="AB598" s="294">
        <v>0.8</v>
      </c>
      <c r="AC598" s="288"/>
      <c r="AD598" s="289"/>
      <c r="AE598" s="294">
        <v>0.8</v>
      </c>
      <c r="AF598" s="288"/>
      <c r="AG598" s="289"/>
      <c r="AH598" s="294">
        <v>0.5</v>
      </c>
      <c r="AI598" s="288"/>
      <c r="AJ598" s="289"/>
      <c r="AK598" s="294">
        <v>0.8</v>
      </c>
      <c r="AL598" s="288"/>
      <c r="AM598" s="289"/>
      <c r="AN598" s="294">
        <v>1.5</v>
      </c>
      <c r="AO598" s="288"/>
      <c r="AP598" s="289"/>
      <c r="AQ598" s="294">
        <v>2</v>
      </c>
      <c r="AR598" s="288"/>
      <c r="AS598" s="289"/>
      <c r="AT598" s="294">
        <f>J598+M598+P598+S598+V598+Y598+AB598+AE598+AH598+AK598+AN598+AQ598</f>
        <v>14.800000000000002</v>
      </c>
      <c r="AU598" s="288"/>
      <c r="AV598" s="290"/>
      <c r="AW598" s="285"/>
      <c r="AX598" s="295"/>
      <c r="AY598" s="313"/>
      <c r="AZ598" s="357"/>
      <c r="BA598" s="357"/>
      <c r="BB598" s="357"/>
      <c r="BC598" s="357"/>
    </row>
    <row r="599" spans="1:55" s="24" customFormat="1" ht="18.75">
      <c r="A599" s="179"/>
      <c r="B599" s="179"/>
      <c r="C599" s="179"/>
      <c r="D599" s="181">
        <v>331000</v>
      </c>
      <c r="E599" s="181"/>
      <c r="F599" s="181"/>
      <c r="G599" s="181">
        <v>331000</v>
      </c>
      <c r="H599" s="473" t="s">
        <v>1597</v>
      </c>
      <c r="I599" s="473"/>
      <c r="J599" s="277">
        <f>SUM(J600:J601)</f>
        <v>348.58299999999997</v>
      </c>
      <c r="K599" s="275">
        <f>L599-J599</f>
        <v>98.122057414677045</v>
      </c>
      <c r="L599" s="276">
        <f>Потребление!D44</f>
        <v>446.70505741467701</v>
      </c>
      <c r="M599" s="274">
        <f>SUM(M600:M601)</f>
        <v>318.96600000000001</v>
      </c>
      <c r="N599" s="275">
        <f>O599-M599</f>
        <v>109.80797879024192</v>
      </c>
      <c r="O599" s="276">
        <f>Потребление!E44</f>
        <v>428.77397879024193</v>
      </c>
      <c r="P599" s="274">
        <f>SUM(P600:P601)</f>
        <v>331.17</v>
      </c>
      <c r="Q599" s="275">
        <f>R599-P599</f>
        <v>100.69769343770668</v>
      </c>
      <c r="R599" s="276">
        <f>Потребление!F44</f>
        <v>431.86769343770669</v>
      </c>
      <c r="S599" s="274">
        <f>SUM(S600:S601)</f>
        <v>227.45699999999999</v>
      </c>
      <c r="T599" s="275">
        <f>U599-S599</f>
        <v>142.53206132037121</v>
      </c>
      <c r="U599" s="276">
        <f>Потребление!G44</f>
        <v>369.98906132037121</v>
      </c>
      <c r="V599" s="274">
        <f>SUM(V600:V601)</f>
        <v>166.52200000000002</v>
      </c>
      <c r="W599" s="275">
        <f>X599-V599</f>
        <v>167.40573464369064</v>
      </c>
      <c r="X599" s="276">
        <f>Потребление!H44</f>
        <v>333.92773464369066</v>
      </c>
      <c r="Y599" s="274">
        <f>SUM(Y600:Y601)</f>
        <v>176.95099999999996</v>
      </c>
      <c r="Z599" s="275">
        <f>AA599-Y599</f>
        <v>126.49262230492451</v>
      </c>
      <c r="AA599" s="276">
        <f>Потребление!I44</f>
        <v>303.44362230492447</v>
      </c>
      <c r="AB599" s="274">
        <f>SUM(AB600:AB601)</f>
        <v>242.92599999999996</v>
      </c>
      <c r="AC599" s="275">
        <f>AD599-AB599</f>
        <v>63.208524763069789</v>
      </c>
      <c r="AD599" s="276">
        <f>Потребление!J44</f>
        <v>306.13452476306975</v>
      </c>
      <c r="AE599" s="274">
        <f>SUM(AE600:AE601)</f>
        <v>267.46000000000004</v>
      </c>
      <c r="AF599" s="275">
        <f>AG599-AE599</f>
        <v>50.540894907603104</v>
      </c>
      <c r="AG599" s="276">
        <f>Потребление!K44</f>
        <v>318.00089490760314</v>
      </c>
      <c r="AH599" s="274">
        <f>SUM(AH600:AH601)</f>
        <v>219.18700000000001</v>
      </c>
      <c r="AI599" s="275">
        <f>AJ599-AH599</f>
        <v>113.1865750628005</v>
      </c>
      <c r="AJ599" s="276">
        <f>Потребление!L44</f>
        <v>332.37357506280051</v>
      </c>
      <c r="AK599" s="274">
        <f>SUM(AK600:AK601)</f>
        <v>275.23</v>
      </c>
      <c r="AL599" s="275">
        <f>AM599-AK599</f>
        <v>118.49256880811862</v>
      </c>
      <c r="AM599" s="276">
        <f>Потребление!M44</f>
        <v>393.72256880811864</v>
      </c>
      <c r="AN599" s="274">
        <f>SUM(AN600:AN601)</f>
        <v>290.05799999999994</v>
      </c>
      <c r="AO599" s="275">
        <f>AP599-AN599</f>
        <v>126.16456627220879</v>
      </c>
      <c r="AP599" s="276">
        <f>Потребление!N44</f>
        <v>416.22256627220872</v>
      </c>
      <c r="AQ599" s="274">
        <f>SUM(AQ600:AQ601)</f>
        <v>349.75200000000001</v>
      </c>
      <c r="AR599" s="275">
        <f>AS599-AQ599</f>
        <v>103.086722274588</v>
      </c>
      <c r="AS599" s="276">
        <f>Потребление!O44</f>
        <v>452.83872227458801</v>
      </c>
      <c r="AT599" s="274">
        <f>SUM(AT600:AT601)</f>
        <v>3214.2619999999997</v>
      </c>
      <c r="AU599" s="275">
        <f>AV599-AT599</f>
        <v>1319.7380000000012</v>
      </c>
      <c r="AV599" s="278">
        <f>L599+O599+R599+U599+X599+AA599+AD599+AG599+AJ599+AM599+AP599+AS599</f>
        <v>4534.0000000000009</v>
      </c>
      <c r="AW599" s="279"/>
      <c r="AX599" s="1067">
        <v>4529.5643769999997</v>
      </c>
      <c r="AY599" s="298">
        <f>SUM(AY600:AY601)</f>
        <v>3195.0554039999997</v>
      </c>
      <c r="AZ599" s="357"/>
      <c r="BA599" s="357"/>
      <c r="BB599" s="357"/>
      <c r="BC599" s="357"/>
    </row>
    <row r="600" spans="1:55" s="24" customFormat="1">
      <c r="A600" s="179"/>
      <c r="B600" s="179"/>
      <c r="C600" s="179"/>
      <c r="D600" s="181"/>
      <c r="E600" s="181"/>
      <c r="F600" s="181"/>
      <c r="G600" s="181"/>
      <c r="H600" s="124" t="s">
        <v>56</v>
      </c>
      <c r="I600" s="124"/>
      <c r="J600" s="365">
        <f>SUM(J602:J604)</f>
        <v>343.70299999999997</v>
      </c>
      <c r="K600" s="363"/>
      <c r="L600" s="364"/>
      <c r="M600" s="362">
        <f>SUM(M602:M604)</f>
        <v>314.346</v>
      </c>
      <c r="N600" s="363"/>
      <c r="O600" s="364"/>
      <c r="P600" s="362">
        <f>SUM(P602:P604)</f>
        <v>326.37</v>
      </c>
      <c r="Q600" s="363"/>
      <c r="R600" s="364"/>
      <c r="S600" s="362">
        <f>SUM(S602:S604)</f>
        <v>223.25700000000001</v>
      </c>
      <c r="T600" s="363"/>
      <c r="U600" s="364"/>
      <c r="V600" s="362">
        <f>SUM(V602:V604)</f>
        <v>163.34700000000001</v>
      </c>
      <c r="W600" s="363"/>
      <c r="X600" s="364"/>
      <c r="Y600" s="362">
        <f>SUM(Y602:Y604)</f>
        <v>173.87599999999998</v>
      </c>
      <c r="Z600" s="363"/>
      <c r="AA600" s="364"/>
      <c r="AB600" s="362">
        <f>SUM(AB602:AB604)</f>
        <v>239.57599999999996</v>
      </c>
      <c r="AC600" s="363"/>
      <c r="AD600" s="364"/>
      <c r="AE600" s="362">
        <f>SUM(AE602:AE604)</f>
        <v>264.11</v>
      </c>
      <c r="AF600" s="363"/>
      <c r="AG600" s="364"/>
      <c r="AH600" s="362">
        <f>SUM(AH602:AH604)</f>
        <v>215.887</v>
      </c>
      <c r="AI600" s="363"/>
      <c r="AJ600" s="364"/>
      <c r="AK600" s="362">
        <f>SUM(AK602:AK604)</f>
        <v>271.18</v>
      </c>
      <c r="AL600" s="363"/>
      <c r="AM600" s="364"/>
      <c r="AN600" s="362">
        <f>SUM(AN602:AN604)</f>
        <v>285.55799999999994</v>
      </c>
      <c r="AO600" s="363"/>
      <c r="AP600" s="364"/>
      <c r="AQ600" s="362">
        <f>SUM(AQ602:AQ604)</f>
        <v>344.85200000000003</v>
      </c>
      <c r="AR600" s="363"/>
      <c r="AS600" s="364"/>
      <c r="AT600" s="362">
        <f>SUM(AT602:AT604)</f>
        <v>3166.0619999999999</v>
      </c>
      <c r="AU600" s="363"/>
      <c r="AV600" s="229"/>
      <c r="AW600" s="226"/>
      <c r="AX600" s="366"/>
      <c r="AY600" s="339">
        <f>SUM(AY602:AY604)</f>
        <v>3172.9799719999996</v>
      </c>
      <c r="AZ600" s="357"/>
      <c r="BA600" s="357"/>
      <c r="BB600" s="357"/>
      <c r="BC600" s="357"/>
    </row>
    <row r="601" spans="1:55" s="110" customFormat="1">
      <c r="A601" s="179"/>
      <c r="B601" s="179"/>
      <c r="C601" s="179"/>
      <c r="D601" s="181"/>
      <c r="E601" s="181"/>
      <c r="F601" s="181"/>
      <c r="G601" s="181"/>
      <c r="H601" s="124" t="s">
        <v>99</v>
      </c>
      <c r="I601" s="124"/>
      <c r="J601" s="365">
        <f>J605</f>
        <v>4.88</v>
      </c>
      <c r="K601" s="363"/>
      <c r="L601" s="364"/>
      <c r="M601" s="362">
        <f>M605</f>
        <v>4.62</v>
      </c>
      <c r="N601" s="363"/>
      <c r="O601" s="364"/>
      <c r="P601" s="362">
        <f>P605</f>
        <v>4.8</v>
      </c>
      <c r="Q601" s="363"/>
      <c r="R601" s="364"/>
      <c r="S601" s="362">
        <f>S605</f>
        <v>4.2</v>
      </c>
      <c r="T601" s="363"/>
      <c r="U601" s="364"/>
      <c r="V601" s="362">
        <f>V605</f>
        <v>3.1749999999999998</v>
      </c>
      <c r="W601" s="363"/>
      <c r="X601" s="364"/>
      <c r="Y601" s="362">
        <f>Y605</f>
        <v>3.0750000000000002</v>
      </c>
      <c r="Z601" s="363"/>
      <c r="AA601" s="364"/>
      <c r="AB601" s="362">
        <f>AB605</f>
        <v>3.35</v>
      </c>
      <c r="AC601" s="363"/>
      <c r="AD601" s="364"/>
      <c r="AE601" s="362">
        <f>AE605</f>
        <v>3.35</v>
      </c>
      <c r="AF601" s="363"/>
      <c r="AG601" s="364"/>
      <c r="AH601" s="362">
        <f>AH605</f>
        <v>3.3000000000000003</v>
      </c>
      <c r="AI601" s="363"/>
      <c r="AJ601" s="364"/>
      <c r="AK601" s="362">
        <f>AK605</f>
        <v>4.05</v>
      </c>
      <c r="AL601" s="363"/>
      <c r="AM601" s="364"/>
      <c r="AN601" s="362">
        <f>AN605</f>
        <v>4.5</v>
      </c>
      <c r="AO601" s="363"/>
      <c r="AP601" s="364"/>
      <c r="AQ601" s="362">
        <f>AQ605</f>
        <v>4.9000000000000004</v>
      </c>
      <c r="AR601" s="363"/>
      <c r="AS601" s="364"/>
      <c r="AT601" s="362">
        <f>AT605</f>
        <v>48.2</v>
      </c>
      <c r="AU601" s="363"/>
      <c r="AV601" s="229"/>
      <c r="AW601" s="226"/>
      <c r="AX601" s="366"/>
      <c r="AY601" s="339">
        <f>AY605</f>
        <v>22.075431999999999</v>
      </c>
      <c r="AZ601" s="356"/>
      <c r="BA601" s="356"/>
      <c r="BB601" s="356"/>
      <c r="BC601" s="356"/>
    </row>
    <row r="602" spans="1:55" s="109" customFormat="1">
      <c r="A602" s="179"/>
      <c r="B602" s="179"/>
      <c r="C602" s="179"/>
      <c r="D602" s="181">
        <v>331011</v>
      </c>
      <c r="E602" s="181"/>
      <c r="F602" s="181"/>
      <c r="G602" s="1110">
        <v>331011</v>
      </c>
      <c r="H602" s="122" t="s">
        <v>1341</v>
      </c>
      <c r="I602" s="516" t="s">
        <v>364</v>
      </c>
      <c r="J602" s="720">
        <v>166.65199999999999</v>
      </c>
      <c r="K602" s="721"/>
      <c r="L602" s="722"/>
      <c r="M602" s="345">
        <f>139.2+10</f>
        <v>149.19999999999999</v>
      </c>
      <c r="N602" s="721"/>
      <c r="O602" s="722"/>
      <c r="P602" s="345">
        <f>125.734+20</f>
        <v>145.73399999999998</v>
      </c>
      <c r="Q602" s="721"/>
      <c r="R602" s="722"/>
      <c r="S602" s="629">
        <v>89.04</v>
      </c>
      <c r="T602" s="721"/>
      <c r="U602" s="722"/>
      <c r="V602" s="629">
        <v>93.74</v>
      </c>
      <c r="W602" s="721"/>
      <c r="X602" s="722"/>
      <c r="Y602" s="629">
        <v>92.88</v>
      </c>
      <c r="Z602" s="721"/>
      <c r="AA602" s="722"/>
      <c r="AB602" s="629">
        <v>95.23</v>
      </c>
      <c r="AC602" s="721"/>
      <c r="AD602" s="722"/>
      <c r="AE602" s="345">
        <f>61.99+30</f>
        <v>91.990000000000009</v>
      </c>
      <c r="AF602" s="721"/>
      <c r="AG602" s="722"/>
      <c r="AH602" s="629">
        <v>91.44</v>
      </c>
      <c r="AI602" s="721"/>
      <c r="AJ602" s="722"/>
      <c r="AK602" s="629">
        <v>95.02</v>
      </c>
      <c r="AL602" s="721"/>
      <c r="AM602" s="722"/>
      <c r="AN602" s="833">
        <v>112.32</v>
      </c>
      <c r="AO602" s="721"/>
      <c r="AP602" s="722"/>
      <c r="AQ602" s="629">
        <v>162.94</v>
      </c>
      <c r="AR602" s="246"/>
      <c r="AS602" s="282"/>
      <c r="AT602" s="244">
        <f>J602+M602+P602+S602+V602+Y602+AB602+AE602+AH602+AK602+AN602+AQ602</f>
        <v>1386.1859999999999</v>
      </c>
      <c r="AU602" s="246"/>
      <c r="AV602" s="336"/>
      <c r="AW602" s="285"/>
      <c r="AX602" s="249"/>
      <c r="AY602" s="438">
        <v>1253.842038</v>
      </c>
      <c r="AZ602" s="368"/>
      <c r="BA602" s="368"/>
      <c r="BB602" s="368"/>
      <c r="BC602" s="368"/>
    </row>
    <row r="603" spans="1:55" s="109" customFormat="1">
      <c r="A603" s="179"/>
      <c r="B603" s="179"/>
      <c r="C603" s="179"/>
      <c r="D603" s="181">
        <v>331012</v>
      </c>
      <c r="E603" s="181"/>
      <c r="F603" s="181"/>
      <c r="G603" s="1110">
        <v>331012</v>
      </c>
      <c r="H603" s="127" t="s">
        <v>396</v>
      </c>
      <c r="I603" s="516" t="s">
        <v>364</v>
      </c>
      <c r="J603" s="720">
        <v>164.32</v>
      </c>
      <c r="K603" s="721"/>
      <c r="L603" s="722"/>
      <c r="M603" s="629">
        <v>153.62</v>
      </c>
      <c r="N603" s="721"/>
      <c r="O603" s="722"/>
      <c r="P603" s="629">
        <v>163.80000000000001</v>
      </c>
      <c r="Q603" s="721"/>
      <c r="R603" s="722"/>
      <c r="S603" s="579">
        <f>118.8-0.1</f>
        <v>118.7</v>
      </c>
      <c r="T603" s="721"/>
      <c r="U603" s="722"/>
      <c r="V603" s="721">
        <v>52.88</v>
      </c>
      <c r="W603" s="721"/>
      <c r="X603" s="722"/>
      <c r="Y603" s="721">
        <v>65.52</v>
      </c>
      <c r="Z603" s="721"/>
      <c r="AA603" s="722"/>
      <c r="AB603" s="721">
        <v>128.41999999999999</v>
      </c>
      <c r="AC603" s="721"/>
      <c r="AD603" s="722"/>
      <c r="AE603" s="721">
        <v>155.63999999999999</v>
      </c>
      <c r="AF603" s="721"/>
      <c r="AG603" s="722"/>
      <c r="AH603" s="629">
        <v>108.37</v>
      </c>
      <c r="AI603" s="721"/>
      <c r="AJ603" s="722"/>
      <c r="AK603" s="629">
        <v>159.85</v>
      </c>
      <c r="AL603" s="721"/>
      <c r="AM603" s="722"/>
      <c r="AN603" s="833">
        <v>160.85</v>
      </c>
      <c r="AO603" s="721"/>
      <c r="AP603" s="722"/>
      <c r="AQ603" s="629">
        <v>164.92</v>
      </c>
      <c r="AR603" s="246"/>
      <c r="AS603" s="282"/>
      <c r="AT603" s="244">
        <f>J603+M603+P603+S603+V603+Y603+AB603+AE603+AH603+AK603+AN603+AQ603</f>
        <v>1596.8899999999999</v>
      </c>
      <c r="AU603" s="246"/>
      <c r="AV603" s="336"/>
      <c r="AW603" s="285"/>
      <c r="AX603" s="249"/>
      <c r="AY603" s="438">
        <v>1728.580062</v>
      </c>
      <c r="AZ603" s="368"/>
      <c r="BA603" s="368"/>
      <c r="BB603" s="368"/>
      <c r="BC603" s="368"/>
    </row>
    <row r="604" spans="1:55" s="109" customFormat="1">
      <c r="A604" s="179"/>
      <c r="B604" s="179"/>
      <c r="C604" s="179"/>
      <c r="D604" s="181">
        <v>777009</v>
      </c>
      <c r="E604" s="181"/>
      <c r="F604" s="181"/>
      <c r="G604" s="1110">
        <v>777009</v>
      </c>
      <c r="H604" s="127" t="s">
        <v>1342</v>
      </c>
      <c r="I604" s="519" t="s">
        <v>365</v>
      </c>
      <c r="J604" s="720">
        <v>12.731</v>
      </c>
      <c r="K604" s="721"/>
      <c r="L604" s="722"/>
      <c r="M604" s="629">
        <v>11.526</v>
      </c>
      <c r="N604" s="721"/>
      <c r="O604" s="722"/>
      <c r="P604" s="629">
        <v>16.835999999999999</v>
      </c>
      <c r="Q604" s="721"/>
      <c r="R604" s="722"/>
      <c r="S604" s="629">
        <v>15.516999999999999</v>
      </c>
      <c r="T604" s="721"/>
      <c r="U604" s="722"/>
      <c r="V604" s="629">
        <v>16.727</v>
      </c>
      <c r="W604" s="721"/>
      <c r="X604" s="722"/>
      <c r="Y604" s="629">
        <v>15.476000000000001</v>
      </c>
      <c r="Z604" s="721"/>
      <c r="AA604" s="722"/>
      <c r="AB604" s="629">
        <v>15.926</v>
      </c>
      <c r="AC604" s="721"/>
      <c r="AD604" s="722"/>
      <c r="AE604" s="629">
        <v>16.48</v>
      </c>
      <c r="AF604" s="721"/>
      <c r="AG604" s="722"/>
      <c r="AH604" s="629">
        <v>16.077000000000002</v>
      </c>
      <c r="AI604" s="721"/>
      <c r="AJ604" s="722"/>
      <c r="AK604" s="629">
        <v>16.309999999999999</v>
      </c>
      <c r="AL604" s="721"/>
      <c r="AM604" s="722"/>
      <c r="AN604" s="629">
        <v>12.388</v>
      </c>
      <c r="AO604" s="721"/>
      <c r="AP604" s="722"/>
      <c r="AQ604" s="629">
        <v>16.992000000000001</v>
      </c>
      <c r="AR604" s="246"/>
      <c r="AS604" s="282"/>
      <c r="AT604" s="244">
        <f>J604+M604+P604+S604+V604+Y604+AB604+AE604+AH604+AK604+AN604+AQ604</f>
        <v>182.98600000000002</v>
      </c>
      <c r="AU604" s="246"/>
      <c r="AV604" s="336"/>
      <c r="AW604" s="285"/>
      <c r="AX604" s="249"/>
      <c r="AY604" s="438">
        <v>190.557872</v>
      </c>
      <c r="AZ604" s="368"/>
      <c r="BA604" s="368"/>
      <c r="BB604" s="368"/>
      <c r="BC604" s="368"/>
    </row>
    <row r="605" spans="1:55" s="109" customFormat="1">
      <c r="A605" s="179"/>
      <c r="B605" s="179"/>
      <c r="C605" s="179"/>
      <c r="D605" s="181"/>
      <c r="E605" s="181"/>
      <c r="F605" s="181"/>
      <c r="G605" s="1110"/>
      <c r="H605" s="138" t="s">
        <v>174</v>
      </c>
      <c r="I605" s="138"/>
      <c r="J605" s="319">
        <f>SUM(J606:J607)</f>
        <v>4.88</v>
      </c>
      <c r="K605" s="288"/>
      <c r="L605" s="289"/>
      <c r="M605" s="319">
        <f>SUM(M606:M607)</f>
        <v>4.62</v>
      </c>
      <c r="N605" s="288"/>
      <c r="O605" s="289"/>
      <c r="P605" s="319">
        <f>SUM(P606:P607)</f>
        <v>4.8</v>
      </c>
      <c r="Q605" s="288"/>
      <c r="R605" s="289"/>
      <c r="S605" s="319">
        <f>SUM(S606:S607)</f>
        <v>4.2</v>
      </c>
      <c r="T605" s="288"/>
      <c r="U605" s="289"/>
      <c r="V605" s="319">
        <f>SUM(V606:V607)</f>
        <v>3.1749999999999998</v>
      </c>
      <c r="W605" s="288"/>
      <c r="X605" s="289"/>
      <c r="Y605" s="319">
        <f>SUM(Y606:Y607)</f>
        <v>3.0750000000000002</v>
      </c>
      <c r="Z605" s="288"/>
      <c r="AA605" s="289"/>
      <c r="AB605" s="319">
        <f>SUM(AB606:AB607)</f>
        <v>3.35</v>
      </c>
      <c r="AC605" s="288"/>
      <c r="AD605" s="289"/>
      <c r="AE605" s="319">
        <f>SUM(AE606:AE607)</f>
        <v>3.35</v>
      </c>
      <c r="AF605" s="288"/>
      <c r="AG605" s="289"/>
      <c r="AH605" s="319">
        <f>SUM(AH606:AH607)</f>
        <v>3.3000000000000003</v>
      </c>
      <c r="AI605" s="288"/>
      <c r="AJ605" s="289"/>
      <c r="AK605" s="319">
        <f>SUM(AK606:AK607)</f>
        <v>4.05</v>
      </c>
      <c r="AL605" s="288"/>
      <c r="AM605" s="289"/>
      <c r="AN605" s="319">
        <f>SUM(AN606:AN607)</f>
        <v>4.5</v>
      </c>
      <c r="AO605" s="288"/>
      <c r="AP605" s="289"/>
      <c r="AQ605" s="319">
        <f>SUM(AQ606:AQ607)</f>
        <v>4.9000000000000004</v>
      </c>
      <c r="AR605" s="288"/>
      <c r="AS605" s="289"/>
      <c r="AT605" s="319">
        <f>SUM(AT606:AT607)</f>
        <v>48.2</v>
      </c>
      <c r="AU605" s="288"/>
      <c r="AV605" s="290"/>
      <c r="AW605" s="285"/>
      <c r="AX605" s="295"/>
      <c r="AY605" s="436">
        <v>22.075431999999999</v>
      </c>
      <c r="AZ605" s="368"/>
      <c r="BA605" s="368"/>
      <c r="BB605" s="368"/>
      <c r="BC605" s="368"/>
    </row>
    <row r="606" spans="1:55" s="24" customFormat="1">
      <c r="A606" s="179"/>
      <c r="B606" s="179"/>
      <c r="C606" s="179"/>
      <c r="D606" s="181">
        <v>331041</v>
      </c>
      <c r="E606" s="181"/>
      <c r="F606" s="181"/>
      <c r="G606" s="1110">
        <v>331041</v>
      </c>
      <c r="H606" s="145" t="s">
        <v>1244</v>
      </c>
      <c r="I606" s="518" t="s">
        <v>365</v>
      </c>
      <c r="J606" s="293">
        <v>1.88</v>
      </c>
      <c r="K606" s="288"/>
      <c r="L606" s="289"/>
      <c r="M606" s="294">
        <v>1.72</v>
      </c>
      <c r="N606" s="288"/>
      <c r="O606" s="289"/>
      <c r="P606" s="294">
        <v>1.8</v>
      </c>
      <c r="Q606" s="288"/>
      <c r="R606" s="289"/>
      <c r="S606" s="294">
        <v>1.25</v>
      </c>
      <c r="T606" s="288"/>
      <c r="U606" s="289"/>
      <c r="V606" s="294">
        <v>0.17499999999999999</v>
      </c>
      <c r="W606" s="288"/>
      <c r="X606" s="289"/>
      <c r="Y606" s="294">
        <v>0.125</v>
      </c>
      <c r="Z606" s="288"/>
      <c r="AA606" s="289"/>
      <c r="AB606" s="294">
        <v>0.35</v>
      </c>
      <c r="AC606" s="288"/>
      <c r="AD606" s="289"/>
      <c r="AE606" s="294">
        <v>0.35</v>
      </c>
      <c r="AF606" s="288"/>
      <c r="AG606" s="289"/>
      <c r="AH606" s="294">
        <v>0.35</v>
      </c>
      <c r="AI606" s="288"/>
      <c r="AJ606" s="289"/>
      <c r="AK606" s="294">
        <v>1.05</v>
      </c>
      <c r="AL606" s="288"/>
      <c r="AM606" s="289"/>
      <c r="AN606" s="294">
        <v>1.55</v>
      </c>
      <c r="AO606" s="288"/>
      <c r="AP606" s="289"/>
      <c r="AQ606" s="294">
        <v>1.9</v>
      </c>
      <c r="AR606" s="288"/>
      <c r="AS606" s="289"/>
      <c r="AT606" s="294">
        <f>J606+M606+P606+S606+V606+Y606+AB606+AE606+AH606+AK606+AN606+AQ606</f>
        <v>12.5</v>
      </c>
      <c r="AU606" s="288"/>
      <c r="AV606" s="290"/>
      <c r="AW606" s="285"/>
      <c r="AX606" s="295"/>
      <c r="AY606" s="313"/>
      <c r="AZ606" s="357"/>
      <c r="BA606" s="357"/>
      <c r="BB606" s="357"/>
      <c r="BC606" s="357"/>
    </row>
    <row r="607" spans="1:55" s="24" customFormat="1">
      <c r="A607" s="179"/>
      <c r="B607" s="179"/>
      <c r="C607" s="179"/>
      <c r="D607" s="181"/>
      <c r="E607" s="181"/>
      <c r="F607" s="181"/>
      <c r="G607" s="1110">
        <v>777804</v>
      </c>
      <c r="H607" s="145" t="s">
        <v>1670</v>
      </c>
      <c r="I607" s="518" t="s">
        <v>365</v>
      </c>
      <c r="J607" s="294">
        <v>3</v>
      </c>
      <c r="K607" s="288"/>
      <c r="L607" s="289"/>
      <c r="M607" s="294">
        <v>2.9</v>
      </c>
      <c r="N607" s="288"/>
      <c r="O607" s="289"/>
      <c r="P607" s="294">
        <v>3</v>
      </c>
      <c r="Q607" s="288"/>
      <c r="R607" s="289"/>
      <c r="S607" s="294">
        <v>2.95</v>
      </c>
      <c r="T607" s="288"/>
      <c r="U607" s="289"/>
      <c r="V607" s="294">
        <v>3</v>
      </c>
      <c r="W607" s="288"/>
      <c r="X607" s="289"/>
      <c r="Y607" s="294">
        <v>2.95</v>
      </c>
      <c r="Z607" s="288"/>
      <c r="AA607" s="289"/>
      <c r="AB607" s="294">
        <v>3</v>
      </c>
      <c r="AC607" s="288"/>
      <c r="AD607" s="289"/>
      <c r="AE607" s="294">
        <v>3</v>
      </c>
      <c r="AF607" s="288"/>
      <c r="AG607" s="289"/>
      <c r="AH607" s="294">
        <v>2.95</v>
      </c>
      <c r="AI607" s="288"/>
      <c r="AJ607" s="289"/>
      <c r="AK607" s="294">
        <v>3</v>
      </c>
      <c r="AL607" s="288"/>
      <c r="AM607" s="289"/>
      <c r="AN607" s="294">
        <v>2.95</v>
      </c>
      <c r="AO607" s="288"/>
      <c r="AP607" s="289"/>
      <c r="AQ607" s="294">
        <v>3</v>
      </c>
      <c r="AR607" s="288"/>
      <c r="AS607" s="289"/>
      <c r="AT607" s="294">
        <f>J607+M607+P607+S607+V607+Y607+AB607+AE607+AH607+AK607+AN607+AQ607</f>
        <v>35.700000000000003</v>
      </c>
      <c r="AU607" s="288"/>
      <c r="AV607" s="290"/>
      <c r="AW607" s="285"/>
      <c r="AX607" s="295"/>
      <c r="AY607" s="313"/>
      <c r="AZ607" s="357"/>
      <c r="BA607" s="357"/>
      <c r="BB607" s="357"/>
      <c r="BC607" s="357"/>
    </row>
    <row r="608" spans="1:55" s="24" customFormat="1" ht="18.75">
      <c r="A608" s="179"/>
      <c r="B608" s="179"/>
      <c r="C608" s="179"/>
      <c r="D608" s="181">
        <v>339100</v>
      </c>
      <c r="E608" s="181"/>
      <c r="F608" s="181"/>
      <c r="G608" s="181">
        <v>339100</v>
      </c>
      <c r="H608" s="473" t="s">
        <v>1598</v>
      </c>
      <c r="I608" s="473"/>
      <c r="J608" s="277">
        <f>SUM(J609:J613)</f>
        <v>1153.5423344283854</v>
      </c>
      <c r="K608" s="275">
        <f>L608-J608</f>
        <v>352.86392791667231</v>
      </c>
      <c r="L608" s="276">
        <f>Потребление!D45</f>
        <v>1506.4062623450577</v>
      </c>
      <c r="M608" s="274">
        <f>SUM(M609:M613)</f>
        <v>1106.013397391622</v>
      </c>
      <c r="N608" s="275">
        <f>O608-M608</f>
        <v>312.82271291578741</v>
      </c>
      <c r="O608" s="276">
        <f>Потребление!E45</f>
        <v>1418.8361103074094</v>
      </c>
      <c r="P608" s="274">
        <f>SUM(P609:P613)</f>
        <v>1186.4954494411011</v>
      </c>
      <c r="Q608" s="275">
        <f>R608-P608</f>
        <v>261.3856452674579</v>
      </c>
      <c r="R608" s="276">
        <f>Потребление!F45</f>
        <v>1447.881094708559</v>
      </c>
      <c r="S608" s="274">
        <f>SUM(S609:S613)</f>
        <v>1053.9084405829572</v>
      </c>
      <c r="T608" s="275">
        <f>U608-S608</f>
        <v>228.73680593635936</v>
      </c>
      <c r="U608" s="276">
        <f>Потребление!G45</f>
        <v>1282.6452465193165</v>
      </c>
      <c r="V608" s="274">
        <f>SUM(V609:V613)</f>
        <v>867.05367453256292</v>
      </c>
      <c r="W608" s="275">
        <f>X608-V608</f>
        <v>373.75495573810724</v>
      </c>
      <c r="X608" s="276">
        <f>Потребление!H45</f>
        <v>1240.8086302706702</v>
      </c>
      <c r="Y608" s="274">
        <f>SUM(Y609:Y613)</f>
        <v>917.44530745895406</v>
      </c>
      <c r="Z608" s="275">
        <f>AA608-Y608</f>
        <v>296.64202287048477</v>
      </c>
      <c r="AA608" s="276">
        <f>Потребление!I45</f>
        <v>1214.0873303294388</v>
      </c>
      <c r="AB608" s="274">
        <f>SUM(AB609:AB613)</f>
        <v>936.75152343144725</v>
      </c>
      <c r="AC608" s="275">
        <f>AD608-AB608</f>
        <v>349.16056273990387</v>
      </c>
      <c r="AD608" s="276">
        <f>Потребление!J45</f>
        <v>1285.9120861713511</v>
      </c>
      <c r="AE608" s="274">
        <f>SUM(AE609:AE613)</f>
        <v>952.64536759484884</v>
      </c>
      <c r="AF608" s="275">
        <f>AG608-AE608</f>
        <v>333.26992871335767</v>
      </c>
      <c r="AG608" s="276">
        <f>Потребление!K45</f>
        <v>1285.9152963082065</v>
      </c>
      <c r="AH608" s="274">
        <f>SUM(AH609:AH613)</f>
        <v>931.54367990089918</v>
      </c>
      <c r="AI608" s="275">
        <f>AJ608-AH608</f>
        <v>273.36536277049117</v>
      </c>
      <c r="AJ608" s="276">
        <f>Потребление!L45</f>
        <v>1204.9090426713904</v>
      </c>
      <c r="AK608" s="274">
        <f>SUM(AK609:AK613)</f>
        <v>1061.1067770054219</v>
      </c>
      <c r="AL608" s="275">
        <f>AM608-AK608</f>
        <v>290.44772373649835</v>
      </c>
      <c r="AM608" s="276">
        <f>Потребление!M45</f>
        <v>1351.5545007419203</v>
      </c>
      <c r="AN608" s="274">
        <f>SUM(AN609:AN613)</f>
        <v>1199.1029489029841</v>
      </c>
      <c r="AO608" s="275">
        <f>AP608-AN608</f>
        <v>207.31923716971278</v>
      </c>
      <c r="AP608" s="276">
        <f>Потребление!N45</f>
        <v>1406.4221860726968</v>
      </c>
      <c r="AQ608" s="274">
        <f>SUM(AQ609:AQ613)</f>
        <v>1254.3202963634851</v>
      </c>
      <c r="AR608" s="275">
        <f>AS608-AQ608</f>
        <v>257.30191719049799</v>
      </c>
      <c r="AS608" s="276">
        <f>Потребление!O45</f>
        <v>1511.6222135539831</v>
      </c>
      <c r="AT608" s="274">
        <f>SUM(AT609:AT613)</f>
        <v>12619.929197034668</v>
      </c>
      <c r="AU608" s="275">
        <f>AV608-AT608</f>
        <v>3537.0708029653342</v>
      </c>
      <c r="AV608" s="278">
        <f>L608+O608+R608+U608+X608+AA608+AD608+AG608+AJ608+AM608+AP608+AS608</f>
        <v>16157.000000000002</v>
      </c>
      <c r="AW608" s="279"/>
      <c r="AX608" s="1067">
        <v>15994.159313800001</v>
      </c>
      <c r="AY608" s="298">
        <f>SUM(AY609:AY613)</f>
        <v>11321.216640000001</v>
      </c>
      <c r="AZ608" s="357"/>
      <c r="BA608" s="357"/>
      <c r="BB608" s="357"/>
      <c r="BC608" s="357"/>
    </row>
    <row r="609" spans="1:55" s="24" customFormat="1">
      <c r="A609" s="179"/>
      <c r="B609" s="179"/>
      <c r="C609" s="179"/>
      <c r="D609" s="181"/>
      <c r="E609" s="181"/>
      <c r="F609" s="181"/>
      <c r="G609" s="181"/>
      <c r="H609" s="124" t="s">
        <v>56</v>
      </c>
      <c r="I609" s="124"/>
      <c r="J609" s="365">
        <f>SUM(J614:J615)+SUM(J619:J621)</f>
        <v>992.66146666666668</v>
      </c>
      <c r="K609" s="363"/>
      <c r="L609" s="364"/>
      <c r="M609" s="362">
        <f>SUM(M614:M615)+SUM(M619:M621)</f>
        <v>946.77633233333336</v>
      </c>
      <c r="N609" s="363"/>
      <c r="O609" s="364"/>
      <c r="P609" s="362">
        <f>SUM(P614:P615)+SUM(P619:P621)</f>
        <v>1004.4356973333333</v>
      </c>
      <c r="Q609" s="363"/>
      <c r="R609" s="364"/>
      <c r="S609" s="362">
        <f>SUM(S614:S615)+SUM(S619:S621)</f>
        <v>908.08544333333339</v>
      </c>
      <c r="T609" s="363"/>
      <c r="U609" s="364"/>
      <c r="V609" s="362">
        <f>SUM(V614:V615)+SUM(V619:V621)</f>
        <v>757.39266634374053</v>
      </c>
      <c r="W609" s="363"/>
      <c r="X609" s="364"/>
      <c r="Y609" s="362">
        <f>SUM(Y614:Y615)+SUM(Y619:Y621)</f>
        <v>817.35382933031224</v>
      </c>
      <c r="Z609" s="363"/>
      <c r="AA609" s="364"/>
      <c r="AB609" s="362">
        <f>SUM(AB614:AB615)+SUM(AB619:AB621)</f>
        <v>812.65629566666655</v>
      </c>
      <c r="AC609" s="363"/>
      <c r="AD609" s="364"/>
      <c r="AE609" s="362">
        <f>SUM(AE614:AE615)+SUM(AE619:AE621)</f>
        <v>825.63555500000007</v>
      </c>
      <c r="AF609" s="363"/>
      <c r="AG609" s="364"/>
      <c r="AH609" s="362">
        <f>SUM(AH614:AH615)+SUM(AH619:AH621)</f>
        <v>820.73650466666663</v>
      </c>
      <c r="AI609" s="363"/>
      <c r="AJ609" s="364"/>
      <c r="AK609" s="362">
        <f>SUM(AK614:AK615)+SUM(AK619:AK621)</f>
        <v>930.85917933333337</v>
      </c>
      <c r="AL609" s="363"/>
      <c r="AM609" s="364"/>
      <c r="AN609" s="362">
        <f>SUM(AN614:AN615)+SUM(AN619:AN621)</f>
        <v>1048.9102339999995</v>
      </c>
      <c r="AO609" s="363"/>
      <c r="AP609" s="364"/>
      <c r="AQ609" s="362">
        <f>SUM(AQ614:AQ615)+SUM(AQ619:AQ621)</f>
        <v>1097.8521773333337</v>
      </c>
      <c r="AR609" s="363"/>
      <c r="AS609" s="364"/>
      <c r="AT609" s="362">
        <f>SUM(AT614:AT615)+SUM(AT619:AT621)</f>
        <v>10963.35538134072</v>
      </c>
      <c r="AU609" s="363"/>
      <c r="AV609" s="229"/>
      <c r="AW609" s="226"/>
      <c r="AX609" s="366"/>
      <c r="AY609" s="339">
        <f>SUM(AY614:AY621)</f>
        <v>9962.8826740000004</v>
      </c>
      <c r="AZ609" s="357"/>
      <c r="BA609" s="357"/>
      <c r="BB609" s="357"/>
      <c r="BC609" s="357"/>
    </row>
    <row r="610" spans="1:55" s="24" customFormat="1">
      <c r="A610" s="179"/>
      <c r="B610" s="179"/>
      <c r="C610" s="179"/>
      <c r="D610" s="181"/>
      <c r="E610" s="181"/>
      <c r="F610" s="181"/>
      <c r="G610" s="181"/>
      <c r="H610" s="124" t="s">
        <v>55</v>
      </c>
      <c r="I610" s="124"/>
      <c r="J610" s="365">
        <f>J622</f>
        <v>6.39324951171875</v>
      </c>
      <c r="K610" s="363"/>
      <c r="L610" s="364"/>
      <c r="M610" s="362">
        <f>M622</f>
        <v>7.5819425582885742</v>
      </c>
      <c r="N610" s="363"/>
      <c r="O610" s="364"/>
      <c r="P610" s="362">
        <f>P622</f>
        <v>10.489291191101074</v>
      </c>
      <c r="Q610" s="363"/>
      <c r="R610" s="364"/>
      <c r="S610" s="362">
        <f>S622</f>
        <v>7.1218571662902832</v>
      </c>
      <c r="T610" s="363"/>
      <c r="U610" s="364"/>
      <c r="V610" s="362">
        <f>V622</f>
        <v>7.7685117721557617</v>
      </c>
      <c r="W610" s="363"/>
      <c r="X610" s="364"/>
      <c r="Y610" s="362">
        <f>Y622</f>
        <v>5.3296594619750977</v>
      </c>
      <c r="Z610" s="363"/>
      <c r="AA610" s="364"/>
      <c r="AB610" s="362">
        <f>AB622</f>
        <v>5.3314013481140137</v>
      </c>
      <c r="AC610" s="363"/>
      <c r="AD610" s="364"/>
      <c r="AE610" s="362">
        <f>AE622</f>
        <v>5.1044940948486328</v>
      </c>
      <c r="AF610" s="363"/>
      <c r="AG610" s="364"/>
      <c r="AH610" s="362">
        <f>AH622</f>
        <v>4.549189567565918</v>
      </c>
      <c r="AI610" s="363"/>
      <c r="AJ610" s="364"/>
      <c r="AK610" s="362">
        <f>AK622</f>
        <v>4.509589672088623</v>
      </c>
      <c r="AL610" s="363"/>
      <c r="AM610" s="364"/>
      <c r="AN610" s="362">
        <f>AN622</f>
        <v>4.5099091529846191</v>
      </c>
      <c r="AO610" s="363"/>
      <c r="AP610" s="364"/>
      <c r="AQ610" s="362">
        <f>AQ622</f>
        <v>5.3154277801513672</v>
      </c>
      <c r="AR610" s="363"/>
      <c r="AS610" s="364"/>
      <c r="AT610" s="362">
        <f>AT622</f>
        <v>74.004523277282715</v>
      </c>
      <c r="AU610" s="363"/>
      <c r="AV610" s="229"/>
      <c r="AW610" s="226"/>
      <c r="AX610" s="366"/>
      <c r="AY610" s="339">
        <f>AY622</f>
        <v>51.816788000000003</v>
      </c>
      <c r="AZ610" s="357"/>
      <c r="BA610" s="357"/>
      <c r="BB610" s="357"/>
      <c r="BC610" s="357"/>
    </row>
    <row r="611" spans="1:55" s="24" customFormat="1">
      <c r="A611" s="179"/>
      <c r="B611" s="179"/>
      <c r="C611" s="179"/>
      <c r="D611" s="181"/>
      <c r="E611" s="181"/>
      <c r="F611" s="181"/>
      <c r="G611" s="181"/>
      <c r="H611" s="124" t="s">
        <v>347</v>
      </c>
      <c r="I611" s="124"/>
      <c r="J611" s="365">
        <f>SUM(J623:J638)</f>
        <v>12.78761825</v>
      </c>
      <c r="K611" s="363"/>
      <c r="L611" s="364"/>
      <c r="M611" s="365">
        <f>SUM(M623:M638)</f>
        <v>20.385122500000001</v>
      </c>
      <c r="N611" s="363"/>
      <c r="O611" s="364"/>
      <c r="P611" s="365">
        <f>SUM(P623:P638)</f>
        <v>33.92046091666667</v>
      </c>
      <c r="Q611" s="363"/>
      <c r="R611" s="364"/>
      <c r="S611" s="365">
        <f>SUM(S623:S638)</f>
        <v>36.50114008333334</v>
      </c>
      <c r="T611" s="363"/>
      <c r="U611" s="364"/>
      <c r="V611" s="365">
        <f>SUM(V623:V638)</f>
        <v>44.59249641666667</v>
      </c>
      <c r="W611" s="363"/>
      <c r="X611" s="364"/>
      <c r="Y611" s="365">
        <f>SUM(Y623:Y638)</f>
        <v>42.861818666666672</v>
      </c>
      <c r="Z611" s="363"/>
      <c r="AA611" s="364"/>
      <c r="AB611" s="365">
        <f>SUM(AB623:AB638)</f>
        <v>51.263826416666667</v>
      </c>
      <c r="AC611" s="363"/>
      <c r="AD611" s="364"/>
      <c r="AE611" s="365">
        <f>SUM(AE623:AE638)</f>
        <v>49.755318500000008</v>
      </c>
      <c r="AF611" s="363"/>
      <c r="AG611" s="364"/>
      <c r="AH611" s="365">
        <f>SUM(AH623:AH638)</f>
        <v>35.80798566666666</v>
      </c>
      <c r="AI611" s="363"/>
      <c r="AJ611" s="364"/>
      <c r="AK611" s="365">
        <f>SUM(AK623:AK638)</f>
        <v>15.188008</v>
      </c>
      <c r="AL611" s="363"/>
      <c r="AM611" s="364"/>
      <c r="AN611" s="365">
        <f>SUM(AN623:AN638)</f>
        <v>13.122805749999999</v>
      </c>
      <c r="AO611" s="363"/>
      <c r="AP611" s="364"/>
      <c r="AQ611" s="365">
        <f>SUM(AQ623:AQ638)</f>
        <v>9.5026912500000016</v>
      </c>
      <c r="AR611" s="363"/>
      <c r="AS611" s="364"/>
      <c r="AT611" s="365">
        <f>SUM(AT623:AT638)</f>
        <v>365.68929241666672</v>
      </c>
      <c r="AU611" s="363"/>
      <c r="AV611" s="229"/>
      <c r="AW611" s="226"/>
      <c r="AX611" s="366"/>
      <c r="AY611" s="339">
        <f>SUM(AY623:AY636)</f>
        <v>116.35469399999999</v>
      </c>
      <c r="AZ611" s="357"/>
      <c r="BA611" s="357"/>
      <c r="BB611" s="357"/>
      <c r="BC611" s="357"/>
    </row>
    <row r="612" spans="1:55" s="24" customFormat="1">
      <c r="A612" s="179"/>
      <c r="B612" s="179"/>
      <c r="C612" s="179"/>
      <c r="D612" s="181"/>
      <c r="E612" s="181"/>
      <c r="F612" s="181"/>
      <c r="G612" s="181"/>
      <c r="H612" s="124" t="s">
        <v>346</v>
      </c>
      <c r="I612" s="124"/>
      <c r="J612" s="365">
        <f>J639</f>
        <v>0.2</v>
      </c>
      <c r="K612" s="363"/>
      <c r="L612" s="364"/>
      <c r="M612" s="362">
        <f>M639</f>
        <v>0.22</v>
      </c>
      <c r="N612" s="363"/>
      <c r="O612" s="364"/>
      <c r="P612" s="362">
        <f>P639</f>
        <v>0.2</v>
      </c>
      <c r="Q612" s="363"/>
      <c r="R612" s="364"/>
      <c r="S612" s="362">
        <f>S639</f>
        <v>0.2</v>
      </c>
      <c r="T612" s="363"/>
      <c r="U612" s="364"/>
      <c r="V612" s="362">
        <f>V639</f>
        <v>0.8</v>
      </c>
      <c r="W612" s="363"/>
      <c r="X612" s="364"/>
      <c r="Y612" s="362">
        <f>Y639</f>
        <v>0.7</v>
      </c>
      <c r="Z612" s="363"/>
      <c r="AA612" s="364"/>
      <c r="AB612" s="362">
        <f>AB639</f>
        <v>0.8</v>
      </c>
      <c r="AC612" s="363"/>
      <c r="AD612" s="364"/>
      <c r="AE612" s="362">
        <f>AE639</f>
        <v>0.7</v>
      </c>
      <c r="AF612" s="363"/>
      <c r="AG612" s="364"/>
      <c r="AH612" s="362">
        <f>AH639</f>
        <v>0.8</v>
      </c>
      <c r="AI612" s="363"/>
      <c r="AJ612" s="364"/>
      <c r="AK612" s="362">
        <f>AK639</f>
        <v>0.55000000000000004</v>
      </c>
      <c r="AL612" s="363"/>
      <c r="AM612" s="364"/>
      <c r="AN612" s="362">
        <f>AN639</f>
        <v>0.56000000000000005</v>
      </c>
      <c r="AO612" s="363"/>
      <c r="AP612" s="364"/>
      <c r="AQ612" s="362">
        <f>AQ639</f>
        <v>0.65</v>
      </c>
      <c r="AR612" s="363"/>
      <c r="AS612" s="364"/>
      <c r="AT612" s="362">
        <f>AT639</f>
        <v>6.3800000000000008</v>
      </c>
      <c r="AU612" s="363"/>
      <c r="AV612" s="229"/>
      <c r="AW612" s="226"/>
      <c r="AX612" s="366"/>
      <c r="AY612" s="339">
        <f>AY639</f>
        <v>0</v>
      </c>
      <c r="AZ612" s="357"/>
      <c r="BA612" s="357"/>
      <c r="BB612" s="357"/>
      <c r="BC612" s="357"/>
    </row>
    <row r="613" spans="1:55" s="24" customFormat="1">
      <c r="A613" s="179"/>
      <c r="B613" s="179"/>
      <c r="C613" s="179"/>
      <c r="D613" s="181"/>
      <c r="E613" s="181"/>
      <c r="F613" s="181"/>
      <c r="G613" s="181"/>
      <c r="H613" s="126" t="s">
        <v>99</v>
      </c>
      <c r="I613" s="126"/>
      <c r="J613" s="365">
        <f>J640</f>
        <v>141.5</v>
      </c>
      <c r="K613" s="363"/>
      <c r="L613" s="364"/>
      <c r="M613" s="362">
        <f>M640</f>
        <v>131.05000000000001</v>
      </c>
      <c r="N613" s="363"/>
      <c r="O613" s="364"/>
      <c r="P613" s="362">
        <f>P640</f>
        <v>137.44999999999999</v>
      </c>
      <c r="Q613" s="363"/>
      <c r="R613" s="364"/>
      <c r="S613" s="362">
        <f>S640</f>
        <v>102</v>
      </c>
      <c r="T613" s="363"/>
      <c r="U613" s="364"/>
      <c r="V613" s="362">
        <f>V640</f>
        <v>56.5</v>
      </c>
      <c r="W613" s="363"/>
      <c r="X613" s="364"/>
      <c r="Y613" s="362">
        <f>Y640</f>
        <v>51.2</v>
      </c>
      <c r="Z613" s="363"/>
      <c r="AA613" s="364"/>
      <c r="AB613" s="362">
        <f>AB640</f>
        <v>66.7</v>
      </c>
      <c r="AC613" s="363"/>
      <c r="AD613" s="364"/>
      <c r="AE613" s="362">
        <f>AE640</f>
        <v>71.45</v>
      </c>
      <c r="AF613" s="363"/>
      <c r="AG613" s="364"/>
      <c r="AH613" s="362">
        <f>AH640</f>
        <v>69.650000000000006</v>
      </c>
      <c r="AI613" s="363"/>
      <c r="AJ613" s="364"/>
      <c r="AK613" s="362">
        <f>AK640</f>
        <v>110</v>
      </c>
      <c r="AL613" s="363"/>
      <c r="AM613" s="364"/>
      <c r="AN613" s="362">
        <f>AN640</f>
        <v>132</v>
      </c>
      <c r="AO613" s="363"/>
      <c r="AP613" s="364"/>
      <c r="AQ613" s="362">
        <f>AQ640</f>
        <v>141</v>
      </c>
      <c r="AR613" s="363"/>
      <c r="AS613" s="364"/>
      <c r="AT613" s="362">
        <f>AT640</f>
        <v>1210.5</v>
      </c>
      <c r="AU613" s="363"/>
      <c r="AV613" s="229"/>
      <c r="AW613" s="226"/>
      <c r="AX613" s="366"/>
      <c r="AY613" s="339">
        <f>AY640</f>
        <v>1190.1624839999999</v>
      </c>
      <c r="AZ613" s="357"/>
      <c r="BA613" s="357"/>
      <c r="BB613" s="357"/>
      <c r="BC613" s="357"/>
    </row>
    <row r="614" spans="1:55" s="24" customFormat="1">
      <c r="A614" s="179"/>
      <c r="B614" s="179"/>
      <c r="C614" s="179"/>
      <c r="D614" s="181">
        <v>339110</v>
      </c>
      <c r="E614" s="181"/>
      <c r="F614" s="181"/>
      <c r="G614" s="1110">
        <v>339110</v>
      </c>
      <c r="H614" s="127" t="s">
        <v>590</v>
      </c>
      <c r="I614" s="516" t="s">
        <v>364</v>
      </c>
      <c r="J614" s="724">
        <v>128.297</v>
      </c>
      <c r="K614" s="732"/>
      <c r="L614" s="991"/>
      <c r="M614" s="802">
        <f>109.493+5.973</f>
        <v>115.46599999999999</v>
      </c>
      <c r="N614" s="724"/>
      <c r="O614" s="725"/>
      <c r="P614" s="802">
        <f>95.362+6.417+20</f>
        <v>121.779</v>
      </c>
      <c r="Q614" s="724"/>
      <c r="R614" s="725"/>
      <c r="S614" s="832">
        <v>53.966999999999999</v>
      </c>
      <c r="T614" s="732"/>
      <c r="U614" s="929"/>
      <c r="V614" s="802">
        <f>22.968+23.904</f>
        <v>46.872</v>
      </c>
      <c r="W614" s="724"/>
      <c r="X614" s="725"/>
      <c r="Y614" s="802">
        <f>25.475+20.605</f>
        <v>46.08</v>
      </c>
      <c r="Z614" s="724"/>
      <c r="AA614" s="725"/>
      <c r="AB614" s="802">
        <f>27.595+19.277</f>
        <v>46.872</v>
      </c>
      <c r="AC614" s="724"/>
      <c r="AD614" s="725"/>
      <c r="AE614" s="802">
        <f>24.337+21.791</f>
        <v>46.128</v>
      </c>
      <c r="AF614" s="724"/>
      <c r="AG614" s="725"/>
      <c r="AH614" s="802">
        <f>32.232+11.688</f>
        <v>43.92</v>
      </c>
      <c r="AI614" s="724"/>
      <c r="AJ614" s="725"/>
      <c r="AK614" s="832">
        <v>66.343000000000004</v>
      </c>
      <c r="AL614" s="732"/>
      <c r="AM614" s="929"/>
      <c r="AN614" s="802">
        <f>80.529+4.287+50</f>
        <v>134.816</v>
      </c>
      <c r="AO614" s="724"/>
      <c r="AP614" s="725"/>
      <c r="AQ614" s="802">
        <f>119.922+15</f>
        <v>134.922</v>
      </c>
      <c r="AR614" s="246"/>
      <c r="AS614" s="282"/>
      <c r="AT614" s="244">
        <f t="shared" ref="AT614:AT642" si="21">J614+M614+P614+S614+V614+Y614+AB614+AE614+AH614+AK614+AN614+AQ614</f>
        <v>985.46199999999999</v>
      </c>
      <c r="AU614" s="246"/>
      <c r="AV614" s="336"/>
      <c r="AW614" s="285"/>
      <c r="AX614" s="249"/>
      <c r="AY614" s="438">
        <v>795.94954199999995</v>
      </c>
      <c r="AZ614" s="357"/>
      <c r="BA614" s="357"/>
      <c r="BB614" s="357"/>
      <c r="BC614" s="357"/>
    </row>
    <row r="615" spans="1:55" s="24" customFormat="1">
      <c r="A615" s="179"/>
      <c r="B615" s="179"/>
      <c r="C615" s="179"/>
      <c r="D615" s="181">
        <v>339111</v>
      </c>
      <c r="E615" s="181"/>
      <c r="F615" s="181"/>
      <c r="G615" s="1110">
        <v>339111</v>
      </c>
      <c r="H615" s="132" t="s">
        <v>591</v>
      </c>
      <c r="I615" s="516" t="s">
        <v>364</v>
      </c>
      <c r="J615" s="262">
        <f>SUM(J616:J618)</f>
        <v>263.00460299999997</v>
      </c>
      <c r="K615" s="246"/>
      <c r="L615" s="282"/>
      <c r="M615" s="317">
        <f>SUM(M616:M618)</f>
        <v>242.764974</v>
      </c>
      <c r="N615" s="246"/>
      <c r="O615" s="282"/>
      <c r="P615" s="317">
        <f>SUM(P616:P618)</f>
        <v>253.484126</v>
      </c>
      <c r="Q615" s="246"/>
      <c r="R615" s="282"/>
      <c r="S615" s="317">
        <f>SUM(S616:S618)</f>
        <v>191.64889399999998</v>
      </c>
      <c r="T615" s="246"/>
      <c r="U615" s="282"/>
      <c r="V615" s="317">
        <f>SUM(V616:V618)</f>
        <v>116.8663000104072</v>
      </c>
      <c r="W615" s="246"/>
      <c r="X615" s="282"/>
      <c r="Y615" s="317">
        <f>SUM(Y616:Y618)</f>
        <v>128.63697633031219</v>
      </c>
      <c r="Z615" s="246"/>
      <c r="AA615" s="282"/>
      <c r="AB615" s="317">
        <f>SUM(AB616:AB618)</f>
        <v>98.207778666666599</v>
      </c>
      <c r="AC615" s="246"/>
      <c r="AD615" s="282"/>
      <c r="AE615" s="317">
        <f>SUM(AE616:AE618)</f>
        <v>95.336394666666706</v>
      </c>
      <c r="AF615" s="246"/>
      <c r="AG615" s="282"/>
      <c r="AH615" s="317">
        <f>SUM(AH616:AH618)</f>
        <v>115.0282</v>
      </c>
      <c r="AI615" s="246"/>
      <c r="AJ615" s="282"/>
      <c r="AK615" s="317">
        <f>SUM(AK616:AK618)</f>
        <v>182.91465199999999</v>
      </c>
      <c r="AL615" s="246"/>
      <c r="AM615" s="282"/>
      <c r="AN615" s="317">
        <f>SUM(AN616:AN618)</f>
        <v>237.21832333333299</v>
      </c>
      <c r="AO615" s="246"/>
      <c r="AP615" s="282"/>
      <c r="AQ615" s="317">
        <f>SUM(AQ616:AQ618)</f>
        <v>262.92983066666699</v>
      </c>
      <c r="AR615" s="246"/>
      <c r="AS615" s="282"/>
      <c r="AT615" s="317">
        <f>SUM(AT616:AT618)</f>
        <v>2188.0410526740529</v>
      </c>
      <c r="AU615" s="246"/>
      <c r="AV615" s="336"/>
      <c r="AW615" s="285"/>
      <c r="AX615" s="249"/>
      <c r="AY615" s="1068">
        <v>1940.5991550000001</v>
      </c>
      <c r="AZ615" s="357"/>
      <c r="BA615" s="357"/>
      <c r="BB615" s="357"/>
      <c r="BC615" s="357"/>
    </row>
    <row r="616" spans="1:55" s="24" customFormat="1">
      <c r="A616" s="179"/>
      <c r="B616" s="179"/>
      <c r="C616" s="179"/>
      <c r="D616" s="181"/>
      <c r="E616" s="181"/>
      <c r="F616" s="181"/>
      <c r="G616" s="1110"/>
      <c r="H616" s="127" t="s">
        <v>592</v>
      </c>
      <c r="I616" s="516"/>
      <c r="J616" s="802">
        <f>170.240645+10.403</f>
        <v>180.64364499999999</v>
      </c>
      <c r="K616" s="732"/>
      <c r="L616" s="991"/>
      <c r="M616" s="802">
        <f>149.980343+18.8</f>
        <v>168.78034300000002</v>
      </c>
      <c r="N616" s="732"/>
      <c r="O616" s="929"/>
      <c r="P616" s="802">
        <f>145.785789+31.371</f>
        <v>177.156789</v>
      </c>
      <c r="Q616" s="721"/>
      <c r="R616" s="722"/>
      <c r="S616" s="802">
        <f>119.932187+16.472</f>
        <v>136.40418700000001</v>
      </c>
      <c r="T616" s="732"/>
      <c r="U616" s="929"/>
      <c r="V616" s="721">
        <v>69.547552010407202</v>
      </c>
      <c r="W616" s="721"/>
      <c r="X616" s="722"/>
      <c r="Y616" s="831">
        <v>89.324867330312202</v>
      </c>
      <c r="Z616" s="721"/>
      <c r="AA616" s="722"/>
      <c r="AB616" s="721">
        <v>57.586347666666597</v>
      </c>
      <c r="AC616" s="721"/>
      <c r="AD616" s="722"/>
      <c r="AE616" s="721">
        <v>54.714390666666709</v>
      </c>
      <c r="AF616" s="721"/>
      <c r="AG616" s="722"/>
      <c r="AH616" s="1181">
        <f>45.644002+20</f>
        <v>65.644002</v>
      </c>
      <c r="AI616" s="721"/>
      <c r="AJ616" s="722"/>
      <c r="AK616" s="721">
        <v>107.99401499999999</v>
      </c>
      <c r="AL616" s="721"/>
      <c r="AM616" s="722"/>
      <c r="AN616" s="802">
        <f>122.792846333333+37.947</f>
        <v>160.73984633333299</v>
      </c>
      <c r="AO616" s="721"/>
      <c r="AP616" s="722"/>
      <c r="AQ616" s="802">
        <f>161.222991666667+19.42</f>
        <v>180.642991666667</v>
      </c>
      <c r="AR616" s="246"/>
      <c r="AS616" s="282"/>
      <c r="AT616" s="244">
        <f t="shared" si="21"/>
        <v>1449.1789766740528</v>
      </c>
      <c r="AU616" s="246"/>
      <c r="AV616" s="336"/>
      <c r="AW616" s="285"/>
      <c r="AX616" s="249"/>
      <c r="AY616" s="438"/>
      <c r="AZ616" s="357"/>
      <c r="BA616" s="357"/>
      <c r="BB616" s="357"/>
      <c r="BC616" s="357"/>
    </row>
    <row r="617" spans="1:55" s="24" customFormat="1">
      <c r="A617" s="179"/>
      <c r="B617" s="179"/>
      <c r="C617" s="179"/>
      <c r="D617" s="181"/>
      <c r="E617" s="181"/>
      <c r="F617" s="181"/>
      <c r="G617" s="1110"/>
      <c r="H617" s="127" t="s">
        <v>593</v>
      </c>
      <c r="I617" s="516"/>
      <c r="J617" s="802">
        <f>21.710013+16.085</f>
        <v>37.795012999999997</v>
      </c>
      <c r="K617" s="721"/>
      <c r="L617" s="722"/>
      <c r="M617" s="802">
        <f>29.438822+2.925</f>
        <v>32.363821999999999</v>
      </c>
      <c r="N617" s="721"/>
      <c r="O617" s="722"/>
      <c r="P617" s="832">
        <v>33.249389999999998</v>
      </c>
      <c r="Q617" s="732"/>
      <c r="R617" s="929"/>
      <c r="S617" s="832">
        <v>16.508616</v>
      </c>
      <c r="T617" s="732"/>
      <c r="U617" s="929"/>
      <c r="V617" s="802">
        <f>0+22.32</f>
        <v>22.32</v>
      </c>
      <c r="W617" s="721"/>
      <c r="X617" s="722"/>
      <c r="Y617" s="802">
        <f>4.942447+16.658</f>
        <v>21.600447000000003</v>
      </c>
      <c r="Z617" s="721"/>
      <c r="AA617" s="722"/>
      <c r="AB617" s="802">
        <f>19.097513+3.222</f>
        <v>22.319513000000001</v>
      </c>
      <c r="AC617" s="721"/>
      <c r="AD617" s="722"/>
      <c r="AE617" s="802">
        <f>18.91072+3.409</f>
        <v>22.31972</v>
      </c>
      <c r="AF617" s="721"/>
      <c r="AG617" s="722"/>
      <c r="AH617" s="802">
        <f>15.965166+5.635+10</f>
        <v>31.600166000000002</v>
      </c>
      <c r="AI617" s="721"/>
      <c r="AJ617" s="722"/>
      <c r="AK617" s="802">
        <f>15.563245+14.866</f>
        <v>30.429245000000002</v>
      </c>
      <c r="AL617" s="721"/>
      <c r="AM617" s="722"/>
      <c r="AN617" s="721">
        <v>33.350968000000002</v>
      </c>
      <c r="AO617" s="721"/>
      <c r="AP617" s="1117"/>
      <c r="AQ617" s="802">
        <f>36.770156+1.025</f>
        <v>37.795155999999999</v>
      </c>
      <c r="AR617" s="246"/>
      <c r="AS617" s="282"/>
      <c r="AT617" s="244">
        <f t="shared" si="21"/>
        <v>341.65205600000002</v>
      </c>
      <c r="AU617" s="246"/>
      <c r="AV617" s="336"/>
      <c r="AW617" s="285"/>
      <c r="AX617" s="249"/>
      <c r="AY617" s="438"/>
      <c r="AZ617" s="357"/>
      <c r="BA617" s="357"/>
      <c r="BB617" s="357"/>
      <c r="BC617" s="357"/>
    </row>
    <row r="618" spans="1:55" s="24" customFormat="1">
      <c r="A618" s="179"/>
      <c r="B618" s="179"/>
      <c r="C618" s="179"/>
      <c r="D618" s="181"/>
      <c r="E618" s="181"/>
      <c r="F618" s="181"/>
      <c r="G618" s="1110"/>
      <c r="H618" s="127" t="s">
        <v>594</v>
      </c>
      <c r="I618" s="516"/>
      <c r="J618" s="802">
        <f>36.996945+7.569</f>
        <v>44.565944999999999</v>
      </c>
      <c r="K618" s="721"/>
      <c r="L618" s="722"/>
      <c r="M618" s="802">
        <f>31.574809+10.046</f>
        <v>41.620808999999994</v>
      </c>
      <c r="N618" s="721"/>
      <c r="O618" s="722"/>
      <c r="P618" s="802">
        <f>16.665947+26.412</f>
        <v>43.077946999999995</v>
      </c>
      <c r="Q618" s="721"/>
      <c r="R618" s="722"/>
      <c r="S618" s="802">
        <f>15.318091+23.418</f>
        <v>38.736091000000002</v>
      </c>
      <c r="T618" s="721"/>
      <c r="U618" s="722"/>
      <c r="V618" s="721">
        <v>24.998747999999999</v>
      </c>
      <c r="W618" s="721"/>
      <c r="X618" s="722"/>
      <c r="Y618" s="802">
        <f>2.789662+14.922</f>
        <v>17.711662</v>
      </c>
      <c r="Z618" s="721"/>
      <c r="AA618" s="722"/>
      <c r="AB618" s="802">
        <f>14.807918+3.494</f>
        <v>18.301918000000001</v>
      </c>
      <c r="AC618" s="721"/>
      <c r="AD618" s="722"/>
      <c r="AE618" s="802">
        <f>5.443284+12.859</f>
        <v>18.302284</v>
      </c>
      <c r="AF618" s="721"/>
      <c r="AG618" s="722"/>
      <c r="AH618" s="802">
        <f>14.123032+3.661</f>
        <v>17.784032</v>
      </c>
      <c r="AI618" s="721"/>
      <c r="AJ618" s="722"/>
      <c r="AK618" s="802">
        <f>25.208392+19.283</f>
        <v>44.491392000000005</v>
      </c>
      <c r="AL618" s="721"/>
      <c r="AM618" s="722"/>
      <c r="AN618" s="802">
        <f>30.785509+12.342</f>
        <v>43.127509000000003</v>
      </c>
      <c r="AO618" s="721"/>
      <c r="AP618" s="722"/>
      <c r="AQ618" s="802">
        <f>33.941683+10.55</f>
        <v>44.491682999999995</v>
      </c>
      <c r="AR618" s="246"/>
      <c r="AS618" s="282"/>
      <c r="AT618" s="244">
        <f t="shared" si="21"/>
        <v>397.21001999999999</v>
      </c>
      <c r="AU618" s="246"/>
      <c r="AV618" s="336"/>
      <c r="AW618" s="285"/>
      <c r="AX618" s="249"/>
      <c r="AY618" s="438"/>
      <c r="AZ618" s="357"/>
      <c r="BA618" s="357"/>
      <c r="BB618" s="357"/>
      <c r="BC618" s="357"/>
    </row>
    <row r="619" spans="1:55" s="24" customFormat="1">
      <c r="A619" s="179"/>
      <c r="B619" s="179"/>
      <c r="C619" s="179"/>
      <c r="D619" s="181">
        <v>339114</v>
      </c>
      <c r="E619" s="181"/>
      <c r="F619" s="181"/>
      <c r="G619" s="1110">
        <v>339114</v>
      </c>
      <c r="H619" s="127" t="s">
        <v>595</v>
      </c>
      <c r="I619" s="516" t="s">
        <v>364</v>
      </c>
      <c r="J619" s="724">
        <v>116.384</v>
      </c>
      <c r="K619" s="724"/>
      <c r="L619" s="725"/>
      <c r="M619" s="724">
        <v>106.76600000000001</v>
      </c>
      <c r="N619" s="724"/>
      <c r="O619" s="725"/>
      <c r="P619" s="721">
        <v>114.20399999999999</v>
      </c>
      <c r="Q619" s="724"/>
      <c r="R619" s="725"/>
      <c r="S619" s="721">
        <v>90.936000000000007</v>
      </c>
      <c r="T619" s="732"/>
      <c r="U619" s="929"/>
      <c r="V619" s="724">
        <v>79.281999999999996</v>
      </c>
      <c r="W619" s="724"/>
      <c r="X619" s="725"/>
      <c r="Y619" s="721">
        <v>79.028000000000006</v>
      </c>
      <c r="Z619" s="724"/>
      <c r="AA619" s="725"/>
      <c r="AB619" s="831">
        <v>74.400000000000006</v>
      </c>
      <c r="AC619" s="724"/>
      <c r="AD619" s="725"/>
      <c r="AE619" s="831">
        <v>75</v>
      </c>
      <c r="AF619" s="724"/>
      <c r="AG619" s="725"/>
      <c r="AH619" s="724">
        <v>81.453999999999994</v>
      </c>
      <c r="AI619" s="724"/>
      <c r="AJ619" s="725"/>
      <c r="AK619" s="724">
        <v>97.885999999999996</v>
      </c>
      <c r="AL619" s="724"/>
      <c r="AM619" s="725"/>
      <c r="AN619" s="724">
        <v>106</v>
      </c>
      <c r="AO619" s="724"/>
      <c r="AP619" s="725"/>
      <c r="AQ619" s="724">
        <v>115.02200000000001</v>
      </c>
      <c r="AR619" s="246"/>
      <c r="AS619" s="282"/>
      <c r="AT619" s="244">
        <f t="shared" si="21"/>
        <v>1136.3619999999999</v>
      </c>
      <c r="AU619" s="246"/>
      <c r="AV619" s="336"/>
      <c r="AW619" s="285"/>
      <c r="AX619" s="249"/>
      <c r="AY619" s="438">
        <v>1066.913233</v>
      </c>
      <c r="AZ619" s="357"/>
      <c r="BA619" s="357"/>
      <c r="BB619" s="357"/>
      <c r="BC619" s="357"/>
    </row>
    <row r="620" spans="1:55" s="24" customFormat="1">
      <c r="A620" s="179"/>
      <c r="B620" s="179"/>
      <c r="C620" s="179"/>
      <c r="D620" s="181">
        <v>339184</v>
      </c>
      <c r="E620" s="181"/>
      <c r="F620" s="181"/>
      <c r="G620" s="1110">
        <v>339184</v>
      </c>
      <c r="H620" s="127" t="s">
        <v>596</v>
      </c>
      <c r="I620" s="519" t="s">
        <v>365</v>
      </c>
      <c r="J620" s="721">
        <v>2.9758636666666698</v>
      </c>
      <c r="K620" s="721"/>
      <c r="L620" s="722"/>
      <c r="M620" s="802">
        <f>2.71935833333333+0.06</f>
        <v>2.77935833333333</v>
      </c>
      <c r="N620" s="721"/>
      <c r="O620" s="722"/>
      <c r="P620" s="721">
        <v>2.9685713333333301</v>
      </c>
      <c r="Q620" s="721"/>
      <c r="R620" s="722"/>
      <c r="S620" s="579">
        <f>2.14354933333333-0.11</f>
        <v>2.0335493333333301</v>
      </c>
      <c r="T620" s="721"/>
      <c r="U620" s="722"/>
      <c r="V620" s="579">
        <f>0.422366333333333-0.05</f>
        <v>0.37236633333333302</v>
      </c>
      <c r="W620" s="721"/>
      <c r="X620" s="722"/>
      <c r="Y620" s="802">
        <f>0.228853+0.08</f>
        <v>0.30885299999999999</v>
      </c>
      <c r="Z620" s="732"/>
      <c r="AA620" s="929"/>
      <c r="AB620" s="802">
        <f>0.306517+0.07</f>
        <v>0.37651699999999999</v>
      </c>
      <c r="AC620" s="732"/>
      <c r="AD620" s="929"/>
      <c r="AE620" s="802">
        <f>0.301160333333333+0.07</f>
        <v>0.37116033333333298</v>
      </c>
      <c r="AF620" s="732"/>
      <c r="AG620" s="929"/>
      <c r="AH620" s="579">
        <f>0.404304666666667-0.07</f>
        <v>0.33430466666666697</v>
      </c>
      <c r="AI620" s="721"/>
      <c r="AJ620" s="722"/>
      <c r="AK620" s="579">
        <f>2.21552733333333-0.5</f>
        <v>1.7155273333333301</v>
      </c>
      <c r="AL620" s="721"/>
      <c r="AM620" s="722"/>
      <c r="AN620" s="802">
        <f>2.82591066666667+0.05</f>
        <v>2.8759106666666696</v>
      </c>
      <c r="AO620" s="732"/>
      <c r="AP620" s="929"/>
      <c r="AQ620" s="721">
        <v>2.9783466666666669</v>
      </c>
      <c r="AR620" s="246"/>
      <c r="AS620" s="282"/>
      <c r="AT620" s="244">
        <f t="shared" si="21"/>
        <v>20.090328666666657</v>
      </c>
      <c r="AU620" s="246"/>
      <c r="AV620" s="336"/>
      <c r="AW620" s="285"/>
      <c r="AX620" s="249"/>
      <c r="AY620" s="438">
        <v>20.282088000000002</v>
      </c>
      <c r="AZ620" s="357"/>
      <c r="BA620" s="357"/>
      <c r="BB620" s="357"/>
      <c r="BC620" s="357"/>
    </row>
    <row r="621" spans="1:55" s="24" customFormat="1">
      <c r="A621" s="179"/>
      <c r="B621" s="179"/>
      <c r="C621" s="179"/>
      <c r="D621" s="181">
        <v>339101</v>
      </c>
      <c r="E621" s="181"/>
      <c r="F621" s="181"/>
      <c r="G621" s="1110">
        <v>339101</v>
      </c>
      <c r="H621" s="127" t="s">
        <v>613</v>
      </c>
      <c r="I621" s="516" t="s">
        <v>364</v>
      </c>
      <c r="J621" s="724">
        <v>482</v>
      </c>
      <c r="K621" s="724"/>
      <c r="L621" s="725"/>
      <c r="M621" s="1188">
        <f>454+25</f>
        <v>479</v>
      </c>
      <c r="N621" s="724"/>
      <c r="O621" s="725"/>
      <c r="P621" s="1188">
        <f>482+30</f>
        <v>512</v>
      </c>
      <c r="Q621" s="724"/>
      <c r="R621" s="725"/>
      <c r="S621" s="1188">
        <f>519.5+50</f>
        <v>569.5</v>
      </c>
      <c r="T621" s="724"/>
      <c r="U621" s="725"/>
      <c r="V621" s="1188">
        <f>454+60</f>
        <v>514</v>
      </c>
      <c r="W621" s="724"/>
      <c r="X621" s="725"/>
      <c r="Y621" s="1181">
        <f>463.3+100</f>
        <v>563.29999999999995</v>
      </c>
      <c r="Z621" s="724"/>
      <c r="AA621" s="725"/>
      <c r="AB621" s="1181">
        <f>532.8+60</f>
        <v>592.79999999999995</v>
      </c>
      <c r="AC621" s="724"/>
      <c r="AD621" s="725"/>
      <c r="AE621" s="1181">
        <f>508.8+100</f>
        <v>608.79999999999995</v>
      </c>
      <c r="AF621" s="724"/>
      <c r="AG621" s="725"/>
      <c r="AH621" s="1188">
        <f>480+100</f>
        <v>580</v>
      </c>
      <c r="AI621" s="724"/>
      <c r="AJ621" s="725"/>
      <c r="AK621" s="1188">
        <f>482+100</f>
        <v>582</v>
      </c>
      <c r="AL621" s="724"/>
      <c r="AM621" s="725"/>
      <c r="AN621" s="1205">
        <f>468+100</f>
        <v>568</v>
      </c>
      <c r="AO621" s="724"/>
      <c r="AP621" s="725"/>
      <c r="AQ621" s="1188">
        <f>482+100</f>
        <v>582</v>
      </c>
      <c r="AR621" s="246"/>
      <c r="AS621" s="282"/>
      <c r="AT621" s="244">
        <f t="shared" si="21"/>
        <v>6633.4000000000005</v>
      </c>
      <c r="AU621" s="246"/>
      <c r="AV621" s="336"/>
      <c r="AW621" s="285"/>
      <c r="AX621" s="249"/>
      <c r="AY621" s="438">
        <v>6139.1386560000001</v>
      </c>
      <c r="AZ621" s="357"/>
      <c r="BA621" s="357"/>
      <c r="BB621" s="357"/>
      <c r="BC621" s="357"/>
    </row>
    <row r="622" spans="1:55" s="24" customFormat="1">
      <c r="A622" s="179"/>
      <c r="B622" s="179"/>
      <c r="C622" s="179"/>
      <c r="D622" s="181">
        <v>339130</v>
      </c>
      <c r="E622" s="181"/>
      <c r="F622" s="181"/>
      <c r="G622" s="1110">
        <v>339130</v>
      </c>
      <c r="H622" s="122" t="s">
        <v>614</v>
      </c>
      <c r="I622" s="516" t="s">
        <v>364</v>
      </c>
      <c r="J622" s="638">
        <f>ГЭС!C43</f>
        <v>6.39324951171875</v>
      </c>
      <c r="K622" s="246"/>
      <c r="L622" s="282"/>
      <c r="M622" s="638">
        <f>ГЭС!D43</f>
        <v>7.5819425582885742</v>
      </c>
      <c r="N622" s="246"/>
      <c r="O622" s="282"/>
      <c r="P622" s="638">
        <f>ГЭС!E43</f>
        <v>10.489291191101074</v>
      </c>
      <c r="Q622" s="246"/>
      <c r="R622" s="282"/>
      <c r="S622" s="638">
        <f>ГЭС!G43</f>
        <v>7.1218571662902832</v>
      </c>
      <c r="T622" s="246"/>
      <c r="U622" s="282"/>
      <c r="V622" s="638">
        <f>ГЭС!H43</f>
        <v>7.7685117721557617</v>
      </c>
      <c r="W622" s="246"/>
      <c r="X622" s="282"/>
      <c r="Y622" s="638">
        <f>ГЭС!I43</f>
        <v>5.3296594619750977</v>
      </c>
      <c r="Z622" s="246"/>
      <c r="AA622" s="282"/>
      <c r="AB622" s="638">
        <f>ГЭС!K43</f>
        <v>5.3314013481140137</v>
      </c>
      <c r="AC622" s="246"/>
      <c r="AD622" s="282"/>
      <c r="AE622" s="638">
        <f>ГЭС!L43</f>
        <v>5.1044940948486328</v>
      </c>
      <c r="AF622" s="246"/>
      <c r="AG622" s="282"/>
      <c r="AH622" s="638">
        <f>ГЭС!M43</f>
        <v>4.549189567565918</v>
      </c>
      <c r="AI622" s="246"/>
      <c r="AJ622" s="282"/>
      <c r="AK622" s="638">
        <f>ГЭС!O43</f>
        <v>4.509589672088623</v>
      </c>
      <c r="AL622" s="246"/>
      <c r="AM622" s="282"/>
      <c r="AN622" s="638">
        <f>ГЭС!P43</f>
        <v>4.5099091529846191</v>
      </c>
      <c r="AO622" s="246"/>
      <c r="AP622" s="282"/>
      <c r="AQ622" s="638">
        <f>ГЭС!Q43</f>
        <v>5.3154277801513672</v>
      </c>
      <c r="AR622" s="246"/>
      <c r="AS622" s="282"/>
      <c r="AT622" s="638">
        <f t="shared" si="21"/>
        <v>74.004523277282715</v>
      </c>
      <c r="AU622" s="246"/>
      <c r="AV622" s="336"/>
      <c r="AW622" s="285"/>
      <c r="AX622" s="249"/>
      <c r="AY622" s="441">
        <v>51.816788000000003</v>
      </c>
      <c r="AZ622" s="357"/>
      <c r="BA622" s="357"/>
      <c r="BB622" s="357"/>
      <c r="BC622" s="357"/>
    </row>
    <row r="623" spans="1:55" s="24" customFormat="1">
      <c r="A623" s="179"/>
      <c r="B623" s="179"/>
      <c r="C623" s="179"/>
      <c r="D623" s="181">
        <v>777129</v>
      </c>
      <c r="E623" s="181"/>
      <c r="F623" s="181"/>
      <c r="G623" s="1110">
        <v>777129</v>
      </c>
      <c r="H623" s="122" t="s">
        <v>1343</v>
      </c>
      <c r="I623" s="516" t="s">
        <v>364</v>
      </c>
      <c r="J623" s="629">
        <v>1.2216419999999999</v>
      </c>
      <c r="K623" s="726"/>
      <c r="L623" s="727"/>
      <c r="M623" s="720">
        <v>1.7589170000000001</v>
      </c>
      <c r="N623" s="726"/>
      <c r="O623" s="727"/>
      <c r="P623" s="720">
        <v>3.1548919999999998</v>
      </c>
      <c r="Q623" s="726"/>
      <c r="R623" s="727"/>
      <c r="S623" s="720">
        <v>3.6940529999999998</v>
      </c>
      <c r="T623" s="726"/>
      <c r="U623" s="727"/>
      <c r="V623" s="720">
        <v>4.2978550000000002</v>
      </c>
      <c r="W623" s="726"/>
      <c r="X623" s="727"/>
      <c r="Y623" s="720">
        <v>4.2646170000000003</v>
      </c>
      <c r="Z623" s="726"/>
      <c r="AA623" s="727"/>
      <c r="AB623" s="720">
        <v>4.2208259999999997</v>
      </c>
      <c r="AC623" s="726"/>
      <c r="AD623" s="727"/>
      <c r="AE623" s="720">
        <v>4.1641760000000003</v>
      </c>
      <c r="AF623" s="726"/>
      <c r="AG623" s="727"/>
      <c r="AH623" s="720">
        <v>2.6094819999999999</v>
      </c>
      <c r="AI623" s="726"/>
      <c r="AJ623" s="727"/>
      <c r="AK623" s="720">
        <v>1.9569190000000001</v>
      </c>
      <c r="AL623" s="726"/>
      <c r="AM623" s="727"/>
      <c r="AN623" s="720">
        <v>1.0859939999999999</v>
      </c>
      <c r="AO623" s="726"/>
      <c r="AP623" s="727"/>
      <c r="AQ623" s="720">
        <v>0.58596300000000001</v>
      </c>
      <c r="AR623" s="246"/>
      <c r="AS623" s="282"/>
      <c r="AT623" s="244">
        <f t="shared" si="21"/>
        <v>33.015335999999998</v>
      </c>
      <c r="AU623" s="246"/>
      <c r="AV623" s="336"/>
      <c r="AW623" s="285"/>
      <c r="AX623" s="249"/>
      <c r="AY623" s="441">
        <v>34.525024999999999</v>
      </c>
      <c r="AZ623" s="357"/>
      <c r="BA623" s="357"/>
      <c r="BB623" s="357"/>
      <c r="BC623" s="357"/>
    </row>
    <row r="624" spans="1:55" s="24" customFormat="1">
      <c r="A624" s="179"/>
      <c r="B624" s="179"/>
      <c r="C624" s="179"/>
      <c r="D624" s="181">
        <v>777201</v>
      </c>
      <c r="E624" s="181"/>
      <c r="F624" s="181"/>
      <c r="G624" s="1110">
        <v>777338</v>
      </c>
      <c r="H624" s="122" t="s">
        <v>1245</v>
      </c>
      <c r="I624" s="992" t="s">
        <v>364</v>
      </c>
      <c r="J624" s="629">
        <v>0.32482100000000003</v>
      </c>
      <c r="K624" s="724"/>
      <c r="L624" s="725"/>
      <c r="M624" s="720">
        <v>0.37618099999999999</v>
      </c>
      <c r="N624" s="724"/>
      <c r="O624" s="725"/>
      <c r="P624" s="720">
        <v>0.67203199999999996</v>
      </c>
      <c r="Q624" s="724"/>
      <c r="R624" s="725"/>
      <c r="S624" s="720">
        <v>0.71216199999999996</v>
      </c>
      <c r="T624" s="724"/>
      <c r="U624" s="725"/>
      <c r="V624" s="720">
        <v>0.88869299999999996</v>
      </c>
      <c r="W624" s="724"/>
      <c r="X624" s="725"/>
      <c r="Y624" s="720">
        <v>0.75104400000000004</v>
      </c>
      <c r="Z624" s="724"/>
      <c r="AA624" s="725"/>
      <c r="AB624" s="720">
        <v>0.84010700000000005</v>
      </c>
      <c r="AC624" s="724"/>
      <c r="AD624" s="725"/>
      <c r="AE624" s="720">
        <v>0.78902700000000003</v>
      </c>
      <c r="AF624" s="724"/>
      <c r="AG624" s="725"/>
      <c r="AH624" s="720">
        <v>0.50291200000000003</v>
      </c>
      <c r="AI624" s="724"/>
      <c r="AJ624" s="725"/>
      <c r="AK624" s="720">
        <v>0.42966100000000002</v>
      </c>
      <c r="AL624" s="724"/>
      <c r="AM624" s="725"/>
      <c r="AN624" s="720">
        <v>0.217975</v>
      </c>
      <c r="AO624" s="724"/>
      <c r="AP624" s="725"/>
      <c r="AQ624" s="720">
        <v>0.15682499999999999</v>
      </c>
      <c r="AR624" s="397"/>
      <c r="AS624" s="412"/>
      <c r="AT624" s="244">
        <f t="shared" si="21"/>
        <v>6.6614400000000007</v>
      </c>
      <c r="AU624" s="397"/>
      <c r="AV624" s="729"/>
      <c r="AW624" s="433"/>
      <c r="AX624" s="441"/>
      <c r="AY624" s="441">
        <v>6.4941269999999998</v>
      </c>
      <c r="AZ624" s="357"/>
      <c r="BA624" s="357"/>
      <c r="BB624" s="357"/>
      <c r="BC624" s="357"/>
    </row>
    <row r="625" spans="1:55" s="24" customFormat="1">
      <c r="A625" s="179"/>
      <c r="B625" s="179"/>
      <c r="C625" s="179"/>
      <c r="D625" s="181"/>
      <c r="E625" s="181"/>
      <c r="F625" s="181"/>
      <c r="G625" s="1110">
        <v>777383</v>
      </c>
      <c r="H625" s="122" t="s">
        <v>1672</v>
      </c>
      <c r="I625" s="516" t="s">
        <v>364</v>
      </c>
      <c r="J625" s="629">
        <v>2.2200000000000002</v>
      </c>
      <c r="K625" s="724"/>
      <c r="L625" s="725"/>
      <c r="M625" s="720">
        <v>3.44</v>
      </c>
      <c r="N625" s="724"/>
      <c r="O625" s="725"/>
      <c r="P625" s="720">
        <v>5.569</v>
      </c>
      <c r="Q625" s="724"/>
      <c r="R625" s="725"/>
      <c r="S625" s="720">
        <v>6.0449999999999999</v>
      </c>
      <c r="T625" s="724"/>
      <c r="U625" s="725"/>
      <c r="V625" s="720">
        <v>7.1589999999999998</v>
      </c>
      <c r="W625" s="724"/>
      <c r="X625" s="725"/>
      <c r="Y625" s="720">
        <v>6.7859999999999996</v>
      </c>
      <c r="Z625" s="724"/>
      <c r="AA625" s="725"/>
      <c r="AB625" s="720">
        <v>6.9930000000000003</v>
      </c>
      <c r="AC625" s="724"/>
      <c r="AD625" s="725"/>
      <c r="AE625" s="720">
        <v>6.3940000000000001</v>
      </c>
      <c r="AF625" s="724"/>
      <c r="AG625" s="725"/>
      <c r="AH625" s="720">
        <v>5.32</v>
      </c>
      <c r="AI625" s="724"/>
      <c r="AJ625" s="725"/>
      <c r="AK625" s="720">
        <v>3.7909999999999999</v>
      </c>
      <c r="AL625" s="724"/>
      <c r="AM625" s="725"/>
      <c r="AN625" s="720">
        <v>2.4380000000000002</v>
      </c>
      <c r="AO625" s="724"/>
      <c r="AP625" s="725"/>
      <c r="AQ625" s="720">
        <v>1.849</v>
      </c>
      <c r="AR625" s="397"/>
      <c r="AS625" s="412"/>
      <c r="AT625" s="244">
        <f t="shared" si="21"/>
        <v>58.003999999999998</v>
      </c>
      <c r="AU625" s="397"/>
      <c r="AV625" s="729"/>
      <c r="AW625" s="433"/>
      <c r="AX625" s="441"/>
      <c r="AY625" s="441">
        <v>13.561037000000001</v>
      </c>
      <c r="AZ625" s="357"/>
      <c r="BA625" s="357"/>
      <c r="BB625" s="357"/>
      <c r="BC625" s="357"/>
    </row>
    <row r="626" spans="1:55" s="24" customFormat="1">
      <c r="A626" s="179"/>
      <c r="B626" s="179"/>
      <c r="C626" s="179"/>
      <c r="D626" s="181"/>
      <c r="E626" s="181"/>
      <c r="F626" s="181"/>
      <c r="G626" s="1110">
        <v>777384</v>
      </c>
      <c r="H626" s="122" t="s">
        <v>1673</v>
      </c>
      <c r="I626" s="516" t="s">
        <v>364</v>
      </c>
      <c r="J626" s="629">
        <v>2.6840000000000002</v>
      </c>
      <c r="K626" s="724"/>
      <c r="L626" s="725"/>
      <c r="M626" s="720">
        <v>4.3010000000000002</v>
      </c>
      <c r="N626" s="724"/>
      <c r="O626" s="725"/>
      <c r="P626" s="720">
        <v>7.22</v>
      </c>
      <c r="Q626" s="724"/>
      <c r="R626" s="725"/>
      <c r="S626" s="720">
        <v>7.9960000000000004</v>
      </c>
      <c r="T626" s="724"/>
      <c r="U626" s="725"/>
      <c r="V626" s="720">
        <v>9.1509999999999998</v>
      </c>
      <c r="W626" s="724"/>
      <c r="X626" s="725"/>
      <c r="Y626" s="720">
        <v>8.7029999999999994</v>
      </c>
      <c r="Z626" s="724"/>
      <c r="AA626" s="725"/>
      <c r="AB626" s="720">
        <v>9.0050000000000008</v>
      </c>
      <c r="AC626" s="724"/>
      <c r="AD626" s="725"/>
      <c r="AE626" s="720">
        <v>8.3170000000000002</v>
      </c>
      <c r="AF626" s="724"/>
      <c r="AG626" s="725"/>
      <c r="AH626" s="720">
        <v>6.5810000000000004</v>
      </c>
      <c r="AI626" s="724"/>
      <c r="AJ626" s="725"/>
      <c r="AK626" s="720">
        <v>4.5670000000000002</v>
      </c>
      <c r="AL626" s="724"/>
      <c r="AM626" s="725"/>
      <c r="AN626" s="720">
        <v>2.996</v>
      </c>
      <c r="AO626" s="724"/>
      <c r="AP626" s="725"/>
      <c r="AQ626" s="720">
        <v>2.2719999999999998</v>
      </c>
      <c r="AR626" s="397"/>
      <c r="AS626" s="412"/>
      <c r="AT626" s="244">
        <f t="shared" si="21"/>
        <v>73.793000000000006</v>
      </c>
      <c r="AU626" s="397"/>
      <c r="AV626" s="729"/>
      <c r="AW626" s="433"/>
      <c r="AX626" s="441"/>
      <c r="AY626" s="441">
        <v>29.113800999999999</v>
      </c>
      <c r="AZ626" s="357"/>
      <c r="BA626" s="357"/>
      <c r="BB626" s="357"/>
      <c r="BC626" s="357"/>
    </row>
    <row r="627" spans="1:55" s="24" customFormat="1">
      <c r="A627" s="179"/>
      <c r="B627" s="179"/>
      <c r="C627" s="179"/>
      <c r="D627" s="181"/>
      <c r="E627" s="181"/>
      <c r="F627" s="181"/>
      <c r="G627" s="1211">
        <v>777993</v>
      </c>
      <c r="H627" s="122" t="s">
        <v>1674</v>
      </c>
      <c r="I627" s="516" t="s">
        <v>364</v>
      </c>
      <c r="J627" s="629">
        <v>0</v>
      </c>
      <c r="K627" s="724"/>
      <c r="L627" s="725"/>
      <c r="M627" s="720">
        <v>0</v>
      </c>
      <c r="N627" s="724"/>
      <c r="O627" s="725"/>
      <c r="P627" s="720">
        <v>0</v>
      </c>
      <c r="Q627" s="724"/>
      <c r="R627" s="725"/>
      <c r="S627" s="720">
        <v>0</v>
      </c>
      <c r="T627" s="724"/>
      <c r="U627" s="725"/>
      <c r="V627" s="720">
        <v>0</v>
      </c>
      <c r="W627" s="724"/>
      <c r="X627" s="725"/>
      <c r="Y627" s="720">
        <v>0</v>
      </c>
      <c r="Z627" s="724"/>
      <c r="AA627" s="725"/>
      <c r="AB627" s="720">
        <v>2.427</v>
      </c>
      <c r="AC627" s="724"/>
      <c r="AD627" s="725"/>
      <c r="AE627" s="720">
        <v>2.2360000000000002</v>
      </c>
      <c r="AF627" s="724"/>
      <c r="AG627" s="725"/>
      <c r="AH627" s="720">
        <v>1.772</v>
      </c>
      <c r="AI627" s="724"/>
      <c r="AJ627" s="725"/>
      <c r="AK627" s="720">
        <v>1.2709999999999999</v>
      </c>
      <c r="AL627" s="724"/>
      <c r="AM627" s="725"/>
      <c r="AN627" s="720">
        <v>0.82899999999999996</v>
      </c>
      <c r="AO627" s="724"/>
      <c r="AP627" s="725"/>
      <c r="AQ627" s="720">
        <v>0.64800000000000002</v>
      </c>
      <c r="AR627" s="397"/>
      <c r="AS627" s="412"/>
      <c r="AT627" s="244">
        <f t="shared" si="21"/>
        <v>9.1829999999999998</v>
      </c>
      <c r="AU627" s="397"/>
      <c r="AV627" s="729"/>
      <c r="AW627" s="433"/>
      <c r="AX627" s="441"/>
      <c r="AY627" s="441">
        <v>13.001808</v>
      </c>
      <c r="AZ627" s="357"/>
      <c r="BA627" s="357"/>
      <c r="BB627" s="357"/>
      <c r="BC627" s="357"/>
    </row>
    <row r="628" spans="1:55" s="24" customFormat="1">
      <c r="A628" s="179"/>
      <c r="B628" s="179"/>
      <c r="C628" s="179"/>
      <c r="D628" s="181"/>
      <c r="E628" s="181"/>
      <c r="F628" s="181"/>
      <c r="G628" s="1110">
        <v>777280</v>
      </c>
      <c r="H628" s="122" t="s">
        <v>1344</v>
      </c>
      <c r="I628" s="516" t="s">
        <v>364</v>
      </c>
      <c r="J628" s="629">
        <v>0.619977</v>
      </c>
      <c r="K628" s="724"/>
      <c r="L628" s="725"/>
      <c r="M628" s="720">
        <v>0.73012200000000005</v>
      </c>
      <c r="N628" s="724"/>
      <c r="O628" s="725"/>
      <c r="P628" s="720">
        <v>1.2554069999999999</v>
      </c>
      <c r="Q628" s="724"/>
      <c r="R628" s="725"/>
      <c r="S628" s="720">
        <v>1.365326</v>
      </c>
      <c r="T628" s="724"/>
      <c r="U628" s="725"/>
      <c r="V628" s="720">
        <v>1.7371810000000001</v>
      </c>
      <c r="W628" s="724"/>
      <c r="X628" s="725"/>
      <c r="Y628" s="720">
        <v>1.502178</v>
      </c>
      <c r="Z628" s="724"/>
      <c r="AA628" s="725"/>
      <c r="AB628" s="720">
        <v>1.6374409999999999</v>
      </c>
      <c r="AC628" s="724"/>
      <c r="AD628" s="725"/>
      <c r="AE628" s="720">
        <v>1.5281309999999999</v>
      </c>
      <c r="AF628" s="724"/>
      <c r="AG628" s="725"/>
      <c r="AH628" s="720">
        <v>0.99200600000000005</v>
      </c>
      <c r="AI628" s="724"/>
      <c r="AJ628" s="725"/>
      <c r="AK628" s="720">
        <v>0.83042800000000006</v>
      </c>
      <c r="AL628" s="724"/>
      <c r="AM628" s="725"/>
      <c r="AN628" s="720">
        <v>0.42204199999999997</v>
      </c>
      <c r="AO628" s="724"/>
      <c r="AP628" s="725"/>
      <c r="AQ628" s="720">
        <v>0.30506100000000003</v>
      </c>
      <c r="AR628" s="397"/>
      <c r="AS628" s="412"/>
      <c r="AT628" s="244">
        <f t="shared" si="21"/>
        <v>12.9253</v>
      </c>
      <c r="AU628" s="397"/>
      <c r="AV628" s="729"/>
      <c r="AW628" s="433"/>
      <c r="AX628" s="441"/>
      <c r="AY628" s="441">
        <v>12.972648</v>
      </c>
      <c r="AZ628" s="357"/>
      <c r="BA628" s="357"/>
      <c r="BB628" s="357"/>
      <c r="BC628" s="357"/>
    </row>
    <row r="629" spans="1:55" s="24" customFormat="1">
      <c r="A629" s="179"/>
      <c r="B629" s="179"/>
      <c r="C629" s="179"/>
      <c r="D629" s="181"/>
      <c r="E629" s="181"/>
      <c r="F629" s="181"/>
      <c r="G629" s="1211">
        <v>777803</v>
      </c>
      <c r="H629" s="919" t="s">
        <v>1675</v>
      </c>
      <c r="I629" s="516" t="s">
        <v>364</v>
      </c>
      <c r="J629" s="629">
        <v>0</v>
      </c>
      <c r="K629" s="724"/>
      <c r="L629" s="725"/>
      <c r="M629" s="720">
        <v>0</v>
      </c>
      <c r="N629" s="724"/>
      <c r="O629" s="725"/>
      <c r="P629" s="720">
        <v>0</v>
      </c>
      <c r="Q629" s="724"/>
      <c r="R629" s="725"/>
      <c r="S629" s="720">
        <v>0</v>
      </c>
      <c r="T629" s="724"/>
      <c r="U629" s="725"/>
      <c r="V629" s="720">
        <v>0</v>
      </c>
      <c r="W629" s="724"/>
      <c r="X629" s="725"/>
      <c r="Y629" s="720">
        <v>0</v>
      </c>
      <c r="Z629" s="724"/>
      <c r="AA629" s="725"/>
      <c r="AB629" s="720">
        <v>4.6180000000000003</v>
      </c>
      <c r="AC629" s="724"/>
      <c r="AD629" s="725"/>
      <c r="AE629" s="720">
        <v>4.2649999999999997</v>
      </c>
      <c r="AF629" s="724"/>
      <c r="AG629" s="725"/>
      <c r="AH629" s="720">
        <v>3.375</v>
      </c>
      <c r="AI629" s="724"/>
      <c r="AJ629" s="725"/>
      <c r="AK629" s="720">
        <v>2.3420000000000001</v>
      </c>
      <c r="AL629" s="724"/>
      <c r="AM629" s="725"/>
      <c r="AN629" s="720">
        <v>1.5365</v>
      </c>
      <c r="AO629" s="724"/>
      <c r="AP629" s="725"/>
      <c r="AQ629" s="720">
        <v>0.96499999999999997</v>
      </c>
      <c r="AR629" s="397"/>
      <c r="AS629" s="412"/>
      <c r="AT629" s="244">
        <f t="shared" si="21"/>
        <v>17.101499999999998</v>
      </c>
      <c r="AU629" s="397"/>
      <c r="AV629" s="729"/>
      <c r="AW629" s="433"/>
      <c r="AX629" s="441"/>
      <c r="AY629" s="441">
        <v>6.686248</v>
      </c>
      <c r="AZ629" s="357"/>
      <c r="BA629" s="357"/>
      <c r="BB629" s="357"/>
      <c r="BC629" s="357"/>
    </row>
    <row r="630" spans="1:55" s="24" customFormat="1">
      <c r="A630" s="179"/>
      <c r="B630" s="179"/>
      <c r="C630" s="179"/>
      <c r="D630" s="181"/>
      <c r="E630" s="181"/>
      <c r="F630" s="181"/>
      <c r="G630" s="1110">
        <v>777201</v>
      </c>
      <c r="H630" s="728" t="s">
        <v>860</v>
      </c>
      <c r="I630" s="516" t="s">
        <v>364</v>
      </c>
      <c r="J630" s="629">
        <v>7.2940749999999999E-2</v>
      </c>
      <c r="K630" s="724"/>
      <c r="L630" s="725"/>
      <c r="M630" s="720">
        <v>0.26447199999999998</v>
      </c>
      <c r="N630" s="724"/>
      <c r="O630" s="725"/>
      <c r="P630" s="720">
        <v>0.60164166666666663</v>
      </c>
      <c r="Q630" s="724"/>
      <c r="R630" s="725"/>
      <c r="S630" s="720">
        <v>0.70707333333333333</v>
      </c>
      <c r="T630" s="724"/>
      <c r="U630" s="725"/>
      <c r="V630" s="720">
        <v>0.79049366666666665</v>
      </c>
      <c r="W630" s="724"/>
      <c r="X630" s="725"/>
      <c r="Y630" s="720">
        <v>0.79489066666666663</v>
      </c>
      <c r="Z630" s="724"/>
      <c r="AA630" s="725"/>
      <c r="AB630" s="720">
        <v>0.81306366666666663</v>
      </c>
      <c r="AC630" s="724"/>
      <c r="AD630" s="725"/>
      <c r="AE630" s="720">
        <v>0.81116699999999997</v>
      </c>
      <c r="AF630" s="724"/>
      <c r="AG630" s="725"/>
      <c r="AH630" s="720">
        <v>0.53796266666666659</v>
      </c>
      <c r="AI630" s="724"/>
      <c r="AJ630" s="725"/>
      <c r="AK630" s="720">
        <v>0</v>
      </c>
      <c r="AL630" s="724"/>
      <c r="AM630" s="725"/>
      <c r="AN630" s="720">
        <v>0.13216625000000001</v>
      </c>
      <c r="AO630" s="724"/>
      <c r="AP630" s="725"/>
      <c r="AQ630" s="720">
        <v>4.378775E-2</v>
      </c>
      <c r="AR630" s="397"/>
      <c r="AS630" s="412"/>
      <c r="AT630" s="244">
        <f t="shared" si="21"/>
        <v>5.5696594166666662</v>
      </c>
      <c r="AU630" s="397"/>
      <c r="AV630" s="729"/>
      <c r="AW630" s="433"/>
      <c r="AX630" s="441"/>
      <c r="AY630" s="441">
        <v>0</v>
      </c>
      <c r="AZ630" s="357"/>
      <c r="BA630" s="357"/>
      <c r="BB630" s="357"/>
      <c r="BC630" s="357"/>
    </row>
    <row r="631" spans="1:55" s="24" customFormat="1">
      <c r="A631" s="179"/>
      <c r="B631" s="179"/>
      <c r="C631" s="179"/>
      <c r="D631" s="181"/>
      <c r="E631" s="181"/>
      <c r="F631" s="181"/>
      <c r="G631" s="1211">
        <v>777699</v>
      </c>
      <c r="H631" s="728" t="s">
        <v>1345</v>
      </c>
      <c r="I631" s="516" t="s">
        <v>364</v>
      </c>
      <c r="J631" s="629">
        <v>0.422101</v>
      </c>
      <c r="K631" s="724"/>
      <c r="L631" s="725"/>
      <c r="M631" s="720">
        <v>0.70117399999999996</v>
      </c>
      <c r="N631" s="724"/>
      <c r="O631" s="725"/>
      <c r="P631" s="720">
        <v>1.1153424999999999</v>
      </c>
      <c r="Q631" s="724"/>
      <c r="R631" s="725"/>
      <c r="S631" s="720">
        <v>1.2466174999999999</v>
      </c>
      <c r="T631" s="724"/>
      <c r="U631" s="725"/>
      <c r="V631" s="720">
        <v>1.5968545000000001</v>
      </c>
      <c r="W631" s="724"/>
      <c r="X631" s="725"/>
      <c r="Y631" s="720">
        <v>1.507422</v>
      </c>
      <c r="Z631" s="724"/>
      <c r="AA631" s="725"/>
      <c r="AB631" s="720">
        <v>1.5443344999999999</v>
      </c>
      <c r="AC631" s="724"/>
      <c r="AD631" s="725"/>
      <c r="AE631" s="720">
        <v>1.6175010000000001</v>
      </c>
      <c r="AF631" s="724"/>
      <c r="AG631" s="725"/>
      <c r="AH631" s="720">
        <v>1.015989</v>
      </c>
      <c r="AI631" s="724"/>
      <c r="AJ631" s="725"/>
      <c r="AK631" s="720">
        <v>0</v>
      </c>
      <c r="AL631" s="724"/>
      <c r="AM631" s="725"/>
      <c r="AN631" s="720">
        <v>0.19096399999999999</v>
      </c>
      <c r="AO631" s="724"/>
      <c r="AP631" s="725"/>
      <c r="AQ631" s="720">
        <v>0.17718800000000001</v>
      </c>
      <c r="AR631" s="397"/>
      <c r="AS631" s="412"/>
      <c r="AT631" s="244">
        <f t="shared" si="21"/>
        <v>11.135487999999999</v>
      </c>
      <c r="AU631" s="397"/>
      <c r="AV631" s="729"/>
      <c r="AW631" s="433"/>
      <c r="AX631" s="441"/>
      <c r="AY631" s="441">
        <v>0</v>
      </c>
      <c r="AZ631" s="357"/>
      <c r="BA631" s="357"/>
      <c r="BB631" s="357"/>
      <c r="BC631" s="357"/>
    </row>
    <row r="632" spans="1:55" s="24" customFormat="1">
      <c r="A632" s="179"/>
      <c r="B632" s="179"/>
      <c r="C632" s="179"/>
      <c r="D632" s="181"/>
      <c r="E632" s="181"/>
      <c r="F632" s="181"/>
      <c r="G632" s="1110">
        <v>777701</v>
      </c>
      <c r="H632" s="728" t="s">
        <v>1346</v>
      </c>
      <c r="I632" s="516" t="s">
        <v>364</v>
      </c>
      <c r="J632" s="629">
        <v>1.266303</v>
      </c>
      <c r="K632" s="724"/>
      <c r="L632" s="725"/>
      <c r="M632" s="720">
        <v>2.1035219999999999</v>
      </c>
      <c r="N632" s="724"/>
      <c r="O632" s="725"/>
      <c r="P632" s="720">
        <v>3.3460274999999999</v>
      </c>
      <c r="Q632" s="724"/>
      <c r="R632" s="725"/>
      <c r="S632" s="720">
        <v>3.7398524999999996</v>
      </c>
      <c r="T632" s="724"/>
      <c r="U632" s="725"/>
      <c r="V632" s="720">
        <v>4.7905635000000002</v>
      </c>
      <c r="W632" s="724"/>
      <c r="X632" s="725"/>
      <c r="Y632" s="720">
        <v>4.5222660000000001</v>
      </c>
      <c r="Z632" s="724"/>
      <c r="AA632" s="725"/>
      <c r="AB632" s="720">
        <v>4.6330035000000001</v>
      </c>
      <c r="AC632" s="724"/>
      <c r="AD632" s="725"/>
      <c r="AE632" s="720">
        <v>4.8525030000000005</v>
      </c>
      <c r="AF632" s="724"/>
      <c r="AG632" s="725"/>
      <c r="AH632" s="720">
        <v>3.0479669999999999</v>
      </c>
      <c r="AI632" s="724"/>
      <c r="AJ632" s="725"/>
      <c r="AK632" s="720">
        <v>0</v>
      </c>
      <c r="AL632" s="724"/>
      <c r="AM632" s="725"/>
      <c r="AN632" s="720">
        <v>0.57289199999999996</v>
      </c>
      <c r="AO632" s="724"/>
      <c r="AP632" s="725"/>
      <c r="AQ632" s="720">
        <v>0.53156400000000004</v>
      </c>
      <c r="AR632" s="397"/>
      <c r="AS632" s="412"/>
      <c r="AT632" s="244">
        <f t="shared" si="21"/>
        <v>33.406464000000007</v>
      </c>
      <c r="AU632" s="397"/>
      <c r="AV632" s="729"/>
      <c r="AW632" s="433"/>
      <c r="AX632" s="441"/>
      <c r="AY632" s="441">
        <v>0</v>
      </c>
      <c r="AZ632" s="357"/>
      <c r="BA632" s="357"/>
      <c r="BB632" s="357"/>
      <c r="BC632" s="357"/>
    </row>
    <row r="633" spans="1:55" s="24" customFormat="1">
      <c r="A633" s="179"/>
      <c r="B633" s="179"/>
      <c r="C633" s="179"/>
      <c r="D633" s="181"/>
      <c r="E633" s="181"/>
      <c r="F633" s="181"/>
      <c r="G633" s="1211">
        <v>777783</v>
      </c>
      <c r="H633" s="728" t="s">
        <v>1676</v>
      </c>
      <c r="I633" s="516" t="s">
        <v>364</v>
      </c>
      <c r="J633" s="629">
        <v>1.05</v>
      </c>
      <c r="K633" s="724"/>
      <c r="L633" s="725"/>
      <c r="M633" s="720">
        <v>1.75</v>
      </c>
      <c r="N633" s="724"/>
      <c r="O633" s="725"/>
      <c r="P633" s="720">
        <v>2.79</v>
      </c>
      <c r="Q633" s="724"/>
      <c r="R633" s="725"/>
      <c r="S633" s="720">
        <v>3.12</v>
      </c>
      <c r="T633" s="724"/>
      <c r="U633" s="725"/>
      <c r="V633" s="720">
        <v>4</v>
      </c>
      <c r="W633" s="724"/>
      <c r="X633" s="725"/>
      <c r="Y633" s="720">
        <v>3.77</v>
      </c>
      <c r="Z633" s="724"/>
      <c r="AA633" s="725"/>
      <c r="AB633" s="720">
        <v>3.86</v>
      </c>
      <c r="AC633" s="724"/>
      <c r="AD633" s="725"/>
      <c r="AE633" s="720">
        <v>4.05</v>
      </c>
      <c r="AF633" s="724"/>
      <c r="AG633" s="725"/>
      <c r="AH633" s="720">
        <v>2.54</v>
      </c>
      <c r="AI633" s="724"/>
      <c r="AJ633" s="725"/>
      <c r="AK633" s="720">
        <v>0</v>
      </c>
      <c r="AL633" s="724"/>
      <c r="AM633" s="725"/>
      <c r="AN633" s="720">
        <v>0.48</v>
      </c>
      <c r="AO633" s="724"/>
      <c r="AP633" s="725"/>
      <c r="AQ633" s="720">
        <v>0.45</v>
      </c>
      <c r="AR633" s="397"/>
      <c r="AS633" s="412"/>
      <c r="AT633" s="244">
        <f t="shared" si="21"/>
        <v>27.86</v>
      </c>
      <c r="AU633" s="397"/>
      <c r="AV633" s="729"/>
      <c r="AW633" s="433"/>
      <c r="AX633" s="441"/>
      <c r="AY633" s="441">
        <v>0</v>
      </c>
      <c r="AZ633" s="357"/>
      <c r="BA633" s="357"/>
      <c r="BB633" s="357"/>
      <c r="BC633" s="357"/>
    </row>
    <row r="634" spans="1:55" s="24" customFormat="1">
      <c r="A634" s="179"/>
      <c r="B634" s="179"/>
      <c r="C634" s="179"/>
      <c r="D634" s="181"/>
      <c r="E634" s="181"/>
      <c r="F634" s="181"/>
      <c r="G634" s="1211"/>
      <c r="H634" s="728" t="s">
        <v>1677</v>
      </c>
      <c r="I634" s="516" t="s">
        <v>364</v>
      </c>
      <c r="J634" s="629">
        <v>0</v>
      </c>
      <c r="K634" s="724"/>
      <c r="L634" s="725"/>
      <c r="M634" s="720">
        <v>0</v>
      </c>
      <c r="N634" s="724"/>
      <c r="O634" s="725"/>
      <c r="P634" s="720">
        <v>0</v>
      </c>
      <c r="Q634" s="724"/>
      <c r="R634" s="725"/>
      <c r="S634" s="720">
        <v>0</v>
      </c>
      <c r="T634" s="724"/>
      <c r="U634" s="725"/>
      <c r="V634" s="720">
        <v>0</v>
      </c>
      <c r="W634" s="724"/>
      <c r="X634" s="725"/>
      <c r="Y634" s="720">
        <v>0</v>
      </c>
      <c r="Z634" s="724"/>
      <c r="AA634" s="725"/>
      <c r="AB634" s="720">
        <v>0</v>
      </c>
      <c r="AC634" s="724"/>
      <c r="AD634" s="725"/>
      <c r="AE634" s="720">
        <v>0</v>
      </c>
      <c r="AF634" s="724"/>
      <c r="AG634" s="725"/>
      <c r="AH634" s="720">
        <v>0</v>
      </c>
      <c r="AI634" s="724"/>
      <c r="AJ634" s="725"/>
      <c r="AK634" s="720">
        <v>0</v>
      </c>
      <c r="AL634" s="724"/>
      <c r="AM634" s="725"/>
      <c r="AN634" s="720">
        <v>0</v>
      </c>
      <c r="AO634" s="724"/>
      <c r="AP634" s="725"/>
      <c r="AQ634" s="720">
        <v>0</v>
      </c>
      <c r="AR634" s="397"/>
      <c r="AS634" s="412"/>
      <c r="AT634" s="244">
        <f t="shared" si="21"/>
        <v>0</v>
      </c>
      <c r="AU634" s="397"/>
      <c r="AV634" s="729"/>
      <c r="AW634" s="433"/>
      <c r="AX634" s="441"/>
      <c r="AY634" s="441">
        <v>0</v>
      </c>
      <c r="AZ634" s="357"/>
      <c r="BA634" s="357"/>
      <c r="BB634" s="357"/>
      <c r="BC634" s="357"/>
    </row>
    <row r="635" spans="1:55" s="24" customFormat="1">
      <c r="A635" s="179"/>
      <c r="B635" s="179"/>
      <c r="C635" s="179"/>
      <c r="D635" s="181"/>
      <c r="E635" s="181"/>
      <c r="F635" s="181"/>
      <c r="G635" s="1110">
        <v>777272</v>
      </c>
      <c r="H635" s="728" t="s">
        <v>861</v>
      </c>
      <c r="I635" s="516" t="s">
        <v>364</v>
      </c>
      <c r="J635" s="629">
        <v>1.0115810000000001</v>
      </c>
      <c r="K635" s="724"/>
      <c r="L635" s="725"/>
      <c r="M635" s="720">
        <v>1.6257995000000001</v>
      </c>
      <c r="N635" s="724"/>
      <c r="O635" s="725"/>
      <c r="P635" s="720">
        <v>2.6187619999999998</v>
      </c>
      <c r="Q635" s="724"/>
      <c r="R635" s="725"/>
      <c r="S635" s="720">
        <v>1.8615120000000001</v>
      </c>
      <c r="T635" s="724"/>
      <c r="U635" s="725"/>
      <c r="V635" s="720">
        <v>2.7707194999999998</v>
      </c>
      <c r="W635" s="724"/>
      <c r="X635" s="725"/>
      <c r="Y635" s="720">
        <v>3.1638459999999999</v>
      </c>
      <c r="Z635" s="724"/>
      <c r="AA635" s="725"/>
      <c r="AB635" s="720">
        <v>3.7892144999999999</v>
      </c>
      <c r="AC635" s="724"/>
      <c r="AD635" s="725"/>
      <c r="AE635" s="720">
        <v>3.509061</v>
      </c>
      <c r="AF635" s="724"/>
      <c r="AG635" s="725"/>
      <c r="AH635" s="720">
        <v>2.5756945</v>
      </c>
      <c r="AI635" s="724"/>
      <c r="AJ635" s="725"/>
      <c r="AK635" s="720">
        <v>0</v>
      </c>
      <c r="AL635" s="724"/>
      <c r="AM635" s="725"/>
      <c r="AN635" s="720">
        <v>0.92086250000000003</v>
      </c>
      <c r="AO635" s="724"/>
      <c r="AP635" s="725"/>
      <c r="AQ635" s="720">
        <v>0.75333249999999996</v>
      </c>
      <c r="AR635" s="397"/>
      <c r="AS635" s="412"/>
      <c r="AT635" s="244">
        <f t="shared" si="21"/>
        <v>24.600384999999996</v>
      </c>
      <c r="AU635" s="397"/>
      <c r="AV635" s="729"/>
      <c r="AW635" s="433"/>
      <c r="AX635" s="441"/>
      <c r="AY635" s="441">
        <v>0</v>
      </c>
      <c r="AZ635" s="357"/>
      <c r="BA635" s="357"/>
      <c r="BB635" s="357"/>
      <c r="BC635" s="357"/>
    </row>
    <row r="636" spans="1:55" s="24" customFormat="1">
      <c r="A636" s="179"/>
      <c r="B636" s="179"/>
      <c r="C636" s="179"/>
      <c r="D636" s="181"/>
      <c r="E636" s="181"/>
      <c r="F636" s="181"/>
      <c r="G636" s="1110">
        <v>777813</v>
      </c>
      <c r="H636" s="728" t="s">
        <v>1487</v>
      </c>
      <c r="I636" s="516" t="s">
        <v>364</v>
      </c>
      <c r="J636" s="629">
        <v>1.0552524999999999</v>
      </c>
      <c r="K636" s="724"/>
      <c r="L636" s="725"/>
      <c r="M636" s="720">
        <v>1.7529349999999999</v>
      </c>
      <c r="N636" s="724"/>
      <c r="O636" s="725"/>
      <c r="P636" s="720">
        <v>2.7883562499999996</v>
      </c>
      <c r="Q636" s="724"/>
      <c r="R636" s="725"/>
      <c r="S636" s="720">
        <v>3.1165437499999999</v>
      </c>
      <c r="T636" s="724"/>
      <c r="U636" s="725"/>
      <c r="V636" s="720">
        <v>3.9921362500000002</v>
      </c>
      <c r="W636" s="724"/>
      <c r="X636" s="725"/>
      <c r="Y636" s="720">
        <v>3.7685550000000001</v>
      </c>
      <c r="Z636" s="724"/>
      <c r="AA636" s="725"/>
      <c r="AB636" s="720">
        <v>3.8608362499999997</v>
      </c>
      <c r="AC636" s="724"/>
      <c r="AD636" s="725"/>
      <c r="AE636" s="720">
        <v>4.0437525000000001</v>
      </c>
      <c r="AF636" s="724"/>
      <c r="AG636" s="725"/>
      <c r="AH636" s="720">
        <v>2.5399725000000002</v>
      </c>
      <c r="AI636" s="724"/>
      <c r="AJ636" s="725"/>
      <c r="AK636" s="720">
        <v>0</v>
      </c>
      <c r="AL636" s="724"/>
      <c r="AM636" s="725"/>
      <c r="AN636" s="720">
        <v>0.47741</v>
      </c>
      <c r="AO636" s="724"/>
      <c r="AP636" s="725"/>
      <c r="AQ636" s="720">
        <v>0.44297000000000003</v>
      </c>
      <c r="AR636" s="397"/>
      <c r="AS636" s="412"/>
      <c r="AT636" s="244">
        <f t="shared" si="21"/>
        <v>27.838719999999999</v>
      </c>
      <c r="AU636" s="397"/>
      <c r="AV636" s="729"/>
      <c r="AW636" s="433"/>
      <c r="AX636" s="441"/>
      <c r="AY636" s="441">
        <v>0</v>
      </c>
      <c r="AZ636" s="357"/>
      <c r="BA636" s="357"/>
      <c r="BB636" s="357"/>
      <c r="BC636" s="357"/>
    </row>
    <row r="637" spans="1:55" s="24" customFormat="1">
      <c r="A637" s="179"/>
      <c r="B637" s="179"/>
      <c r="C637" s="179"/>
      <c r="D637" s="181"/>
      <c r="E637" s="181"/>
      <c r="F637" s="181"/>
      <c r="G637" s="1110">
        <v>777273</v>
      </c>
      <c r="H637" s="728" t="s">
        <v>1678</v>
      </c>
      <c r="I637" s="516" t="s">
        <v>364</v>
      </c>
      <c r="J637" s="629">
        <v>0.42599999999999999</v>
      </c>
      <c r="K637" s="724"/>
      <c r="L637" s="725"/>
      <c r="M637" s="720">
        <v>0.74099999999999999</v>
      </c>
      <c r="N637" s="724"/>
      <c r="O637" s="725"/>
      <c r="P637" s="720">
        <v>1.4</v>
      </c>
      <c r="Q637" s="724"/>
      <c r="R637" s="725"/>
      <c r="S637" s="720">
        <v>1.4930000000000001</v>
      </c>
      <c r="T637" s="724"/>
      <c r="U637" s="725"/>
      <c r="V637" s="720">
        <v>1.7370000000000001</v>
      </c>
      <c r="W637" s="724"/>
      <c r="X637" s="725"/>
      <c r="Y637" s="720">
        <v>1.7010000000000001</v>
      </c>
      <c r="Z637" s="724"/>
      <c r="AA637" s="725"/>
      <c r="AB637" s="720">
        <v>1.4790000000000001</v>
      </c>
      <c r="AC637" s="724"/>
      <c r="AD637" s="725"/>
      <c r="AE637" s="720">
        <v>1.603</v>
      </c>
      <c r="AF637" s="724"/>
      <c r="AG637" s="725"/>
      <c r="AH637" s="720">
        <v>1.19</v>
      </c>
      <c r="AI637" s="724"/>
      <c r="AJ637" s="725"/>
      <c r="AK637" s="720">
        <v>0</v>
      </c>
      <c r="AL637" s="724"/>
      <c r="AM637" s="725"/>
      <c r="AN637" s="720">
        <v>0.39600000000000002</v>
      </c>
      <c r="AO637" s="724"/>
      <c r="AP637" s="725"/>
      <c r="AQ637" s="720">
        <v>0.13100000000000001</v>
      </c>
      <c r="AR637" s="397"/>
      <c r="AS637" s="412"/>
      <c r="AT637" s="244">
        <f t="shared" si="21"/>
        <v>12.297000000000001</v>
      </c>
      <c r="AU637" s="397"/>
      <c r="AV637" s="729"/>
      <c r="AW637" s="433"/>
      <c r="AX637" s="441"/>
      <c r="AY637" s="441"/>
      <c r="AZ637" s="357"/>
      <c r="BA637" s="357"/>
      <c r="BB637" s="357"/>
      <c r="BC637" s="357"/>
    </row>
    <row r="638" spans="1:55" s="24" customFormat="1">
      <c r="A638" s="179"/>
      <c r="B638" s="179"/>
      <c r="C638" s="179"/>
      <c r="D638" s="181"/>
      <c r="E638" s="181"/>
      <c r="F638" s="181"/>
      <c r="G638" s="1110">
        <v>777271</v>
      </c>
      <c r="H638" s="728" t="s">
        <v>1679</v>
      </c>
      <c r="I638" s="516" t="s">
        <v>364</v>
      </c>
      <c r="J638" s="629">
        <v>0.41299999999999998</v>
      </c>
      <c r="K638" s="724"/>
      <c r="L638" s="725"/>
      <c r="M638" s="720">
        <v>0.84</v>
      </c>
      <c r="N638" s="724"/>
      <c r="O638" s="725"/>
      <c r="P638" s="720">
        <v>1.389</v>
      </c>
      <c r="Q638" s="724"/>
      <c r="R638" s="725"/>
      <c r="S638" s="720">
        <v>1.4039999999999999</v>
      </c>
      <c r="T638" s="724"/>
      <c r="U638" s="725"/>
      <c r="V638" s="720">
        <v>1.681</v>
      </c>
      <c r="W638" s="724"/>
      <c r="X638" s="725"/>
      <c r="Y638" s="720">
        <v>1.627</v>
      </c>
      <c r="Z638" s="724"/>
      <c r="AA638" s="725"/>
      <c r="AB638" s="720">
        <v>1.5429999999999999</v>
      </c>
      <c r="AC638" s="724"/>
      <c r="AD638" s="725"/>
      <c r="AE638" s="720">
        <v>1.575</v>
      </c>
      <c r="AF638" s="724"/>
      <c r="AG638" s="725"/>
      <c r="AH638" s="720">
        <v>1.208</v>
      </c>
      <c r="AI638" s="724"/>
      <c r="AJ638" s="725"/>
      <c r="AK638" s="720">
        <v>0</v>
      </c>
      <c r="AL638" s="724"/>
      <c r="AM638" s="725"/>
      <c r="AN638" s="720">
        <v>0.42699999999999999</v>
      </c>
      <c r="AO638" s="724"/>
      <c r="AP638" s="725"/>
      <c r="AQ638" s="720">
        <v>0.191</v>
      </c>
      <c r="AR638" s="397"/>
      <c r="AS638" s="412"/>
      <c r="AT638" s="244">
        <f t="shared" si="21"/>
        <v>12.297999999999998</v>
      </c>
      <c r="AU638" s="397"/>
      <c r="AV638" s="729"/>
      <c r="AW638" s="433"/>
      <c r="AX638" s="441"/>
      <c r="AY638" s="441"/>
      <c r="AZ638" s="357"/>
      <c r="BA638" s="357"/>
      <c r="BB638" s="357"/>
      <c r="BC638" s="357"/>
    </row>
    <row r="639" spans="1:55" s="24" customFormat="1">
      <c r="A639" s="179"/>
      <c r="B639" s="179"/>
      <c r="C639" s="179"/>
      <c r="D639" s="181"/>
      <c r="E639" s="181"/>
      <c r="F639" s="181"/>
      <c r="G639" s="1110">
        <v>777167</v>
      </c>
      <c r="H639" s="122" t="s">
        <v>839</v>
      </c>
      <c r="I639" s="519" t="s">
        <v>365</v>
      </c>
      <c r="J639" s="629">
        <v>0.2</v>
      </c>
      <c r="K639" s="730"/>
      <c r="L639" s="731"/>
      <c r="M639" s="720">
        <v>0.22</v>
      </c>
      <c r="N639" s="730"/>
      <c r="O639" s="731"/>
      <c r="P639" s="720">
        <v>0.2</v>
      </c>
      <c r="Q639" s="730"/>
      <c r="R639" s="731"/>
      <c r="S639" s="720">
        <v>0.2</v>
      </c>
      <c r="T639" s="730"/>
      <c r="U639" s="731"/>
      <c r="V639" s="720">
        <v>0.8</v>
      </c>
      <c r="W639" s="730"/>
      <c r="X639" s="731"/>
      <c r="Y639" s="720">
        <v>0.7</v>
      </c>
      <c r="Z639" s="730"/>
      <c r="AA639" s="731"/>
      <c r="AB639" s="720">
        <v>0.8</v>
      </c>
      <c r="AC639" s="730"/>
      <c r="AD639" s="731"/>
      <c r="AE639" s="720">
        <v>0.7</v>
      </c>
      <c r="AF639" s="730"/>
      <c r="AG639" s="731"/>
      <c r="AH639" s="720">
        <v>0.8</v>
      </c>
      <c r="AI639" s="730"/>
      <c r="AJ639" s="731"/>
      <c r="AK639" s="720">
        <v>0.55000000000000004</v>
      </c>
      <c r="AL639" s="730"/>
      <c r="AM639" s="731"/>
      <c r="AN639" s="720">
        <v>0.56000000000000005</v>
      </c>
      <c r="AO639" s="730"/>
      <c r="AP639" s="731"/>
      <c r="AQ639" s="720">
        <v>0.65</v>
      </c>
      <c r="AR639" s="397"/>
      <c r="AS639" s="412"/>
      <c r="AT639" s="244">
        <f t="shared" si="21"/>
        <v>6.3800000000000008</v>
      </c>
      <c r="AU639" s="397"/>
      <c r="AV639" s="729"/>
      <c r="AW639" s="433"/>
      <c r="AX639" s="441"/>
      <c r="AY639" s="441">
        <v>0</v>
      </c>
      <c r="AZ639" s="357"/>
      <c r="BA639" s="357"/>
      <c r="BB639" s="357"/>
      <c r="BC639" s="357"/>
    </row>
    <row r="640" spans="1:55" s="24" customFormat="1">
      <c r="A640" s="179"/>
      <c r="B640" s="179"/>
      <c r="C640" s="179"/>
      <c r="D640" s="181"/>
      <c r="E640" s="181"/>
      <c r="F640" s="181"/>
      <c r="G640" s="1110"/>
      <c r="H640" s="138" t="s">
        <v>174</v>
      </c>
      <c r="I640" s="138"/>
      <c r="J640" s="319">
        <f>SUM(J641:J642)</f>
        <v>141.5</v>
      </c>
      <c r="K640" s="288"/>
      <c r="L640" s="289"/>
      <c r="M640" s="287">
        <f>SUM(M641:M642)</f>
        <v>131.05000000000001</v>
      </c>
      <c r="N640" s="288"/>
      <c r="O640" s="289"/>
      <c r="P640" s="287">
        <f>SUM(P641:P642)</f>
        <v>137.44999999999999</v>
      </c>
      <c r="Q640" s="288"/>
      <c r="R640" s="289"/>
      <c r="S640" s="287">
        <f>SUM(S641:S642)</f>
        <v>102</v>
      </c>
      <c r="T640" s="288"/>
      <c r="U640" s="289"/>
      <c r="V640" s="287">
        <f>SUM(V641:V642)</f>
        <v>56.5</v>
      </c>
      <c r="W640" s="288"/>
      <c r="X640" s="289"/>
      <c r="Y640" s="287">
        <f>SUM(Y641:Y642)</f>
        <v>51.2</v>
      </c>
      <c r="Z640" s="288"/>
      <c r="AA640" s="289"/>
      <c r="AB640" s="287">
        <f>SUM(AB641:AB642)</f>
        <v>66.7</v>
      </c>
      <c r="AC640" s="288"/>
      <c r="AD640" s="289"/>
      <c r="AE640" s="287">
        <f>SUM(AE641:AE642)</f>
        <v>71.45</v>
      </c>
      <c r="AF640" s="288"/>
      <c r="AG640" s="289"/>
      <c r="AH640" s="287">
        <f>SUM(AH641:AH642)</f>
        <v>69.650000000000006</v>
      </c>
      <c r="AI640" s="288"/>
      <c r="AJ640" s="289"/>
      <c r="AK640" s="287">
        <f>SUM(AK641:AK642)</f>
        <v>110</v>
      </c>
      <c r="AL640" s="288"/>
      <c r="AM640" s="289"/>
      <c r="AN640" s="287">
        <f>SUM(AN641:AN642)</f>
        <v>132</v>
      </c>
      <c r="AO640" s="288"/>
      <c r="AP640" s="289"/>
      <c r="AQ640" s="287">
        <f>SUM(AQ641:AQ642)</f>
        <v>141</v>
      </c>
      <c r="AR640" s="288"/>
      <c r="AS640" s="289"/>
      <c r="AT640" s="287">
        <f>SUM(AT641:AT642)</f>
        <v>1210.5</v>
      </c>
      <c r="AU640" s="288"/>
      <c r="AV640" s="290"/>
      <c r="AW640" s="285"/>
      <c r="AX640" s="295"/>
      <c r="AY640" s="1066">
        <v>1190.1624839999999</v>
      </c>
      <c r="AZ640" s="357"/>
      <c r="BA640" s="357"/>
      <c r="BB640" s="357"/>
      <c r="BC640" s="357"/>
    </row>
    <row r="641" spans="1:55" s="24" customFormat="1">
      <c r="A641" s="179"/>
      <c r="B641" s="179"/>
      <c r="C641" s="179"/>
      <c r="D641" s="181">
        <v>339141</v>
      </c>
      <c r="E641" s="181"/>
      <c r="F641" s="181"/>
      <c r="G641" s="1110">
        <v>339141</v>
      </c>
      <c r="H641" s="144" t="s">
        <v>1347</v>
      </c>
      <c r="I641" s="518" t="s">
        <v>365</v>
      </c>
      <c r="J641" s="294">
        <v>16.5</v>
      </c>
      <c r="K641" s="288"/>
      <c r="L641" s="289"/>
      <c r="M641" s="294">
        <v>15.05</v>
      </c>
      <c r="N641" s="288"/>
      <c r="O641" s="289"/>
      <c r="P641" s="294">
        <v>15.45</v>
      </c>
      <c r="Q641" s="288"/>
      <c r="R641" s="289"/>
      <c r="S641" s="294">
        <v>10</v>
      </c>
      <c r="T641" s="288"/>
      <c r="U641" s="289"/>
      <c r="V641" s="294">
        <v>4.5</v>
      </c>
      <c r="W641" s="288"/>
      <c r="X641" s="289"/>
      <c r="Y641" s="294">
        <v>3.2</v>
      </c>
      <c r="Z641" s="288"/>
      <c r="AA641" s="289"/>
      <c r="AB641" s="294">
        <v>2.7</v>
      </c>
      <c r="AC641" s="288"/>
      <c r="AD641" s="289"/>
      <c r="AE641" s="294">
        <v>1.45</v>
      </c>
      <c r="AF641" s="288"/>
      <c r="AG641" s="289"/>
      <c r="AH641" s="294">
        <v>3.65</v>
      </c>
      <c r="AI641" s="288"/>
      <c r="AJ641" s="289"/>
      <c r="AK641" s="294">
        <v>9</v>
      </c>
      <c r="AL641" s="288"/>
      <c r="AM641" s="289"/>
      <c r="AN641" s="294">
        <v>14</v>
      </c>
      <c r="AO641" s="288"/>
      <c r="AP641" s="289"/>
      <c r="AQ641" s="294">
        <v>17</v>
      </c>
      <c r="AR641" s="288"/>
      <c r="AS641" s="289"/>
      <c r="AT641" s="294">
        <f t="shared" si="21"/>
        <v>112.50000000000001</v>
      </c>
      <c r="AU641" s="288"/>
      <c r="AV641" s="290"/>
      <c r="AW641" s="285"/>
      <c r="AX641" s="295"/>
      <c r="AY641" s="295"/>
      <c r="AZ641" s="357"/>
      <c r="BA641" s="357"/>
      <c r="BB641" s="357"/>
      <c r="BC641" s="357"/>
    </row>
    <row r="642" spans="1:55" s="24" customFormat="1">
      <c r="A642" s="179"/>
      <c r="B642" s="179"/>
      <c r="C642" s="179"/>
      <c r="D642" s="181">
        <v>339140</v>
      </c>
      <c r="E642" s="181"/>
      <c r="F642" s="181"/>
      <c r="G642" s="1110">
        <v>339140</v>
      </c>
      <c r="H642" s="144" t="s">
        <v>1348</v>
      </c>
      <c r="I642" s="518" t="s">
        <v>365</v>
      </c>
      <c r="J642" s="294">
        <v>125</v>
      </c>
      <c r="K642" s="288"/>
      <c r="L642" s="289"/>
      <c r="M642" s="294">
        <v>116</v>
      </c>
      <c r="N642" s="288"/>
      <c r="O642" s="289"/>
      <c r="P642" s="294">
        <v>122</v>
      </c>
      <c r="Q642" s="288"/>
      <c r="R642" s="289"/>
      <c r="S642" s="294">
        <v>92</v>
      </c>
      <c r="T642" s="288"/>
      <c r="U642" s="289"/>
      <c r="V642" s="294">
        <v>52</v>
      </c>
      <c r="W642" s="288"/>
      <c r="X642" s="289"/>
      <c r="Y642" s="294">
        <v>48</v>
      </c>
      <c r="Z642" s="288"/>
      <c r="AA642" s="289"/>
      <c r="AB642" s="294">
        <v>64</v>
      </c>
      <c r="AC642" s="288"/>
      <c r="AD642" s="289"/>
      <c r="AE642" s="294">
        <v>70</v>
      </c>
      <c r="AF642" s="288"/>
      <c r="AG642" s="289"/>
      <c r="AH642" s="294">
        <v>66</v>
      </c>
      <c r="AI642" s="288"/>
      <c r="AJ642" s="289"/>
      <c r="AK642" s="294">
        <v>101</v>
      </c>
      <c r="AL642" s="288"/>
      <c r="AM642" s="289"/>
      <c r="AN642" s="294">
        <v>118</v>
      </c>
      <c r="AO642" s="288"/>
      <c r="AP642" s="289"/>
      <c r="AQ642" s="294">
        <v>124</v>
      </c>
      <c r="AR642" s="288"/>
      <c r="AS642" s="289"/>
      <c r="AT642" s="294">
        <f t="shared" si="21"/>
        <v>1098</v>
      </c>
      <c r="AU642" s="288"/>
      <c r="AV642" s="290"/>
      <c r="AW642" s="285"/>
      <c r="AX642" s="295"/>
      <c r="AY642" s="313"/>
      <c r="AZ642" s="357"/>
      <c r="BA642" s="357"/>
      <c r="BB642" s="357"/>
      <c r="BC642" s="357"/>
    </row>
    <row r="643" spans="1:55" s="24" customFormat="1" ht="18.75">
      <c r="A643" s="179"/>
      <c r="B643" s="179"/>
      <c r="C643" s="179"/>
      <c r="D643" s="181">
        <v>338700</v>
      </c>
      <c r="E643" s="181"/>
      <c r="F643" s="181"/>
      <c r="G643" s="181">
        <v>338700</v>
      </c>
      <c r="H643" s="474" t="s">
        <v>1599</v>
      </c>
      <c r="I643" s="474"/>
      <c r="J643" s="277">
        <f>SUM(J644:J646)</f>
        <v>2730.0340967712405</v>
      </c>
      <c r="K643" s="275">
        <f>L643-J643</f>
        <v>-394.69987156286106</v>
      </c>
      <c r="L643" s="276">
        <f>Потребление!D46</f>
        <v>2335.3342252083794</v>
      </c>
      <c r="M643" s="274">
        <f>SUM(M644:M646)</f>
        <v>2677.6495184783935</v>
      </c>
      <c r="N643" s="275">
        <f>O643-M643</f>
        <v>-482.71531937285999</v>
      </c>
      <c r="O643" s="276">
        <f>Потребление!E46</f>
        <v>2194.9341991055335</v>
      </c>
      <c r="P643" s="274">
        <f>SUM(P644:P646)</f>
        <v>2722.1193358039855</v>
      </c>
      <c r="Q643" s="275">
        <f>R643-P643</f>
        <v>-493.44133078930554</v>
      </c>
      <c r="R643" s="276">
        <f>Потребление!F46</f>
        <v>2228.6780050146799</v>
      </c>
      <c r="S643" s="274">
        <f>SUM(S644:S646)</f>
        <v>2654.4851659431456</v>
      </c>
      <c r="T643" s="275">
        <f>U643-S643</f>
        <v>-648.12697907779625</v>
      </c>
      <c r="U643" s="276">
        <f>Потребление!G46</f>
        <v>2006.3581868653494</v>
      </c>
      <c r="V643" s="274">
        <f>SUM(V644:V646)</f>
        <v>2942.3648793029788</v>
      </c>
      <c r="W643" s="275">
        <f>X643-V643</f>
        <v>-1025.4026247824509</v>
      </c>
      <c r="X643" s="276">
        <f>Потребление!H46</f>
        <v>1916.9622545205279</v>
      </c>
      <c r="Y643" s="274">
        <f>SUM(Y644:Y646)</f>
        <v>2786.8846571807862</v>
      </c>
      <c r="Z643" s="275">
        <f>AA643-Y643</f>
        <v>-1009.6949732655703</v>
      </c>
      <c r="AA643" s="276">
        <f>Потребление!I46</f>
        <v>1777.1896839152159</v>
      </c>
      <c r="AB643" s="274">
        <f>SUM(AB644:AB646)</f>
        <v>2671.6215463027957</v>
      </c>
      <c r="AC643" s="275">
        <f>AD643-AB643</f>
        <v>-934.73488157320617</v>
      </c>
      <c r="AD643" s="276">
        <f>Потребление!J46</f>
        <v>1736.8866647295895</v>
      </c>
      <c r="AE643" s="274">
        <f>SUM(AE644:AE646)</f>
        <v>2472.7181376380922</v>
      </c>
      <c r="AF643" s="275">
        <f>AG643-AE643</f>
        <v>-677.5490456054381</v>
      </c>
      <c r="AG643" s="276">
        <f>Потребление!K46</f>
        <v>1795.1690920326541</v>
      </c>
      <c r="AH643" s="274">
        <f>SUM(AH644:AH646)</f>
        <v>2439.2619407958982</v>
      </c>
      <c r="AI643" s="275">
        <f>AJ643-AH643</f>
        <v>-541.7125069747517</v>
      </c>
      <c r="AJ643" s="276">
        <f>Потребление!L46</f>
        <v>1897.5494338211465</v>
      </c>
      <c r="AK643" s="274">
        <f>SUM(AK644:AK646)</f>
        <v>2757.5787929992675</v>
      </c>
      <c r="AL643" s="275">
        <f>AM643-AK643</f>
        <v>-655.85363643288383</v>
      </c>
      <c r="AM643" s="276">
        <f>Потребление!M46</f>
        <v>2101.7251565663837</v>
      </c>
      <c r="AN643" s="274">
        <f>SUM(AN644:AN646)</f>
        <v>2851.6364963340761</v>
      </c>
      <c r="AO643" s="275">
        <f>AP643-AN643</f>
        <v>-681.82468283589606</v>
      </c>
      <c r="AP643" s="276">
        <f>Потребление!N46</f>
        <v>2169.8118134981801</v>
      </c>
      <c r="AQ643" s="274">
        <f>SUM(AQ644:AQ646)</f>
        <v>3046.179311855316</v>
      </c>
      <c r="AR643" s="275">
        <f>AS643-AQ643</f>
        <v>-704.18571291003718</v>
      </c>
      <c r="AS643" s="276">
        <f>Потребление!O46</f>
        <v>2341.9935989452788</v>
      </c>
      <c r="AT643" s="274">
        <f>SUM(AT644:AT646)</f>
        <v>32752.533879405979</v>
      </c>
      <c r="AU643" s="275">
        <f>AV643-AT643</f>
        <v>-8249.9415651830604</v>
      </c>
      <c r="AV643" s="278">
        <f>L643+O643+R643+U643+X643+AA643+AD643+AG643+AJ643+AM643+AP643+AS643</f>
        <v>24502.592314222919</v>
      </c>
      <c r="AW643" s="279"/>
      <c r="AX643" s="1067">
        <v>24439.061464499999</v>
      </c>
      <c r="AY643" s="298">
        <f>SUM(AY644:AY646)</f>
        <v>32494.980923499999</v>
      </c>
      <c r="AZ643" s="357"/>
      <c r="BA643" s="357"/>
      <c r="BB643" s="357"/>
      <c r="BC643" s="357"/>
    </row>
    <row r="644" spans="1:55" s="24" customFormat="1">
      <c r="A644" s="179"/>
      <c r="B644" s="179"/>
      <c r="C644" s="179"/>
      <c r="D644" s="181"/>
      <c r="E644" s="181"/>
      <c r="F644" s="181"/>
      <c r="G644" s="181"/>
      <c r="H644" s="124" t="s">
        <v>56</v>
      </c>
      <c r="I644" s="124"/>
      <c r="J644" s="365">
        <f>SUM(J647:J651)+J654+J657+J658+J661+J662+J663+J666</f>
        <v>2218.0700000000002</v>
      </c>
      <c r="K644" s="363"/>
      <c r="L644" s="364"/>
      <c r="M644" s="362">
        <f>SUM(M647:M651)+M654+M657+M658+M661+M662+M663+M666</f>
        <v>2211.2529999999997</v>
      </c>
      <c r="N644" s="363"/>
      <c r="O644" s="364"/>
      <c r="P644" s="362">
        <f>SUM(P647:P651)+P654+P657+P658+P661+P662+P663+P666</f>
        <v>2239.3599999999997</v>
      </c>
      <c r="Q644" s="363"/>
      <c r="R644" s="364"/>
      <c r="S644" s="362">
        <f>SUM(S647:S651)+S654+S657+S658+S661+S662+S663+S666</f>
        <v>2113.1329999999998</v>
      </c>
      <c r="T644" s="363"/>
      <c r="U644" s="364"/>
      <c r="V644" s="362">
        <f>SUM(V647:V651)+V654+V657+V658+V661+V662+V663+V666</f>
        <v>1943.336</v>
      </c>
      <c r="W644" s="363"/>
      <c r="X644" s="364"/>
      <c r="Y644" s="362">
        <f>SUM(Y647:Y651)+Y654+Y657+Y658+Y661+Y662+Y663+Y666</f>
        <v>1953.0900000000001</v>
      </c>
      <c r="Z644" s="363"/>
      <c r="AA644" s="364"/>
      <c r="AB644" s="362">
        <f>SUM(AB647:AB651)+AB654+AB657+AB658+AB661+AB662+AB663+AB666</f>
        <v>2043.93</v>
      </c>
      <c r="AC644" s="363"/>
      <c r="AD644" s="364"/>
      <c r="AE644" s="362">
        <f>SUM(AE647:AE651)+AE654+AE657+AE658+AE661+AE662+AE663+AE666</f>
        <v>1914.94</v>
      </c>
      <c r="AF644" s="363"/>
      <c r="AG644" s="364"/>
      <c r="AH644" s="362">
        <f>SUM(AH647:AH651)+AH654+AH657+AH658+AH661+AH662+AH663+AH666</f>
        <v>1897.23</v>
      </c>
      <c r="AI644" s="363"/>
      <c r="AJ644" s="364"/>
      <c r="AK644" s="362">
        <f>SUM(AK647:AK651)+AK654+AK657+AK658+AK661+AK662+AK663+AK666</f>
        <v>2150.64</v>
      </c>
      <c r="AL644" s="363"/>
      <c r="AM644" s="364"/>
      <c r="AN644" s="362">
        <f>SUM(AN647:AN651)+AN654+AN657+AN658+AN661+AN662+AN663+AN666</f>
        <v>2295.6800000000003</v>
      </c>
      <c r="AO644" s="363"/>
      <c r="AP644" s="364"/>
      <c r="AQ644" s="362">
        <f>SUM(AQ647:AQ651)+AQ654+AQ657+AQ658+AQ661+AQ662+AQ663+AQ666</f>
        <v>2493.35</v>
      </c>
      <c r="AR644" s="363"/>
      <c r="AS644" s="364"/>
      <c r="AT644" s="362">
        <f>SUM(AT647:AT651)+AT654+AT657+AT658+AT661+AT662+AT663+AT666</f>
        <v>25474.012000000002</v>
      </c>
      <c r="AU644" s="363"/>
      <c r="AV644" s="229"/>
      <c r="AW644" s="226"/>
      <c r="AX644" s="366"/>
      <c r="AY644" s="339">
        <f>SUM(AY647:AY650)+AY651+SUM(AY654:AY662)+AY663+AY666</f>
        <v>24786.935070199997</v>
      </c>
      <c r="AZ644" s="357"/>
      <c r="BA644" s="357"/>
      <c r="BB644" s="357"/>
      <c r="BC644" s="357"/>
    </row>
    <row r="645" spans="1:55" s="24" customFormat="1">
      <c r="A645" s="179"/>
      <c r="B645" s="179"/>
      <c r="C645" s="179"/>
      <c r="D645" s="181"/>
      <c r="E645" s="181"/>
      <c r="F645" s="181"/>
      <c r="G645" s="181"/>
      <c r="H645" s="124" t="s">
        <v>55</v>
      </c>
      <c r="I645" s="124"/>
      <c r="J645" s="365">
        <f>SUM(J669:J671)</f>
        <v>271.05309677124023</v>
      </c>
      <c r="K645" s="363"/>
      <c r="L645" s="364"/>
      <c r="M645" s="362">
        <f>SUM(M669:M671)</f>
        <v>244.63651847839355</v>
      </c>
      <c r="N645" s="363"/>
      <c r="O645" s="364"/>
      <c r="P645" s="362">
        <f>SUM(P669:P671)</f>
        <v>241.2093358039856</v>
      </c>
      <c r="Q645" s="363"/>
      <c r="R645" s="364"/>
      <c r="S645" s="362">
        <f>SUM(S669:S671)</f>
        <v>317.92116594314575</v>
      </c>
      <c r="T645" s="363"/>
      <c r="U645" s="364"/>
      <c r="V645" s="362">
        <f>SUM(V669:V671)</f>
        <v>785.05987930297852</v>
      </c>
      <c r="W645" s="363"/>
      <c r="X645" s="364"/>
      <c r="Y645" s="362">
        <f>SUM(Y669:Y671)</f>
        <v>638.44665718078613</v>
      </c>
      <c r="Z645" s="363"/>
      <c r="AA645" s="364"/>
      <c r="AB645" s="362">
        <f>SUM(AB669:AB671)</f>
        <v>419.28554630279541</v>
      </c>
      <c r="AC645" s="363"/>
      <c r="AD645" s="364"/>
      <c r="AE645" s="362">
        <f>SUM(AE669:AE671)</f>
        <v>351.85113763809204</v>
      </c>
      <c r="AF645" s="363"/>
      <c r="AG645" s="364"/>
      <c r="AH645" s="362">
        <f>SUM(AH669:AH671)</f>
        <v>327.45494079589844</v>
      </c>
      <c r="AI645" s="363"/>
      <c r="AJ645" s="364"/>
      <c r="AK645" s="362">
        <f>SUM(AK669:AK671)</f>
        <v>368.35579299926758</v>
      </c>
      <c r="AL645" s="363"/>
      <c r="AM645" s="364"/>
      <c r="AN645" s="362">
        <f>SUM(AN669:AN671)</f>
        <v>331.85649633407593</v>
      </c>
      <c r="AO645" s="363"/>
      <c r="AP645" s="364"/>
      <c r="AQ645" s="362">
        <f>SUM(AQ669:AQ671)</f>
        <v>300.54631185531616</v>
      </c>
      <c r="AR645" s="363"/>
      <c r="AS645" s="364"/>
      <c r="AT645" s="362">
        <f>SUM(AT669:AT671)</f>
        <v>4597.6768794059753</v>
      </c>
      <c r="AU645" s="363"/>
      <c r="AV645" s="229"/>
      <c r="AW645" s="226"/>
      <c r="AX645" s="366"/>
      <c r="AY645" s="339">
        <f>SUM(AY669:AY671)</f>
        <v>5146.0348860000004</v>
      </c>
      <c r="AZ645" s="357"/>
      <c r="BA645" s="357"/>
      <c r="BB645" s="357"/>
      <c r="BC645" s="357"/>
    </row>
    <row r="646" spans="1:55" s="24" customFormat="1">
      <c r="A646" s="179"/>
      <c r="B646" s="179"/>
      <c r="C646" s="179"/>
      <c r="D646" s="181"/>
      <c r="E646" s="181"/>
      <c r="F646" s="181"/>
      <c r="G646" s="181"/>
      <c r="H646" s="126" t="s">
        <v>99</v>
      </c>
      <c r="I646" s="126"/>
      <c r="J646" s="365">
        <f>J672</f>
        <v>240.91100000000003</v>
      </c>
      <c r="K646" s="363"/>
      <c r="L646" s="364"/>
      <c r="M646" s="362">
        <f>M672</f>
        <v>221.76</v>
      </c>
      <c r="N646" s="363"/>
      <c r="O646" s="364"/>
      <c r="P646" s="362">
        <f>P672</f>
        <v>241.55</v>
      </c>
      <c r="Q646" s="363"/>
      <c r="R646" s="364"/>
      <c r="S646" s="362">
        <f>S672</f>
        <v>223.43099999999998</v>
      </c>
      <c r="T646" s="363"/>
      <c r="U646" s="364"/>
      <c r="V646" s="362">
        <f>V672</f>
        <v>213.96900000000002</v>
      </c>
      <c r="W646" s="363"/>
      <c r="X646" s="364"/>
      <c r="Y646" s="362">
        <f>Y672</f>
        <v>195.34799999999998</v>
      </c>
      <c r="Z646" s="363"/>
      <c r="AA646" s="364"/>
      <c r="AB646" s="362">
        <f>AB672</f>
        <v>208.40600000000003</v>
      </c>
      <c r="AC646" s="363"/>
      <c r="AD646" s="364"/>
      <c r="AE646" s="362">
        <f>AE672</f>
        <v>205.92700000000002</v>
      </c>
      <c r="AF646" s="363"/>
      <c r="AG646" s="364"/>
      <c r="AH646" s="362">
        <f>AH672</f>
        <v>214.577</v>
      </c>
      <c r="AI646" s="363"/>
      <c r="AJ646" s="364"/>
      <c r="AK646" s="362">
        <f>AK672</f>
        <v>238.583</v>
      </c>
      <c r="AL646" s="363"/>
      <c r="AM646" s="364"/>
      <c r="AN646" s="362">
        <f>AN672</f>
        <v>224.1</v>
      </c>
      <c r="AO646" s="363"/>
      <c r="AP646" s="364"/>
      <c r="AQ646" s="362">
        <f>AQ672</f>
        <v>252.28300000000002</v>
      </c>
      <c r="AR646" s="363"/>
      <c r="AS646" s="364"/>
      <c r="AT646" s="362">
        <f>AT672</f>
        <v>2680.8450000000003</v>
      </c>
      <c r="AU646" s="363"/>
      <c r="AV646" s="229"/>
      <c r="AW646" s="226"/>
      <c r="AX646" s="366"/>
      <c r="AY646" s="339">
        <f>AY672</f>
        <v>2562.0109673000002</v>
      </c>
      <c r="AZ646" s="357"/>
      <c r="BA646" s="357"/>
      <c r="BB646" s="357"/>
      <c r="BC646" s="357"/>
    </row>
    <row r="647" spans="1:55" s="24" customFormat="1">
      <c r="A647" s="179"/>
      <c r="B647" s="179"/>
      <c r="C647" s="179"/>
      <c r="D647" s="181">
        <v>338727</v>
      </c>
      <c r="E647" s="181"/>
      <c r="F647" s="181"/>
      <c r="G647" s="1110">
        <v>338727</v>
      </c>
      <c r="H647" s="127" t="s">
        <v>597</v>
      </c>
      <c r="I647" s="516" t="s">
        <v>364</v>
      </c>
      <c r="J647" s="720">
        <v>27.74</v>
      </c>
      <c r="K647" s="721"/>
      <c r="L647" s="722"/>
      <c r="M647" s="629">
        <v>27.17</v>
      </c>
      <c r="N647" s="721"/>
      <c r="O647" s="722"/>
      <c r="P647" s="629">
        <v>23.38</v>
      </c>
      <c r="Q647" s="721"/>
      <c r="R647" s="722"/>
      <c r="S647" s="629">
        <v>27.36</v>
      </c>
      <c r="T647" s="721"/>
      <c r="U647" s="722"/>
      <c r="V647" s="831">
        <v>12.58</v>
      </c>
      <c r="W647" s="721"/>
      <c r="X647" s="722"/>
      <c r="Y647" s="629">
        <v>11.76</v>
      </c>
      <c r="Z647" s="721"/>
      <c r="AA647" s="722"/>
      <c r="AB647" s="629">
        <v>6.62</v>
      </c>
      <c r="AC647" s="721"/>
      <c r="AD647" s="722"/>
      <c r="AE647" s="629">
        <v>13.01</v>
      </c>
      <c r="AF647" s="721"/>
      <c r="AG647" s="722"/>
      <c r="AH647" s="629">
        <v>14.16</v>
      </c>
      <c r="AI647" s="721"/>
      <c r="AJ647" s="722"/>
      <c r="AK647" s="629">
        <v>23.04</v>
      </c>
      <c r="AL647" s="721"/>
      <c r="AM647" s="722"/>
      <c r="AN647" s="629">
        <v>28.8</v>
      </c>
      <c r="AO647" s="721"/>
      <c r="AP647" s="722"/>
      <c r="AQ647" s="629">
        <v>27.74</v>
      </c>
      <c r="AR647" s="246"/>
      <c r="AS647" s="282"/>
      <c r="AT647" s="244">
        <f t="shared" ref="AT647:AT668" si="22">J647+M647+P647+S647+V647+Y647+AB647+AE647+AH647+AK647+AN647+AQ647</f>
        <v>243.35999999999999</v>
      </c>
      <c r="AU647" s="246"/>
      <c r="AV647" s="336"/>
      <c r="AW647" s="285"/>
      <c r="AX647" s="249"/>
      <c r="AY647" s="438">
        <v>240.48112699999999</v>
      </c>
      <c r="AZ647" s="357"/>
      <c r="BA647" s="357"/>
      <c r="BB647" s="357"/>
      <c r="BC647" s="357"/>
    </row>
    <row r="648" spans="1:55" s="24" customFormat="1">
      <c r="A648" s="179"/>
      <c r="B648" s="179"/>
      <c r="C648" s="179"/>
      <c r="D648" s="181">
        <v>338726</v>
      </c>
      <c r="E648" s="181"/>
      <c r="F648" s="181"/>
      <c r="G648" s="1110">
        <v>338726</v>
      </c>
      <c r="H648" s="125" t="s">
        <v>1680</v>
      </c>
      <c r="I648" s="519" t="s">
        <v>365</v>
      </c>
      <c r="J648" s="720">
        <v>0</v>
      </c>
      <c r="K648" s="721"/>
      <c r="L648" s="722"/>
      <c r="M648" s="629">
        <v>0</v>
      </c>
      <c r="N648" s="721"/>
      <c r="O648" s="722"/>
      <c r="P648" s="629">
        <v>0</v>
      </c>
      <c r="Q648" s="721"/>
      <c r="R648" s="722"/>
      <c r="S648" s="629">
        <v>0</v>
      </c>
      <c r="T648" s="721"/>
      <c r="U648" s="722"/>
      <c r="V648" s="629">
        <v>0</v>
      </c>
      <c r="W648" s="721"/>
      <c r="X648" s="722"/>
      <c r="Y648" s="629">
        <v>0</v>
      </c>
      <c r="Z648" s="721"/>
      <c r="AA648" s="722"/>
      <c r="AB648" s="629">
        <v>0</v>
      </c>
      <c r="AC648" s="721"/>
      <c r="AD648" s="722"/>
      <c r="AE648" s="629">
        <v>0</v>
      </c>
      <c r="AF648" s="721"/>
      <c r="AG648" s="722"/>
      <c r="AH648" s="629">
        <v>0</v>
      </c>
      <c r="AI648" s="721"/>
      <c r="AJ648" s="722"/>
      <c r="AK648" s="629">
        <v>0</v>
      </c>
      <c r="AL648" s="721"/>
      <c r="AM648" s="722"/>
      <c r="AN648" s="629">
        <v>0</v>
      </c>
      <c r="AO648" s="721"/>
      <c r="AP648" s="722"/>
      <c r="AQ648" s="629">
        <v>0</v>
      </c>
      <c r="AR648" s="246"/>
      <c r="AS648" s="282"/>
      <c r="AT648" s="244">
        <f t="shared" si="22"/>
        <v>0</v>
      </c>
      <c r="AU648" s="246"/>
      <c r="AV648" s="336"/>
      <c r="AW648" s="285"/>
      <c r="AX648" s="249"/>
      <c r="AY648" s="441">
        <v>97.774377200000004</v>
      </c>
      <c r="AZ648" s="357"/>
      <c r="BA648" s="357"/>
      <c r="BB648" s="357"/>
      <c r="BC648" s="357"/>
    </row>
    <row r="649" spans="1:55" s="24" customFormat="1">
      <c r="A649" s="179"/>
      <c r="B649" s="179"/>
      <c r="C649" s="179"/>
      <c r="D649" s="181">
        <v>338728</v>
      </c>
      <c r="E649" s="181"/>
      <c r="F649" s="181"/>
      <c r="G649" s="1110">
        <v>338728</v>
      </c>
      <c r="H649" s="127" t="s">
        <v>598</v>
      </c>
      <c r="I649" s="519" t="s">
        <v>365</v>
      </c>
      <c r="J649" s="720">
        <v>5.58</v>
      </c>
      <c r="K649" s="721"/>
      <c r="L649" s="722"/>
      <c r="M649" s="629">
        <v>5.22</v>
      </c>
      <c r="N649" s="721"/>
      <c r="O649" s="722"/>
      <c r="P649" s="629">
        <v>4.84</v>
      </c>
      <c r="Q649" s="721"/>
      <c r="R649" s="722"/>
      <c r="S649" s="629">
        <v>5.04</v>
      </c>
      <c r="T649" s="721"/>
      <c r="U649" s="722"/>
      <c r="V649" s="629">
        <v>4.91</v>
      </c>
      <c r="W649" s="721"/>
      <c r="X649" s="722"/>
      <c r="Y649" s="629">
        <v>3.48</v>
      </c>
      <c r="Z649" s="721"/>
      <c r="AA649" s="722"/>
      <c r="AB649" s="629">
        <v>4.91</v>
      </c>
      <c r="AC649" s="721"/>
      <c r="AD649" s="722"/>
      <c r="AE649" s="629">
        <v>4.91</v>
      </c>
      <c r="AF649" s="721"/>
      <c r="AG649" s="722"/>
      <c r="AH649" s="629">
        <v>4.75</v>
      </c>
      <c r="AI649" s="721"/>
      <c r="AJ649" s="722"/>
      <c r="AK649" s="629">
        <v>4.5999999999999996</v>
      </c>
      <c r="AL649" s="721"/>
      <c r="AM649" s="722"/>
      <c r="AN649" s="629">
        <v>5.4</v>
      </c>
      <c r="AO649" s="721"/>
      <c r="AP649" s="722"/>
      <c r="AQ649" s="629">
        <v>5.58</v>
      </c>
      <c r="AR649" s="246"/>
      <c r="AS649" s="282"/>
      <c r="AT649" s="244">
        <f t="shared" si="22"/>
        <v>59.22</v>
      </c>
      <c r="AU649" s="246"/>
      <c r="AV649" s="336"/>
      <c r="AW649" s="285"/>
      <c r="AX649" s="249"/>
      <c r="AY649" s="441">
        <v>64.132987</v>
      </c>
      <c r="AZ649" s="357"/>
      <c r="BA649" s="357"/>
      <c r="BB649" s="357"/>
      <c r="BC649" s="357"/>
    </row>
    <row r="650" spans="1:55" s="24" customFormat="1">
      <c r="A650" s="179"/>
      <c r="B650" s="179"/>
      <c r="C650" s="179"/>
      <c r="D650" s="181">
        <v>338712</v>
      </c>
      <c r="E650" s="181"/>
      <c r="F650" s="181"/>
      <c r="G650" s="1110">
        <v>338712</v>
      </c>
      <c r="H650" s="148" t="s">
        <v>599</v>
      </c>
      <c r="I650" s="516" t="s">
        <v>364</v>
      </c>
      <c r="J650" s="720">
        <v>17.559999999999999</v>
      </c>
      <c r="K650" s="721"/>
      <c r="L650" s="629"/>
      <c r="M650" s="720">
        <v>16.425000000000001</v>
      </c>
      <c r="N650" s="721"/>
      <c r="O650" s="629"/>
      <c r="P650" s="720">
        <v>17.559999999999999</v>
      </c>
      <c r="Q650" s="721"/>
      <c r="R650" s="928"/>
      <c r="S650" s="720">
        <v>11.327</v>
      </c>
      <c r="T650" s="721"/>
      <c r="U650" s="722"/>
      <c r="V650" s="720">
        <v>14.726000000000001</v>
      </c>
      <c r="W650" s="721"/>
      <c r="X650" s="629"/>
      <c r="Y650" s="720">
        <v>7.93</v>
      </c>
      <c r="Z650" s="721"/>
      <c r="AA650" s="629"/>
      <c r="AB650" s="720">
        <v>0</v>
      </c>
      <c r="AC650" s="721"/>
      <c r="AD650" s="629"/>
      <c r="AE650" s="720">
        <v>6.23</v>
      </c>
      <c r="AF650" s="721"/>
      <c r="AG650" s="629"/>
      <c r="AH650" s="720">
        <v>14.16</v>
      </c>
      <c r="AI650" s="721"/>
      <c r="AJ650" s="629"/>
      <c r="AK650" s="720">
        <v>10.765000000000001</v>
      </c>
      <c r="AL650" s="721"/>
      <c r="AM650" s="722"/>
      <c r="AN650" s="720">
        <v>16.989999999999998</v>
      </c>
      <c r="AO650" s="721"/>
      <c r="AP650" s="629"/>
      <c r="AQ650" s="720">
        <v>17.559999999999999</v>
      </c>
      <c r="AR650" s="246"/>
      <c r="AS650" s="282"/>
      <c r="AT650" s="244">
        <f t="shared" si="22"/>
        <v>151.233</v>
      </c>
      <c r="AU650" s="246"/>
      <c r="AV650" s="336"/>
      <c r="AW650" s="285"/>
      <c r="AX650" s="249"/>
      <c r="AY650" s="441">
        <v>166.008543</v>
      </c>
      <c r="AZ650" s="357"/>
      <c r="BA650" s="357"/>
      <c r="BB650" s="357"/>
      <c r="BC650" s="357"/>
    </row>
    <row r="651" spans="1:55" s="24" customFormat="1">
      <c r="A651" s="179"/>
      <c r="B651" s="179"/>
      <c r="C651" s="179"/>
      <c r="D651" s="181">
        <v>338714</v>
      </c>
      <c r="E651" s="181"/>
      <c r="F651" s="181"/>
      <c r="G651" s="1110">
        <v>338714</v>
      </c>
      <c r="H651" s="132" t="s">
        <v>600</v>
      </c>
      <c r="I651" s="516" t="s">
        <v>364</v>
      </c>
      <c r="J651" s="262">
        <f>SUM(J652:J653)</f>
        <v>106.88</v>
      </c>
      <c r="K651" s="246"/>
      <c r="L651" s="282"/>
      <c r="M651" s="317">
        <f>SUM(M652:M653)</f>
        <v>97.11</v>
      </c>
      <c r="N651" s="246"/>
      <c r="O651" s="282"/>
      <c r="P651" s="317">
        <f>SUM(P652:P653)</f>
        <v>102.88</v>
      </c>
      <c r="Q651" s="246"/>
      <c r="R651" s="282"/>
      <c r="S651" s="317">
        <f>SUM(S652:S653)</f>
        <v>75.289999999999992</v>
      </c>
      <c r="T651" s="246"/>
      <c r="U651" s="282"/>
      <c r="V651" s="317">
        <f>SUM(V652:V653)</f>
        <v>65.19</v>
      </c>
      <c r="W651" s="246"/>
      <c r="X651" s="282"/>
      <c r="Y651" s="317">
        <f>SUM(Y652:Y653)</f>
        <v>45.92</v>
      </c>
      <c r="Z651" s="246"/>
      <c r="AA651" s="282"/>
      <c r="AB651" s="317">
        <f>SUM(AB652:AB653)</f>
        <v>69.69</v>
      </c>
      <c r="AC651" s="246"/>
      <c r="AD651" s="282"/>
      <c r="AE651" s="317">
        <f>SUM(AE652:AE653)</f>
        <v>59.37</v>
      </c>
      <c r="AF651" s="246"/>
      <c r="AG651" s="282"/>
      <c r="AH651" s="317">
        <f>SUM(AH652:AH653)</f>
        <v>65.63</v>
      </c>
      <c r="AI651" s="246"/>
      <c r="AJ651" s="282"/>
      <c r="AK651" s="317">
        <f>SUM(AK652:AK653)</f>
        <v>70.965000000000003</v>
      </c>
      <c r="AL651" s="246"/>
      <c r="AM651" s="282"/>
      <c r="AN651" s="317">
        <f>SUM(AN652:AN653)</f>
        <v>101.24000000000001</v>
      </c>
      <c r="AO651" s="246"/>
      <c r="AP651" s="282"/>
      <c r="AQ651" s="317">
        <f>SUM(AQ652:AQ653)</f>
        <v>100.83999999999999</v>
      </c>
      <c r="AR651" s="246"/>
      <c r="AS651" s="282"/>
      <c r="AT651" s="317">
        <f>SUM(AT652:AT653)</f>
        <v>961.00500000000011</v>
      </c>
      <c r="AU651" s="246"/>
      <c r="AV651" s="336"/>
      <c r="AW651" s="285"/>
      <c r="AX651" s="249"/>
      <c r="AY651" s="1068">
        <v>958.82350099999996</v>
      </c>
      <c r="AZ651" s="357"/>
      <c r="BA651" s="357"/>
      <c r="BB651" s="357"/>
      <c r="BC651" s="357"/>
    </row>
    <row r="652" spans="1:55" s="24" customFormat="1">
      <c r="A652" s="179"/>
      <c r="B652" s="179"/>
      <c r="C652" s="179"/>
      <c r="D652" s="181"/>
      <c r="E652" s="181"/>
      <c r="F652" s="181"/>
      <c r="G652" s="1110"/>
      <c r="H652" s="127" t="s">
        <v>601</v>
      </c>
      <c r="I652" s="127"/>
      <c r="J652" s="720">
        <v>36.03</v>
      </c>
      <c r="K652" s="721"/>
      <c r="L652" s="722"/>
      <c r="M652" s="629">
        <v>35.119999999999997</v>
      </c>
      <c r="N652" s="721"/>
      <c r="O652" s="722"/>
      <c r="P652" s="832">
        <v>29.44</v>
      </c>
      <c r="Q652" s="732"/>
      <c r="R652" s="929"/>
      <c r="S652" s="629">
        <v>16.920000000000002</v>
      </c>
      <c r="T652" s="721"/>
      <c r="U652" s="722"/>
      <c r="V652" s="629">
        <v>0</v>
      </c>
      <c r="W652" s="721"/>
      <c r="X652" s="722"/>
      <c r="Y652" s="629">
        <v>0</v>
      </c>
      <c r="Z652" s="721"/>
      <c r="AA652" s="722"/>
      <c r="AB652" s="629">
        <v>0</v>
      </c>
      <c r="AC652" s="721"/>
      <c r="AD652" s="722"/>
      <c r="AE652" s="629">
        <v>0</v>
      </c>
      <c r="AF652" s="721"/>
      <c r="AG652" s="722"/>
      <c r="AH652" s="629">
        <v>0</v>
      </c>
      <c r="AI652" s="721"/>
      <c r="AJ652" s="722"/>
      <c r="AK652" s="629">
        <v>15.7</v>
      </c>
      <c r="AL652" s="721"/>
      <c r="AM652" s="722"/>
      <c r="AN652" s="629">
        <v>33.340000000000003</v>
      </c>
      <c r="AO652" s="721"/>
      <c r="AP652" s="722"/>
      <c r="AQ652" s="629">
        <v>29.99</v>
      </c>
      <c r="AR652" s="246"/>
      <c r="AS652" s="282"/>
      <c r="AT652" s="244">
        <f t="shared" si="22"/>
        <v>196.54000000000002</v>
      </c>
      <c r="AU652" s="246"/>
      <c r="AV652" s="336"/>
      <c r="AW652" s="285"/>
      <c r="AX652" s="249"/>
      <c r="AY652" s="338"/>
      <c r="AZ652" s="357"/>
      <c r="BA652" s="357"/>
      <c r="BB652" s="357"/>
      <c r="BC652" s="357"/>
    </row>
    <row r="653" spans="1:55" s="24" customFormat="1">
      <c r="A653" s="179"/>
      <c r="B653" s="179"/>
      <c r="C653" s="179"/>
      <c r="D653" s="181"/>
      <c r="E653" s="181"/>
      <c r="F653" s="181"/>
      <c r="G653" s="1110"/>
      <c r="H653" s="127" t="s">
        <v>602</v>
      </c>
      <c r="I653" s="127"/>
      <c r="J653" s="720">
        <v>70.849999999999994</v>
      </c>
      <c r="K653" s="721"/>
      <c r="L653" s="722"/>
      <c r="M653" s="629">
        <v>61.99</v>
      </c>
      <c r="N653" s="721"/>
      <c r="O653" s="722"/>
      <c r="P653" s="629">
        <v>73.44</v>
      </c>
      <c r="Q653" s="721"/>
      <c r="R653" s="722"/>
      <c r="S653" s="629">
        <v>58.37</v>
      </c>
      <c r="T653" s="721"/>
      <c r="U653" s="722"/>
      <c r="V653" s="629">
        <v>65.19</v>
      </c>
      <c r="W653" s="721"/>
      <c r="X653" s="722"/>
      <c r="Y653" s="629">
        <v>45.92</v>
      </c>
      <c r="Z653" s="721"/>
      <c r="AA653" s="722"/>
      <c r="AB653" s="629">
        <v>69.69</v>
      </c>
      <c r="AC653" s="721"/>
      <c r="AD653" s="722"/>
      <c r="AE653" s="629">
        <v>59.37</v>
      </c>
      <c r="AF653" s="721"/>
      <c r="AG653" s="722"/>
      <c r="AH653" s="629">
        <v>65.63</v>
      </c>
      <c r="AI653" s="721"/>
      <c r="AJ653" s="722"/>
      <c r="AK653" s="629">
        <v>55.265000000000001</v>
      </c>
      <c r="AL653" s="721"/>
      <c r="AM653" s="722"/>
      <c r="AN653" s="629">
        <v>67.900000000000006</v>
      </c>
      <c r="AO653" s="721"/>
      <c r="AP653" s="722"/>
      <c r="AQ653" s="629">
        <v>70.849999999999994</v>
      </c>
      <c r="AR653" s="246"/>
      <c r="AS653" s="282"/>
      <c r="AT653" s="244">
        <f t="shared" si="22"/>
        <v>764.46500000000003</v>
      </c>
      <c r="AU653" s="246"/>
      <c r="AV653" s="336"/>
      <c r="AW653" s="285"/>
      <c r="AX653" s="249"/>
      <c r="AY653" s="338"/>
      <c r="AZ653" s="357"/>
      <c r="BA653" s="357"/>
      <c r="BB653" s="357"/>
      <c r="BC653" s="357"/>
    </row>
    <row r="654" spans="1:55" s="24" customFormat="1">
      <c r="A654" s="179"/>
      <c r="B654" s="179"/>
      <c r="C654" s="179"/>
      <c r="D654" s="181">
        <v>338710</v>
      </c>
      <c r="E654" s="181"/>
      <c r="F654" s="181"/>
      <c r="G654" s="1110">
        <v>338710</v>
      </c>
      <c r="H654" s="132" t="s">
        <v>603</v>
      </c>
      <c r="I654" s="516" t="s">
        <v>364</v>
      </c>
      <c r="J654" s="262">
        <f>SUM(J655:J656)</f>
        <v>280.64</v>
      </c>
      <c r="K654" s="246"/>
      <c r="L654" s="282"/>
      <c r="M654" s="317">
        <f>SUM(M655:M656)</f>
        <v>261.02</v>
      </c>
      <c r="N654" s="246"/>
      <c r="O654" s="282"/>
      <c r="P654" s="317">
        <f>SUM(P655:P656)</f>
        <v>241.64000000000001</v>
      </c>
      <c r="Q654" s="246"/>
      <c r="R654" s="282"/>
      <c r="S654" s="317">
        <f>SUM(S655:S656)</f>
        <v>194.15</v>
      </c>
      <c r="T654" s="246"/>
      <c r="U654" s="282"/>
      <c r="V654" s="317">
        <f>SUM(V655:V656)</f>
        <v>180.48000000000002</v>
      </c>
      <c r="W654" s="246"/>
      <c r="X654" s="282"/>
      <c r="Y654" s="317">
        <f>SUM(Y655:Y656)</f>
        <v>161.03</v>
      </c>
      <c r="Z654" s="246"/>
      <c r="AA654" s="282"/>
      <c r="AB654" s="317">
        <f>SUM(AB655:AB656)</f>
        <v>136.12</v>
      </c>
      <c r="AC654" s="246"/>
      <c r="AD654" s="282"/>
      <c r="AE654" s="317">
        <f>SUM(AE655:AE656)</f>
        <v>176.83</v>
      </c>
      <c r="AF654" s="246"/>
      <c r="AG654" s="282"/>
      <c r="AH654" s="317">
        <f>SUM(AH655:AH656)</f>
        <v>171.87</v>
      </c>
      <c r="AI654" s="246"/>
      <c r="AJ654" s="282"/>
      <c r="AK654" s="317">
        <f>SUM(AK655:AK656)</f>
        <v>186.42000000000002</v>
      </c>
      <c r="AL654" s="246"/>
      <c r="AM654" s="282"/>
      <c r="AN654" s="317">
        <f>SUM(AN655:AN656)</f>
        <v>212.65</v>
      </c>
      <c r="AO654" s="246"/>
      <c r="AP654" s="282"/>
      <c r="AQ654" s="317">
        <f>SUM(AQ655:AQ656)</f>
        <v>259.23</v>
      </c>
      <c r="AR654" s="246"/>
      <c r="AS654" s="282"/>
      <c r="AT654" s="317">
        <f>SUM(AT655:AT656)</f>
        <v>2462.08</v>
      </c>
      <c r="AU654" s="246"/>
      <c r="AV654" s="336"/>
      <c r="AW654" s="285"/>
      <c r="AX654" s="249"/>
      <c r="AY654" s="1068">
        <v>2043.7484489999999</v>
      </c>
      <c r="AZ654" s="357"/>
      <c r="BA654" s="357"/>
      <c r="BB654" s="357"/>
      <c r="BC654" s="357"/>
    </row>
    <row r="655" spans="1:55" s="24" customFormat="1">
      <c r="A655" s="179"/>
      <c r="B655" s="179"/>
      <c r="C655" s="179"/>
      <c r="D655" s="181"/>
      <c r="E655" s="181"/>
      <c r="F655" s="181"/>
      <c r="G655" s="1110"/>
      <c r="H655" s="127" t="s">
        <v>604</v>
      </c>
      <c r="I655" s="127"/>
      <c r="J655" s="1171">
        <f>141.44+60</f>
        <v>201.44</v>
      </c>
      <c r="K655" s="721"/>
      <c r="L655" s="722"/>
      <c r="M655" s="345">
        <f>151.82+30</f>
        <v>181.82</v>
      </c>
      <c r="N655" s="721"/>
      <c r="O655" s="722"/>
      <c r="P655" s="345">
        <f>120.36+50</f>
        <v>170.36</v>
      </c>
      <c r="Q655" s="721"/>
      <c r="R655" s="722"/>
      <c r="S655" s="720">
        <v>95.15</v>
      </c>
      <c r="T655" s="721"/>
      <c r="U655" s="722"/>
      <c r="V655" s="629">
        <v>70.97</v>
      </c>
      <c r="W655" s="721"/>
      <c r="X655" s="722"/>
      <c r="Y655" s="629">
        <v>58.01</v>
      </c>
      <c r="Z655" s="721"/>
      <c r="AA655" s="722"/>
      <c r="AB655" s="802">
        <f>58.15+16.87+50</f>
        <v>125.02</v>
      </c>
      <c r="AC655" s="721"/>
      <c r="AD655" s="722"/>
      <c r="AE655" s="345">
        <f>59.9+10</f>
        <v>69.900000000000006</v>
      </c>
      <c r="AF655" s="721"/>
      <c r="AG655" s="722"/>
      <c r="AH655" s="629">
        <v>65.12</v>
      </c>
      <c r="AI655" s="721"/>
      <c r="AJ655" s="722"/>
      <c r="AK655" s="629">
        <v>95.34</v>
      </c>
      <c r="AL655" s="721"/>
      <c r="AM655" s="722"/>
      <c r="AN655" s="629">
        <v>117.61</v>
      </c>
      <c r="AO655" s="721"/>
      <c r="AP655" s="722"/>
      <c r="AQ655" s="345">
        <f>141.91+50</f>
        <v>191.91</v>
      </c>
      <c r="AR655" s="246"/>
      <c r="AS655" s="282"/>
      <c r="AT655" s="244">
        <f t="shared" si="22"/>
        <v>1442.6499999999999</v>
      </c>
      <c r="AU655" s="246"/>
      <c r="AV655" s="336"/>
      <c r="AW655" s="285"/>
      <c r="AX655" s="249"/>
      <c r="AY655" s="249"/>
      <c r="AZ655" s="357"/>
      <c r="BA655" s="357"/>
      <c r="BB655" s="357"/>
      <c r="BC655" s="357"/>
    </row>
    <row r="656" spans="1:55" s="24" customFormat="1">
      <c r="A656" s="179"/>
      <c r="B656" s="179"/>
      <c r="C656" s="179"/>
      <c r="D656" s="181"/>
      <c r="E656" s="181"/>
      <c r="F656" s="181"/>
      <c r="G656" s="1110"/>
      <c r="H656" s="127" t="s">
        <v>605</v>
      </c>
      <c r="I656" s="127"/>
      <c r="J656" s="720">
        <v>79.2</v>
      </c>
      <c r="K656" s="721"/>
      <c r="L656" s="722"/>
      <c r="M656" s="629">
        <v>79.2</v>
      </c>
      <c r="N656" s="721"/>
      <c r="O656" s="722"/>
      <c r="P656" s="629">
        <v>71.28</v>
      </c>
      <c r="Q656" s="721"/>
      <c r="R656" s="722"/>
      <c r="S656" s="629">
        <v>99</v>
      </c>
      <c r="T656" s="721"/>
      <c r="U656" s="722"/>
      <c r="V656" s="629">
        <v>109.51</v>
      </c>
      <c r="W656" s="721"/>
      <c r="X656" s="722"/>
      <c r="Y656" s="629">
        <v>103.02</v>
      </c>
      <c r="Z656" s="721"/>
      <c r="AA656" s="722"/>
      <c r="AB656" s="629">
        <v>11.1</v>
      </c>
      <c r="AC656" s="721"/>
      <c r="AD656" s="722"/>
      <c r="AE656" s="629">
        <v>106.93</v>
      </c>
      <c r="AF656" s="721"/>
      <c r="AG656" s="722"/>
      <c r="AH656" s="629">
        <v>106.75</v>
      </c>
      <c r="AI656" s="721"/>
      <c r="AJ656" s="722"/>
      <c r="AK656" s="629">
        <v>91.08</v>
      </c>
      <c r="AL656" s="721"/>
      <c r="AM656" s="722"/>
      <c r="AN656" s="629">
        <v>95.04</v>
      </c>
      <c r="AO656" s="721"/>
      <c r="AP656" s="722"/>
      <c r="AQ656" s="629">
        <v>67.319999999999993</v>
      </c>
      <c r="AR656" s="246"/>
      <c r="AS656" s="282"/>
      <c r="AT656" s="244">
        <f t="shared" si="22"/>
        <v>1019.4300000000001</v>
      </c>
      <c r="AU656" s="246"/>
      <c r="AV656" s="336"/>
      <c r="AW656" s="285"/>
      <c r="AX656" s="249"/>
      <c r="AY656" s="249"/>
      <c r="AZ656" s="357"/>
      <c r="BA656" s="357"/>
      <c r="BB656" s="357"/>
      <c r="BC656" s="357"/>
    </row>
    <row r="657" spans="1:55" s="24" customFormat="1">
      <c r="A657" s="179"/>
      <c r="B657" s="179"/>
      <c r="C657" s="179"/>
      <c r="D657" s="181">
        <v>338715</v>
      </c>
      <c r="E657" s="181"/>
      <c r="F657" s="181"/>
      <c r="G657" s="1110">
        <v>338715</v>
      </c>
      <c r="H657" s="127" t="s">
        <v>606</v>
      </c>
      <c r="I657" s="519" t="s">
        <v>365</v>
      </c>
      <c r="J657" s="720">
        <v>0</v>
      </c>
      <c r="K657" s="721"/>
      <c r="L657" s="722"/>
      <c r="M657" s="629">
        <v>0</v>
      </c>
      <c r="N657" s="721"/>
      <c r="O657" s="722"/>
      <c r="P657" s="629">
        <v>0</v>
      </c>
      <c r="Q657" s="721"/>
      <c r="R657" s="722"/>
      <c r="S657" s="629">
        <v>0</v>
      </c>
      <c r="T657" s="721"/>
      <c r="U657" s="722"/>
      <c r="V657" s="629">
        <v>0</v>
      </c>
      <c r="W657" s="721"/>
      <c r="X657" s="722"/>
      <c r="Y657" s="629">
        <v>0</v>
      </c>
      <c r="Z657" s="721"/>
      <c r="AA657" s="722"/>
      <c r="AB657" s="629">
        <v>0</v>
      </c>
      <c r="AC657" s="721"/>
      <c r="AD657" s="722"/>
      <c r="AE657" s="629">
        <v>0</v>
      </c>
      <c r="AF657" s="721"/>
      <c r="AG657" s="722"/>
      <c r="AH657" s="629">
        <v>0</v>
      </c>
      <c r="AI657" s="721"/>
      <c r="AJ657" s="722"/>
      <c r="AK657" s="629">
        <v>0</v>
      </c>
      <c r="AL657" s="721"/>
      <c r="AM657" s="722"/>
      <c r="AN657" s="629">
        <v>0</v>
      </c>
      <c r="AO657" s="721"/>
      <c r="AP657" s="722"/>
      <c r="AQ657" s="629">
        <v>0</v>
      </c>
      <c r="AR657" s="246"/>
      <c r="AS657" s="282"/>
      <c r="AT657" s="244">
        <f t="shared" si="22"/>
        <v>0</v>
      </c>
      <c r="AU657" s="246"/>
      <c r="AV657" s="336"/>
      <c r="AW657" s="285"/>
      <c r="AX657" s="249"/>
      <c r="AY657" s="441">
        <v>25.172702000000001</v>
      </c>
      <c r="AZ657" s="357"/>
      <c r="BA657" s="357"/>
      <c r="BB657" s="357"/>
      <c r="BC657" s="357"/>
    </row>
    <row r="658" spans="1:55" s="24" customFormat="1">
      <c r="A658" s="179"/>
      <c r="B658" s="179"/>
      <c r="C658" s="179"/>
      <c r="D658" s="181">
        <v>338711</v>
      </c>
      <c r="E658" s="181"/>
      <c r="F658" s="181"/>
      <c r="G658" s="1110">
        <v>338711</v>
      </c>
      <c r="H658" s="132" t="s">
        <v>607</v>
      </c>
      <c r="I658" s="516" t="s">
        <v>364</v>
      </c>
      <c r="J658" s="262">
        <f>J659+J660</f>
        <v>123.80000000000001</v>
      </c>
      <c r="K658" s="246"/>
      <c r="L658" s="282"/>
      <c r="M658" s="317">
        <f>M659+M660</f>
        <v>112.9</v>
      </c>
      <c r="N658" s="246"/>
      <c r="O658" s="282"/>
      <c r="P658" s="317">
        <f>P659+P660</f>
        <v>96.57</v>
      </c>
      <c r="Q658" s="246"/>
      <c r="R658" s="282"/>
      <c r="S658" s="317">
        <f>S659+S660</f>
        <v>84.47</v>
      </c>
      <c r="T658" s="246"/>
      <c r="U658" s="282"/>
      <c r="V658" s="317">
        <f>V659+V660</f>
        <v>62.510000000000005</v>
      </c>
      <c r="W658" s="246"/>
      <c r="X658" s="282"/>
      <c r="Y658" s="317">
        <f>Y659+Y660</f>
        <v>62.01</v>
      </c>
      <c r="Z658" s="246"/>
      <c r="AA658" s="282"/>
      <c r="AB658" s="317">
        <f>AB659+AB660</f>
        <v>65.739999999999995</v>
      </c>
      <c r="AC658" s="246"/>
      <c r="AD658" s="282"/>
      <c r="AE658" s="317">
        <f>AE659+AE660</f>
        <v>83.66</v>
      </c>
      <c r="AF658" s="246"/>
      <c r="AG658" s="282"/>
      <c r="AH658" s="317">
        <f>AH659+AH660</f>
        <v>63.92</v>
      </c>
      <c r="AI658" s="246"/>
      <c r="AJ658" s="282"/>
      <c r="AK658" s="317">
        <f>AK659+AK660</f>
        <v>97.29</v>
      </c>
      <c r="AL658" s="246"/>
      <c r="AM658" s="282"/>
      <c r="AN658" s="317">
        <f>AN659+AN660</f>
        <v>102.62</v>
      </c>
      <c r="AO658" s="246"/>
      <c r="AP658" s="282"/>
      <c r="AQ658" s="317">
        <f>AQ659+AQ660</f>
        <v>118.4</v>
      </c>
      <c r="AR658" s="246"/>
      <c r="AS658" s="282"/>
      <c r="AT658" s="317">
        <f>AT659+AT660</f>
        <v>1073.8899999999999</v>
      </c>
      <c r="AU658" s="246"/>
      <c r="AV658" s="336"/>
      <c r="AW658" s="285"/>
      <c r="AX658" s="249"/>
      <c r="AY658" s="440">
        <v>990.960013</v>
      </c>
      <c r="AZ658" s="357"/>
      <c r="BA658" s="357"/>
      <c r="BB658" s="357"/>
      <c r="BC658" s="357"/>
    </row>
    <row r="659" spans="1:55" s="24" customFormat="1">
      <c r="A659" s="179"/>
      <c r="B659" s="179"/>
      <c r="C659" s="179"/>
      <c r="D659" s="181"/>
      <c r="E659" s="181"/>
      <c r="F659" s="181"/>
      <c r="G659" s="1110"/>
      <c r="H659" s="127" t="s">
        <v>608</v>
      </c>
      <c r="I659" s="127"/>
      <c r="J659" s="720">
        <v>107.43</v>
      </c>
      <c r="K659" s="721"/>
      <c r="L659" s="722"/>
      <c r="M659" s="629">
        <v>103.9</v>
      </c>
      <c r="N659" s="721"/>
      <c r="O659" s="722"/>
      <c r="P659" s="629">
        <v>77.97</v>
      </c>
      <c r="Q659" s="721"/>
      <c r="R659" s="722"/>
      <c r="S659" s="629">
        <v>67.19</v>
      </c>
      <c r="T659" s="721"/>
      <c r="U659" s="722"/>
      <c r="V659" s="629">
        <v>54.45</v>
      </c>
      <c r="W659" s="721"/>
      <c r="X659" s="722"/>
      <c r="Y659" s="629">
        <v>62.01</v>
      </c>
      <c r="Z659" s="721"/>
      <c r="AA659" s="722"/>
      <c r="AB659" s="629">
        <v>65.739999999999995</v>
      </c>
      <c r="AC659" s="721"/>
      <c r="AD659" s="722"/>
      <c r="AE659" s="1171">
        <f>42.83+20</f>
        <v>62.83</v>
      </c>
      <c r="AF659" s="721"/>
      <c r="AG659" s="722"/>
      <c r="AH659" s="629">
        <v>43.76</v>
      </c>
      <c r="AI659" s="721"/>
      <c r="AJ659" s="722"/>
      <c r="AK659" s="629">
        <v>88.29</v>
      </c>
      <c r="AL659" s="721"/>
      <c r="AM659" s="722"/>
      <c r="AN659" s="720">
        <v>83.9</v>
      </c>
      <c r="AO659" s="721"/>
      <c r="AP659" s="722"/>
      <c r="AQ659" s="629">
        <v>100.54</v>
      </c>
      <c r="AR659" s="246"/>
      <c r="AS659" s="282"/>
      <c r="AT659" s="244">
        <f t="shared" si="22"/>
        <v>918.00999999999988</v>
      </c>
      <c r="AU659" s="246"/>
      <c r="AV659" s="336"/>
      <c r="AW659" s="285"/>
      <c r="AX659" s="249"/>
      <c r="AY659" s="249"/>
      <c r="AZ659" s="357"/>
      <c r="BA659" s="357"/>
      <c r="BB659" s="357"/>
      <c r="BC659" s="357"/>
    </row>
    <row r="660" spans="1:55" s="24" customFormat="1">
      <c r="A660" s="179"/>
      <c r="B660" s="179"/>
      <c r="C660" s="179"/>
      <c r="D660" s="181"/>
      <c r="E660" s="181"/>
      <c r="F660" s="181"/>
      <c r="G660" s="1110"/>
      <c r="H660" s="127" t="s">
        <v>609</v>
      </c>
      <c r="I660" s="127"/>
      <c r="J660" s="720">
        <v>16.37</v>
      </c>
      <c r="K660" s="721"/>
      <c r="L660" s="722"/>
      <c r="M660" s="629">
        <v>9</v>
      </c>
      <c r="N660" s="721"/>
      <c r="O660" s="722"/>
      <c r="P660" s="629">
        <v>18.600000000000001</v>
      </c>
      <c r="Q660" s="721"/>
      <c r="R660" s="722"/>
      <c r="S660" s="629">
        <v>17.28</v>
      </c>
      <c r="T660" s="721"/>
      <c r="U660" s="722"/>
      <c r="V660" s="629">
        <v>8.06</v>
      </c>
      <c r="W660" s="721"/>
      <c r="X660" s="722"/>
      <c r="Y660" s="629">
        <v>0</v>
      </c>
      <c r="Z660" s="721"/>
      <c r="AA660" s="722"/>
      <c r="AB660" s="629">
        <v>0</v>
      </c>
      <c r="AC660" s="721"/>
      <c r="AD660" s="722"/>
      <c r="AE660" s="629">
        <v>20.83</v>
      </c>
      <c r="AF660" s="721"/>
      <c r="AG660" s="722"/>
      <c r="AH660" s="832">
        <v>20.16</v>
      </c>
      <c r="AI660" s="732"/>
      <c r="AJ660" s="929"/>
      <c r="AK660" s="629">
        <v>9</v>
      </c>
      <c r="AL660" s="721"/>
      <c r="AM660" s="722"/>
      <c r="AN660" s="629">
        <v>18.72</v>
      </c>
      <c r="AO660" s="721"/>
      <c r="AP660" s="722"/>
      <c r="AQ660" s="629">
        <v>17.86</v>
      </c>
      <c r="AR660" s="246"/>
      <c r="AS660" s="282"/>
      <c r="AT660" s="244">
        <f t="shared" si="22"/>
        <v>155.88</v>
      </c>
      <c r="AU660" s="246"/>
      <c r="AV660" s="336"/>
      <c r="AW660" s="285"/>
      <c r="AX660" s="249"/>
      <c r="AY660" s="249"/>
      <c r="AZ660" s="357"/>
      <c r="BA660" s="357"/>
      <c r="BB660" s="357"/>
      <c r="BC660" s="357"/>
    </row>
    <row r="661" spans="1:55" s="110" customFormat="1">
      <c r="A661" s="179"/>
      <c r="B661" s="179"/>
      <c r="C661" s="179"/>
      <c r="D661" s="181">
        <v>338719</v>
      </c>
      <c r="E661" s="181"/>
      <c r="F661" s="181"/>
      <c r="G661" s="1110">
        <v>338719</v>
      </c>
      <c r="H661" s="127" t="s">
        <v>610</v>
      </c>
      <c r="I661" s="516" t="s">
        <v>364</v>
      </c>
      <c r="J661" s="720">
        <v>69.19</v>
      </c>
      <c r="K661" s="721"/>
      <c r="L661" s="722"/>
      <c r="M661" s="629">
        <v>59.86</v>
      </c>
      <c r="N661" s="721"/>
      <c r="O661" s="722"/>
      <c r="P661" s="629">
        <v>66.959999999999994</v>
      </c>
      <c r="Q661" s="721"/>
      <c r="R661" s="722"/>
      <c r="S661" s="629">
        <v>36</v>
      </c>
      <c r="T661" s="721"/>
      <c r="U661" s="722"/>
      <c r="V661" s="629">
        <v>27.6</v>
      </c>
      <c r="W661" s="721"/>
      <c r="X661" s="722"/>
      <c r="Y661" s="629">
        <v>31.14</v>
      </c>
      <c r="Z661" s="721"/>
      <c r="AA661" s="722"/>
      <c r="AB661" s="629">
        <v>32.18</v>
      </c>
      <c r="AC661" s="721"/>
      <c r="AD661" s="722"/>
      <c r="AE661" s="629">
        <v>32.18</v>
      </c>
      <c r="AF661" s="721"/>
      <c r="AG661" s="722"/>
      <c r="AH661" s="629">
        <v>31.15</v>
      </c>
      <c r="AI661" s="721"/>
      <c r="AJ661" s="722"/>
      <c r="AK661" s="629">
        <v>37.200000000000003</v>
      </c>
      <c r="AL661" s="721"/>
      <c r="AM661" s="722"/>
      <c r="AN661" s="629">
        <v>79.2</v>
      </c>
      <c r="AO661" s="721"/>
      <c r="AP661" s="722"/>
      <c r="AQ661" s="345">
        <f>81.84+10</f>
        <v>91.84</v>
      </c>
      <c r="AR661" s="246"/>
      <c r="AS661" s="282"/>
      <c r="AT661" s="244">
        <f t="shared" si="22"/>
        <v>594.5</v>
      </c>
      <c r="AU661" s="246"/>
      <c r="AV661" s="336"/>
      <c r="AW661" s="285"/>
      <c r="AX661" s="249"/>
      <c r="AY661" s="441">
        <v>709.654943</v>
      </c>
      <c r="AZ661" s="356"/>
      <c r="BA661" s="356"/>
      <c r="BB661" s="356"/>
      <c r="BC661" s="356"/>
    </row>
    <row r="662" spans="1:55" s="110" customFormat="1">
      <c r="A662" s="179"/>
      <c r="B662" s="179"/>
      <c r="C662" s="179"/>
      <c r="D662" s="181">
        <v>338716</v>
      </c>
      <c r="E662" s="181"/>
      <c r="F662" s="181"/>
      <c r="G662" s="1110">
        <v>338716</v>
      </c>
      <c r="H662" s="148" t="s">
        <v>611</v>
      </c>
      <c r="I662" s="516" t="s">
        <v>364</v>
      </c>
      <c r="J662" s="629">
        <v>13.7</v>
      </c>
      <c r="K662" s="721"/>
      <c r="L662" s="722"/>
      <c r="M662" s="720">
        <v>14.268000000000001</v>
      </c>
      <c r="N662" s="721"/>
      <c r="O662" s="722"/>
      <c r="P662" s="720">
        <v>10.75</v>
      </c>
      <c r="Q662" s="721"/>
      <c r="R662" s="722"/>
      <c r="S662" s="720">
        <v>14.616</v>
      </c>
      <c r="T662" s="721"/>
      <c r="U662" s="722"/>
      <c r="V662" s="720">
        <v>7.49</v>
      </c>
      <c r="W662" s="721"/>
      <c r="X662" s="722"/>
      <c r="Y662" s="720">
        <v>3.96</v>
      </c>
      <c r="Z662" s="721"/>
      <c r="AA662" s="722"/>
      <c r="AB662" s="720">
        <v>3.72</v>
      </c>
      <c r="AC662" s="721"/>
      <c r="AD662" s="722"/>
      <c r="AE662" s="720">
        <v>2.52</v>
      </c>
      <c r="AF662" s="721"/>
      <c r="AG662" s="722"/>
      <c r="AH662" s="720">
        <v>5.04</v>
      </c>
      <c r="AI662" s="721"/>
      <c r="AJ662" s="722"/>
      <c r="AK662" s="720">
        <v>12.48</v>
      </c>
      <c r="AL662" s="721"/>
      <c r="AM662" s="722"/>
      <c r="AN662" s="720">
        <v>14.1</v>
      </c>
      <c r="AO662" s="721"/>
      <c r="AP662" s="722"/>
      <c r="AQ662" s="720">
        <v>11.78</v>
      </c>
      <c r="AR662" s="246"/>
      <c r="AS662" s="282"/>
      <c r="AT662" s="244">
        <f t="shared" si="22"/>
        <v>114.42400000000001</v>
      </c>
      <c r="AU662" s="246"/>
      <c r="AV662" s="336"/>
      <c r="AW662" s="285"/>
      <c r="AX662" s="249"/>
      <c r="AY662" s="441">
        <v>62.173107000000002</v>
      </c>
      <c r="AZ662" s="356"/>
      <c r="BA662" s="356"/>
      <c r="BB662" s="356"/>
      <c r="BC662" s="356"/>
    </row>
    <row r="663" spans="1:55" s="110" customFormat="1">
      <c r="A663" s="179"/>
      <c r="B663" s="179"/>
      <c r="C663" s="179"/>
      <c r="D663" s="181">
        <v>338702</v>
      </c>
      <c r="E663" s="181"/>
      <c r="F663" s="181"/>
      <c r="G663" s="1110">
        <v>338702</v>
      </c>
      <c r="H663" s="132" t="s">
        <v>612</v>
      </c>
      <c r="I663" s="516" t="s">
        <v>364</v>
      </c>
      <c r="J663" s="262">
        <f>SUM(J664:J665)</f>
        <v>1086.3000000000002</v>
      </c>
      <c r="K663" s="246"/>
      <c r="L663" s="282"/>
      <c r="M663" s="317">
        <f>SUM(M664:M665)</f>
        <v>1121.5</v>
      </c>
      <c r="N663" s="246"/>
      <c r="O663" s="282"/>
      <c r="P663" s="317">
        <f>SUM(P664:P665)</f>
        <v>1184.5999999999999</v>
      </c>
      <c r="Q663" s="246"/>
      <c r="R663" s="282"/>
      <c r="S663" s="317">
        <f>SUM(S664:S665)</f>
        <v>1193.2</v>
      </c>
      <c r="T663" s="246"/>
      <c r="U663" s="282"/>
      <c r="V663" s="317">
        <f>SUM(V664:V665)</f>
        <v>1162.0999999999999</v>
      </c>
      <c r="W663" s="246"/>
      <c r="X663" s="282"/>
      <c r="Y663" s="317">
        <f>SUM(Y664:Y665)</f>
        <v>1186.5</v>
      </c>
      <c r="Z663" s="246"/>
      <c r="AA663" s="282"/>
      <c r="AB663" s="317">
        <f>SUM(AB664:AB665)</f>
        <v>1243.2</v>
      </c>
      <c r="AC663" s="246"/>
      <c r="AD663" s="282"/>
      <c r="AE663" s="317">
        <f>SUM(AE664:AE665)</f>
        <v>1193.7</v>
      </c>
      <c r="AF663" s="246"/>
      <c r="AG663" s="282"/>
      <c r="AH663" s="317">
        <f>SUM(AH664:AH665)</f>
        <v>1194.2</v>
      </c>
      <c r="AI663" s="246"/>
      <c r="AJ663" s="282"/>
      <c r="AK663" s="317">
        <f>SUM(AK664:AK665)</f>
        <v>1224.5999999999999</v>
      </c>
      <c r="AL663" s="246"/>
      <c r="AM663" s="282"/>
      <c r="AN663" s="317">
        <f>SUM(AN664:AN665)</f>
        <v>1247.7</v>
      </c>
      <c r="AO663" s="246"/>
      <c r="AP663" s="282"/>
      <c r="AQ663" s="317">
        <f>SUM(AQ664:AQ665)</f>
        <v>1372.7</v>
      </c>
      <c r="AR663" s="246"/>
      <c r="AS663" s="282"/>
      <c r="AT663" s="317">
        <f>SUM(AT664:AT665)</f>
        <v>14410.300000000001</v>
      </c>
      <c r="AU663" s="246"/>
      <c r="AV663" s="336"/>
      <c r="AW663" s="285"/>
      <c r="AX663" s="249"/>
      <c r="AY663" s="440">
        <v>14891.976834999999</v>
      </c>
      <c r="AZ663" s="356"/>
      <c r="BA663" s="356"/>
      <c r="BB663" s="356"/>
      <c r="BC663" s="356"/>
    </row>
    <row r="664" spans="1:55" s="110" customFormat="1">
      <c r="A664" s="179"/>
      <c r="B664" s="179"/>
      <c r="C664" s="179"/>
      <c r="D664" s="181"/>
      <c r="E664" s="181"/>
      <c r="F664" s="181"/>
      <c r="G664" s="1110"/>
      <c r="H664" s="127" t="s">
        <v>918</v>
      </c>
      <c r="I664" s="516"/>
      <c r="J664" s="732">
        <v>559.20000000000005</v>
      </c>
      <c r="K664" s="724"/>
      <c r="L664" s="725"/>
      <c r="M664" s="732">
        <v>560.9</v>
      </c>
      <c r="N664" s="724"/>
      <c r="O664" s="725"/>
      <c r="P664" s="737">
        <f>560.9+30</f>
        <v>590.9</v>
      </c>
      <c r="Q664" s="724"/>
      <c r="R664" s="725"/>
      <c r="S664" s="737">
        <f>546.1+50</f>
        <v>596.1</v>
      </c>
      <c r="T664" s="724"/>
      <c r="U664" s="725"/>
      <c r="V664" s="737">
        <f>693.7+160</f>
        <v>853.7</v>
      </c>
      <c r="W664" s="724"/>
      <c r="X664" s="725"/>
      <c r="Y664" s="737">
        <f>575.6+180</f>
        <v>755.6</v>
      </c>
      <c r="Z664" s="724"/>
      <c r="AA664" s="725"/>
      <c r="AB664" s="737">
        <f>546.1+230</f>
        <v>776.1</v>
      </c>
      <c r="AC664" s="724"/>
      <c r="AD664" s="725"/>
      <c r="AE664" s="737">
        <f>516.6+210</f>
        <v>726.6</v>
      </c>
      <c r="AF664" s="724"/>
      <c r="AG664" s="725"/>
      <c r="AH664" s="737">
        <f>487.1+240</f>
        <v>727.1</v>
      </c>
      <c r="AI664" s="724"/>
      <c r="AJ664" s="725"/>
      <c r="AK664" s="737">
        <f>560.9+200</f>
        <v>760.9</v>
      </c>
      <c r="AL664" s="724"/>
      <c r="AM664" s="725"/>
      <c r="AN664" s="802">
        <f>369+135+250</f>
        <v>754</v>
      </c>
      <c r="AO664" s="724"/>
      <c r="AP664" s="725"/>
      <c r="AQ664" s="737">
        <f>575.6+200</f>
        <v>775.6</v>
      </c>
      <c r="AR664" s="246"/>
      <c r="AS664" s="282"/>
      <c r="AT664" s="244">
        <f t="shared" si="22"/>
        <v>8436.7000000000007</v>
      </c>
      <c r="AU664" s="246"/>
      <c r="AV664" s="336"/>
      <c r="AW664" s="285"/>
      <c r="AX664" s="249"/>
      <c r="AY664" s="441"/>
      <c r="AZ664" s="356"/>
      <c r="BA664" s="356"/>
      <c r="BB664" s="356"/>
      <c r="BC664" s="356"/>
    </row>
    <row r="665" spans="1:55" s="110" customFormat="1">
      <c r="A665" s="179"/>
      <c r="B665" s="179"/>
      <c r="C665" s="179"/>
      <c r="D665" s="181"/>
      <c r="E665" s="181"/>
      <c r="F665" s="181"/>
      <c r="G665" s="1110"/>
      <c r="H665" s="127" t="s">
        <v>919</v>
      </c>
      <c r="I665" s="516"/>
      <c r="J665" s="737">
        <f>447.1+80</f>
        <v>527.1</v>
      </c>
      <c r="K665" s="724"/>
      <c r="L665" s="725"/>
      <c r="M665" s="737">
        <f>430.6+130</f>
        <v>560.6</v>
      </c>
      <c r="N665" s="724"/>
      <c r="O665" s="725"/>
      <c r="P665" s="737">
        <f>463.7+130</f>
        <v>593.70000000000005</v>
      </c>
      <c r="Q665" s="724"/>
      <c r="R665" s="725"/>
      <c r="S665" s="737">
        <f>447.1+150</f>
        <v>597.1</v>
      </c>
      <c r="T665" s="724"/>
      <c r="U665" s="725"/>
      <c r="V665" s="737">
        <f>248.4+60</f>
        <v>308.39999999999998</v>
      </c>
      <c r="W665" s="724"/>
      <c r="X665" s="725"/>
      <c r="Y665" s="737">
        <f>380.9+50</f>
        <v>430.9</v>
      </c>
      <c r="Z665" s="724"/>
      <c r="AA665" s="725"/>
      <c r="AB665" s="737">
        <f>447.1+20</f>
        <v>467.1</v>
      </c>
      <c r="AC665" s="724"/>
      <c r="AD665" s="725"/>
      <c r="AE665" s="737">
        <f>447.1+20</f>
        <v>467.1</v>
      </c>
      <c r="AF665" s="724"/>
      <c r="AG665" s="725"/>
      <c r="AH665" s="737">
        <f>447.1+20</f>
        <v>467.1</v>
      </c>
      <c r="AI665" s="724"/>
      <c r="AJ665" s="725"/>
      <c r="AK665" s="720">
        <v>463.7</v>
      </c>
      <c r="AL665" s="724"/>
      <c r="AM665" s="725"/>
      <c r="AN665" s="737">
        <f>463.7+30</f>
        <v>493.7</v>
      </c>
      <c r="AO665" s="724"/>
      <c r="AP665" s="725"/>
      <c r="AQ665" s="737">
        <f>447.1+150</f>
        <v>597.1</v>
      </c>
      <c r="AR665" s="246"/>
      <c r="AS665" s="282"/>
      <c r="AT665" s="244">
        <f t="shared" si="22"/>
        <v>5973.6</v>
      </c>
      <c r="AU665" s="246"/>
      <c r="AV665" s="336"/>
      <c r="AW665" s="285"/>
      <c r="AX665" s="249"/>
      <c r="AY665" s="441"/>
      <c r="AZ665" s="356"/>
      <c r="BA665" s="356"/>
      <c r="BB665" s="356"/>
      <c r="BC665" s="356"/>
    </row>
    <row r="666" spans="1:55" s="24" customFormat="1">
      <c r="A666" s="1116"/>
      <c r="B666" s="1116"/>
      <c r="C666" s="1116"/>
      <c r="D666" s="1110">
        <v>338701</v>
      </c>
      <c r="E666" s="1110"/>
      <c r="F666" s="1110"/>
      <c r="G666" s="1110">
        <v>338701</v>
      </c>
      <c r="H666" s="132" t="s">
        <v>920</v>
      </c>
      <c r="I666" s="516" t="s">
        <v>364</v>
      </c>
      <c r="J666" s="262">
        <f>SUM(J667:J668)</f>
        <v>486.68</v>
      </c>
      <c r="K666" s="246"/>
      <c r="L666" s="282"/>
      <c r="M666" s="317">
        <f>SUM(M667:M668)</f>
        <v>495.78</v>
      </c>
      <c r="N666" s="246"/>
      <c r="O666" s="282"/>
      <c r="P666" s="317">
        <f>SUM(P667:P668)</f>
        <v>490.18</v>
      </c>
      <c r="Q666" s="246"/>
      <c r="R666" s="282"/>
      <c r="S666" s="317">
        <f>SUM(S667:S668)</f>
        <v>471.68000000000006</v>
      </c>
      <c r="T666" s="246"/>
      <c r="U666" s="282"/>
      <c r="V666" s="317">
        <f>SUM(V667:V668)</f>
        <v>405.75</v>
      </c>
      <c r="W666" s="246"/>
      <c r="X666" s="282"/>
      <c r="Y666" s="317">
        <f>SUM(Y667:Y668)</f>
        <v>439.36</v>
      </c>
      <c r="Z666" s="246"/>
      <c r="AA666" s="282"/>
      <c r="AB666" s="317">
        <f>SUM(AB667:AB668)</f>
        <v>481.75</v>
      </c>
      <c r="AC666" s="246"/>
      <c r="AD666" s="282"/>
      <c r="AE666" s="317">
        <f>SUM(AE667:AE668)</f>
        <v>342.53000000000003</v>
      </c>
      <c r="AF666" s="246"/>
      <c r="AG666" s="282"/>
      <c r="AH666" s="317">
        <f>SUM(AH667:AH668)</f>
        <v>332.35</v>
      </c>
      <c r="AI666" s="246"/>
      <c r="AJ666" s="282"/>
      <c r="AK666" s="317">
        <f>SUM(AK667:AK668)</f>
        <v>483.28</v>
      </c>
      <c r="AL666" s="246"/>
      <c r="AM666" s="282"/>
      <c r="AN666" s="317">
        <f>SUM(AN667:AN668)</f>
        <v>486.98</v>
      </c>
      <c r="AO666" s="246"/>
      <c r="AP666" s="282"/>
      <c r="AQ666" s="317">
        <f>SUM(AQ667:AQ668)</f>
        <v>487.68</v>
      </c>
      <c r="AR666" s="246"/>
      <c r="AS666" s="282"/>
      <c r="AT666" s="317">
        <f>SUM(AT667:AT668)</f>
        <v>5404</v>
      </c>
      <c r="AU666" s="246"/>
      <c r="AV666" s="336"/>
      <c r="AW666" s="285"/>
      <c r="AX666" s="249"/>
      <c r="AY666" s="440">
        <v>4536.0284860000002</v>
      </c>
      <c r="AZ666" s="357"/>
      <c r="BA666" s="357"/>
      <c r="BB666" s="357"/>
      <c r="BC666" s="357"/>
    </row>
    <row r="667" spans="1:55" s="24" customFormat="1">
      <c r="A667" s="1116"/>
      <c r="B667" s="1116"/>
      <c r="C667" s="1116"/>
      <c r="D667" s="1110"/>
      <c r="E667" s="1110"/>
      <c r="F667" s="1110"/>
      <c r="G667" s="1110"/>
      <c r="H667" s="127" t="s">
        <v>921</v>
      </c>
      <c r="I667" s="127"/>
      <c r="J667" s="629">
        <v>204.13</v>
      </c>
      <c r="K667" s="721"/>
      <c r="L667" s="722"/>
      <c r="M667" s="345">
        <f>190.53+10</f>
        <v>200.53</v>
      </c>
      <c r="N667" s="721"/>
      <c r="O667" s="722"/>
      <c r="P667" s="629">
        <v>204.13</v>
      </c>
      <c r="Q667" s="721"/>
      <c r="R667" s="722"/>
      <c r="S667" s="629">
        <v>197.33</v>
      </c>
      <c r="T667" s="721"/>
      <c r="U667" s="722"/>
      <c r="V667" s="629">
        <v>149.69999999999999</v>
      </c>
      <c r="W667" s="721"/>
      <c r="X667" s="722"/>
      <c r="Y667" s="629">
        <v>165.01</v>
      </c>
      <c r="Z667" s="721"/>
      <c r="AA667" s="722"/>
      <c r="AB667" s="345">
        <f>158.2+40</f>
        <v>198.2</v>
      </c>
      <c r="AC667" s="721"/>
      <c r="AD667" s="722"/>
      <c r="AE667" s="345">
        <f>113.98+127</f>
        <v>240.98000000000002</v>
      </c>
      <c r="AF667" s="721"/>
      <c r="AG667" s="722"/>
      <c r="AH667" s="345">
        <f>153.1+170</f>
        <v>323.10000000000002</v>
      </c>
      <c r="AI667" s="721"/>
      <c r="AJ667" s="722"/>
      <c r="AK667" s="629">
        <v>199.73</v>
      </c>
      <c r="AL667" s="721"/>
      <c r="AM667" s="722"/>
      <c r="AN667" s="629">
        <v>200.03</v>
      </c>
      <c r="AO667" s="721"/>
      <c r="AP667" s="722"/>
      <c r="AQ667" s="629">
        <v>204.13</v>
      </c>
      <c r="AR667" s="246"/>
      <c r="AS667" s="282"/>
      <c r="AT667" s="244">
        <f t="shared" si="22"/>
        <v>2487.0000000000005</v>
      </c>
      <c r="AU667" s="246"/>
      <c r="AV667" s="336"/>
      <c r="AW667" s="285"/>
      <c r="AX667" s="249"/>
      <c r="AY667" s="249"/>
      <c r="AZ667" s="357"/>
      <c r="BA667" s="357"/>
      <c r="BB667" s="357"/>
      <c r="BC667" s="357"/>
    </row>
    <row r="668" spans="1:55" s="24" customFormat="1">
      <c r="A668" s="1116"/>
      <c r="B668" s="1116"/>
      <c r="C668" s="1116"/>
      <c r="D668" s="1110"/>
      <c r="E668" s="1110"/>
      <c r="F668" s="1110"/>
      <c r="G668" s="1110"/>
      <c r="H668" s="127" t="s">
        <v>922</v>
      </c>
      <c r="I668" s="127"/>
      <c r="J668" s="720">
        <v>282.55</v>
      </c>
      <c r="K668" s="721"/>
      <c r="L668" s="722"/>
      <c r="M668" s="345">
        <f>265.25+30</f>
        <v>295.25</v>
      </c>
      <c r="N668" s="721"/>
      <c r="O668" s="722"/>
      <c r="P668" s="345">
        <f>256.05+30</f>
        <v>286.05</v>
      </c>
      <c r="Q668" s="721"/>
      <c r="R668" s="722"/>
      <c r="S668" s="629">
        <v>274.35000000000002</v>
      </c>
      <c r="T668" s="721"/>
      <c r="U668" s="722"/>
      <c r="V668" s="629">
        <v>256.05</v>
      </c>
      <c r="W668" s="721"/>
      <c r="X668" s="722"/>
      <c r="Y668" s="629">
        <v>274.35000000000002</v>
      </c>
      <c r="Z668" s="721"/>
      <c r="AA668" s="722"/>
      <c r="AB668" s="629">
        <v>283.55</v>
      </c>
      <c r="AC668" s="721"/>
      <c r="AD668" s="722"/>
      <c r="AE668" s="345">
        <f>91.55+10</f>
        <v>101.55</v>
      </c>
      <c r="AF668" s="721"/>
      <c r="AG668" s="722"/>
      <c r="AH668" s="629">
        <v>9.25</v>
      </c>
      <c r="AI668" s="721"/>
      <c r="AJ668" s="722"/>
      <c r="AK668" s="629">
        <v>283.55</v>
      </c>
      <c r="AL668" s="721"/>
      <c r="AM668" s="722"/>
      <c r="AN668" s="345">
        <f>246.95+40</f>
        <v>286.95</v>
      </c>
      <c r="AO668" s="721"/>
      <c r="AP668" s="722"/>
      <c r="AQ668" s="629">
        <v>283.55</v>
      </c>
      <c r="AR668" s="246"/>
      <c r="AS668" s="282"/>
      <c r="AT668" s="244">
        <f t="shared" si="22"/>
        <v>2917</v>
      </c>
      <c r="AU668" s="246"/>
      <c r="AV668" s="336"/>
      <c r="AW668" s="285"/>
      <c r="AX668" s="249"/>
      <c r="AY668" s="249"/>
      <c r="AZ668" s="357"/>
      <c r="BA668" s="357"/>
      <c r="BB668" s="357"/>
      <c r="BC668" s="357"/>
    </row>
    <row r="669" spans="1:55" s="24" customFormat="1">
      <c r="A669" s="1116"/>
      <c r="B669" s="1116"/>
      <c r="C669" s="1116"/>
      <c r="D669" s="1110">
        <v>338730</v>
      </c>
      <c r="E669" s="1110"/>
      <c r="F669" s="1110"/>
      <c r="G669" s="1110">
        <v>338730</v>
      </c>
      <c r="H669" s="127" t="s">
        <v>620</v>
      </c>
      <c r="I669" s="516" t="s">
        <v>364</v>
      </c>
      <c r="J669" s="638">
        <f>ГЭС!C45</f>
        <v>151.12416076660156</v>
      </c>
      <c r="K669" s="246"/>
      <c r="L669" s="282"/>
      <c r="M669" s="638">
        <f>ГЭС!D45</f>
        <v>144.15643310546875</v>
      </c>
      <c r="N669" s="246"/>
      <c r="O669" s="282"/>
      <c r="P669" s="638">
        <f>ГЭС!E45</f>
        <v>147.85726928710938</v>
      </c>
      <c r="Q669" s="246"/>
      <c r="R669" s="282"/>
      <c r="S669" s="638">
        <f>ГЭС!G45</f>
        <v>184.85714721679688</v>
      </c>
      <c r="T669" s="246"/>
      <c r="U669" s="282"/>
      <c r="V669" s="638">
        <f>ГЭС!H45</f>
        <v>445.5980224609375</v>
      </c>
      <c r="W669" s="246"/>
      <c r="X669" s="282"/>
      <c r="Y669" s="638">
        <f>ГЭС!I45</f>
        <v>355.66738891601563</v>
      </c>
      <c r="Z669" s="246"/>
      <c r="AA669" s="282"/>
      <c r="AB669" s="638">
        <f>ГЭС!K45</f>
        <v>228.29270935058594</v>
      </c>
      <c r="AC669" s="246"/>
      <c r="AD669" s="282"/>
      <c r="AE669" s="638">
        <f>ГЭС!L45</f>
        <v>194.76370239257813</v>
      </c>
      <c r="AF669" s="246"/>
      <c r="AG669" s="282"/>
      <c r="AH669" s="638">
        <f>ГЭС!M45</f>
        <v>179.32139587402344</v>
      </c>
      <c r="AI669" s="246"/>
      <c r="AJ669" s="282"/>
      <c r="AK669" s="638">
        <f>ГЭС!O45</f>
        <v>194.58810424804688</v>
      </c>
      <c r="AL669" s="246"/>
      <c r="AM669" s="282"/>
      <c r="AN669" s="638">
        <f>ГЭС!P45</f>
        <v>180.67471313476563</v>
      </c>
      <c r="AO669" s="246"/>
      <c r="AP669" s="282"/>
      <c r="AQ669" s="638">
        <f>ГЭС!Q45</f>
        <v>161.4849853515625</v>
      </c>
      <c r="AR669" s="246"/>
      <c r="AS669" s="282"/>
      <c r="AT669" s="638">
        <f>J669+M669+P669+S669+V669+Y669+AB669+AE669+AH669+AK669+AN669+AQ669</f>
        <v>2568.3860321044922</v>
      </c>
      <c r="AU669" s="246"/>
      <c r="AV669" s="336"/>
      <c r="AW669" s="285"/>
      <c r="AX669" s="249"/>
      <c r="AY669" s="441">
        <v>2887.7022609999999</v>
      </c>
      <c r="AZ669" s="357"/>
      <c r="BA669" s="357"/>
      <c r="BB669" s="357"/>
      <c r="BC669" s="357"/>
    </row>
    <row r="670" spans="1:55" s="24" customFormat="1">
      <c r="A670" s="1116"/>
      <c r="B670" s="1116"/>
      <c r="C670" s="1116"/>
      <c r="D670" s="1110">
        <v>338731</v>
      </c>
      <c r="E670" s="1110"/>
      <c r="F670" s="1110"/>
      <c r="G670" s="1110">
        <v>338731</v>
      </c>
      <c r="H670" s="127" t="s">
        <v>621</v>
      </c>
      <c r="I670" s="516" t="s">
        <v>364</v>
      </c>
      <c r="J670" s="638">
        <f>ГЭС!C46</f>
        <v>115.03717041015625</v>
      </c>
      <c r="K670" s="246"/>
      <c r="L670" s="282"/>
      <c r="M670" s="638">
        <f>ГЭС!D46</f>
        <v>96.45416259765625</v>
      </c>
      <c r="N670" s="246"/>
      <c r="O670" s="282"/>
      <c r="P670" s="638">
        <f>ГЭС!E46</f>
        <v>89.281784057617188</v>
      </c>
      <c r="Q670" s="246"/>
      <c r="R670" s="282"/>
      <c r="S670" s="638">
        <f>ГЭС!G46</f>
        <v>125.78110504150391</v>
      </c>
      <c r="T670" s="246"/>
      <c r="U670" s="282"/>
      <c r="V670" s="638">
        <f>ГЭС!H46</f>
        <v>321.31332397460938</v>
      </c>
      <c r="W670" s="246"/>
      <c r="X670" s="282"/>
      <c r="Y670" s="638">
        <f>ГЭС!I46</f>
        <v>267.74282836914063</v>
      </c>
      <c r="Z670" s="246"/>
      <c r="AA670" s="282"/>
      <c r="AB670" s="638">
        <f>ГЭС!K46</f>
        <v>182.14987182617188</v>
      </c>
      <c r="AC670" s="246"/>
      <c r="AD670" s="282"/>
      <c r="AE670" s="638">
        <f>ГЭС!L46</f>
        <v>150.02278137207031</v>
      </c>
      <c r="AF670" s="246"/>
      <c r="AG670" s="282"/>
      <c r="AH670" s="638">
        <f>ГЭС!M46</f>
        <v>140.08460998535156</v>
      </c>
      <c r="AI670" s="246"/>
      <c r="AJ670" s="282"/>
      <c r="AK670" s="638">
        <f>ГЭС!O46</f>
        <v>164.07655334472656</v>
      </c>
      <c r="AL670" s="246"/>
      <c r="AM670" s="282"/>
      <c r="AN670" s="638">
        <f>ГЭС!P46</f>
        <v>144.84901428222656</v>
      </c>
      <c r="AO670" s="246"/>
      <c r="AP670" s="282"/>
      <c r="AQ670" s="638">
        <f>ГЭС!Q46</f>
        <v>133.81950378417969</v>
      </c>
      <c r="AR670" s="246"/>
      <c r="AS670" s="282"/>
      <c r="AT670" s="638">
        <f>J670+M670+P670+S670+V670+Y670+AB670+AE670+AH670+AK670+AN670+AQ670</f>
        <v>1930.6127090454102</v>
      </c>
      <c r="AU670" s="246"/>
      <c r="AV670" s="336"/>
      <c r="AW670" s="285"/>
      <c r="AX670" s="249"/>
      <c r="AY670" s="441">
        <v>2169.9637640000001</v>
      </c>
      <c r="AZ670" s="357"/>
      <c r="BA670" s="357"/>
      <c r="BB670" s="357"/>
      <c r="BC670" s="357"/>
    </row>
    <row r="671" spans="1:55" s="24" customFormat="1">
      <c r="A671" s="1116"/>
      <c r="B671" s="1116"/>
      <c r="C671" s="1116"/>
      <c r="D671" s="1110">
        <v>338732</v>
      </c>
      <c r="E671" s="1110"/>
      <c r="F671" s="1110"/>
      <c r="G671" s="1110">
        <v>338732</v>
      </c>
      <c r="H671" s="127" t="s">
        <v>397</v>
      </c>
      <c r="I671" s="516" t="s">
        <v>364</v>
      </c>
      <c r="J671" s="638">
        <f>ГЭС!C47</f>
        <v>4.8917655944824219</v>
      </c>
      <c r="K671" s="246"/>
      <c r="L671" s="282"/>
      <c r="M671" s="638">
        <f>ГЭС!D47</f>
        <v>4.0259227752685547</v>
      </c>
      <c r="N671" s="246"/>
      <c r="O671" s="282"/>
      <c r="P671" s="638">
        <f>ГЭС!E47</f>
        <v>4.0702824592590332</v>
      </c>
      <c r="Q671" s="246"/>
      <c r="R671" s="282"/>
      <c r="S671" s="638">
        <f>ГЭС!G47</f>
        <v>7.2829136848449707</v>
      </c>
      <c r="T671" s="246"/>
      <c r="U671" s="282"/>
      <c r="V671" s="638">
        <f>ГЭС!H47</f>
        <v>18.148532867431641</v>
      </c>
      <c r="W671" s="246"/>
      <c r="X671" s="282"/>
      <c r="Y671" s="638">
        <f>ГЭС!I47</f>
        <v>15.036439895629883</v>
      </c>
      <c r="Z671" s="246"/>
      <c r="AA671" s="282"/>
      <c r="AB671" s="638">
        <f>ГЭС!K47</f>
        <v>8.8429651260375977</v>
      </c>
      <c r="AC671" s="246"/>
      <c r="AD671" s="282"/>
      <c r="AE671" s="638">
        <f>ГЭС!L47</f>
        <v>7.0646538734436035</v>
      </c>
      <c r="AF671" s="246"/>
      <c r="AG671" s="282"/>
      <c r="AH671" s="638">
        <f>ГЭС!M47</f>
        <v>8.0489349365234375</v>
      </c>
      <c r="AI671" s="246"/>
      <c r="AJ671" s="282"/>
      <c r="AK671" s="638">
        <f>ГЭС!O47</f>
        <v>9.6911354064941406</v>
      </c>
      <c r="AL671" s="246"/>
      <c r="AM671" s="282"/>
      <c r="AN671" s="638">
        <f>ГЭС!P47</f>
        <v>6.3327689170837402</v>
      </c>
      <c r="AO671" s="246"/>
      <c r="AP671" s="282"/>
      <c r="AQ671" s="638">
        <f>ГЭС!Q47</f>
        <v>5.2418227195739746</v>
      </c>
      <c r="AR671" s="246"/>
      <c r="AS671" s="282"/>
      <c r="AT671" s="638">
        <f>J671+M671+P671+S671+V671+Y671+AB671+AE671+AH671+AK671+AN671+AQ671</f>
        <v>98.678138256072998</v>
      </c>
      <c r="AU671" s="246"/>
      <c r="AV671" s="336"/>
      <c r="AW671" s="285"/>
      <c r="AX671" s="249"/>
      <c r="AY671" s="441">
        <v>88.368860999999995</v>
      </c>
      <c r="AZ671" s="357"/>
      <c r="BA671" s="357"/>
      <c r="BB671" s="357"/>
      <c r="BC671" s="357"/>
    </row>
    <row r="672" spans="1:55" s="24" customFormat="1">
      <c r="A672" s="1116"/>
      <c r="B672" s="1116"/>
      <c r="C672" s="1116"/>
      <c r="D672" s="1110"/>
      <c r="E672" s="1110"/>
      <c r="F672" s="1110"/>
      <c r="G672" s="1110"/>
      <c r="H672" s="138" t="s">
        <v>174</v>
      </c>
      <c r="I672" s="138"/>
      <c r="J672" s="319">
        <f>SUM(J673:J680)</f>
        <v>240.91100000000003</v>
      </c>
      <c r="K672" s="288"/>
      <c r="L672" s="289"/>
      <c r="M672" s="319">
        <f>SUM(M673:M680)</f>
        <v>221.76</v>
      </c>
      <c r="N672" s="288"/>
      <c r="O672" s="289"/>
      <c r="P672" s="319">
        <f>SUM(P673:P680)</f>
        <v>241.55</v>
      </c>
      <c r="Q672" s="288"/>
      <c r="R672" s="289"/>
      <c r="S672" s="319">
        <f>SUM(S673:S680)</f>
        <v>223.43099999999998</v>
      </c>
      <c r="T672" s="288"/>
      <c r="U672" s="289"/>
      <c r="V672" s="319">
        <f>SUM(V673:V680)</f>
        <v>213.96900000000002</v>
      </c>
      <c r="W672" s="288"/>
      <c r="X672" s="289"/>
      <c r="Y672" s="319">
        <f>SUM(Y673:Y680)</f>
        <v>195.34799999999998</v>
      </c>
      <c r="Z672" s="288"/>
      <c r="AA672" s="289"/>
      <c r="AB672" s="319">
        <f>SUM(AB673:AB680)</f>
        <v>208.40600000000003</v>
      </c>
      <c r="AC672" s="288"/>
      <c r="AD672" s="289"/>
      <c r="AE672" s="319">
        <f>SUM(AE673:AE680)</f>
        <v>205.92700000000002</v>
      </c>
      <c r="AF672" s="288"/>
      <c r="AG672" s="289"/>
      <c r="AH672" s="319">
        <f>SUM(AH673:AH680)</f>
        <v>214.577</v>
      </c>
      <c r="AI672" s="288"/>
      <c r="AJ672" s="289"/>
      <c r="AK672" s="319">
        <f>SUM(AK673:AK680)</f>
        <v>238.583</v>
      </c>
      <c r="AL672" s="288"/>
      <c r="AM672" s="289"/>
      <c r="AN672" s="319">
        <f>SUM(AN673:AN680)</f>
        <v>224.1</v>
      </c>
      <c r="AO672" s="288"/>
      <c r="AP672" s="289"/>
      <c r="AQ672" s="319">
        <f>SUM(AQ673:AQ680)</f>
        <v>252.28300000000002</v>
      </c>
      <c r="AR672" s="288"/>
      <c r="AS672" s="289"/>
      <c r="AT672" s="319">
        <f>SUM(AT673:AT680)</f>
        <v>2680.8450000000003</v>
      </c>
      <c r="AU672" s="288"/>
      <c r="AV672" s="290"/>
      <c r="AW672" s="285"/>
      <c r="AX672" s="295"/>
      <c r="AY672" s="1066">
        <v>2562.0109673000002</v>
      </c>
      <c r="AZ672" s="357"/>
      <c r="BA672" s="357"/>
      <c r="BB672" s="357"/>
      <c r="BC672" s="357"/>
    </row>
    <row r="673" spans="1:55" s="24" customFormat="1">
      <c r="A673" s="1116"/>
      <c r="B673" s="1116"/>
      <c r="C673" s="1116"/>
      <c r="D673" s="1110">
        <v>338745</v>
      </c>
      <c r="E673" s="1110"/>
      <c r="F673" s="1110"/>
      <c r="G673" s="1110">
        <v>338723</v>
      </c>
      <c r="H673" s="145" t="s">
        <v>1251</v>
      </c>
      <c r="I673" s="518" t="s">
        <v>365</v>
      </c>
      <c r="J673" s="294">
        <v>18.29</v>
      </c>
      <c r="K673" s="288"/>
      <c r="L673" s="289"/>
      <c r="M673" s="294">
        <v>16.329999999999998</v>
      </c>
      <c r="N673" s="288"/>
      <c r="O673" s="289"/>
      <c r="P673" s="294">
        <v>18.29</v>
      </c>
      <c r="Q673" s="288"/>
      <c r="R673" s="289"/>
      <c r="S673" s="294">
        <v>23.33</v>
      </c>
      <c r="T673" s="288"/>
      <c r="U673" s="289"/>
      <c r="V673" s="294">
        <v>24.18</v>
      </c>
      <c r="W673" s="288"/>
      <c r="X673" s="289"/>
      <c r="Y673" s="294">
        <v>23.47</v>
      </c>
      <c r="Z673" s="288"/>
      <c r="AA673" s="289"/>
      <c r="AB673" s="294">
        <v>24.25</v>
      </c>
      <c r="AC673" s="288"/>
      <c r="AD673" s="289"/>
      <c r="AE673" s="294">
        <v>19.37</v>
      </c>
      <c r="AF673" s="288"/>
      <c r="AG673" s="289"/>
      <c r="AH673" s="294">
        <v>18.5</v>
      </c>
      <c r="AI673" s="288"/>
      <c r="AJ673" s="289"/>
      <c r="AK673" s="294">
        <v>23.73</v>
      </c>
      <c r="AL673" s="288"/>
      <c r="AM673" s="289"/>
      <c r="AN673" s="294">
        <v>6.48</v>
      </c>
      <c r="AO673" s="288"/>
      <c r="AP673" s="289"/>
      <c r="AQ673" s="294">
        <v>24.18</v>
      </c>
      <c r="AR673" s="288"/>
      <c r="AS673" s="289"/>
      <c r="AT673" s="294">
        <f t="shared" ref="AT673:AT680" si="23">J673+M673+P673+S673+V673+Y673+AB673+AE673+AH673+AK673+AN673+AQ673</f>
        <v>240.39999999999998</v>
      </c>
      <c r="AU673" s="288"/>
      <c r="AV673" s="290"/>
      <c r="AW673" s="285"/>
      <c r="AX673" s="295"/>
      <c r="AY673" s="295"/>
      <c r="AZ673" s="357"/>
      <c r="BA673" s="357"/>
      <c r="BB673" s="357"/>
      <c r="BC673" s="357"/>
    </row>
    <row r="674" spans="1:55" s="24" customFormat="1">
      <c r="A674" s="1116"/>
      <c r="B674" s="1116"/>
      <c r="C674" s="1116"/>
      <c r="D674" s="1110">
        <v>338722</v>
      </c>
      <c r="E674" s="1110"/>
      <c r="F674" s="1110"/>
      <c r="G674" s="1110">
        <v>338722</v>
      </c>
      <c r="H674" s="145" t="s">
        <v>1252</v>
      </c>
      <c r="I674" s="518" t="s">
        <v>365</v>
      </c>
      <c r="J674" s="294">
        <v>6.96</v>
      </c>
      <c r="K674" s="288"/>
      <c r="L674" s="289"/>
      <c r="M674" s="294">
        <v>5.76</v>
      </c>
      <c r="N674" s="288"/>
      <c r="O674" s="289"/>
      <c r="P674" s="294">
        <v>6.96</v>
      </c>
      <c r="Q674" s="288"/>
      <c r="R674" s="289"/>
      <c r="S674" s="294">
        <v>6.72</v>
      </c>
      <c r="T674" s="288"/>
      <c r="U674" s="289"/>
      <c r="V674" s="294">
        <v>6.72</v>
      </c>
      <c r="W674" s="288"/>
      <c r="X674" s="289"/>
      <c r="Y674" s="294">
        <v>6.72</v>
      </c>
      <c r="Z674" s="288"/>
      <c r="AA674" s="289"/>
      <c r="AB674" s="294">
        <v>6.96</v>
      </c>
      <c r="AC674" s="288"/>
      <c r="AD674" s="289"/>
      <c r="AE674" s="294">
        <v>5.76</v>
      </c>
      <c r="AF674" s="288"/>
      <c r="AG674" s="289"/>
      <c r="AH674" s="294">
        <v>6.72</v>
      </c>
      <c r="AI674" s="288"/>
      <c r="AJ674" s="289"/>
      <c r="AK674" s="294">
        <v>6.48</v>
      </c>
      <c r="AL674" s="288"/>
      <c r="AM674" s="289"/>
      <c r="AN674" s="294">
        <v>6.48</v>
      </c>
      <c r="AO674" s="288"/>
      <c r="AP674" s="289"/>
      <c r="AQ674" s="294">
        <v>6.96</v>
      </c>
      <c r="AR674" s="288"/>
      <c r="AS674" s="289"/>
      <c r="AT674" s="294">
        <f t="shared" si="23"/>
        <v>79.199999999999989</v>
      </c>
      <c r="AU674" s="288"/>
      <c r="AV674" s="290"/>
      <c r="AW674" s="285"/>
      <c r="AX674" s="295"/>
      <c r="AY674" s="295"/>
      <c r="AZ674" s="357"/>
      <c r="BA674" s="357"/>
      <c r="BB674" s="357"/>
      <c r="BC674" s="357"/>
    </row>
    <row r="675" spans="1:55" s="24" customFormat="1">
      <c r="A675" s="1116"/>
      <c r="B675" s="1116"/>
      <c r="C675" s="1116"/>
      <c r="D675" s="1110">
        <v>338742</v>
      </c>
      <c r="E675" s="1110"/>
      <c r="F675" s="1110"/>
      <c r="G675" s="1110">
        <v>338742</v>
      </c>
      <c r="H675" s="145" t="s">
        <v>1349</v>
      </c>
      <c r="I675" s="518" t="s">
        <v>365</v>
      </c>
      <c r="J675" s="294">
        <v>7.73</v>
      </c>
      <c r="K675" s="288"/>
      <c r="L675" s="289"/>
      <c r="M675" s="294">
        <v>10.53</v>
      </c>
      <c r="N675" s="288"/>
      <c r="O675" s="289"/>
      <c r="P675" s="294">
        <v>10.97</v>
      </c>
      <c r="Q675" s="288"/>
      <c r="R675" s="289"/>
      <c r="S675" s="294">
        <v>11.13</v>
      </c>
      <c r="T675" s="288"/>
      <c r="U675" s="289"/>
      <c r="V675" s="294">
        <v>9.17</v>
      </c>
      <c r="W675" s="288"/>
      <c r="X675" s="289"/>
      <c r="Y675" s="294">
        <v>8.2899999999999991</v>
      </c>
      <c r="Z675" s="288"/>
      <c r="AA675" s="289"/>
      <c r="AB675" s="294">
        <v>8.4</v>
      </c>
      <c r="AC675" s="288"/>
      <c r="AD675" s="289"/>
      <c r="AE675" s="294">
        <v>8.5</v>
      </c>
      <c r="AF675" s="288"/>
      <c r="AG675" s="289"/>
      <c r="AH675" s="294">
        <v>8.2899999999999991</v>
      </c>
      <c r="AI675" s="288"/>
      <c r="AJ675" s="289"/>
      <c r="AK675" s="294">
        <v>9.7799999999999994</v>
      </c>
      <c r="AL675" s="288"/>
      <c r="AM675" s="289"/>
      <c r="AN675" s="294">
        <v>10.45</v>
      </c>
      <c r="AO675" s="288"/>
      <c r="AP675" s="289"/>
      <c r="AQ675" s="294">
        <v>10.89</v>
      </c>
      <c r="AR675" s="288"/>
      <c r="AS675" s="289"/>
      <c r="AT675" s="294">
        <f t="shared" si="23"/>
        <v>114.13</v>
      </c>
      <c r="AU675" s="288"/>
      <c r="AV675" s="290"/>
      <c r="AW675" s="285"/>
      <c r="AX675" s="295"/>
      <c r="AY675" s="313"/>
      <c r="AZ675" s="357"/>
      <c r="BA675" s="357"/>
      <c r="BB675" s="357"/>
      <c r="BC675" s="357"/>
    </row>
    <row r="676" spans="1:55" s="24" customFormat="1">
      <c r="A676" s="1116"/>
      <c r="B676" s="1116"/>
      <c r="C676" s="1116"/>
      <c r="D676" s="1110">
        <v>338713</v>
      </c>
      <c r="E676" s="1110"/>
      <c r="F676" s="1110"/>
      <c r="G676" s="1110">
        <v>338713</v>
      </c>
      <c r="H676" s="145" t="s">
        <v>225</v>
      </c>
      <c r="I676" s="518" t="s">
        <v>365</v>
      </c>
      <c r="J676" s="294">
        <v>80.28</v>
      </c>
      <c r="K676" s="288"/>
      <c r="L676" s="289"/>
      <c r="M676" s="294">
        <v>73.180000000000007</v>
      </c>
      <c r="N676" s="288"/>
      <c r="O676" s="289"/>
      <c r="P676" s="294">
        <v>76.41</v>
      </c>
      <c r="Q676" s="288"/>
      <c r="R676" s="289"/>
      <c r="S676" s="294">
        <v>69.19</v>
      </c>
      <c r="T676" s="288"/>
      <c r="U676" s="289"/>
      <c r="V676" s="294">
        <v>56.84</v>
      </c>
      <c r="W676" s="288"/>
      <c r="X676" s="289"/>
      <c r="Y676" s="294">
        <v>42.41</v>
      </c>
      <c r="Z676" s="288"/>
      <c r="AA676" s="289"/>
      <c r="AB676" s="294">
        <v>39.880000000000003</v>
      </c>
      <c r="AC676" s="288"/>
      <c r="AD676" s="289"/>
      <c r="AE676" s="294">
        <v>43.9</v>
      </c>
      <c r="AF676" s="288"/>
      <c r="AG676" s="289"/>
      <c r="AH676" s="294">
        <v>58.32</v>
      </c>
      <c r="AI676" s="288"/>
      <c r="AJ676" s="289"/>
      <c r="AK676" s="294">
        <v>69.27</v>
      </c>
      <c r="AL676" s="288"/>
      <c r="AM676" s="289"/>
      <c r="AN676" s="294">
        <v>74.95</v>
      </c>
      <c r="AO676" s="288"/>
      <c r="AP676" s="289"/>
      <c r="AQ676" s="294">
        <v>79.010000000000005</v>
      </c>
      <c r="AR676" s="288"/>
      <c r="AS676" s="289"/>
      <c r="AT676" s="294">
        <f t="shared" si="23"/>
        <v>763.64</v>
      </c>
      <c r="AU676" s="288"/>
      <c r="AV676" s="290"/>
      <c r="AW676" s="285"/>
      <c r="AX676" s="295"/>
      <c r="AY676" s="313"/>
      <c r="AZ676" s="357"/>
      <c r="BA676" s="357"/>
      <c r="BB676" s="357"/>
      <c r="BC676" s="357"/>
    </row>
    <row r="677" spans="1:55" s="24" customFormat="1">
      <c r="A677" s="1116"/>
      <c r="B677" s="1116"/>
      <c r="C677" s="1116"/>
      <c r="D677" s="1110">
        <v>338743</v>
      </c>
      <c r="E677" s="1110"/>
      <c r="F677" s="1110"/>
      <c r="G677" s="1110">
        <v>338743</v>
      </c>
      <c r="H677" s="145" t="s">
        <v>1350</v>
      </c>
      <c r="I677" s="518" t="s">
        <v>365</v>
      </c>
      <c r="J677" s="294">
        <v>0</v>
      </c>
      <c r="K677" s="288"/>
      <c r="L677" s="289"/>
      <c r="M677" s="294">
        <v>0</v>
      </c>
      <c r="N677" s="288"/>
      <c r="O677" s="289"/>
      <c r="P677" s="294">
        <v>0</v>
      </c>
      <c r="Q677" s="288"/>
      <c r="R677" s="289"/>
      <c r="S677" s="294">
        <v>0</v>
      </c>
      <c r="T677" s="288"/>
      <c r="U677" s="289"/>
      <c r="V677" s="294">
        <v>0</v>
      </c>
      <c r="W677" s="288"/>
      <c r="X677" s="289"/>
      <c r="Y677" s="294">
        <v>0</v>
      </c>
      <c r="Z677" s="288"/>
      <c r="AA677" s="289"/>
      <c r="AB677" s="294">
        <v>0</v>
      </c>
      <c r="AC677" s="288"/>
      <c r="AD677" s="289"/>
      <c r="AE677" s="294">
        <v>0</v>
      </c>
      <c r="AF677" s="288"/>
      <c r="AG677" s="289"/>
      <c r="AH677" s="294">
        <v>0</v>
      </c>
      <c r="AI677" s="288"/>
      <c r="AJ677" s="289"/>
      <c r="AK677" s="294">
        <v>0</v>
      </c>
      <c r="AL677" s="288"/>
      <c r="AM677" s="289"/>
      <c r="AN677" s="294">
        <v>0</v>
      </c>
      <c r="AO677" s="288"/>
      <c r="AP677" s="289"/>
      <c r="AQ677" s="294">
        <v>0</v>
      </c>
      <c r="AR677" s="288"/>
      <c r="AS677" s="289"/>
      <c r="AT677" s="294">
        <f t="shared" si="23"/>
        <v>0</v>
      </c>
      <c r="AU677" s="288"/>
      <c r="AV677" s="290"/>
      <c r="AW677" s="285"/>
      <c r="AX677" s="295"/>
      <c r="AY677" s="313"/>
      <c r="AZ677" s="357"/>
      <c r="BA677" s="357"/>
      <c r="BB677" s="357"/>
      <c r="BC677" s="357"/>
    </row>
    <row r="678" spans="1:55" s="24" customFormat="1">
      <c r="A678" s="1116"/>
      <c r="B678" s="1116"/>
      <c r="C678" s="1116"/>
      <c r="D678" s="1110">
        <v>777014</v>
      </c>
      <c r="E678" s="1110"/>
      <c r="F678" s="1110"/>
      <c r="G678" s="1110">
        <v>777014</v>
      </c>
      <c r="H678" s="145" t="s">
        <v>1351</v>
      </c>
      <c r="I678" s="518" t="s">
        <v>365</v>
      </c>
      <c r="J678" s="294">
        <v>7.6319999999999997</v>
      </c>
      <c r="K678" s="288"/>
      <c r="L678" s="289"/>
      <c r="M678" s="294">
        <v>8.0640000000000001</v>
      </c>
      <c r="N678" s="288"/>
      <c r="O678" s="289"/>
      <c r="P678" s="294">
        <v>8.93</v>
      </c>
      <c r="Q678" s="288"/>
      <c r="R678" s="289"/>
      <c r="S678" s="294">
        <v>7.3440000000000003</v>
      </c>
      <c r="T678" s="288"/>
      <c r="U678" s="289"/>
      <c r="V678" s="294">
        <v>7.63</v>
      </c>
      <c r="W678" s="288"/>
      <c r="X678" s="289"/>
      <c r="Y678" s="294">
        <v>8.68</v>
      </c>
      <c r="Z678" s="288"/>
      <c r="AA678" s="289"/>
      <c r="AB678" s="294">
        <v>8.93</v>
      </c>
      <c r="AC678" s="288"/>
      <c r="AD678" s="289"/>
      <c r="AE678" s="294">
        <v>8.64</v>
      </c>
      <c r="AF678" s="288"/>
      <c r="AG678" s="289"/>
      <c r="AH678" s="294">
        <v>7.34</v>
      </c>
      <c r="AI678" s="288"/>
      <c r="AJ678" s="289"/>
      <c r="AK678" s="294">
        <v>7.8339999999999996</v>
      </c>
      <c r="AL678" s="288"/>
      <c r="AM678" s="289"/>
      <c r="AN678" s="294">
        <v>8.3520000000000003</v>
      </c>
      <c r="AO678" s="288"/>
      <c r="AP678" s="289"/>
      <c r="AQ678" s="294">
        <v>9.7899999999999991</v>
      </c>
      <c r="AR678" s="288"/>
      <c r="AS678" s="289"/>
      <c r="AT678" s="294">
        <f t="shared" si="23"/>
        <v>99.165999999999997</v>
      </c>
      <c r="AU678" s="288"/>
      <c r="AV678" s="290"/>
      <c r="AW678" s="285"/>
      <c r="AX678" s="295"/>
      <c r="AY678" s="313"/>
      <c r="AZ678" s="357"/>
      <c r="BA678" s="357"/>
      <c r="BB678" s="357"/>
      <c r="BC678" s="357"/>
    </row>
    <row r="679" spans="1:55" s="24" customFormat="1">
      <c r="A679" s="1116"/>
      <c r="B679" s="1116"/>
      <c r="C679" s="1116"/>
      <c r="D679" s="1110">
        <v>777022</v>
      </c>
      <c r="E679" s="1110"/>
      <c r="F679" s="1110"/>
      <c r="G679" s="1110">
        <v>777022</v>
      </c>
      <c r="H679" s="145" t="s">
        <v>1352</v>
      </c>
      <c r="I679" s="518" t="s">
        <v>365</v>
      </c>
      <c r="J679" s="294">
        <v>112.91500000000001</v>
      </c>
      <c r="K679" s="288"/>
      <c r="L679" s="289"/>
      <c r="M679" s="294">
        <v>101.48099999999999</v>
      </c>
      <c r="N679" s="288"/>
      <c r="O679" s="289"/>
      <c r="P679" s="294">
        <v>112.886</v>
      </c>
      <c r="Q679" s="288"/>
      <c r="R679" s="289"/>
      <c r="S679" s="294">
        <v>98.843999999999994</v>
      </c>
      <c r="T679" s="288"/>
      <c r="U679" s="289"/>
      <c r="V679" s="294">
        <v>102.325</v>
      </c>
      <c r="W679" s="288"/>
      <c r="X679" s="289"/>
      <c r="Y679" s="294">
        <v>98.905000000000001</v>
      </c>
      <c r="Z679" s="288"/>
      <c r="AA679" s="289"/>
      <c r="AB679" s="294">
        <v>112.88200000000001</v>
      </c>
      <c r="AC679" s="288"/>
      <c r="AD679" s="289"/>
      <c r="AE679" s="294">
        <v>112.65300000000001</v>
      </c>
      <c r="AF679" s="288"/>
      <c r="AG679" s="289"/>
      <c r="AH679" s="294">
        <v>108.53400000000001</v>
      </c>
      <c r="AI679" s="288"/>
      <c r="AJ679" s="289"/>
      <c r="AK679" s="294">
        <v>114.38500000000001</v>
      </c>
      <c r="AL679" s="288"/>
      <c r="AM679" s="289"/>
      <c r="AN679" s="294">
        <v>110.515</v>
      </c>
      <c r="AO679" s="288"/>
      <c r="AP679" s="289"/>
      <c r="AQ679" s="294">
        <v>114.34699999999999</v>
      </c>
      <c r="AR679" s="288"/>
      <c r="AS679" s="289"/>
      <c r="AT679" s="294">
        <f t="shared" si="23"/>
        <v>1300.6720000000003</v>
      </c>
      <c r="AU679" s="288"/>
      <c r="AV679" s="290"/>
      <c r="AW679" s="285"/>
      <c r="AX679" s="295"/>
      <c r="AY679" s="313"/>
      <c r="AZ679" s="357"/>
      <c r="BA679" s="357"/>
      <c r="BB679" s="357"/>
      <c r="BC679" s="357"/>
    </row>
    <row r="680" spans="1:55" s="24" customFormat="1">
      <c r="A680" s="1116"/>
      <c r="B680" s="1116"/>
      <c r="C680" s="1116"/>
      <c r="D680" s="1110"/>
      <c r="E680" s="1110"/>
      <c r="F680" s="1110"/>
      <c r="G680" s="1110">
        <v>777789</v>
      </c>
      <c r="H680" s="145" t="s">
        <v>1488</v>
      </c>
      <c r="I680" s="518" t="s">
        <v>365</v>
      </c>
      <c r="J680" s="294">
        <v>7.1040000000000001</v>
      </c>
      <c r="K680" s="288"/>
      <c r="L680" s="289"/>
      <c r="M680" s="294">
        <v>6.415</v>
      </c>
      <c r="N680" s="288"/>
      <c r="O680" s="289"/>
      <c r="P680" s="294">
        <v>7.1040000000000001</v>
      </c>
      <c r="Q680" s="288"/>
      <c r="R680" s="289"/>
      <c r="S680" s="294">
        <v>6.8730000000000002</v>
      </c>
      <c r="T680" s="288"/>
      <c r="U680" s="289"/>
      <c r="V680" s="294">
        <v>7.1040000000000001</v>
      </c>
      <c r="W680" s="288"/>
      <c r="X680" s="289"/>
      <c r="Y680" s="294">
        <v>6.8730000000000002</v>
      </c>
      <c r="Z680" s="288"/>
      <c r="AA680" s="289"/>
      <c r="AB680" s="294">
        <v>7.1040000000000001</v>
      </c>
      <c r="AC680" s="288"/>
      <c r="AD680" s="289"/>
      <c r="AE680" s="294">
        <v>7.1040000000000001</v>
      </c>
      <c r="AF680" s="288"/>
      <c r="AG680" s="289"/>
      <c r="AH680" s="294">
        <v>6.8730000000000002</v>
      </c>
      <c r="AI680" s="288"/>
      <c r="AJ680" s="289"/>
      <c r="AK680" s="294">
        <v>7.1040000000000001</v>
      </c>
      <c r="AL680" s="288"/>
      <c r="AM680" s="289"/>
      <c r="AN680" s="294">
        <v>6.8730000000000002</v>
      </c>
      <c r="AO680" s="288"/>
      <c r="AP680" s="289"/>
      <c r="AQ680" s="294">
        <v>7.1059999999999999</v>
      </c>
      <c r="AR680" s="288"/>
      <c r="AS680" s="289"/>
      <c r="AT680" s="294">
        <f t="shared" si="23"/>
        <v>83.637</v>
      </c>
      <c r="AU680" s="288"/>
      <c r="AV680" s="290"/>
      <c r="AW680" s="285"/>
      <c r="AX680" s="295"/>
      <c r="AY680" s="313"/>
      <c r="AZ680" s="357"/>
      <c r="BA680" s="357"/>
      <c r="BB680" s="357"/>
      <c r="BC680" s="357"/>
    </row>
    <row r="681" spans="1:55" s="24" customFormat="1" ht="18.75">
      <c r="A681" s="179"/>
      <c r="B681" s="179"/>
      <c r="C681" s="179"/>
      <c r="D681" s="181">
        <v>338500</v>
      </c>
      <c r="E681" s="181"/>
      <c r="F681" s="181"/>
      <c r="G681" s="181">
        <v>338500</v>
      </c>
      <c r="H681" s="474" t="s">
        <v>1600</v>
      </c>
      <c r="I681" s="474"/>
      <c r="J681" s="277">
        <f>SUM(J682:J685)</f>
        <v>5509.9058040380478</v>
      </c>
      <c r="K681" s="275">
        <f>L681-J681</f>
        <v>-1396.5717399384193</v>
      </c>
      <c r="L681" s="276">
        <f>Потребление!D47</f>
        <v>4113.3340640996284</v>
      </c>
      <c r="M681" s="274">
        <f>SUM(M682:M685)</f>
        <v>5268.6769216108314</v>
      </c>
      <c r="N681" s="275">
        <f>O681-M681</f>
        <v>-1375.5635332401162</v>
      </c>
      <c r="O681" s="276">
        <f>Потребление!E47</f>
        <v>3893.1133883707153</v>
      </c>
      <c r="P681" s="274">
        <f>SUM(P682:P685)</f>
        <v>5190.8551961016656</v>
      </c>
      <c r="Q681" s="275">
        <f>R681-P681</f>
        <v>-1273.9389582098938</v>
      </c>
      <c r="R681" s="276">
        <f>Потребление!F47</f>
        <v>3916.9162378917717</v>
      </c>
      <c r="S681" s="274">
        <f>SUM(S682:S685)</f>
        <v>4681.4942152118674</v>
      </c>
      <c r="T681" s="275">
        <f>U681-S681</f>
        <v>-1098.7221853975434</v>
      </c>
      <c r="U681" s="276">
        <f>Потребление!G47</f>
        <v>3582.772029814324</v>
      </c>
      <c r="V681" s="274">
        <f>SUM(V682:V685)</f>
        <v>4068.1116078109744</v>
      </c>
      <c r="W681" s="275">
        <f>X681-V681</f>
        <v>-677.56686710461781</v>
      </c>
      <c r="X681" s="276">
        <f>Потребление!H47</f>
        <v>3390.5447407063566</v>
      </c>
      <c r="Y681" s="274">
        <f>SUM(Y682:Y685)</f>
        <v>4386.8139219245913</v>
      </c>
      <c r="Z681" s="275">
        <f>AA681-Y681</f>
        <v>-1245.2727609634589</v>
      </c>
      <c r="AA681" s="276">
        <f>Потребление!I47</f>
        <v>3141.5411609611324</v>
      </c>
      <c r="AB681" s="274">
        <f>SUM(AB682:AB685)</f>
        <v>4411.061000041962</v>
      </c>
      <c r="AC681" s="275">
        <f>AD681-AB681</f>
        <v>-1171.5940757557601</v>
      </c>
      <c r="AD681" s="276">
        <f>Потребление!J47</f>
        <v>3239.4669242862019</v>
      </c>
      <c r="AE681" s="274">
        <f>SUM(AE682:AE685)</f>
        <v>4286.0396077013011</v>
      </c>
      <c r="AF681" s="275">
        <f>AG681-AE681</f>
        <v>-968.86946736561413</v>
      </c>
      <c r="AG681" s="276">
        <f>Потребление!K47</f>
        <v>3317.1701403356869</v>
      </c>
      <c r="AH681" s="274">
        <f>SUM(AH682:AH685)</f>
        <v>4804.3730977964397</v>
      </c>
      <c r="AI681" s="275">
        <f>AJ681-AH681</f>
        <v>-1421.0547525871812</v>
      </c>
      <c r="AJ681" s="276">
        <f>Потребление!L47</f>
        <v>3383.3183452092585</v>
      </c>
      <c r="AK681" s="274">
        <f>SUM(AK682:AK685)</f>
        <v>5384.595784363747</v>
      </c>
      <c r="AL681" s="275">
        <f>AM681-AK681</f>
        <v>-1598.7284445321643</v>
      </c>
      <c r="AM681" s="276">
        <f>Потребление!M47</f>
        <v>3785.8673398315827</v>
      </c>
      <c r="AN681" s="274">
        <f>SUM(AN682:AN685)</f>
        <v>5082.20680384159</v>
      </c>
      <c r="AO681" s="275">
        <f>AP681-AN681</f>
        <v>-1188.8081451469234</v>
      </c>
      <c r="AP681" s="276">
        <f>Потребление!N47</f>
        <v>3893.3986586946667</v>
      </c>
      <c r="AQ681" s="274">
        <f>SUM(AQ682:AQ685)</f>
        <v>5449.3449999880786</v>
      </c>
      <c r="AR681" s="275">
        <f>AS681-AQ681</f>
        <v>-1270.1680861350796</v>
      </c>
      <c r="AS681" s="276">
        <f>Потребление!O47</f>
        <v>4179.176913852999</v>
      </c>
      <c r="AT681" s="274">
        <f>SUM(AT682:AT685)</f>
        <v>58523.478960431094</v>
      </c>
      <c r="AU681" s="275">
        <f>AV681-AT681</f>
        <v>-14686.859016376773</v>
      </c>
      <c r="AV681" s="278">
        <f>L681+O681+R681+U681+X681+AA681+AD681+AG681+AJ681+AM681+AP681+AS681</f>
        <v>43836.619944054321</v>
      </c>
      <c r="AW681" s="279"/>
      <c r="AX681" s="1067">
        <v>43489.575854900002</v>
      </c>
      <c r="AY681" s="298">
        <f>SUM(AY682:AY685)</f>
        <v>54800.600252699995</v>
      </c>
      <c r="AZ681" s="357"/>
      <c r="BA681" s="357"/>
      <c r="BB681" s="357"/>
      <c r="BC681" s="357"/>
    </row>
    <row r="682" spans="1:55" s="24" customFormat="1">
      <c r="A682" s="179"/>
      <c r="B682" s="179"/>
      <c r="C682" s="179"/>
      <c r="D682" s="181"/>
      <c r="E682" s="181"/>
      <c r="F682" s="181"/>
      <c r="G682" s="181"/>
      <c r="H682" s="124" t="s">
        <v>56</v>
      </c>
      <c r="I682" s="124"/>
      <c r="J682" s="362">
        <f>J686+J689+J690+J691+J694+SUM(J697:J708)</f>
        <v>4158.04</v>
      </c>
      <c r="K682" s="363"/>
      <c r="L682" s="364"/>
      <c r="M682" s="362">
        <f>M686+M689+M690+M691+M694+SUM(M697:M708)</f>
        <v>4068.56</v>
      </c>
      <c r="N682" s="363"/>
      <c r="O682" s="364"/>
      <c r="P682" s="362">
        <f>P686+P689+P690+P691+P694+SUM(P697:P708)</f>
        <v>4035.87</v>
      </c>
      <c r="Q682" s="363"/>
      <c r="R682" s="364"/>
      <c r="S682" s="362">
        <f>S686+S689+S690+S691+S694+SUM(S697:S708)</f>
        <v>3403.73</v>
      </c>
      <c r="T682" s="363"/>
      <c r="U682" s="364"/>
      <c r="V682" s="362">
        <f>V686+V689+V690+V691+V694+SUM(V697:V708)</f>
        <v>3310.8570000000004</v>
      </c>
      <c r="W682" s="363"/>
      <c r="X682" s="364"/>
      <c r="Y682" s="362">
        <f>Y686+Y689+Y690+Y691+Y694+SUM(Y697:Y708)</f>
        <v>3194.2860000000001</v>
      </c>
      <c r="Z682" s="363"/>
      <c r="AA682" s="364"/>
      <c r="AB682" s="362">
        <f>AB686+AB689+AB690+AB691+AB694+SUM(AB697:AB708)</f>
        <v>3265.09</v>
      </c>
      <c r="AC682" s="363"/>
      <c r="AD682" s="364"/>
      <c r="AE682" s="362">
        <f>AE686+AE689+AE690+AE691+AE694+SUM(AE697:AE708)</f>
        <v>3500.7</v>
      </c>
      <c r="AF682" s="363"/>
      <c r="AG682" s="364"/>
      <c r="AH682" s="362">
        <f>AH686+AH689+AH690+AH691+AH694+SUM(AH697:AH708)</f>
        <v>3710.5499999999997</v>
      </c>
      <c r="AI682" s="363"/>
      <c r="AJ682" s="364"/>
      <c r="AK682" s="362">
        <f>AK686+AK689+AK690+AK691+AK694+SUM(AK697:AK708)</f>
        <v>4065.01</v>
      </c>
      <c r="AL682" s="363"/>
      <c r="AM682" s="364"/>
      <c r="AN682" s="362">
        <f>AN686+AN689+AN690+AN691+AN694+SUM(AN697:AN708)</f>
        <v>4347.4799999999996</v>
      </c>
      <c r="AO682" s="363"/>
      <c r="AP682" s="364"/>
      <c r="AQ682" s="362">
        <f>AQ686+AQ689+AQ690+AQ691+AQ694+SUM(AQ697:AQ708)</f>
        <v>4439.16</v>
      </c>
      <c r="AR682" s="363"/>
      <c r="AS682" s="364"/>
      <c r="AT682" s="362">
        <f>AT686+AT689+AT690+AT691+AT694+SUM(AT697:AT708)</f>
        <v>45499.332999999991</v>
      </c>
      <c r="AU682" s="363"/>
      <c r="AV682" s="229"/>
      <c r="AW682" s="226"/>
      <c r="AX682" s="366"/>
      <c r="AY682" s="339">
        <f>AY686+AY689+AY690+AY691+AY694+SUM(AY697:AY708)</f>
        <v>43217.453563999996</v>
      </c>
      <c r="AZ682" s="357"/>
      <c r="BA682" s="357"/>
      <c r="BB682" s="357"/>
      <c r="BC682" s="357"/>
    </row>
    <row r="683" spans="1:55" s="24" customFormat="1">
      <c r="A683" s="179"/>
      <c r="B683" s="179"/>
      <c r="C683" s="179"/>
      <c r="D683" s="181"/>
      <c r="E683" s="181"/>
      <c r="F683" s="181"/>
      <c r="G683" s="181"/>
      <c r="H683" s="124" t="s">
        <v>55</v>
      </c>
      <c r="I683" s="124"/>
      <c r="J683" s="365">
        <f>J709</f>
        <v>0.65580403804779053</v>
      </c>
      <c r="K683" s="363"/>
      <c r="L683" s="364"/>
      <c r="M683" s="362">
        <f>M709</f>
        <v>0.54692161083221436</v>
      </c>
      <c r="N683" s="363"/>
      <c r="O683" s="364"/>
      <c r="P683" s="362">
        <f>P709</f>
        <v>0.68519610166549683</v>
      </c>
      <c r="Q683" s="363"/>
      <c r="R683" s="364"/>
      <c r="S683" s="362">
        <f>S709</f>
        <v>2.7842152118682861</v>
      </c>
      <c r="T683" s="363"/>
      <c r="U683" s="364"/>
      <c r="V683" s="362">
        <f>V709</f>
        <v>4.1146078109741211</v>
      </c>
      <c r="W683" s="363"/>
      <c r="X683" s="364"/>
      <c r="Y683" s="362">
        <f>Y709</f>
        <v>3.0179219245910645</v>
      </c>
      <c r="Z683" s="363"/>
      <c r="AA683" s="364"/>
      <c r="AB683" s="362">
        <f>AB709</f>
        <v>2.1310000419616699</v>
      </c>
      <c r="AC683" s="363"/>
      <c r="AD683" s="364"/>
      <c r="AE683" s="362">
        <f>AE709</f>
        <v>1.7296077013015747</v>
      </c>
      <c r="AF683" s="363"/>
      <c r="AG683" s="364"/>
      <c r="AH683" s="362">
        <f>AH709</f>
        <v>1.6030977964401245</v>
      </c>
      <c r="AI683" s="363"/>
      <c r="AJ683" s="364"/>
      <c r="AK683" s="362">
        <f>AK709</f>
        <v>1.7857843637466431</v>
      </c>
      <c r="AL683" s="363"/>
      <c r="AM683" s="364"/>
      <c r="AN683" s="362">
        <f>AN709</f>
        <v>1.2868038415908813</v>
      </c>
      <c r="AO683" s="363"/>
      <c r="AP683" s="364"/>
      <c r="AQ683" s="362">
        <f>AQ709</f>
        <v>0.82499998807907104</v>
      </c>
      <c r="AR683" s="363"/>
      <c r="AS683" s="364"/>
      <c r="AT683" s="362">
        <f>AT709</f>
        <v>21.165960431098938</v>
      </c>
      <c r="AU683" s="363"/>
      <c r="AV683" s="229"/>
      <c r="AW683" s="226"/>
      <c r="AX683" s="366"/>
      <c r="AY683" s="339">
        <f>AY709</f>
        <v>19.831</v>
      </c>
      <c r="AZ683" s="357"/>
      <c r="BA683" s="357"/>
      <c r="BB683" s="357"/>
      <c r="BC683" s="357"/>
    </row>
    <row r="684" spans="1:55" s="24" customFormat="1">
      <c r="A684" s="179"/>
      <c r="B684" s="179"/>
      <c r="C684" s="179"/>
      <c r="D684" s="181"/>
      <c r="E684" s="181"/>
      <c r="F684" s="181"/>
      <c r="G684" s="181"/>
      <c r="H684" s="124" t="s">
        <v>98</v>
      </c>
      <c r="I684" s="124"/>
      <c r="J684" s="365">
        <f>J710</f>
        <v>1061</v>
      </c>
      <c r="K684" s="363"/>
      <c r="L684" s="364"/>
      <c r="M684" s="362">
        <f>M710</f>
        <v>932</v>
      </c>
      <c r="N684" s="363"/>
      <c r="O684" s="364"/>
      <c r="P684" s="362">
        <f>P710</f>
        <v>888</v>
      </c>
      <c r="Q684" s="363"/>
      <c r="R684" s="364"/>
      <c r="S684" s="362">
        <f>S710</f>
        <v>1029</v>
      </c>
      <c r="T684" s="363"/>
      <c r="U684" s="364"/>
      <c r="V684" s="362">
        <f>V710</f>
        <v>555</v>
      </c>
      <c r="W684" s="363"/>
      <c r="X684" s="364"/>
      <c r="Y684" s="362">
        <f>Y710</f>
        <v>1029</v>
      </c>
      <c r="Z684" s="363"/>
      <c r="AA684" s="364"/>
      <c r="AB684" s="362">
        <f>AB710</f>
        <v>988</v>
      </c>
      <c r="AC684" s="363"/>
      <c r="AD684" s="364"/>
      <c r="AE684" s="362">
        <f>AE710</f>
        <v>628</v>
      </c>
      <c r="AF684" s="363"/>
      <c r="AG684" s="364"/>
      <c r="AH684" s="362">
        <f>AH710</f>
        <v>899</v>
      </c>
      <c r="AI684" s="363"/>
      <c r="AJ684" s="364"/>
      <c r="AK684" s="362">
        <f>AK710</f>
        <v>1061</v>
      </c>
      <c r="AL684" s="363"/>
      <c r="AM684" s="364"/>
      <c r="AN684" s="362">
        <f>AN710</f>
        <v>460</v>
      </c>
      <c r="AO684" s="363"/>
      <c r="AP684" s="364"/>
      <c r="AQ684" s="362">
        <f>AQ710</f>
        <v>717</v>
      </c>
      <c r="AR684" s="363"/>
      <c r="AS684" s="364"/>
      <c r="AT684" s="362">
        <f>AT710</f>
        <v>10247</v>
      </c>
      <c r="AU684" s="363"/>
      <c r="AV684" s="229"/>
      <c r="AW684" s="226"/>
      <c r="AX684" s="366"/>
      <c r="AY684" s="339">
        <f>AY710</f>
        <v>8838.2273530000002</v>
      </c>
      <c r="AZ684" s="357"/>
      <c r="BA684" s="357"/>
      <c r="BB684" s="357"/>
      <c r="BC684" s="357"/>
    </row>
    <row r="685" spans="1:55" s="24" customFormat="1">
      <c r="A685" s="179"/>
      <c r="B685" s="179"/>
      <c r="C685" s="179"/>
      <c r="D685" s="181"/>
      <c r="E685" s="181"/>
      <c r="F685" s="181"/>
      <c r="G685" s="181"/>
      <c r="H685" s="126" t="s">
        <v>99</v>
      </c>
      <c r="I685" s="126"/>
      <c r="J685" s="365">
        <f>J713</f>
        <v>290.20999999999998</v>
      </c>
      <c r="K685" s="363"/>
      <c r="L685" s="364"/>
      <c r="M685" s="362">
        <f>M713</f>
        <v>267.56999999999994</v>
      </c>
      <c r="N685" s="363"/>
      <c r="O685" s="364"/>
      <c r="P685" s="362">
        <f>P713</f>
        <v>266.3</v>
      </c>
      <c r="Q685" s="363"/>
      <c r="R685" s="364"/>
      <c r="S685" s="362">
        <f>S713</f>
        <v>245.97999999999996</v>
      </c>
      <c r="T685" s="363"/>
      <c r="U685" s="364"/>
      <c r="V685" s="362">
        <f>V713</f>
        <v>198.14</v>
      </c>
      <c r="W685" s="363"/>
      <c r="X685" s="364"/>
      <c r="Y685" s="362">
        <f>Y713</f>
        <v>160.51</v>
      </c>
      <c r="Z685" s="363"/>
      <c r="AA685" s="364"/>
      <c r="AB685" s="362">
        <f>AB713</f>
        <v>155.84</v>
      </c>
      <c r="AC685" s="363"/>
      <c r="AD685" s="364"/>
      <c r="AE685" s="362">
        <f>AE713</f>
        <v>155.60999999999999</v>
      </c>
      <c r="AF685" s="363"/>
      <c r="AG685" s="364"/>
      <c r="AH685" s="362">
        <f>AH713</f>
        <v>193.21999999999997</v>
      </c>
      <c r="AI685" s="363"/>
      <c r="AJ685" s="364"/>
      <c r="AK685" s="362">
        <f>AK713</f>
        <v>256.79999999999995</v>
      </c>
      <c r="AL685" s="363"/>
      <c r="AM685" s="364"/>
      <c r="AN685" s="362">
        <f>AN713</f>
        <v>273.44</v>
      </c>
      <c r="AO685" s="363"/>
      <c r="AP685" s="364"/>
      <c r="AQ685" s="362">
        <f>AQ713</f>
        <v>292.36000000000007</v>
      </c>
      <c r="AR685" s="363"/>
      <c r="AS685" s="364"/>
      <c r="AT685" s="362">
        <f>AT713</f>
        <v>2755.9799999999996</v>
      </c>
      <c r="AU685" s="363"/>
      <c r="AV685" s="229"/>
      <c r="AW685" s="226"/>
      <c r="AX685" s="366"/>
      <c r="AY685" s="339">
        <f>AY713</f>
        <v>2725.0883356999998</v>
      </c>
      <c r="AZ685" s="357"/>
      <c r="BA685" s="357"/>
      <c r="BB685" s="357"/>
      <c r="BC685" s="357"/>
    </row>
    <row r="686" spans="1:55" s="24" customFormat="1">
      <c r="A686" s="719"/>
      <c r="B686" s="719"/>
      <c r="C686" s="719"/>
      <c r="D686" s="989">
        <v>338526</v>
      </c>
      <c r="E686" s="989"/>
      <c r="F686" s="989"/>
      <c r="G686" s="1110">
        <v>338526</v>
      </c>
      <c r="H686" s="134" t="s">
        <v>622</v>
      </c>
      <c r="I686" s="516" t="s">
        <v>364</v>
      </c>
      <c r="J686" s="262">
        <f>SUM(J687:J688)</f>
        <v>672.48</v>
      </c>
      <c r="K686" s="246"/>
      <c r="L686" s="282"/>
      <c r="M686" s="317">
        <f>SUM(M687:M688)</f>
        <v>671.81</v>
      </c>
      <c r="N686" s="246"/>
      <c r="O686" s="282"/>
      <c r="P686" s="317">
        <f>SUM(P687:P688)</f>
        <v>629.79</v>
      </c>
      <c r="Q686" s="246"/>
      <c r="R686" s="282"/>
      <c r="S686" s="317">
        <f>SUM(S687:S688)</f>
        <v>473.81</v>
      </c>
      <c r="T686" s="246"/>
      <c r="U686" s="282"/>
      <c r="V686" s="317">
        <f>SUM(V687:V688)</f>
        <v>494.5</v>
      </c>
      <c r="W686" s="246"/>
      <c r="X686" s="282"/>
      <c r="Y686" s="317">
        <f>SUM(Y687:Y688)</f>
        <v>495.64</v>
      </c>
      <c r="Z686" s="246"/>
      <c r="AA686" s="282"/>
      <c r="AB686" s="317">
        <f>SUM(AB687:AB688)</f>
        <v>351.59000000000003</v>
      </c>
      <c r="AC686" s="246"/>
      <c r="AD686" s="282"/>
      <c r="AE686" s="317">
        <f>SUM(AE687:AE688)</f>
        <v>451.97</v>
      </c>
      <c r="AF686" s="246"/>
      <c r="AG686" s="282"/>
      <c r="AH686" s="317">
        <f>SUM(AH687:AH688)</f>
        <v>638</v>
      </c>
      <c r="AI686" s="246"/>
      <c r="AJ686" s="282"/>
      <c r="AK686" s="317">
        <f>SUM(AK687:AK688)</f>
        <v>663.71</v>
      </c>
      <c r="AL686" s="246"/>
      <c r="AM686" s="282"/>
      <c r="AN686" s="317">
        <f>SUM(AN687:AN688)</f>
        <v>708.84999999999991</v>
      </c>
      <c r="AO686" s="246"/>
      <c r="AP686" s="282"/>
      <c r="AQ686" s="317">
        <f>SUM(AQ687:AQ688)</f>
        <v>759.89</v>
      </c>
      <c r="AR686" s="246"/>
      <c r="AS686" s="282"/>
      <c r="AT686" s="317">
        <f>SUM(AT687:AT688)</f>
        <v>7012.0399999999991</v>
      </c>
      <c r="AU686" s="246"/>
      <c r="AV686" s="336"/>
      <c r="AW686" s="285"/>
      <c r="AX686" s="249"/>
      <c r="AY686" s="1068">
        <v>7041.596939</v>
      </c>
      <c r="AZ686" s="357"/>
      <c r="BA686" s="357"/>
      <c r="BB686" s="357"/>
      <c r="BC686" s="357"/>
    </row>
    <row r="687" spans="1:55" s="24" customFormat="1">
      <c r="A687" s="719"/>
      <c r="B687" s="719"/>
      <c r="C687" s="719"/>
      <c r="D687" s="989"/>
      <c r="E687" s="989"/>
      <c r="F687" s="989"/>
      <c r="G687" s="1110"/>
      <c r="H687" s="122" t="s">
        <v>623</v>
      </c>
      <c r="I687" s="122"/>
      <c r="J687" s="802">
        <f>394.05+47.14</f>
        <v>441.19</v>
      </c>
      <c r="K687" s="721"/>
      <c r="L687" s="722"/>
      <c r="M687" s="802">
        <f>290.64+58.33+40</f>
        <v>388.96999999999997</v>
      </c>
      <c r="N687" s="1115"/>
      <c r="O687" s="1118"/>
      <c r="P687" s="1189">
        <f>310.2+30</f>
        <v>340.2</v>
      </c>
      <c r="Q687" s="1115"/>
      <c r="R687" s="1118"/>
      <c r="S687" s="802">
        <f>189.85+46.48+150</f>
        <v>386.33</v>
      </c>
      <c r="T687" s="1115"/>
      <c r="U687" s="1118"/>
      <c r="V687" s="802">
        <f>243.37+5.13+246</f>
        <v>494.5</v>
      </c>
      <c r="W687" s="1115"/>
      <c r="X687" s="1118"/>
      <c r="Y687" s="1189">
        <f>253.18+20</f>
        <v>273.18</v>
      </c>
      <c r="Z687" s="1115"/>
      <c r="AA687" s="1118"/>
      <c r="AB687" s="1119">
        <v>76.78</v>
      </c>
      <c r="AC687" s="1115"/>
      <c r="AD687" s="1118"/>
      <c r="AE687" s="1189">
        <f>147.96+10</f>
        <v>157.96</v>
      </c>
      <c r="AF687" s="1115"/>
      <c r="AG687" s="1118"/>
      <c r="AH687" s="1036">
        <v>344.36</v>
      </c>
      <c r="AI687" s="721"/>
      <c r="AJ687" s="722"/>
      <c r="AK687" s="1036">
        <v>366.48</v>
      </c>
      <c r="AL687" s="721"/>
      <c r="AM687" s="722"/>
      <c r="AN687" s="1189">
        <f>394.28+20</f>
        <v>414.28</v>
      </c>
      <c r="AO687" s="1115"/>
      <c r="AP687" s="1118"/>
      <c r="AQ687" s="1036">
        <v>458.74</v>
      </c>
      <c r="AR687" s="246"/>
      <c r="AS687" s="282"/>
      <c r="AT687" s="244">
        <f t="shared" ref="AT687:AT705" si="24">J687+M687+P687+S687+V687+Y687+AB687+AE687+AH687+AK687+AN687+AQ687</f>
        <v>4142.9699999999993</v>
      </c>
      <c r="AU687" s="246"/>
      <c r="AV687" s="336"/>
      <c r="AW687" s="285"/>
      <c r="AX687" s="249"/>
      <c r="AY687" s="338"/>
      <c r="AZ687" s="357"/>
      <c r="BA687" s="357"/>
      <c r="BB687" s="357"/>
      <c r="BC687" s="357"/>
    </row>
    <row r="688" spans="1:55" s="24" customFormat="1">
      <c r="A688" s="719"/>
      <c r="B688" s="719"/>
      <c r="C688" s="719"/>
      <c r="D688" s="989"/>
      <c r="E688" s="989"/>
      <c r="F688" s="989"/>
      <c r="G688" s="1110"/>
      <c r="H688" s="122" t="s">
        <v>624</v>
      </c>
      <c r="I688" s="122"/>
      <c r="J688" s="579">
        <f>264.45-33.16</f>
        <v>231.29</v>
      </c>
      <c r="K688" s="721"/>
      <c r="L688" s="722"/>
      <c r="M688" s="1189">
        <f>252.84+30</f>
        <v>282.84000000000003</v>
      </c>
      <c r="N688" s="1115"/>
      <c r="O688" s="1118"/>
      <c r="P688" s="1189">
        <f>269.59+20</f>
        <v>289.58999999999997</v>
      </c>
      <c r="Q688" s="1115"/>
      <c r="R688" s="1118"/>
      <c r="S688" s="1189">
        <f>67.48+20</f>
        <v>87.48</v>
      </c>
      <c r="T688" s="1115"/>
      <c r="U688" s="1118"/>
      <c r="V688" s="1119">
        <v>0</v>
      </c>
      <c r="W688" s="1115"/>
      <c r="X688" s="1118"/>
      <c r="Y688" s="1050">
        <f>240.41-17.95</f>
        <v>222.46</v>
      </c>
      <c r="Z688" s="1115"/>
      <c r="AA688" s="1118"/>
      <c r="AB688" s="1189">
        <f>224.81+50</f>
        <v>274.81</v>
      </c>
      <c r="AC688" s="1115"/>
      <c r="AD688" s="1118"/>
      <c r="AE688" s="521">
        <f>214.01+80</f>
        <v>294.01</v>
      </c>
      <c r="AF688" s="721"/>
      <c r="AG688" s="722"/>
      <c r="AH688" s="1189">
        <f>263.64+30</f>
        <v>293.64</v>
      </c>
      <c r="AI688" s="1115"/>
      <c r="AJ688" s="1118"/>
      <c r="AK688" s="521">
        <f>277.23+20</f>
        <v>297.23</v>
      </c>
      <c r="AL688" s="721"/>
      <c r="AM688" s="722"/>
      <c r="AN688" s="1189">
        <f>264.57+30</f>
        <v>294.57</v>
      </c>
      <c r="AO688" s="1115"/>
      <c r="AP688" s="1118"/>
      <c r="AQ688" s="521">
        <f>281.15+20</f>
        <v>301.14999999999998</v>
      </c>
      <c r="AR688" s="246"/>
      <c r="AS688" s="282"/>
      <c r="AT688" s="244">
        <f t="shared" si="24"/>
        <v>2869.07</v>
      </c>
      <c r="AU688" s="246"/>
      <c r="AV688" s="336"/>
      <c r="AW688" s="285"/>
      <c r="AX688" s="249"/>
      <c r="AY688" s="338"/>
      <c r="AZ688" s="357"/>
      <c r="BA688" s="357"/>
      <c r="BB688" s="357"/>
      <c r="BC688" s="357"/>
    </row>
    <row r="689" spans="1:55" s="24" customFormat="1">
      <c r="A689" s="719"/>
      <c r="B689" s="719"/>
      <c r="C689" s="719"/>
      <c r="D689" s="989">
        <v>338502</v>
      </c>
      <c r="E689" s="989"/>
      <c r="F689" s="989"/>
      <c r="G689" s="1110">
        <v>338502</v>
      </c>
      <c r="H689" s="127" t="s">
        <v>625</v>
      </c>
      <c r="I689" s="516" t="s">
        <v>364</v>
      </c>
      <c r="J689" s="345">
        <f>1600.35+100</f>
        <v>1700.35</v>
      </c>
      <c r="K689" s="721"/>
      <c r="L689" s="722"/>
      <c r="M689" s="345">
        <f>1545.73+170</f>
        <v>1715.73</v>
      </c>
      <c r="N689" s="721"/>
      <c r="O689" s="722"/>
      <c r="P689" s="345">
        <f>1672.98+80+22.96</f>
        <v>1775.94</v>
      </c>
      <c r="Q689" s="721"/>
      <c r="R689" s="722"/>
      <c r="S689" s="345">
        <f>1585.34+10.98</f>
        <v>1596.32</v>
      </c>
      <c r="T689" s="721"/>
      <c r="U689" s="722"/>
      <c r="V689" s="345">
        <f>1550.94+45.95</f>
        <v>1596.89</v>
      </c>
      <c r="W689" s="721"/>
      <c r="X689" s="722"/>
      <c r="Y689" s="629">
        <v>1657.92</v>
      </c>
      <c r="Z689" s="721"/>
      <c r="AA689" s="722"/>
      <c r="AB689" s="345">
        <f>1815+20</f>
        <v>1835</v>
      </c>
      <c r="AC689" s="721"/>
      <c r="AD689" s="722"/>
      <c r="AE689" s="629">
        <v>1833.12</v>
      </c>
      <c r="AF689" s="721"/>
      <c r="AG689" s="722"/>
      <c r="AH689" s="345">
        <f>1770.12+100</f>
        <v>1870.12</v>
      </c>
      <c r="AI689" s="721"/>
      <c r="AJ689" s="722"/>
      <c r="AK689" s="345">
        <f>1597.92+240</f>
        <v>1837.92</v>
      </c>
      <c r="AL689" s="721"/>
      <c r="AM689" s="722"/>
      <c r="AN689" s="345">
        <f>1758.12+100</f>
        <v>1858.12</v>
      </c>
      <c r="AO689" s="721"/>
      <c r="AP689" s="722"/>
      <c r="AQ689" s="345">
        <f>1626.75+240</f>
        <v>1866.75</v>
      </c>
      <c r="AR689" s="246"/>
      <c r="AS689" s="282"/>
      <c r="AT689" s="244">
        <f t="shared" si="24"/>
        <v>21144.179999999997</v>
      </c>
      <c r="AU689" s="246"/>
      <c r="AV689" s="336"/>
      <c r="AW689" s="285"/>
      <c r="AX689" s="249"/>
      <c r="AY689" s="438">
        <v>19591.583999999999</v>
      </c>
      <c r="AZ689" s="357"/>
      <c r="BA689" s="357"/>
      <c r="BB689" s="357"/>
      <c r="BC689" s="357"/>
    </row>
    <row r="690" spans="1:55" s="24" customFormat="1">
      <c r="A690" s="719"/>
      <c r="B690" s="719"/>
      <c r="C690" s="719"/>
      <c r="D690" s="989">
        <v>338503</v>
      </c>
      <c r="E690" s="989"/>
      <c r="F690" s="989"/>
      <c r="G690" s="1110">
        <v>338503</v>
      </c>
      <c r="H690" s="127" t="s">
        <v>630</v>
      </c>
      <c r="I690" s="516" t="s">
        <v>364</v>
      </c>
      <c r="J690" s="1171">
        <f>194+100</f>
        <v>294</v>
      </c>
      <c r="K690" s="721"/>
      <c r="L690" s="722"/>
      <c r="M690" s="345">
        <f>181+120</f>
        <v>301</v>
      </c>
      <c r="N690" s="721"/>
      <c r="O690" s="722"/>
      <c r="P690" s="345">
        <f>194+130</f>
        <v>324</v>
      </c>
      <c r="Q690" s="721"/>
      <c r="R690" s="722"/>
      <c r="S690" s="345">
        <f>188+59</f>
        <v>247</v>
      </c>
      <c r="T690" s="721"/>
      <c r="U690" s="722"/>
      <c r="V690" s="345">
        <f>176+110</f>
        <v>286</v>
      </c>
      <c r="W690" s="721"/>
      <c r="X690" s="722"/>
      <c r="Y690" s="345">
        <f>160+100</f>
        <v>260</v>
      </c>
      <c r="Z690" s="721"/>
      <c r="AA690" s="722"/>
      <c r="AB690" s="345">
        <f>117+80</f>
        <v>197</v>
      </c>
      <c r="AC690" s="721"/>
      <c r="AD690" s="722"/>
      <c r="AE690" s="629">
        <v>178</v>
      </c>
      <c r="AF690" s="721"/>
      <c r="AG690" s="722"/>
      <c r="AH690" s="345">
        <f>99+80</f>
        <v>179</v>
      </c>
      <c r="AI690" s="721"/>
      <c r="AJ690" s="722"/>
      <c r="AK690" s="345">
        <f>188+120</f>
        <v>308</v>
      </c>
      <c r="AL690" s="721"/>
      <c r="AM690" s="722"/>
      <c r="AN690" s="345">
        <f>188+130</f>
        <v>318</v>
      </c>
      <c r="AO690" s="721"/>
      <c r="AP690" s="722"/>
      <c r="AQ690" s="345">
        <f>194+110</f>
        <v>304</v>
      </c>
      <c r="AR690" s="246"/>
      <c r="AS690" s="282"/>
      <c r="AT690" s="244">
        <f t="shared" si="24"/>
        <v>3196</v>
      </c>
      <c r="AU690" s="246"/>
      <c r="AV690" s="336"/>
      <c r="AW690" s="285"/>
      <c r="AX690" s="249"/>
      <c r="AY690" s="440">
        <v>2815.6165919999999</v>
      </c>
      <c r="AZ690" s="357"/>
      <c r="BA690" s="357"/>
      <c r="BB690" s="357"/>
      <c r="BC690" s="357"/>
    </row>
    <row r="691" spans="1:55" s="24" customFormat="1">
      <c r="A691" s="719"/>
      <c r="B691" s="719"/>
      <c r="C691" s="719"/>
      <c r="D691" s="989">
        <v>338501</v>
      </c>
      <c r="E691" s="989"/>
      <c r="F691" s="989"/>
      <c r="G691" s="1110">
        <v>338501</v>
      </c>
      <c r="H691" s="132" t="s">
        <v>631</v>
      </c>
      <c r="I691" s="127"/>
      <c r="J691" s="822">
        <f>SUM(J692:J693)</f>
        <v>549.92000000000007</v>
      </c>
      <c r="K691" s="721"/>
      <c r="L691" s="722"/>
      <c r="M691" s="723">
        <f>SUM(M692:M693)</f>
        <v>548.5</v>
      </c>
      <c r="N691" s="721"/>
      <c r="O691" s="722"/>
      <c r="P691" s="723">
        <f>SUM(P692:P693)</f>
        <v>548.72</v>
      </c>
      <c r="Q691" s="721"/>
      <c r="R691" s="722"/>
      <c r="S691" s="723">
        <f>SUM(S692:S693)</f>
        <v>473.6</v>
      </c>
      <c r="T691" s="721"/>
      <c r="U691" s="722"/>
      <c r="V691" s="723">
        <f>SUM(V692:V693)</f>
        <v>457.36</v>
      </c>
      <c r="W691" s="721"/>
      <c r="X691" s="722"/>
      <c r="Y691" s="723">
        <f>SUM(Y692:Y693)</f>
        <v>352.8</v>
      </c>
      <c r="Z691" s="721"/>
      <c r="AA691" s="722"/>
      <c r="AB691" s="723">
        <f>SUM(AB692:AB693)</f>
        <v>346.78999999999996</v>
      </c>
      <c r="AC691" s="721"/>
      <c r="AD691" s="722"/>
      <c r="AE691" s="723">
        <f>SUM(AE692:AE693)</f>
        <v>447.39</v>
      </c>
      <c r="AF691" s="721"/>
      <c r="AG691" s="722"/>
      <c r="AH691" s="723">
        <f>SUM(AH692:AH693)</f>
        <v>456.56</v>
      </c>
      <c r="AI691" s="721"/>
      <c r="AJ691" s="722"/>
      <c r="AK691" s="723">
        <f>SUM(AK692:AK693)</f>
        <v>558.72</v>
      </c>
      <c r="AL691" s="721"/>
      <c r="AM691" s="722"/>
      <c r="AN691" s="723">
        <f>SUM(AN692:AN693)</f>
        <v>583.6</v>
      </c>
      <c r="AO691" s="721"/>
      <c r="AP691" s="722"/>
      <c r="AQ691" s="723">
        <f>SUM(AQ692:AQ693)</f>
        <v>568.72</v>
      </c>
      <c r="AR691" s="246"/>
      <c r="AS691" s="282"/>
      <c r="AT691" s="723">
        <f>SUM(AT692:AT693)</f>
        <v>5892.68</v>
      </c>
      <c r="AU691" s="246"/>
      <c r="AV691" s="336"/>
      <c r="AW691" s="285"/>
      <c r="AX691" s="249"/>
      <c r="AY691" s="440">
        <v>5433.0296559999997</v>
      </c>
      <c r="AZ691" s="357"/>
      <c r="BA691" s="357"/>
      <c r="BB691" s="357"/>
      <c r="BC691" s="357"/>
    </row>
    <row r="692" spans="1:55" s="24" customFormat="1">
      <c r="A692" s="719"/>
      <c r="B692" s="719"/>
      <c r="C692" s="719"/>
      <c r="D692" s="989"/>
      <c r="E692" s="989"/>
      <c r="F692" s="989"/>
      <c r="G692" s="1110"/>
      <c r="H692" s="127" t="s">
        <v>862</v>
      </c>
      <c r="I692" s="127"/>
      <c r="J692" s="802">
        <f>208.3+0.02+40</f>
        <v>248.32000000000002</v>
      </c>
      <c r="K692" s="1115"/>
      <c r="L692" s="1118"/>
      <c r="M692" s="1189">
        <f>194.9+50</f>
        <v>244.9</v>
      </c>
      <c r="N692" s="1115"/>
      <c r="O692" s="1118"/>
      <c r="P692" s="802">
        <f>208.3+0.02+30</f>
        <v>238.32000000000002</v>
      </c>
      <c r="Q692" s="1115"/>
      <c r="R692" s="1118"/>
      <c r="S692" s="1119">
        <v>201.6</v>
      </c>
      <c r="T692" s="1115"/>
      <c r="U692" s="1118"/>
      <c r="V692" s="802">
        <f>104.2+50.36+40</f>
        <v>194.56</v>
      </c>
      <c r="W692" s="721"/>
      <c r="X692" s="722"/>
      <c r="Y692" s="1119">
        <v>100.8</v>
      </c>
      <c r="Z692" s="1115"/>
      <c r="AA692" s="1118"/>
      <c r="AB692" s="1119">
        <v>104.2</v>
      </c>
      <c r="AC692" s="1115"/>
      <c r="AD692" s="1118"/>
      <c r="AE692" s="1189">
        <f>104.2+100</f>
        <v>204.2</v>
      </c>
      <c r="AF692" s="1115"/>
      <c r="AG692" s="1118"/>
      <c r="AH692" s="802">
        <f>100.8+53.76+50</f>
        <v>204.56</v>
      </c>
      <c r="AI692" s="721"/>
      <c r="AJ692" s="722"/>
      <c r="AK692" s="802">
        <f>208.3+0.02+70</f>
        <v>278.32000000000005</v>
      </c>
      <c r="AL692" s="1115"/>
      <c r="AM692" s="1118"/>
      <c r="AN692" s="1189">
        <f>201.6+80</f>
        <v>281.60000000000002</v>
      </c>
      <c r="AO692" s="1115"/>
      <c r="AP692" s="1118"/>
      <c r="AQ692" s="802">
        <f>208.3+0.02+50</f>
        <v>258.32000000000005</v>
      </c>
      <c r="AR692" s="246"/>
      <c r="AS692" s="282"/>
      <c r="AT692" s="244">
        <f t="shared" si="24"/>
        <v>2559.7000000000003</v>
      </c>
      <c r="AU692" s="246"/>
      <c r="AV692" s="336"/>
      <c r="AW692" s="285"/>
      <c r="AX692" s="249"/>
      <c r="AY692" s="441"/>
      <c r="AZ692" s="357"/>
      <c r="BA692" s="357"/>
      <c r="BB692" s="357"/>
      <c r="BC692" s="357"/>
    </row>
    <row r="693" spans="1:55" s="24" customFormat="1">
      <c r="A693" s="719"/>
      <c r="B693" s="719"/>
      <c r="C693" s="719"/>
      <c r="D693" s="989"/>
      <c r="E693" s="989"/>
      <c r="F693" s="989"/>
      <c r="G693" s="1110"/>
      <c r="H693" s="127" t="s">
        <v>863</v>
      </c>
      <c r="I693" s="127"/>
      <c r="J693" s="1175">
        <f>201.6+100</f>
        <v>301.60000000000002</v>
      </c>
      <c r="K693" s="1115"/>
      <c r="L693" s="1118"/>
      <c r="M693" s="1189">
        <f>243.6+60</f>
        <v>303.60000000000002</v>
      </c>
      <c r="N693" s="1115"/>
      <c r="O693" s="1118"/>
      <c r="P693" s="1189">
        <f>260.4+50</f>
        <v>310.39999999999998</v>
      </c>
      <c r="Q693" s="1115"/>
      <c r="R693" s="1118"/>
      <c r="S693" s="1189">
        <f>252+20</f>
        <v>272</v>
      </c>
      <c r="T693" s="1115"/>
      <c r="U693" s="1118"/>
      <c r="V693" s="1189">
        <f>142.8+120</f>
        <v>262.8</v>
      </c>
      <c r="W693" s="1115"/>
      <c r="X693" s="1118"/>
      <c r="Y693" s="1119">
        <v>252</v>
      </c>
      <c r="Z693" s="1115"/>
      <c r="AA693" s="1118"/>
      <c r="AB693" s="1050">
        <f>260.4-17.81</f>
        <v>242.58999999999997</v>
      </c>
      <c r="AC693" s="1115"/>
      <c r="AD693" s="1118"/>
      <c r="AE693" s="1050">
        <f>260.4-17.21</f>
        <v>243.18999999999997</v>
      </c>
      <c r="AF693" s="1115"/>
      <c r="AG693" s="1118"/>
      <c r="AH693" s="1119">
        <v>252</v>
      </c>
      <c r="AI693" s="1115"/>
      <c r="AJ693" s="1118"/>
      <c r="AK693" s="1189">
        <f>260.4+20</f>
        <v>280.39999999999998</v>
      </c>
      <c r="AL693" s="1115"/>
      <c r="AM693" s="1118"/>
      <c r="AN693" s="1189">
        <f>252+50</f>
        <v>302</v>
      </c>
      <c r="AO693" s="1115"/>
      <c r="AP693" s="1118"/>
      <c r="AQ693" s="1189">
        <f>260.4+50</f>
        <v>310.39999999999998</v>
      </c>
      <c r="AR693" s="246"/>
      <c r="AS693" s="282"/>
      <c r="AT693" s="244">
        <f t="shared" si="24"/>
        <v>3332.98</v>
      </c>
      <c r="AU693" s="246"/>
      <c r="AV693" s="336"/>
      <c r="AW693" s="285"/>
      <c r="AX693" s="249"/>
      <c r="AY693" s="441"/>
      <c r="AZ693" s="357"/>
      <c r="BA693" s="357"/>
      <c r="BB693" s="357"/>
      <c r="BC693" s="357"/>
    </row>
    <row r="694" spans="1:55" s="24" customFormat="1">
      <c r="A694" s="719"/>
      <c r="B694" s="719"/>
      <c r="C694" s="719"/>
      <c r="D694" s="989">
        <v>338527</v>
      </c>
      <c r="E694" s="989"/>
      <c r="F694" s="989"/>
      <c r="G694" s="1110">
        <v>338527</v>
      </c>
      <c r="H694" s="132" t="s">
        <v>632</v>
      </c>
      <c r="I694" s="516" t="s">
        <v>364</v>
      </c>
      <c r="J694" s="262">
        <f>SUM(J695:J696)</f>
        <v>280</v>
      </c>
      <c r="K694" s="246"/>
      <c r="L694" s="282"/>
      <c r="M694" s="317">
        <f>SUM(M695:M696)</f>
        <v>260</v>
      </c>
      <c r="N694" s="246"/>
      <c r="O694" s="282"/>
      <c r="P694" s="317">
        <f>SUM(P695:P696)</f>
        <v>223.85</v>
      </c>
      <c r="Q694" s="246"/>
      <c r="R694" s="282"/>
      <c r="S694" s="317">
        <f>SUM(S695:S696)</f>
        <v>188.64</v>
      </c>
      <c r="T694" s="246"/>
      <c r="U694" s="282"/>
      <c r="V694" s="317">
        <f>SUM(V695:V696)</f>
        <v>173</v>
      </c>
      <c r="W694" s="246"/>
      <c r="X694" s="282"/>
      <c r="Y694" s="317">
        <f>SUM(Y695:Y696)</f>
        <v>208</v>
      </c>
      <c r="Z694" s="246"/>
      <c r="AA694" s="282"/>
      <c r="AB694" s="317">
        <f>SUM(AB695:AB696)</f>
        <v>240</v>
      </c>
      <c r="AC694" s="246"/>
      <c r="AD694" s="282"/>
      <c r="AE694" s="317">
        <f>SUM(AE695:AE696)</f>
        <v>285</v>
      </c>
      <c r="AF694" s="246"/>
      <c r="AG694" s="282"/>
      <c r="AH694" s="317">
        <f>SUM(AH695:AH696)</f>
        <v>260</v>
      </c>
      <c r="AI694" s="246"/>
      <c r="AJ694" s="282"/>
      <c r="AK694" s="317">
        <f>SUM(AK695:AK696)</f>
        <v>269</v>
      </c>
      <c r="AL694" s="246"/>
      <c r="AM694" s="282"/>
      <c r="AN694" s="317">
        <f>SUM(AN695:AN696)</f>
        <v>274</v>
      </c>
      <c r="AO694" s="246"/>
      <c r="AP694" s="282"/>
      <c r="AQ694" s="317">
        <f>SUM(AQ695:AQ696)</f>
        <v>284</v>
      </c>
      <c r="AR694" s="246"/>
      <c r="AS694" s="282"/>
      <c r="AT694" s="317">
        <f>SUM(AT695:AT696)</f>
        <v>2945.49</v>
      </c>
      <c r="AU694" s="246"/>
      <c r="AV694" s="336"/>
      <c r="AW694" s="285"/>
      <c r="AX694" s="249"/>
      <c r="AY694" s="440">
        <v>3305.2370000000001</v>
      </c>
      <c r="AZ694" s="357"/>
      <c r="BA694" s="357"/>
      <c r="BB694" s="357"/>
      <c r="BC694" s="357"/>
    </row>
    <row r="695" spans="1:55" s="24" customFormat="1">
      <c r="A695" s="719"/>
      <c r="B695" s="719"/>
      <c r="C695" s="719"/>
      <c r="D695" s="989"/>
      <c r="E695" s="989"/>
      <c r="F695" s="989"/>
      <c r="G695" s="1110"/>
      <c r="H695" s="127" t="s">
        <v>633</v>
      </c>
      <c r="I695" s="127"/>
      <c r="J695" s="1120">
        <v>140</v>
      </c>
      <c r="K695" s="1115"/>
      <c r="L695" s="1118"/>
      <c r="M695" s="521">
        <f>125+5</f>
        <v>130</v>
      </c>
      <c r="N695" s="721"/>
      <c r="O695" s="722"/>
      <c r="P695" s="802">
        <f>43.6+2.86</f>
        <v>46.46</v>
      </c>
      <c r="Q695" s="1115"/>
      <c r="R695" s="1118"/>
      <c r="S695" s="802">
        <f>16+15.82</f>
        <v>31.82</v>
      </c>
      <c r="T695" s="1115"/>
      <c r="U695" s="1118"/>
      <c r="V695" s="1189">
        <f>133+40</f>
        <v>173</v>
      </c>
      <c r="W695" s="1115"/>
      <c r="X695" s="1118"/>
      <c r="Y695" s="721">
        <v>128</v>
      </c>
      <c r="Z695" s="721"/>
      <c r="AA695" s="722"/>
      <c r="AB695" s="1119">
        <v>130</v>
      </c>
      <c r="AC695" s="1115"/>
      <c r="AD695" s="1118"/>
      <c r="AE695" s="521">
        <f>130+10</f>
        <v>140</v>
      </c>
      <c r="AF695" s="721"/>
      <c r="AG695" s="722"/>
      <c r="AH695" s="1119">
        <v>130</v>
      </c>
      <c r="AI695" s="1115"/>
      <c r="AJ695" s="1118"/>
      <c r="AK695" s="1119">
        <v>134</v>
      </c>
      <c r="AL695" s="1115"/>
      <c r="AM695" s="1118"/>
      <c r="AN695" s="1120">
        <v>137</v>
      </c>
      <c r="AO695" s="721"/>
      <c r="AP695" s="722"/>
      <c r="AQ695" s="1036">
        <v>142</v>
      </c>
      <c r="AR695" s="246"/>
      <c r="AS695" s="282"/>
      <c r="AT695" s="244">
        <f t="shared" si="24"/>
        <v>1462.28</v>
      </c>
      <c r="AU695" s="246"/>
      <c r="AV695" s="336"/>
      <c r="AW695" s="285"/>
      <c r="AX695" s="249"/>
      <c r="AY695" s="441"/>
      <c r="AZ695" s="357"/>
      <c r="BA695" s="357"/>
      <c r="BB695" s="357"/>
      <c r="BC695" s="357"/>
    </row>
    <row r="696" spans="1:55" s="24" customFormat="1">
      <c r="A696" s="719"/>
      <c r="B696" s="719"/>
      <c r="C696" s="719"/>
      <c r="D696" s="989"/>
      <c r="E696" s="989"/>
      <c r="F696" s="989"/>
      <c r="G696" s="1110"/>
      <c r="H696" s="127" t="s">
        <v>840</v>
      </c>
      <c r="I696" s="127"/>
      <c r="J696" s="721">
        <v>140</v>
      </c>
      <c r="K696" s="721"/>
      <c r="L696" s="722"/>
      <c r="M696" s="1189">
        <f>125+5</f>
        <v>130</v>
      </c>
      <c r="N696" s="1115"/>
      <c r="O696" s="1118"/>
      <c r="P696" s="802">
        <f>134+23.39+20</f>
        <v>177.39</v>
      </c>
      <c r="Q696" s="1115"/>
      <c r="R696" s="1118"/>
      <c r="S696" s="802">
        <f>125+31.82</f>
        <v>156.82</v>
      </c>
      <c r="T696" s="1115"/>
      <c r="U696" s="1118"/>
      <c r="V696" s="721">
        <v>0</v>
      </c>
      <c r="W696" s="721"/>
      <c r="X696" s="722"/>
      <c r="Y696" s="1119">
        <v>80</v>
      </c>
      <c r="Z696" s="1115"/>
      <c r="AA696" s="1118"/>
      <c r="AB696" s="1119">
        <v>110</v>
      </c>
      <c r="AC696" s="1115"/>
      <c r="AD696" s="1118"/>
      <c r="AE696" s="1189">
        <f>110+35</f>
        <v>145</v>
      </c>
      <c r="AF696" s="1115"/>
      <c r="AG696" s="1118"/>
      <c r="AH696" s="1189">
        <f>120+10</f>
        <v>130</v>
      </c>
      <c r="AI696" s="1115"/>
      <c r="AJ696" s="1118"/>
      <c r="AK696" s="1198">
        <f>125+10</f>
        <v>135</v>
      </c>
      <c r="AL696" s="721"/>
      <c r="AM696" s="722"/>
      <c r="AN696" s="1120">
        <v>137</v>
      </c>
      <c r="AO696" s="721"/>
      <c r="AP696" s="722"/>
      <c r="AQ696" s="1119">
        <v>142</v>
      </c>
      <c r="AR696" s="246"/>
      <c r="AS696" s="282"/>
      <c r="AT696" s="244">
        <f t="shared" si="24"/>
        <v>1483.21</v>
      </c>
      <c r="AU696" s="246"/>
      <c r="AV696" s="336"/>
      <c r="AW696" s="285"/>
      <c r="AX696" s="249"/>
      <c r="AY696" s="441"/>
      <c r="AZ696" s="357"/>
      <c r="BA696" s="357"/>
      <c r="BB696" s="357"/>
      <c r="BC696" s="357"/>
    </row>
    <row r="697" spans="1:55" s="24" customFormat="1">
      <c r="A697" s="719"/>
      <c r="B697" s="719"/>
      <c r="C697" s="719"/>
      <c r="D697" s="989">
        <v>338514</v>
      </c>
      <c r="E697" s="989"/>
      <c r="F697" s="989"/>
      <c r="G697" s="1110">
        <v>338514</v>
      </c>
      <c r="H697" s="127" t="s">
        <v>634</v>
      </c>
      <c r="I697" s="516" t="s">
        <v>364</v>
      </c>
      <c r="J697" s="802">
        <f>289+16.19</f>
        <v>305.19</v>
      </c>
      <c r="K697" s="1115"/>
      <c r="L697" s="1118"/>
      <c r="M697" s="802">
        <f>230+0.1+50</f>
        <v>280.10000000000002</v>
      </c>
      <c r="N697" s="1115"/>
      <c r="O697" s="1118"/>
      <c r="P697" s="802">
        <f>213.2+7.25+30</f>
        <v>250.45</v>
      </c>
      <c r="Q697" s="1115"/>
      <c r="R697" s="1118"/>
      <c r="S697" s="1119">
        <v>167.3</v>
      </c>
      <c r="T697" s="1115"/>
      <c r="U697" s="1118"/>
      <c r="V697" s="1119">
        <v>103.5</v>
      </c>
      <c r="W697" s="1115"/>
      <c r="X697" s="1118"/>
      <c r="Y697" s="802">
        <f>45+9</f>
        <v>54</v>
      </c>
      <c r="Z697" s="1115"/>
      <c r="AA697" s="1118"/>
      <c r="AB697" s="1119">
        <v>74.3</v>
      </c>
      <c r="AC697" s="1115"/>
      <c r="AD697" s="1118"/>
      <c r="AE697" s="1189">
        <f>71+15</f>
        <v>86</v>
      </c>
      <c r="AF697" s="1115"/>
      <c r="AG697" s="1118"/>
      <c r="AH697" s="1189">
        <f>90.7+30</f>
        <v>120.7</v>
      </c>
      <c r="AI697" s="1115"/>
      <c r="AJ697" s="1118"/>
      <c r="AK697" s="1119">
        <v>177.5</v>
      </c>
      <c r="AL697" s="1115"/>
      <c r="AM697" s="1118"/>
      <c r="AN697" s="802">
        <f>227.3+3.82+80</f>
        <v>311.12</v>
      </c>
      <c r="AO697" s="721"/>
      <c r="AP697" s="1118"/>
      <c r="AQ697" s="802">
        <f>271+11.2+20</f>
        <v>302.2</v>
      </c>
      <c r="AR697" s="246"/>
      <c r="AS697" s="282"/>
      <c r="AT697" s="244">
        <f t="shared" si="24"/>
        <v>2232.3599999999997</v>
      </c>
      <c r="AU697" s="246"/>
      <c r="AV697" s="336"/>
      <c r="AW697" s="285"/>
      <c r="AX697" s="249"/>
      <c r="AY697" s="441">
        <v>2013.163</v>
      </c>
      <c r="AZ697" s="357"/>
      <c r="BA697" s="357"/>
      <c r="BB697" s="357"/>
      <c r="BC697" s="357"/>
    </row>
    <row r="698" spans="1:55" s="24" customFormat="1">
      <c r="A698" s="719"/>
      <c r="B698" s="719"/>
      <c r="C698" s="719"/>
      <c r="D698" s="989">
        <v>338529</v>
      </c>
      <c r="E698" s="989"/>
      <c r="F698" s="989"/>
      <c r="G698" s="1110">
        <v>338529</v>
      </c>
      <c r="H698" s="520" t="s">
        <v>399</v>
      </c>
      <c r="I698" s="519" t="s">
        <v>365</v>
      </c>
      <c r="J698" s="721">
        <v>54.05</v>
      </c>
      <c r="K698" s="721"/>
      <c r="L698" s="722"/>
      <c r="M698" s="721">
        <v>47.53</v>
      </c>
      <c r="N698" s="721"/>
      <c r="O698" s="722"/>
      <c r="P698" s="1119">
        <v>48.81</v>
      </c>
      <c r="Q698" s="1115"/>
      <c r="R698" s="1118"/>
      <c r="S698" s="1119">
        <v>42.05</v>
      </c>
      <c r="T698" s="1115"/>
      <c r="U698" s="1118"/>
      <c r="V698" s="1119">
        <v>38.24</v>
      </c>
      <c r="W698" s="1115"/>
      <c r="X698" s="1118"/>
      <c r="Y698" s="1119">
        <v>31.48</v>
      </c>
      <c r="Z698" s="1115"/>
      <c r="AA698" s="1118"/>
      <c r="AB698" s="1119">
        <v>29.87</v>
      </c>
      <c r="AC698" s="1115"/>
      <c r="AD698" s="1118"/>
      <c r="AE698" s="721">
        <v>30.45</v>
      </c>
      <c r="AF698" s="721"/>
      <c r="AG698" s="722"/>
      <c r="AH698" s="1119">
        <v>33.119999999999997</v>
      </c>
      <c r="AI698" s="1115"/>
      <c r="AJ698" s="1118"/>
      <c r="AK698" s="721">
        <v>43.64</v>
      </c>
      <c r="AL698" s="721"/>
      <c r="AM698" s="722"/>
      <c r="AN698" s="721">
        <v>49.41</v>
      </c>
      <c r="AO698" s="721"/>
      <c r="AP698" s="722"/>
      <c r="AQ698" s="721">
        <v>53.3</v>
      </c>
      <c r="AR698" s="246"/>
      <c r="AS698" s="282"/>
      <c r="AT698" s="244">
        <f t="shared" si="24"/>
        <v>501.95</v>
      </c>
      <c r="AU698" s="246"/>
      <c r="AV698" s="336"/>
      <c r="AW698" s="285"/>
      <c r="AX698" s="249"/>
      <c r="AY698" s="441">
        <v>493.101</v>
      </c>
      <c r="AZ698" s="357"/>
      <c r="BA698" s="357"/>
      <c r="BB698" s="357"/>
      <c r="BC698" s="357"/>
    </row>
    <row r="699" spans="1:55" s="24" customFormat="1">
      <c r="A699" s="719"/>
      <c r="B699" s="719"/>
      <c r="C699" s="719"/>
      <c r="D699" s="989">
        <v>338528</v>
      </c>
      <c r="E699" s="989"/>
      <c r="F699" s="989"/>
      <c r="G699" s="1110">
        <v>338528</v>
      </c>
      <c r="H699" s="127" t="s">
        <v>1353</v>
      </c>
      <c r="I699" s="516" t="s">
        <v>364</v>
      </c>
      <c r="J699" s="1120">
        <v>43.67</v>
      </c>
      <c r="K699" s="1115"/>
      <c r="L699" s="1118"/>
      <c r="M699" s="1120">
        <v>36.6</v>
      </c>
      <c r="N699" s="1115"/>
      <c r="O699" s="1118"/>
      <c r="P699" s="1120">
        <v>29.52</v>
      </c>
      <c r="Q699" s="1115"/>
      <c r="R699" s="1118"/>
      <c r="S699" s="1120">
        <v>23.07</v>
      </c>
      <c r="T699" s="1115"/>
      <c r="U699" s="1118"/>
      <c r="V699" s="1115">
        <v>15.39</v>
      </c>
      <c r="W699" s="1115"/>
      <c r="X699" s="1118"/>
      <c r="Y699" s="1120">
        <v>12.01</v>
      </c>
      <c r="Z699" s="1115"/>
      <c r="AA699" s="1118"/>
      <c r="AB699" s="1120">
        <v>12.34</v>
      </c>
      <c r="AC699" s="1115"/>
      <c r="AD699" s="1118"/>
      <c r="AE699" s="1120">
        <v>12.34</v>
      </c>
      <c r="AF699" s="1115"/>
      <c r="AG699" s="1118"/>
      <c r="AH699" s="1120">
        <v>13.04</v>
      </c>
      <c r="AI699" s="1115"/>
      <c r="AJ699" s="1118"/>
      <c r="AK699" s="1120">
        <v>23.15</v>
      </c>
      <c r="AL699" s="1115"/>
      <c r="AM699" s="1118"/>
      <c r="AN699" s="1120">
        <v>35.700000000000003</v>
      </c>
      <c r="AO699" s="1115"/>
      <c r="AP699" s="1118"/>
      <c r="AQ699" s="1120">
        <v>45.15</v>
      </c>
      <c r="AR699" s="246"/>
      <c r="AS699" s="282"/>
      <c r="AT699" s="244">
        <f t="shared" si="24"/>
        <v>301.97999999999996</v>
      </c>
      <c r="AU699" s="246"/>
      <c r="AV699" s="336"/>
      <c r="AW699" s="285"/>
      <c r="AX699" s="249"/>
      <c r="AY699" s="441">
        <v>362.39704499999999</v>
      </c>
      <c r="AZ699" s="357"/>
      <c r="BA699" s="357"/>
      <c r="BB699" s="357"/>
      <c r="BC699" s="357"/>
    </row>
    <row r="700" spans="1:55" s="24" customFormat="1">
      <c r="A700" s="719"/>
      <c r="B700" s="719"/>
      <c r="C700" s="719"/>
      <c r="D700" s="989">
        <v>338513</v>
      </c>
      <c r="E700" s="989"/>
      <c r="F700" s="989"/>
      <c r="G700" s="1110">
        <v>338513</v>
      </c>
      <c r="H700" s="127" t="s">
        <v>635</v>
      </c>
      <c r="I700" s="516" t="s">
        <v>364</v>
      </c>
      <c r="J700" s="802">
        <f>17.85+0.01</f>
        <v>17.860000000000003</v>
      </c>
      <c r="K700" s="1115"/>
      <c r="L700" s="1118"/>
      <c r="M700" s="802">
        <f>15.29+1.41</f>
        <v>16.7</v>
      </c>
      <c r="N700" s="1115"/>
      <c r="O700" s="1118"/>
      <c r="P700" s="802">
        <f>17.81+0.05</f>
        <v>17.86</v>
      </c>
      <c r="Q700" s="1115"/>
      <c r="R700" s="1118"/>
      <c r="S700" s="802">
        <f>16.41+0.87</f>
        <v>17.28</v>
      </c>
      <c r="T700" s="1115"/>
      <c r="U700" s="1118"/>
      <c r="V700" s="802">
        <f>12.65+1.86</f>
        <v>14.51</v>
      </c>
      <c r="W700" s="1115"/>
      <c r="X700" s="1118"/>
      <c r="Y700" s="802">
        <f>5.53+5.41</f>
        <v>10.940000000000001</v>
      </c>
      <c r="Z700" s="1115"/>
      <c r="AA700" s="1118"/>
      <c r="AB700" s="802">
        <f>6.62+4.61</f>
        <v>11.23</v>
      </c>
      <c r="AC700" s="1115"/>
      <c r="AD700" s="1118"/>
      <c r="AE700" s="802">
        <f>10.49+0.3</f>
        <v>10.790000000000001</v>
      </c>
      <c r="AF700" s="1115"/>
      <c r="AG700" s="1118"/>
      <c r="AH700" s="802">
        <f>11.52+1.44</f>
        <v>12.959999999999999</v>
      </c>
      <c r="AI700" s="1115"/>
      <c r="AJ700" s="1118"/>
      <c r="AK700" s="802">
        <f>13.68+4.18</f>
        <v>17.86</v>
      </c>
      <c r="AL700" s="1115"/>
      <c r="AM700" s="1118"/>
      <c r="AN700" s="802">
        <f>14.5+2.78</f>
        <v>17.28</v>
      </c>
      <c r="AO700" s="1115"/>
      <c r="AP700" s="1118"/>
      <c r="AQ700" s="802">
        <f>17.11+0.75</f>
        <v>17.86</v>
      </c>
      <c r="AR700" s="246"/>
      <c r="AS700" s="282"/>
      <c r="AT700" s="244">
        <f t="shared" si="24"/>
        <v>183.13</v>
      </c>
      <c r="AU700" s="246"/>
      <c r="AV700" s="336"/>
      <c r="AW700" s="285"/>
      <c r="AX700" s="249"/>
      <c r="AY700" s="441">
        <v>151.11099999999999</v>
      </c>
      <c r="AZ700" s="357"/>
      <c r="BA700" s="357"/>
      <c r="BB700" s="357"/>
      <c r="BC700" s="357"/>
    </row>
    <row r="701" spans="1:55" s="24" customFormat="1">
      <c r="A701" s="719"/>
      <c r="B701" s="719"/>
      <c r="C701" s="719"/>
      <c r="D701" s="989">
        <v>338512</v>
      </c>
      <c r="E701" s="989"/>
      <c r="F701" s="989"/>
      <c r="G701" s="1110">
        <v>338512</v>
      </c>
      <c r="H701" s="127" t="s">
        <v>636</v>
      </c>
      <c r="I701" s="516" t="s">
        <v>364</v>
      </c>
      <c r="J701" s="1120">
        <f>17.85+0.01</f>
        <v>17.860000000000003</v>
      </c>
      <c r="K701" s="1115"/>
      <c r="L701" s="1118"/>
      <c r="M701" s="802">
        <f>16.12+0.58</f>
        <v>16.7</v>
      </c>
      <c r="N701" s="1115"/>
      <c r="O701" s="1118"/>
      <c r="P701" s="1119">
        <f>17.85+0.01</f>
        <v>17.860000000000003</v>
      </c>
      <c r="Q701" s="1115"/>
      <c r="R701" s="1118"/>
      <c r="S701" s="1119">
        <v>17.28</v>
      </c>
      <c r="T701" s="1115"/>
      <c r="U701" s="1118"/>
      <c r="V701" s="802">
        <f>11.7+0.427</f>
        <v>12.126999999999999</v>
      </c>
      <c r="W701" s="721"/>
      <c r="X701" s="722"/>
      <c r="Y701" s="802">
        <f>7.25+2.736</f>
        <v>9.9860000000000007</v>
      </c>
      <c r="Z701" s="721"/>
      <c r="AA701" s="722"/>
      <c r="AB701" s="802">
        <f>7.02+0.17</f>
        <v>7.1899999999999995</v>
      </c>
      <c r="AC701" s="1115"/>
      <c r="AD701" s="1118"/>
      <c r="AE701" s="1050">
        <f>7-0.38</f>
        <v>6.62</v>
      </c>
      <c r="AF701" s="721"/>
      <c r="AG701" s="722"/>
      <c r="AH701" s="802">
        <f>9.11+0.9</f>
        <v>10.01</v>
      </c>
      <c r="AI701" s="721"/>
      <c r="AJ701" s="722"/>
      <c r="AK701" s="802">
        <f>16.73+1.13</f>
        <v>17.86</v>
      </c>
      <c r="AL701" s="1115"/>
      <c r="AM701" s="1118"/>
      <c r="AN701" s="1119">
        <v>17.28</v>
      </c>
      <c r="AO701" s="1115"/>
      <c r="AP701" s="1118"/>
      <c r="AQ701" s="802">
        <f>17.85+0.01</f>
        <v>17.860000000000003</v>
      </c>
      <c r="AR701" s="721"/>
      <c r="AS701" s="722"/>
      <c r="AT701" s="629">
        <f t="shared" si="24"/>
        <v>168.63300000000001</v>
      </c>
      <c r="AU701" s="246"/>
      <c r="AV701" s="336"/>
      <c r="AW701" s="285"/>
      <c r="AX701" s="249"/>
      <c r="AY701" s="441">
        <v>169.65</v>
      </c>
      <c r="AZ701" s="357"/>
      <c r="BA701" s="357"/>
      <c r="BB701" s="357"/>
      <c r="BC701" s="357"/>
    </row>
    <row r="702" spans="1:55" s="24" customFormat="1">
      <c r="A702" s="719"/>
      <c r="B702" s="719"/>
      <c r="C702" s="719"/>
      <c r="D702" s="989">
        <v>338532</v>
      </c>
      <c r="E702" s="989"/>
      <c r="F702" s="989"/>
      <c r="G702" s="1110">
        <v>338532</v>
      </c>
      <c r="H702" s="127" t="s">
        <v>1354</v>
      </c>
      <c r="I702" s="516" t="s">
        <v>364</v>
      </c>
      <c r="J702" s="802">
        <f>118+26.26</f>
        <v>144.26</v>
      </c>
      <c r="K702" s="1115"/>
      <c r="L702" s="1118"/>
      <c r="M702" s="802">
        <f>100+6.42</f>
        <v>106.42</v>
      </c>
      <c r="N702" s="1115"/>
      <c r="O702" s="1118"/>
      <c r="P702" s="1119">
        <v>104</v>
      </c>
      <c r="Q702" s="1115"/>
      <c r="R702" s="1118"/>
      <c r="S702" s="548">
        <f>105</f>
        <v>105</v>
      </c>
      <c r="T702" s="721"/>
      <c r="U702" s="722"/>
      <c r="V702" s="1119">
        <v>90</v>
      </c>
      <c r="W702" s="1115"/>
      <c r="X702" s="1118"/>
      <c r="Y702" s="721">
        <v>80</v>
      </c>
      <c r="Z702" s="721"/>
      <c r="AA702" s="722"/>
      <c r="AB702" s="1119">
        <v>135</v>
      </c>
      <c r="AC702" s="1115"/>
      <c r="AD702" s="1118"/>
      <c r="AE702" s="1119">
        <v>135</v>
      </c>
      <c r="AF702" s="1115"/>
      <c r="AG702" s="1118"/>
      <c r="AH702" s="802">
        <f>75+8.16</f>
        <v>83.16</v>
      </c>
      <c r="AI702" s="1115"/>
      <c r="AJ702" s="1118"/>
      <c r="AK702" s="802">
        <f>85+8.74</f>
        <v>93.74</v>
      </c>
      <c r="AL702" s="1115"/>
      <c r="AM702" s="1118"/>
      <c r="AN702" s="802">
        <f>108+4.18</f>
        <v>112.18</v>
      </c>
      <c r="AO702" s="1115"/>
      <c r="AP702" s="1118"/>
      <c r="AQ702" s="802">
        <f>118+26.19</f>
        <v>144.19</v>
      </c>
      <c r="AR702" s="721"/>
      <c r="AS702" s="722"/>
      <c r="AT702" s="629">
        <f t="shared" si="24"/>
        <v>1332.95</v>
      </c>
      <c r="AU702" s="246"/>
      <c r="AV702" s="336"/>
      <c r="AW702" s="285"/>
      <c r="AX702" s="249"/>
      <c r="AY702" s="441">
        <v>1229.8720000000001</v>
      </c>
      <c r="AZ702" s="357"/>
      <c r="BA702" s="357"/>
      <c r="BB702" s="357"/>
      <c r="BC702" s="357"/>
    </row>
    <row r="703" spans="1:55" s="24" customFormat="1">
      <c r="A703" s="719"/>
      <c r="B703" s="719"/>
      <c r="C703" s="719"/>
      <c r="D703" s="989">
        <v>338509</v>
      </c>
      <c r="E703" s="989"/>
      <c r="F703" s="989"/>
      <c r="G703" s="1110">
        <v>338509</v>
      </c>
      <c r="H703" s="122" t="s">
        <v>1355</v>
      </c>
      <c r="I703" s="516" t="s">
        <v>364</v>
      </c>
      <c r="J703" s="802">
        <f>8.68+3.82</f>
        <v>12.5</v>
      </c>
      <c r="K703" s="1115"/>
      <c r="L703" s="1118"/>
      <c r="M703" s="802">
        <f>8.24+3.87</f>
        <v>12.11</v>
      </c>
      <c r="N703" s="1115"/>
      <c r="O703" s="1118"/>
      <c r="P703" s="802">
        <f>6.56+5.64</f>
        <v>12.2</v>
      </c>
      <c r="Q703" s="1115"/>
      <c r="R703" s="1118"/>
      <c r="S703" s="802">
        <f>6.14+2.93</f>
        <v>9.07</v>
      </c>
      <c r="T703" s="1115"/>
      <c r="U703" s="1118"/>
      <c r="V703" s="1036">
        <v>6.14</v>
      </c>
      <c r="W703" s="721"/>
      <c r="X703" s="722"/>
      <c r="Y703" s="802">
        <f>5.7+0.06</f>
        <v>5.76</v>
      </c>
      <c r="Z703" s="1115"/>
      <c r="AA703" s="1118"/>
      <c r="AB703" s="1036">
        <v>5.39</v>
      </c>
      <c r="AC703" s="721"/>
      <c r="AD703" s="722"/>
      <c r="AE703" s="1036">
        <v>5.56</v>
      </c>
      <c r="AF703" s="721"/>
      <c r="AG703" s="722"/>
      <c r="AH703" s="802">
        <f>5.91+3.59</f>
        <v>9.5</v>
      </c>
      <c r="AI703" s="1115"/>
      <c r="AJ703" s="1118"/>
      <c r="AK703" s="802">
        <f>6.34+3.18</f>
        <v>9.52</v>
      </c>
      <c r="AL703" s="1115"/>
      <c r="AM703" s="1118"/>
      <c r="AN703" s="802">
        <f>6.32+3.18</f>
        <v>9.5</v>
      </c>
      <c r="AO703" s="1115"/>
      <c r="AP703" s="1118"/>
      <c r="AQ703" s="802">
        <f>8.48+3.13</f>
        <v>11.61</v>
      </c>
      <c r="AR703" s="246"/>
      <c r="AS703" s="282"/>
      <c r="AT703" s="244">
        <f t="shared" si="24"/>
        <v>108.86</v>
      </c>
      <c r="AU703" s="246"/>
      <c r="AV703" s="336"/>
      <c r="AW703" s="285"/>
      <c r="AX703" s="249"/>
      <c r="AY703" s="441">
        <v>126.63676700000001</v>
      </c>
      <c r="AZ703" s="357"/>
      <c r="BA703" s="357"/>
      <c r="BB703" s="357"/>
      <c r="BC703" s="357"/>
    </row>
    <row r="704" spans="1:55" s="110" customFormat="1">
      <c r="A704" s="719"/>
      <c r="B704" s="719"/>
      <c r="C704" s="719"/>
      <c r="D704" s="989">
        <v>338510</v>
      </c>
      <c r="E704" s="989"/>
      <c r="F704" s="989"/>
      <c r="G704" s="1110">
        <v>338510</v>
      </c>
      <c r="H704" s="122" t="s">
        <v>1356</v>
      </c>
      <c r="I704" s="516" t="s">
        <v>364</v>
      </c>
      <c r="J704" s="802">
        <f>6.48+0.22</f>
        <v>6.7</v>
      </c>
      <c r="K704" s="1115"/>
      <c r="L704" s="1118"/>
      <c r="M704" s="802">
        <f>4.07+0.31</f>
        <v>4.38</v>
      </c>
      <c r="N704" s="1115"/>
      <c r="O704" s="1118"/>
      <c r="P704" s="629">
        <v>3.86</v>
      </c>
      <c r="Q704" s="721"/>
      <c r="R704" s="722"/>
      <c r="S704" s="629">
        <v>3.29</v>
      </c>
      <c r="T704" s="721"/>
      <c r="U704" s="722"/>
      <c r="V704" s="629">
        <v>0</v>
      </c>
      <c r="W704" s="721"/>
      <c r="X704" s="722"/>
      <c r="Y704" s="629">
        <v>0</v>
      </c>
      <c r="Z704" s="721"/>
      <c r="AA704" s="722"/>
      <c r="AB704" s="629">
        <v>0</v>
      </c>
      <c r="AC704" s="721"/>
      <c r="AD704" s="722"/>
      <c r="AE704" s="629">
        <v>0</v>
      </c>
      <c r="AF704" s="721"/>
      <c r="AG704" s="722"/>
      <c r="AH704" s="802">
        <f>1.08+1.8</f>
        <v>2.88</v>
      </c>
      <c r="AI704" s="1115"/>
      <c r="AJ704" s="1118"/>
      <c r="AK704" s="831">
        <v>3.99</v>
      </c>
      <c r="AL704" s="721"/>
      <c r="AM704" s="722"/>
      <c r="AN704" s="802">
        <f>3.58+1.53</f>
        <v>5.1100000000000003</v>
      </c>
      <c r="AO704" s="1115"/>
      <c r="AP704" s="1118"/>
      <c r="AQ704" s="802">
        <f>6.34+0.36</f>
        <v>6.7</v>
      </c>
      <c r="AR704" s="246"/>
      <c r="AS704" s="282"/>
      <c r="AT704" s="244">
        <f t="shared" si="24"/>
        <v>36.910000000000004</v>
      </c>
      <c r="AU704" s="246"/>
      <c r="AV704" s="336"/>
      <c r="AW704" s="285"/>
      <c r="AX704" s="249"/>
      <c r="AY704" s="441">
        <v>75.744355999999996</v>
      </c>
      <c r="AZ704" s="356"/>
      <c r="BA704" s="356"/>
      <c r="BB704" s="356"/>
      <c r="BC704" s="356"/>
    </row>
    <row r="705" spans="1:55" s="109" customFormat="1">
      <c r="A705" s="719"/>
      <c r="B705" s="719"/>
      <c r="C705" s="719"/>
      <c r="D705" s="989">
        <v>338517</v>
      </c>
      <c r="E705" s="989"/>
      <c r="F705" s="989"/>
      <c r="G705" s="1110">
        <v>338519</v>
      </c>
      <c r="H705" s="127" t="s">
        <v>1357</v>
      </c>
      <c r="I705" s="519" t="s">
        <v>365</v>
      </c>
      <c r="J705" s="802">
        <f>16.69+1.17</f>
        <v>17.86</v>
      </c>
      <c r="K705" s="1115"/>
      <c r="L705" s="1118"/>
      <c r="M705" s="802">
        <f>15.54+1.16</f>
        <v>16.7</v>
      </c>
      <c r="N705" s="1115"/>
      <c r="O705" s="1118"/>
      <c r="P705" s="832">
        <v>16.170000000000002</v>
      </c>
      <c r="Q705" s="732"/>
      <c r="R705" s="929"/>
      <c r="S705" s="831">
        <v>14.52</v>
      </c>
      <c r="T705" s="721"/>
      <c r="U705" s="722"/>
      <c r="V705" s="629">
        <v>10.88</v>
      </c>
      <c r="W705" s="721"/>
      <c r="X705" s="722"/>
      <c r="Y705" s="629">
        <v>10.130000000000001</v>
      </c>
      <c r="Z705" s="721"/>
      <c r="AA705" s="722"/>
      <c r="AB705" s="629">
        <v>13.73</v>
      </c>
      <c r="AC705" s="721"/>
      <c r="AD705" s="722"/>
      <c r="AE705" s="629">
        <v>12.8</v>
      </c>
      <c r="AF705" s="721"/>
      <c r="AG705" s="722"/>
      <c r="AH705" s="629">
        <v>10.8</v>
      </c>
      <c r="AI705" s="721"/>
      <c r="AJ705" s="722"/>
      <c r="AK705" s="831">
        <v>16.059999999999999</v>
      </c>
      <c r="AL705" s="721"/>
      <c r="AM705" s="722"/>
      <c r="AN705" s="831">
        <v>15.93</v>
      </c>
      <c r="AO705" s="721"/>
      <c r="AP705" s="722"/>
      <c r="AQ705" s="629">
        <v>16.690000000000001</v>
      </c>
      <c r="AR705" s="246"/>
      <c r="AS705" s="282"/>
      <c r="AT705" s="244">
        <f t="shared" si="24"/>
        <v>172.26999999999998</v>
      </c>
      <c r="AU705" s="246"/>
      <c r="AV705" s="336"/>
      <c r="AW705" s="285"/>
      <c r="AX705" s="249"/>
      <c r="AY705" s="1072">
        <v>155.39131599999999</v>
      </c>
      <c r="AZ705" s="368"/>
      <c r="BA705" s="368"/>
      <c r="BB705" s="368"/>
      <c r="BC705" s="368"/>
    </row>
    <row r="706" spans="1:55" s="24" customFormat="1">
      <c r="A706" s="719"/>
      <c r="B706" s="719"/>
      <c r="C706" s="719"/>
      <c r="D706" s="989">
        <v>338511</v>
      </c>
      <c r="E706" s="989"/>
      <c r="F706" s="989"/>
      <c r="G706" s="1110">
        <v>338511</v>
      </c>
      <c r="H706" s="127" t="s">
        <v>398</v>
      </c>
      <c r="I706" s="519" t="s">
        <v>365</v>
      </c>
      <c r="J706" s="629">
        <v>34.1</v>
      </c>
      <c r="K706" s="721"/>
      <c r="L706" s="722"/>
      <c r="M706" s="629">
        <v>27.5</v>
      </c>
      <c r="N706" s="721"/>
      <c r="O706" s="722"/>
      <c r="P706" s="629">
        <v>25.6</v>
      </c>
      <c r="Q706" s="721"/>
      <c r="R706" s="722"/>
      <c r="S706" s="629">
        <v>18.3</v>
      </c>
      <c r="T706" s="721"/>
      <c r="U706" s="722"/>
      <c r="V706" s="629">
        <v>6.66</v>
      </c>
      <c r="W706" s="721"/>
      <c r="X706" s="722"/>
      <c r="Y706" s="629">
        <v>0</v>
      </c>
      <c r="Z706" s="721"/>
      <c r="AA706" s="722"/>
      <c r="AB706" s="629">
        <v>0</v>
      </c>
      <c r="AC706" s="721"/>
      <c r="AD706" s="722"/>
      <c r="AE706" s="629">
        <v>0</v>
      </c>
      <c r="AF706" s="721"/>
      <c r="AG706" s="722"/>
      <c r="AH706" s="629">
        <v>3.5</v>
      </c>
      <c r="AI706" s="721"/>
      <c r="AJ706" s="722"/>
      <c r="AK706" s="629">
        <v>17.100000000000001</v>
      </c>
      <c r="AL706" s="721"/>
      <c r="AM706" s="722"/>
      <c r="AN706" s="629">
        <v>24.2</v>
      </c>
      <c r="AO706" s="721"/>
      <c r="AP706" s="722"/>
      <c r="AQ706" s="629">
        <v>33</v>
      </c>
      <c r="AR706" s="246"/>
      <c r="AS706" s="282"/>
      <c r="AT706" s="244">
        <f>J706+M706+P706+S706+V706+Y706+AB706+AE706+AH706+AK706+AN706+AQ706</f>
        <v>189.95999999999998</v>
      </c>
      <c r="AU706" s="246"/>
      <c r="AV706" s="336"/>
      <c r="AW706" s="285"/>
      <c r="AX706" s="249"/>
      <c r="AY706" s="441">
        <v>202.69200000000001</v>
      </c>
      <c r="AZ706" s="357"/>
      <c r="BA706" s="357"/>
      <c r="BB706" s="357"/>
      <c r="BC706" s="357"/>
    </row>
    <row r="707" spans="1:55" s="24" customFormat="1">
      <c r="A707" s="719"/>
      <c r="B707" s="719"/>
      <c r="C707" s="719"/>
      <c r="D707" s="989"/>
      <c r="E707" s="989"/>
      <c r="F707" s="989"/>
      <c r="G707" s="1110">
        <v>777292</v>
      </c>
      <c r="H707" s="891" t="s">
        <v>1081</v>
      </c>
      <c r="I707" s="519" t="s">
        <v>365</v>
      </c>
      <c r="J707" s="629">
        <v>5.98</v>
      </c>
      <c r="K707" s="721"/>
      <c r="L707" s="722"/>
      <c r="M707" s="629">
        <v>5.64</v>
      </c>
      <c r="N707" s="721"/>
      <c r="O707" s="722"/>
      <c r="P707" s="629">
        <v>5.98</v>
      </c>
      <c r="Q707" s="721"/>
      <c r="R707" s="722"/>
      <c r="S707" s="629">
        <v>5.98</v>
      </c>
      <c r="T707" s="721"/>
      <c r="U707" s="722"/>
      <c r="V707" s="629">
        <v>4.4000000000000004</v>
      </c>
      <c r="W707" s="721"/>
      <c r="X707" s="722"/>
      <c r="Y707" s="629">
        <v>4.4000000000000004</v>
      </c>
      <c r="Z707" s="721"/>
      <c r="AA707" s="722"/>
      <c r="AB707" s="629">
        <v>4.4000000000000004</v>
      </c>
      <c r="AC707" s="721"/>
      <c r="AD707" s="722"/>
      <c r="AE707" s="629">
        <v>4.4000000000000004</v>
      </c>
      <c r="AF707" s="721"/>
      <c r="AG707" s="722"/>
      <c r="AH707" s="629">
        <v>5.98</v>
      </c>
      <c r="AI707" s="721"/>
      <c r="AJ707" s="722"/>
      <c r="AK707" s="629">
        <v>5.98</v>
      </c>
      <c r="AL707" s="721"/>
      <c r="AM707" s="722"/>
      <c r="AN707" s="629">
        <v>5.98</v>
      </c>
      <c r="AO707" s="721"/>
      <c r="AP707" s="722"/>
      <c r="AQ707" s="629">
        <v>5.98</v>
      </c>
      <c r="AR707" s="246"/>
      <c r="AS707" s="282"/>
      <c r="AT707" s="244">
        <f>J707+M707+P707+S707+V707+Y707+AB707+AE707+AH707+AK707+AN707+AQ707</f>
        <v>65.100000000000009</v>
      </c>
      <c r="AU707" s="246"/>
      <c r="AV707" s="336"/>
      <c r="AW707" s="285"/>
      <c r="AX707" s="249"/>
      <c r="AY707" s="441">
        <v>50.630893</v>
      </c>
      <c r="AZ707" s="357"/>
      <c r="BA707" s="357"/>
      <c r="BB707" s="357"/>
      <c r="BC707" s="357"/>
    </row>
    <row r="708" spans="1:55" s="24" customFormat="1">
      <c r="A708" s="719"/>
      <c r="B708" s="719"/>
      <c r="C708" s="719"/>
      <c r="D708" s="989"/>
      <c r="E708" s="989"/>
      <c r="F708" s="989"/>
      <c r="G708" s="1211">
        <v>777713</v>
      </c>
      <c r="H708" s="891" t="s">
        <v>1358</v>
      </c>
      <c r="I708" s="519" t="s">
        <v>365</v>
      </c>
      <c r="J708" s="993">
        <v>1.26</v>
      </c>
      <c r="K708" s="994"/>
      <c r="L708" s="995"/>
      <c r="M708" s="996">
        <v>1.1399999999999999</v>
      </c>
      <c r="N708" s="994"/>
      <c r="O708" s="995"/>
      <c r="P708" s="996">
        <v>1.26</v>
      </c>
      <c r="Q708" s="994"/>
      <c r="R708" s="995"/>
      <c r="S708" s="996">
        <v>1.22</v>
      </c>
      <c r="T708" s="994"/>
      <c r="U708" s="995"/>
      <c r="V708" s="996">
        <v>1.26</v>
      </c>
      <c r="W708" s="994"/>
      <c r="X708" s="995"/>
      <c r="Y708" s="996">
        <v>1.22</v>
      </c>
      <c r="Z708" s="994"/>
      <c r="AA708" s="995"/>
      <c r="AB708" s="996">
        <v>1.26</v>
      </c>
      <c r="AC708" s="994"/>
      <c r="AD708" s="995"/>
      <c r="AE708" s="996">
        <v>1.26</v>
      </c>
      <c r="AF708" s="994"/>
      <c r="AG708" s="995"/>
      <c r="AH708" s="996">
        <v>1.22</v>
      </c>
      <c r="AI708" s="994"/>
      <c r="AJ708" s="995"/>
      <c r="AK708" s="996">
        <v>1.26</v>
      </c>
      <c r="AL708" s="994"/>
      <c r="AM708" s="995"/>
      <c r="AN708" s="996">
        <v>1.22</v>
      </c>
      <c r="AO708" s="994"/>
      <c r="AP708" s="995"/>
      <c r="AQ708" s="996">
        <v>1.26</v>
      </c>
      <c r="AR708" s="246"/>
      <c r="AS708" s="282"/>
      <c r="AT708" s="244">
        <f>J708+M708+P708+S708+V708+Y708+AB708+AE708+AH708+AK708+AN708+AQ708</f>
        <v>14.84</v>
      </c>
      <c r="AU708" s="246"/>
      <c r="AV708" s="336"/>
      <c r="AW708" s="285"/>
      <c r="AX708" s="249"/>
      <c r="AY708" s="441">
        <v>0</v>
      </c>
      <c r="AZ708" s="357"/>
      <c r="BA708" s="357"/>
      <c r="BB708" s="357"/>
      <c r="BC708" s="357"/>
    </row>
    <row r="709" spans="1:55" s="24" customFormat="1">
      <c r="A709" s="719"/>
      <c r="B709" s="719"/>
      <c r="C709" s="719"/>
      <c r="D709" s="989">
        <v>338530</v>
      </c>
      <c r="E709" s="989"/>
      <c r="F709" s="989"/>
      <c r="G709" s="1110">
        <v>338530</v>
      </c>
      <c r="H709" s="122" t="s">
        <v>637</v>
      </c>
      <c r="I709" s="519" t="s">
        <v>365</v>
      </c>
      <c r="J709" s="638">
        <f>ГЭС!C49</f>
        <v>0.65580403804779053</v>
      </c>
      <c r="K709" s="246"/>
      <c r="L709" s="282"/>
      <c r="M709" s="638">
        <f>ГЭС!D49</f>
        <v>0.54692161083221436</v>
      </c>
      <c r="N709" s="246"/>
      <c r="O709" s="282"/>
      <c r="P709" s="638">
        <f>ГЭС!E49</f>
        <v>0.68519610166549683</v>
      </c>
      <c r="Q709" s="246"/>
      <c r="R709" s="282"/>
      <c r="S709" s="638">
        <f>ГЭС!G49</f>
        <v>2.7842152118682861</v>
      </c>
      <c r="T709" s="246"/>
      <c r="U709" s="282"/>
      <c r="V709" s="638">
        <f>ГЭС!H49</f>
        <v>4.1146078109741211</v>
      </c>
      <c r="W709" s="246"/>
      <c r="X709" s="282"/>
      <c r="Y709" s="638">
        <f>ГЭС!I49</f>
        <v>3.0179219245910645</v>
      </c>
      <c r="Z709" s="246"/>
      <c r="AA709" s="282"/>
      <c r="AB709" s="638">
        <f>ГЭС!K49</f>
        <v>2.1310000419616699</v>
      </c>
      <c r="AC709" s="246"/>
      <c r="AD709" s="282"/>
      <c r="AE709" s="638">
        <f>ГЭС!L49</f>
        <v>1.7296077013015747</v>
      </c>
      <c r="AF709" s="246"/>
      <c r="AG709" s="282"/>
      <c r="AH709" s="638">
        <f>ГЭС!M49</f>
        <v>1.6030977964401245</v>
      </c>
      <c r="AI709" s="246"/>
      <c r="AJ709" s="282"/>
      <c r="AK709" s="638">
        <f>ГЭС!O49</f>
        <v>1.7857843637466431</v>
      </c>
      <c r="AL709" s="246"/>
      <c r="AM709" s="282"/>
      <c r="AN709" s="638">
        <f>ГЭС!P49</f>
        <v>1.2868038415908813</v>
      </c>
      <c r="AO709" s="246"/>
      <c r="AP709" s="282"/>
      <c r="AQ709" s="638">
        <f>ГЭС!Q49</f>
        <v>0.82499998807907104</v>
      </c>
      <c r="AR709" s="246"/>
      <c r="AS709" s="282"/>
      <c r="AT709" s="638">
        <f>J709+M709+P709+S709+V709+Y709+AB709+AE709+AH709+AK709+AN709+AQ709</f>
        <v>21.165960431098938</v>
      </c>
      <c r="AU709" s="246"/>
      <c r="AV709" s="336"/>
      <c r="AW709" s="285"/>
      <c r="AX709" s="249"/>
      <c r="AY709" s="441">
        <v>19.831</v>
      </c>
      <c r="AZ709" s="357"/>
      <c r="BA709" s="357"/>
      <c r="BB709" s="357"/>
      <c r="BC709" s="357"/>
    </row>
    <row r="710" spans="1:55" s="24" customFormat="1">
      <c r="A710" s="719"/>
      <c r="B710" s="719"/>
      <c r="C710" s="719"/>
      <c r="D710" s="989">
        <v>370090</v>
      </c>
      <c r="E710" s="989"/>
      <c r="F710" s="989"/>
      <c r="G710" s="1110">
        <v>370090</v>
      </c>
      <c r="H710" s="134" t="s">
        <v>923</v>
      </c>
      <c r="I710" s="134"/>
      <c r="J710" s="262">
        <f>J711+J712</f>
        <v>1061</v>
      </c>
      <c r="K710" s="246"/>
      <c r="L710" s="282"/>
      <c r="M710" s="317">
        <f>M711+M712</f>
        <v>932</v>
      </c>
      <c r="N710" s="246"/>
      <c r="O710" s="282"/>
      <c r="P710" s="317">
        <f>P711+P712</f>
        <v>888</v>
      </c>
      <c r="Q710" s="246"/>
      <c r="R710" s="282"/>
      <c r="S710" s="317">
        <f>S711+S712</f>
        <v>1029</v>
      </c>
      <c r="T710" s="246"/>
      <c r="U710" s="282"/>
      <c r="V710" s="317">
        <f>V711+V712</f>
        <v>555</v>
      </c>
      <c r="W710" s="246"/>
      <c r="X710" s="282"/>
      <c r="Y710" s="317">
        <f>Y711+Y712</f>
        <v>1029</v>
      </c>
      <c r="Z710" s="246"/>
      <c r="AA710" s="282"/>
      <c r="AB710" s="317">
        <f>AB711+AB712</f>
        <v>988</v>
      </c>
      <c r="AC710" s="246"/>
      <c r="AD710" s="282"/>
      <c r="AE710" s="317">
        <f>AE711+AE712</f>
        <v>628</v>
      </c>
      <c r="AF710" s="246"/>
      <c r="AG710" s="282"/>
      <c r="AH710" s="317">
        <f>AH711+AH712</f>
        <v>899</v>
      </c>
      <c r="AI710" s="246"/>
      <c r="AJ710" s="282"/>
      <c r="AK710" s="317">
        <f>AK711+AK712</f>
        <v>1061</v>
      </c>
      <c r="AL710" s="246"/>
      <c r="AM710" s="282"/>
      <c r="AN710" s="317">
        <f>AN711+AN712</f>
        <v>460</v>
      </c>
      <c r="AO710" s="246"/>
      <c r="AP710" s="282"/>
      <c r="AQ710" s="317">
        <f>AQ711+AQ712</f>
        <v>717</v>
      </c>
      <c r="AR710" s="246"/>
      <c r="AS710" s="282"/>
      <c r="AT710" s="317">
        <f>AT711+AT712</f>
        <v>10247</v>
      </c>
      <c r="AU710" s="246"/>
      <c r="AV710" s="336"/>
      <c r="AW710" s="285"/>
      <c r="AX710" s="249"/>
      <c r="AY710" s="440">
        <v>8838.2273530000002</v>
      </c>
      <c r="AZ710" s="357"/>
      <c r="BA710" s="357"/>
      <c r="BB710" s="357"/>
      <c r="BC710" s="357"/>
    </row>
    <row r="711" spans="1:55" s="24" customFormat="1">
      <c r="A711" s="719"/>
      <c r="B711" s="719"/>
      <c r="C711" s="719"/>
      <c r="D711" s="989"/>
      <c r="E711" s="989"/>
      <c r="F711" s="989"/>
      <c r="G711" s="1110"/>
      <c r="H711" s="122" t="s">
        <v>924</v>
      </c>
      <c r="I711" s="516" t="s">
        <v>364</v>
      </c>
      <c r="J711" s="320">
        <f>АЭС!C25</f>
        <v>433</v>
      </c>
      <c r="K711" s="246"/>
      <c r="L711" s="282"/>
      <c r="M711" s="320">
        <f>АЭС!D25</f>
        <v>345</v>
      </c>
      <c r="N711" s="246"/>
      <c r="O711" s="282"/>
      <c r="P711" s="320">
        <f>АЭС!E25</f>
        <v>260</v>
      </c>
      <c r="Q711" s="246"/>
      <c r="R711" s="282"/>
      <c r="S711" s="320">
        <f>АЭС!F25</f>
        <v>420</v>
      </c>
      <c r="T711" s="246"/>
      <c r="U711" s="282"/>
      <c r="V711" s="320">
        <f>АЭС!G25</f>
        <v>433</v>
      </c>
      <c r="W711" s="246"/>
      <c r="X711" s="282"/>
      <c r="Y711" s="320">
        <f>АЭС!H25</f>
        <v>420</v>
      </c>
      <c r="Z711" s="246"/>
      <c r="AA711" s="282"/>
      <c r="AB711" s="320">
        <f>АЭС!I25</f>
        <v>360</v>
      </c>
      <c r="AC711" s="246"/>
      <c r="AD711" s="282"/>
      <c r="AE711" s="320">
        <f>АЭС!J25</f>
        <v>0</v>
      </c>
      <c r="AF711" s="246"/>
      <c r="AG711" s="282"/>
      <c r="AH711" s="320">
        <f>АЭС!K25</f>
        <v>290</v>
      </c>
      <c r="AI711" s="246"/>
      <c r="AJ711" s="282"/>
      <c r="AK711" s="320">
        <f>АЭС!L25</f>
        <v>433</v>
      </c>
      <c r="AL711" s="246"/>
      <c r="AM711" s="282"/>
      <c r="AN711" s="320">
        <f>АЭС!M25</f>
        <v>420</v>
      </c>
      <c r="AO711" s="246"/>
      <c r="AP711" s="282"/>
      <c r="AQ711" s="320">
        <f>АЭС!N25</f>
        <v>433</v>
      </c>
      <c r="AR711" s="246"/>
      <c r="AS711" s="282"/>
      <c r="AT711" s="320">
        <f>J711+M711+P711+S711+V711+Y711+AB711+AE711+AH711+AK711+AN711+AQ711</f>
        <v>4247</v>
      </c>
      <c r="AU711" s="246"/>
      <c r="AV711" s="336"/>
      <c r="AW711" s="285"/>
      <c r="AX711" s="249"/>
      <c r="AY711" s="249"/>
      <c r="AZ711" s="357"/>
      <c r="BA711" s="357"/>
      <c r="BB711" s="357"/>
      <c r="BC711" s="357"/>
    </row>
    <row r="712" spans="1:55" s="24" customFormat="1">
      <c r="A712" s="719"/>
      <c r="B712" s="719"/>
      <c r="C712" s="719"/>
      <c r="D712" s="989"/>
      <c r="E712" s="989"/>
      <c r="F712" s="989"/>
      <c r="G712" s="1110"/>
      <c r="H712" s="122" t="s">
        <v>925</v>
      </c>
      <c r="I712" s="516" t="s">
        <v>364</v>
      </c>
      <c r="J712" s="320">
        <f>АЭС!C27</f>
        <v>628</v>
      </c>
      <c r="K712" s="246"/>
      <c r="L712" s="282"/>
      <c r="M712" s="320">
        <f>АЭС!D27</f>
        <v>587</v>
      </c>
      <c r="N712" s="246"/>
      <c r="O712" s="282"/>
      <c r="P712" s="320">
        <f>АЭС!E27</f>
        <v>628</v>
      </c>
      <c r="Q712" s="246"/>
      <c r="R712" s="282"/>
      <c r="S712" s="320">
        <f>АЭС!F27</f>
        <v>609</v>
      </c>
      <c r="T712" s="246"/>
      <c r="U712" s="282"/>
      <c r="V712" s="320">
        <f>АЭС!G27</f>
        <v>122</v>
      </c>
      <c r="W712" s="246"/>
      <c r="X712" s="282"/>
      <c r="Y712" s="320">
        <f>АЭС!H27</f>
        <v>609</v>
      </c>
      <c r="Z712" s="246"/>
      <c r="AA712" s="282"/>
      <c r="AB712" s="320">
        <f>АЭС!I27</f>
        <v>628</v>
      </c>
      <c r="AC712" s="246"/>
      <c r="AD712" s="282"/>
      <c r="AE712" s="320">
        <f>АЭС!J27</f>
        <v>628</v>
      </c>
      <c r="AF712" s="246"/>
      <c r="AG712" s="282"/>
      <c r="AH712" s="320">
        <f>АЭС!K27</f>
        <v>609</v>
      </c>
      <c r="AI712" s="246"/>
      <c r="AJ712" s="282"/>
      <c r="AK712" s="320">
        <f>АЭС!L27</f>
        <v>628</v>
      </c>
      <c r="AL712" s="246"/>
      <c r="AM712" s="282"/>
      <c r="AN712" s="320">
        <f>АЭС!M27</f>
        <v>40</v>
      </c>
      <c r="AO712" s="246"/>
      <c r="AP712" s="282"/>
      <c r="AQ712" s="320">
        <f>АЭС!N27</f>
        <v>284</v>
      </c>
      <c r="AR712" s="246"/>
      <c r="AS712" s="282"/>
      <c r="AT712" s="320">
        <f>J712+M712+P712+S712+V712+Y712+AB712+AE712+AH712+AK712+AN712+AQ712</f>
        <v>6000</v>
      </c>
      <c r="AU712" s="246"/>
      <c r="AV712" s="336"/>
      <c r="AW712" s="285"/>
      <c r="AX712" s="249"/>
      <c r="AY712" s="249"/>
      <c r="AZ712" s="357"/>
      <c r="BA712" s="357"/>
      <c r="BB712" s="357"/>
      <c r="BC712" s="357"/>
    </row>
    <row r="713" spans="1:55" s="24" customFormat="1">
      <c r="A713" s="719"/>
      <c r="B713" s="719"/>
      <c r="C713" s="719"/>
      <c r="D713" s="989">
        <v>576</v>
      </c>
      <c r="E713" s="989"/>
      <c r="F713" s="989"/>
      <c r="G713" s="1110"/>
      <c r="H713" s="138" t="s">
        <v>174</v>
      </c>
      <c r="I713" s="138"/>
      <c r="J713" s="319">
        <f>SUM(J714:J728)</f>
        <v>290.20999999999998</v>
      </c>
      <c r="K713" s="288"/>
      <c r="L713" s="289"/>
      <c r="M713" s="319">
        <f>SUM(M714:M728)</f>
        <v>267.56999999999994</v>
      </c>
      <c r="N713" s="288"/>
      <c r="O713" s="289"/>
      <c r="P713" s="319">
        <f>SUM(P714:P728)</f>
        <v>266.3</v>
      </c>
      <c r="Q713" s="288"/>
      <c r="R713" s="289"/>
      <c r="S713" s="319">
        <f>SUM(S714:S728)</f>
        <v>245.97999999999996</v>
      </c>
      <c r="T713" s="288"/>
      <c r="U713" s="289"/>
      <c r="V713" s="319">
        <f>SUM(V714:V728)</f>
        <v>198.14</v>
      </c>
      <c r="W713" s="288"/>
      <c r="X713" s="289"/>
      <c r="Y713" s="319">
        <f>SUM(Y714:Y728)</f>
        <v>160.51</v>
      </c>
      <c r="Z713" s="288"/>
      <c r="AA713" s="289"/>
      <c r="AB713" s="319">
        <f>SUM(AB714:AB728)</f>
        <v>155.84</v>
      </c>
      <c r="AC713" s="288"/>
      <c r="AD713" s="289"/>
      <c r="AE713" s="319">
        <f>SUM(AE714:AE728)</f>
        <v>155.60999999999999</v>
      </c>
      <c r="AF713" s="288"/>
      <c r="AG713" s="289"/>
      <c r="AH713" s="319">
        <f>SUM(AH714:AH728)</f>
        <v>193.21999999999997</v>
      </c>
      <c r="AI713" s="288"/>
      <c r="AJ713" s="289"/>
      <c r="AK713" s="319">
        <f>SUM(AK714:AK728)</f>
        <v>256.79999999999995</v>
      </c>
      <c r="AL713" s="288"/>
      <c r="AM713" s="289"/>
      <c r="AN713" s="319">
        <f>SUM(AN714:AN728)</f>
        <v>273.44</v>
      </c>
      <c r="AO713" s="288"/>
      <c r="AP713" s="289"/>
      <c r="AQ713" s="319">
        <f>SUM(AQ714:AQ728)</f>
        <v>292.36000000000007</v>
      </c>
      <c r="AR713" s="288"/>
      <c r="AS713" s="289"/>
      <c r="AT713" s="319">
        <f>SUM(AT714:AT728)</f>
        <v>2755.9799999999996</v>
      </c>
      <c r="AU713" s="288"/>
      <c r="AV713" s="290"/>
      <c r="AW713" s="285"/>
      <c r="AX713" s="295"/>
      <c r="AY713" s="1066">
        <v>2725.0883356999998</v>
      </c>
      <c r="AZ713" s="357"/>
      <c r="BA713" s="357"/>
      <c r="BB713" s="357"/>
      <c r="BC713" s="357"/>
    </row>
    <row r="714" spans="1:55" s="24" customFormat="1">
      <c r="A714" s="719"/>
      <c r="B714" s="719"/>
      <c r="C714" s="719"/>
      <c r="D714" s="989">
        <v>338540</v>
      </c>
      <c r="E714" s="989"/>
      <c r="F714" s="989"/>
      <c r="G714" s="1110">
        <v>338540</v>
      </c>
      <c r="H714" s="135" t="s">
        <v>1359</v>
      </c>
      <c r="I714" s="518" t="s">
        <v>365</v>
      </c>
      <c r="J714" s="294">
        <v>112.34</v>
      </c>
      <c r="K714" s="288"/>
      <c r="L714" s="289"/>
      <c r="M714" s="294">
        <v>105.1</v>
      </c>
      <c r="N714" s="288"/>
      <c r="O714" s="289"/>
      <c r="P714" s="294">
        <v>107.1</v>
      </c>
      <c r="Q714" s="288"/>
      <c r="R714" s="289"/>
      <c r="S714" s="294">
        <v>99.22</v>
      </c>
      <c r="T714" s="288"/>
      <c r="U714" s="289"/>
      <c r="V714" s="294">
        <v>87.47</v>
      </c>
      <c r="W714" s="288"/>
      <c r="X714" s="289"/>
      <c r="Y714" s="294">
        <v>70.38</v>
      </c>
      <c r="Z714" s="288"/>
      <c r="AA714" s="289"/>
      <c r="AB714" s="294">
        <v>71.05</v>
      </c>
      <c r="AC714" s="288"/>
      <c r="AD714" s="289"/>
      <c r="AE714" s="294">
        <v>69.56</v>
      </c>
      <c r="AF714" s="288"/>
      <c r="AG714" s="289"/>
      <c r="AH714" s="294">
        <v>86.39</v>
      </c>
      <c r="AI714" s="288"/>
      <c r="AJ714" s="289"/>
      <c r="AK714" s="294">
        <v>108.28</v>
      </c>
      <c r="AL714" s="288"/>
      <c r="AM714" s="289"/>
      <c r="AN714" s="294">
        <v>107.86</v>
      </c>
      <c r="AO714" s="288"/>
      <c r="AP714" s="289"/>
      <c r="AQ714" s="294">
        <v>112.34</v>
      </c>
      <c r="AR714" s="288"/>
      <c r="AS714" s="289"/>
      <c r="AT714" s="294">
        <f t="shared" ref="AT714:AT728" si="25">J714+M714+P714+S714+V714+Y714+AB714+AE714+AH714+AK714+AN714+AQ714</f>
        <v>1137.0899999999999</v>
      </c>
      <c r="AU714" s="288"/>
      <c r="AV714" s="290"/>
      <c r="AW714" s="285"/>
      <c r="AX714" s="295"/>
      <c r="AY714" s="295"/>
      <c r="AZ714" s="357"/>
      <c r="BA714" s="357"/>
      <c r="BB714" s="357"/>
      <c r="BC714" s="357"/>
    </row>
    <row r="715" spans="1:55" s="24" customFormat="1">
      <c r="A715" s="719"/>
      <c r="B715" s="719"/>
      <c r="C715" s="719"/>
      <c r="D715" s="989">
        <v>338543</v>
      </c>
      <c r="E715" s="989"/>
      <c r="F715" s="989"/>
      <c r="G715" s="1110">
        <v>338543</v>
      </c>
      <c r="H715" s="145" t="s">
        <v>1360</v>
      </c>
      <c r="I715" s="518" t="s">
        <v>365</v>
      </c>
      <c r="J715" s="294">
        <v>5.95</v>
      </c>
      <c r="K715" s="288"/>
      <c r="L715" s="289"/>
      <c r="M715" s="294">
        <v>5.38</v>
      </c>
      <c r="N715" s="288"/>
      <c r="O715" s="289"/>
      <c r="P715" s="294">
        <v>5.95</v>
      </c>
      <c r="Q715" s="288"/>
      <c r="R715" s="289"/>
      <c r="S715" s="294">
        <v>5.18</v>
      </c>
      <c r="T715" s="288"/>
      <c r="U715" s="289"/>
      <c r="V715" s="294">
        <v>3.97</v>
      </c>
      <c r="W715" s="288"/>
      <c r="X715" s="289"/>
      <c r="Y715" s="294">
        <v>2.59</v>
      </c>
      <c r="Z715" s="288"/>
      <c r="AA715" s="289"/>
      <c r="AB715" s="294">
        <v>2.68</v>
      </c>
      <c r="AC715" s="288"/>
      <c r="AD715" s="289"/>
      <c r="AE715" s="294">
        <v>2.68</v>
      </c>
      <c r="AF715" s="288"/>
      <c r="AG715" s="289"/>
      <c r="AH715" s="294">
        <v>3.89</v>
      </c>
      <c r="AI715" s="288"/>
      <c r="AJ715" s="289"/>
      <c r="AK715" s="294">
        <v>5.36</v>
      </c>
      <c r="AL715" s="288"/>
      <c r="AM715" s="289"/>
      <c r="AN715" s="294">
        <v>5.76</v>
      </c>
      <c r="AO715" s="288"/>
      <c r="AP715" s="289"/>
      <c r="AQ715" s="294">
        <v>5.95</v>
      </c>
      <c r="AR715" s="288"/>
      <c r="AS715" s="289"/>
      <c r="AT715" s="294">
        <f t="shared" si="25"/>
        <v>55.34</v>
      </c>
      <c r="AU715" s="288"/>
      <c r="AV715" s="290"/>
      <c r="AW715" s="285"/>
      <c r="AX715" s="295"/>
      <c r="AY715" s="295"/>
      <c r="AZ715" s="357"/>
      <c r="BA715" s="357"/>
      <c r="BB715" s="357"/>
      <c r="BC715" s="357"/>
    </row>
    <row r="716" spans="1:55" s="24" customFormat="1">
      <c r="A716" s="719"/>
      <c r="B716" s="719"/>
      <c r="C716" s="719"/>
      <c r="D716" s="989">
        <v>338541</v>
      </c>
      <c r="E716" s="989"/>
      <c r="F716" s="989"/>
      <c r="G716" s="1110">
        <v>338541</v>
      </c>
      <c r="H716" s="145" t="s">
        <v>1361</v>
      </c>
      <c r="I716" s="518" t="s">
        <v>365</v>
      </c>
      <c r="J716" s="294">
        <v>47</v>
      </c>
      <c r="K716" s="288"/>
      <c r="L716" s="289"/>
      <c r="M716" s="294">
        <v>43</v>
      </c>
      <c r="N716" s="288"/>
      <c r="O716" s="289"/>
      <c r="P716" s="294">
        <v>44.64</v>
      </c>
      <c r="Q716" s="288"/>
      <c r="R716" s="289"/>
      <c r="S716" s="294">
        <v>36.479999999999997</v>
      </c>
      <c r="T716" s="288"/>
      <c r="U716" s="289"/>
      <c r="V716" s="294">
        <v>25.6</v>
      </c>
      <c r="W716" s="288"/>
      <c r="X716" s="289"/>
      <c r="Y716" s="294">
        <v>24</v>
      </c>
      <c r="Z716" s="288"/>
      <c r="AA716" s="289"/>
      <c r="AB716" s="294">
        <v>25</v>
      </c>
      <c r="AC716" s="288"/>
      <c r="AD716" s="289"/>
      <c r="AE716" s="294">
        <v>24</v>
      </c>
      <c r="AF716" s="288"/>
      <c r="AG716" s="289"/>
      <c r="AH716" s="294">
        <v>27</v>
      </c>
      <c r="AI716" s="288"/>
      <c r="AJ716" s="289"/>
      <c r="AK716" s="294">
        <v>38.200000000000003</v>
      </c>
      <c r="AL716" s="288"/>
      <c r="AM716" s="289"/>
      <c r="AN716" s="294">
        <v>44</v>
      </c>
      <c r="AO716" s="288"/>
      <c r="AP716" s="289"/>
      <c r="AQ716" s="294">
        <v>49</v>
      </c>
      <c r="AR716" s="288"/>
      <c r="AS716" s="289"/>
      <c r="AT716" s="294">
        <f t="shared" si="25"/>
        <v>427.91999999999996</v>
      </c>
      <c r="AU716" s="288"/>
      <c r="AV716" s="290"/>
      <c r="AW716" s="285"/>
      <c r="AX716" s="295"/>
      <c r="AY716" s="295"/>
      <c r="AZ716" s="357"/>
      <c r="BA716" s="357"/>
      <c r="BB716" s="357"/>
      <c r="BC716" s="357"/>
    </row>
    <row r="717" spans="1:55" s="24" customFormat="1">
      <c r="A717" s="719"/>
      <c r="B717" s="719"/>
      <c r="C717" s="719"/>
      <c r="D717" s="989">
        <v>338553</v>
      </c>
      <c r="E717" s="989"/>
      <c r="F717" s="989"/>
      <c r="G717" s="1110">
        <v>338553</v>
      </c>
      <c r="H717" s="145" t="s">
        <v>1362</v>
      </c>
      <c r="I717" s="518" t="s">
        <v>365</v>
      </c>
      <c r="J717" s="294">
        <v>17.86</v>
      </c>
      <c r="K717" s="288"/>
      <c r="L717" s="289"/>
      <c r="M717" s="294">
        <v>16.7</v>
      </c>
      <c r="N717" s="288"/>
      <c r="O717" s="289"/>
      <c r="P717" s="294">
        <v>17.7</v>
      </c>
      <c r="Q717" s="288"/>
      <c r="R717" s="289"/>
      <c r="S717" s="294">
        <v>14.4</v>
      </c>
      <c r="T717" s="288"/>
      <c r="U717" s="289"/>
      <c r="V717" s="294">
        <v>14</v>
      </c>
      <c r="W717" s="288"/>
      <c r="X717" s="289"/>
      <c r="Y717" s="294">
        <v>12.2</v>
      </c>
      <c r="Z717" s="288"/>
      <c r="AA717" s="289"/>
      <c r="AB717" s="294">
        <v>8.6999999999999993</v>
      </c>
      <c r="AC717" s="288"/>
      <c r="AD717" s="289"/>
      <c r="AE717" s="294">
        <v>10.8</v>
      </c>
      <c r="AF717" s="288"/>
      <c r="AG717" s="289"/>
      <c r="AH717" s="294">
        <v>12.5</v>
      </c>
      <c r="AI717" s="288"/>
      <c r="AJ717" s="289"/>
      <c r="AK717" s="294">
        <v>16.7</v>
      </c>
      <c r="AL717" s="288"/>
      <c r="AM717" s="289"/>
      <c r="AN717" s="294">
        <v>17.2</v>
      </c>
      <c r="AO717" s="288"/>
      <c r="AP717" s="289"/>
      <c r="AQ717" s="294">
        <v>17.850000000000001</v>
      </c>
      <c r="AR717" s="288"/>
      <c r="AS717" s="289"/>
      <c r="AT717" s="294">
        <f t="shared" si="25"/>
        <v>176.60999999999999</v>
      </c>
      <c r="AU717" s="288"/>
      <c r="AV717" s="290"/>
      <c r="AW717" s="285"/>
      <c r="AX717" s="295"/>
      <c r="AY717" s="295"/>
      <c r="AZ717" s="357"/>
      <c r="BA717" s="357"/>
      <c r="BB717" s="357"/>
      <c r="BC717" s="357"/>
    </row>
    <row r="718" spans="1:55" s="110" customFormat="1">
      <c r="A718" s="719"/>
      <c r="B718" s="719"/>
      <c r="C718" s="719"/>
      <c r="D718" s="989">
        <v>338549</v>
      </c>
      <c r="E718" s="989"/>
      <c r="F718" s="989"/>
      <c r="G718" s="1110">
        <v>338549</v>
      </c>
      <c r="H718" s="145" t="s">
        <v>1681</v>
      </c>
      <c r="I718" s="518" t="s">
        <v>365</v>
      </c>
      <c r="J718" s="294">
        <v>0</v>
      </c>
      <c r="K718" s="288"/>
      <c r="L718" s="289"/>
      <c r="M718" s="294">
        <v>0</v>
      </c>
      <c r="N718" s="288"/>
      <c r="O718" s="289"/>
      <c r="P718" s="294">
        <v>0</v>
      </c>
      <c r="Q718" s="288"/>
      <c r="R718" s="289"/>
      <c r="S718" s="294">
        <v>0</v>
      </c>
      <c r="T718" s="288"/>
      <c r="U718" s="289"/>
      <c r="V718" s="294">
        <v>0</v>
      </c>
      <c r="W718" s="288"/>
      <c r="X718" s="289"/>
      <c r="Y718" s="294">
        <v>0</v>
      </c>
      <c r="Z718" s="288"/>
      <c r="AA718" s="289"/>
      <c r="AB718" s="294">
        <v>0</v>
      </c>
      <c r="AC718" s="288"/>
      <c r="AD718" s="289"/>
      <c r="AE718" s="294">
        <v>0</v>
      </c>
      <c r="AF718" s="288"/>
      <c r="AG718" s="289"/>
      <c r="AH718" s="294">
        <v>0</v>
      </c>
      <c r="AI718" s="288"/>
      <c r="AJ718" s="289"/>
      <c r="AK718" s="294">
        <v>0</v>
      </c>
      <c r="AL718" s="288"/>
      <c r="AM718" s="289"/>
      <c r="AN718" s="294">
        <v>0</v>
      </c>
      <c r="AO718" s="288"/>
      <c r="AP718" s="289"/>
      <c r="AQ718" s="294">
        <v>0</v>
      </c>
      <c r="AR718" s="288"/>
      <c r="AS718" s="289"/>
      <c r="AT718" s="294">
        <f t="shared" si="25"/>
        <v>0</v>
      </c>
      <c r="AU718" s="288"/>
      <c r="AV718" s="290"/>
      <c r="AW718" s="285"/>
      <c r="AX718" s="295"/>
      <c r="AY718" s="295"/>
      <c r="AZ718" s="356"/>
      <c r="BA718" s="356"/>
      <c r="BB718" s="356"/>
      <c r="BC718" s="356"/>
    </row>
    <row r="719" spans="1:55" s="110" customFormat="1">
      <c r="A719" s="719"/>
      <c r="B719" s="719"/>
      <c r="C719" s="719"/>
      <c r="D719" s="989">
        <v>777153</v>
      </c>
      <c r="E719" s="989"/>
      <c r="F719" s="989"/>
      <c r="G719" s="1110">
        <v>777153</v>
      </c>
      <c r="H719" s="145" t="s">
        <v>1682</v>
      </c>
      <c r="I719" s="518" t="s">
        <v>365</v>
      </c>
      <c r="J719" s="294">
        <v>22.32</v>
      </c>
      <c r="K719" s="288"/>
      <c r="L719" s="289"/>
      <c r="M719" s="294">
        <v>20.88</v>
      </c>
      <c r="N719" s="288"/>
      <c r="O719" s="289"/>
      <c r="P719" s="294">
        <v>22.17</v>
      </c>
      <c r="Q719" s="288"/>
      <c r="R719" s="289"/>
      <c r="S719" s="294">
        <v>21.17</v>
      </c>
      <c r="T719" s="288"/>
      <c r="U719" s="289"/>
      <c r="V719" s="294">
        <v>11.44</v>
      </c>
      <c r="W719" s="288"/>
      <c r="X719" s="289"/>
      <c r="Y719" s="294">
        <v>6.05</v>
      </c>
      <c r="Z719" s="288"/>
      <c r="AA719" s="289"/>
      <c r="AB719" s="294">
        <v>2.19</v>
      </c>
      <c r="AC719" s="288"/>
      <c r="AD719" s="289"/>
      <c r="AE719" s="294">
        <v>2.98</v>
      </c>
      <c r="AF719" s="288"/>
      <c r="AG719" s="289"/>
      <c r="AH719" s="294">
        <v>11.62</v>
      </c>
      <c r="AI719" s="288"/>
      <c r="AJ719" s="289"/>
      <c r="AK719" s="294">
        <v>20.239999999999998</v>
      </c>
      <c r="AL719" s="288"/>
      <c r="AM719" s="289"/>
      <c r="AN719" s="294">
        <v>21.6</v>
      </c>
      <c r="AO719" s="288"/>
      <c r="AP719" s="289"/>
      <c r="AQ719" s="294">
        <v>22.32</v>
      </c>
      <c r="AR719" s="288"/>
      <c r="AS719" s="289"/>
      <c r="AT719" s="294">
        <f t="shared" si="25"/>
        <v>184.98</v>
      </c>
      <c r="AU719" s="288"/>
      <c r="AV719" s="290"/>
      <c r="AW719" s="285"/>
      <c r="AX719" s="295"/>
      <c r="AY719" s="295"/>
      <c r="AZ719" s="356"/>
      <c r="BA719" s="356"/>
      <c r="BB719" s="356"/>
      <c r="BC719" s="356"/>
    </row>
    <row r="720" spans="1:55" s="110" customFormat="1">
      <c r="A720" s="719"/>
      <c r="B720" s="719"/>
      <c r="C720" s="719"/>
      <c r="D720" s="989"/>
      <c r="E720" s="989"/>
      <c r="F720" s="989"/>
      <c r="G720" s="1211">
        <v>777298</v>
      </c>
      <c r="H720" s="145" t="s">
        <v>226</v>
      </c>
      <c r="I720" s="518" t="s">
        <v>365</v>
      </c>
      <c r="J720" s="294">
        <v>0.39</v>
      </c>
      <c r="K720" s="288"/>
      <c r="L720" s="289"/>
      <c r="M720" s="294">
        <v>0.37</v>
      </c>
      <c r="N720" s="288"/>
      <c r="O720" s="289"/>
      <c r="P720" s="294">
        <v>0.32</v>
      </c>
      <c r="Q720" s="288"/>
      <c r="R720" s="289"/>
      <c r="S720" s="294">
        <v>0.36</v>
      </c>
      <c r="T720" s="288"/>
      <c r="U720" s="289"/>
      <c r="V720" s="294">
        <v>0.25</v>
      </c>
      <c r="W720" s="288"/>
      <c r="X720" s="289"/>
      <c r="Y720" s="294">
        <v>0.12</v>
      </c>
      <c r="Z720" s="288"/>
      <c r="AA720" s="289"/>
      <c r="AB720" s="294">
        <v>0.03</v>
      </c>
      <c r="AC720" s="288"/>
      <c r="AD720" s="289"/>
      <c r="AE720" s="294">
        <v>0.03</v>
      </c>
      <c r="AF720" s="288"/>
      <c r="AG720" s="289"/>
      <c r="AH720" s="294">
        <v>7.0000000000000007E-2</v>
      </c>
      <c r="AI720" s="288"/>
      <c r="AJ720" s="289"/>
      <c r="AK720" s="294">
        <v>0.28000000000000003</v>
      </c>
      <c r="AL720" s="288"/>
      <c r="AM720" s="289"/>
      <c r="AN720" s="294">
        <v>0.27</v>
      </c>
      <c r="AO720" s="288"/>
      <c r="AP720" s="289"/>
      <c r="AQ720" s="294">
        <v>0.28999999999999998</v>
      </c>
      <c r="AR720" s="288"/>
      <c r="AS720" s="289"/>
      <c r="AT720" s="294">
        <f t="shared" si="25"/>
        <v>2.7800000000000002</v>
      </c>
      <c r="AU720" s="288"/>
      <c r="AV720" s="290"/>
      <c r="AW720" s="285"/>
      <c r="AX720" s="295"/>
      <c r="AY720" s="295"/>
      <c r="AZ720" s="356"/>
      <c r="BA720" s="356"/>
      <c r="BB720" s="356"/>
      <c r="BC720" s="356"/>
    </row>
    <row r="721" spans="1:55" s="24" customFormat="1">
      <c r="A721" s="719"/>
      <c r="B721" s="719"/>
      <c r="C721" s="719"/>
      <c r="D721" s="989"/>
      <c r="E721" s="989"/>
      <c r="F721" s="989"/>
      <c r="G721" s="1110">
        <v>777156</v>
      </c>
      <c r="H721" s="145" t="s">
        <v>1363</v>
      </c>
      <c r="I721" s="518" t="s">
        <v>365</v>
      </c>
      <c r="J721" s="294">
        <v>4.09</v>
      </c>
      <c r="K721" s="288"/>
      <c r="L721" s="289"/>
      <c r="M721" s="294">
        <v>3.83</v>
      </c>
      <c r="N721" s="288"/>
      <c r="O721" s="289"/>
      <c r="P721" s="294">
        <v>4.09</v>
      </c>
      <c r="Q721" s="288"/>
      <c r="R721" s="289"/>
      <c r="S721" s="294">
        <v>3.96</v>
      </c>
      <c r="T721" s="288"/>
      <c r="U721" s="289"/>
      <c r="V721" s="294">
        <v>2.4</v>
      </c>
      <c r="W721" s="288"/>
      <c r="X721" s="289"/>
      <c r="Y721" s="294">
        <v>0</v>
      </c>
      <c r="Z721" s="288"/>
      <c r="AA721" s="289"/>
      <c r="AB721" s="294">
        <v>0</v>
      </c>
      <c r="AC721" s="288"/>
      <c r="AD721" s="289"/>
      <c r="AE721" s="294">
        <v>0</v>
      </c>
      <c r="AF721" s="288"/>
      <c r="AG721" s="289"/>
      <c r="AH721" s="294">
        <v>1.44</v>
      </c>
      <c r="AI721" s="288"/>
      <c r="AJ721" s="289"/>
      <c r="AK721" s="294">
        <v>3.2</v>
      </c>
      <c r="AL721" s="288"/>
      <c r="AM721" s="289"/>
      <c r="AN721" s="294">
        <v>3.3</v>
      </c>
      <c r="AO721" s="288"/>
      <c r="AP721" s="289"/>
      <c r="AQ721" s="294">
        <v>4.09</v>
      </c>
      <c r="AR721" s="288"/>
      <c r="AS721" s="289"/>
      <c r="AT721" s="294">
        <f t="shared" si="25"/>
        <v>30.4</v>
      </c>
      <c r="AU721" s="288"/>
      <c r="AV721" s="290"/>
      <c r="AW721" s="285"/>
      <c r="AX721" s="295"/>
      <c r="AY721" s="295"/>
      <c r="AZ721" s="357"/>
      <c r="BA721" s="357"/>
      <c r="BB721" s="357"/>
      <c r="BC721" s="357"/>
    </row>
    <row r="722" spans="1:55" s="24" customFormat="1">
      <c r="A722" s="719"/>
      <c r="B722" s="719"/>
      <c r="C722" s="719"/>
      <c r="D722" s="989"/>
      <c r="E722" s="989"/>
      <c r="F722" s="989"/>
      <c r="G722" s="1110">
        <v>338542</v>
      </c>
      <c r="H722" s="145" t="s">
        <v>1364</v>
      </c>
      <c r="I722" s="518" t="s">
        <v>365</v>
      </c>
      <c r="J722" s="294">
        <v>12</v>
      </c>
      <c r="K722" s="288"/>
      <c r="L722" s="289"/>
      <c r="M722" s="294">
        <v>10</v>
      </c>
      <c r="N722" s="288"/>
      <c r="O722" s="289"/>
      <c r="P722" s="294">
        <v>10.5</v>
      </c>
      <c r="Q722" s="288"/>
      <c r="R722" s="289"/>
      <c r="S722" s="294">
        <v>9.6999999999999993</v>
      </c>
      <c r="T722" s="288"/>
      <c r="U722" s="289"/>
      <c r="V722" s="294">
        <v>3.5</v>
      </c>
      <c r="W722" s="288"/>
      <c r="X722" s="289"/>
      <c r="Y722" s="294">
        <v>0</v>
      </c>
      <c r="Z722" s="288"/>
      <c r="AA722" s="289"/>
      <c r="AB722" s="294">
        <v>0</v>
      </c>
      <c r="AC722" s="288"/>
      <c r="AD722" s="289"/>
      <c r="AE722" s="294">
        <v>0</v>
      </c>
      <c r="AF722" s="288"/>
      <c r="AG722" s="289"/>
      <c r="AH722" s="294">
        <v>0</v>
      </c>
      <c r="AI722" s="288"/>
      <c r="AJ722" s="289"/>
      <c r="AK722" s="294">
        <v>5</v>
      </c>
      <c r="AL722" s="288"/>
      <c r="AM722" s="289"/>
      <c r="AN722" s="294">
        <v>10</v>
      </c>
      <c r="AO722" s="288"/>
      <c r="AP722" s="289"/>
      <c r="AQ722" s="294">
        <v>11</v>
      </c>
      <c r="AR722" s="288"/>
      <c r="AS722" s="289"/>
      <c r="AT722" s="294">
        <f t="shared" si="25"/>
        <v>71.7</v>
      </c>
      <c r="AU722" s="288"/>
      <c r="AV722" s="290"/>
      <c r="AW722" s="285"/>
      <c r="AX722" s="295"/>
      <c r="AY722" s="295"/>
      <c r="AZ722" s="357"/>
      <c r="BA722" s="357"/>
      <c r="BB722" s="357"/>
      <c r="BC722" s="357"/>
    </row>
    <row r="723" spans="1:55" s="24" customFormat="1">
      <c r="A723" s="719"/>
      <c r="B723" s="719"/>
      <c r="C723" s="719"/>
      <c r="D723" s="989">
        <v>338545</v>
      </c>
      <c r="E723" s="989"/>
      <c r="F723" s="989"/>
      <c r="G723" s="1110">
        <v>777306</v>
      </c>
      <c r="H723" s="145" t="s">
        <v>1365</v>
      </c>
      <c r="I723" s="518" t="s">
        <v>365</v>
      </c>
      <c r="J723" s="294">
        <v>38.6</v>
      </c>
      <c r="K723" s="288"/>
      <c r="L723" s="289"/>
      <c r="M723" s="294">
        <v>34.700000000000003</v>
      </c>
      <c r="N723" s="288"/>
      <c r="O723" s="289"/>
      <c r="P723" s="294">
        <v>25.4</v>
      </c>
      <c r="Q723" s="288"/>
      <c r="R723" s="289"/>
      <c r="S723" s="294">
        <v>31</v>
      </c>
      <c r="T723" s="288"/>
      <c r="U723" s="289"/>
      <c r="V723" s="294">
        <v>18.5</v>
      </c>
      <c r="W723" s="288"/>
      <c r="X723" s="289"/>
      <c r="Y723" s="294">
        <v>13.5</v>
      </c>
      <c r="Z723" s="288"/>
      <c r="AA723" s="289"/>
      <c r="AB723" s="294">
        <v>13.5</v>
      </c>
      <c r="AC723" s="288"/>
      <c r="AD723" s="289"/>
      <c r="AE723" s="294">
        <v>12.5</v>
      </c>
      <c r="AF723" s="288"/>
      <c r="AG723" s="289"/>
      <c r="AH723" s="294">
        <v>18.100000000000001</v>
      </c>
      <c r="AI723" s="288"/>
      <c r="AJ723" s="289"/>
      <c r="AK723" s="294">
        <v>27.6</v>
      </c>
      <c r="AL723" s="288"/>
      <c r="AM723" s="289"/>
      <c r="AN723" s="294">
        <v>34.200000000000003</v>
      </c>
      <c r="AO723" s="288"/>
      <c r="AP723" s="289"/>
      <c r="AQ723" s="294">
        <v>37.9</v>
      </c>
      <c r="AR723" s="288"/>
      <c r="AS723" s="289"/>
      <c r="AT723" s="294">
        <f t="shared" si="25"/>
        <v>305.5</v>
      </c>
      <c r="AU723" s="288"/>
      <c r="AV723" s="290"/>
      <c r="AW723" s="285"/>
      <c r="AX723" s="295"/>
      <c r="AY723" s="295"/>
      <c r="AZ723" s="357"/>
      <c r="BA723" s="357"/>
      <c r="BB723" s="357"/>
      <c r="BC723" s="357"/>
    </row>
    <row r="724" spans="1:55" s="24" customFormat="1">
      <c r="A724" s="719"/>
      <c r="B724" s="719"/>
      <c r="C724" s="719"/>
      <c r="D724" s="989">
        <v>777192</v>
      </c>
      <c r="E724" s="989"/>
      <c r="F724" s="989"/>
      <c r="G724" s="1110">
        <v>777192</v>
      </c>
      <c r="H724" s="145" t="s">
        <v>1366</v>
      </c>
      <c r="I724" s="518" t="s">
        <v>365</v>
      </c>
      <c r="J724" s="294">
        <v>1</v>
      </c>
      <c r="K724" s="288"/>
      <c r="L724" s="289"/>
      <c r="M724" s="294">
        <v>1</v>
      </c>
      <c r="N724" s="288"/>
      <c r="O724" s="289"/>
      <c r="P724" s="294">
        <v>0.94</v>
      </c>
      <c r="Q724" s="288"/>
      <c r="R724" s="289"/>
      <c r="S724" s="294">
        <v>1.1000000000000001</v>
      </c>
      <c r="T724" s="288"/>
      <c r="U724" s="289"/>
      <c r="V724" s="294">
        <v>1.1000000000000001</v>
      </c>
      <c r="W724" s="288"/>
      <c r="X724" s="289"/>
      <c r="Y724" s="294">
        <v>0.97</v>
      </c>
      <c r="Z724" s="288"/>
      <c r="AA724" s="289"/>
      <c r="AB724" s="294">
        <v>1.1000000000000001</v>
      </c>
      <c r="AC724" s="288"/>
      <c r="AD724" s="289"/>
      <c r="AE724" s="294">
        <v>0.97</v>
      </c>
      <c r="AF724" s="288"/>
      <c r="AG724" s="289"/>
      <c r="AH724" s="294">
        <v>1.1000000000000001</v>
      </c>
      <c r="AI724" s="288"/>
      <c r="AJ724" s="289"/>
      <c r="AK724" s="294">
        <v>1</v>
      </c>
      <c r="AL724" s="288"/>
      <c r="AM724" s="289"/>
      <c r="AN724" s="294">
        <v>1.1000000000000001</v>
      </c>
      <c r="AO724" s="288"/>
      <c r="AP724" s="289"/>
      <c r="AQ724" s="294">
        <v>1.1000000000000001</v>
      </c>
      <c r="AR724" s="288"/>
      <c r="AS724" s="289"/>
      <c r="AT724" s="294">
        <f t="shared" si="25"/>
        <v>12.48</v>
      </c>
      <c r="AU724" s="288"/>
      <c r="AV724" s="290"/>
      <c r="AW724" s="285"/>
      <c r="AX724" s="295"/>
      <c r="AY724" s="295"/>
      <c r="AZ724" s="357"/>
      <c r="BA724" s="357"/>
      <c r="BB724" s="357"/>
      <c r="BC724" s="357"/>
    </row>
    <row r="725" spans="1:55" s="24" customFormat="1">
      <c r="A725" s="719"/>
      <c r="B725" s="719"/>
      <c r="C725" s="719"/>
      <c r="D725" s="989">
        <v>777015</v>
      </c>
      <c r="E725" s="989"/>
      <c r="F725" s="989"/>
      <c r="G725" s="1110">
        <v>777015</v>
      </c>
      <c r="H725" s="145" t="s">
        <v>1367</v>
      </c>
      <c r="I725" s="518" t="s">
        <v>365</v>
      </c>
      <c r="J725" s="294">
        <v>0</v>
      </c>
      <c r="K725" s="288"/>
      <c r="L725" s="289"/>
      <c r="M725" s="294">
        <v>0</v>
      </c>
      <c r="N725" s="288"/>
      <c r="O725" s="289"/>
      <c r="P725" s="294">
        <v>0</v>
      </c>
      <c r="Q725" s="288"/>
      <c r="R725" s="289"/>
      <c r="S725" s="294">
        <v>0</v>
      </c>
      <c r="T725" s="288"/>
      <c r="U725" s="289"/>
      <c r="V725" s="294">
        <v>0</v>
      </c>
      <c r="W725" s="288"/>
      <c r="X725" s="289"/>
      <c r="Y725" s="294">
        <v>0</v>
      </c>
      <c r="Z725" s="288"/>
      <c r="AA725" s="289"/>
      <c r="AB725" s="294">
        <v>0</v>
      </c>
      <c r="AC725" s="288"/>
      <c r="AD725" s="289"/>
      <c r="AE725" s="294">
        <v>0</v>
      </c>
      <c r="AF725" s="288"/>
      <c r="AG725" s="289"/>
      <c r="AH725" s="294">
        <v>0</v>
      </c>
      <c r="AI725" s="288"/>
      <c r="AJ725" s="289"/>
      <c r="AK725" s="294">
        <v>0</v>
      </c>
      <c r="AL725" s="288"/>
      <c r="AM725" s="289"/>
      <c r="AN725" s="294">
        <v>0</v>
      </c>
      <c r="AO725" s="288"/>
      <c r="AP725" s="289"/>
      <c r="AQ725" s="294">
        <v>0</v>
      </c>
      <c r="AR725" s="288"/>
      <c r="AS725" s="289"/>
      <c r="AT725" s="294">
        <f t="shared" si="25"/>
        <v>0</v>
      </c>
      <c r="AU725" s="288"/>
      <c r="AV725" s="290"/>
      <c r="AW725" s="285"/>
      <c r="AX725" s="295"/>
      <c r="AY725" s="295"/>
      <c r="AZ725" s="357"/>
      <c r="BA725" s="357"/>
      <c r="BB725" s="357"/>
      <c r="BC725" s="357"/>
    </row>
    <row r="726" spans="1:55" s="24" customFormat="1">
      <c r="A726" s="719"/>
      <c r="B726" s="719"/>
      <c r="C726" s="719"/>
      <c r="D726" s="989"/>
      <c r="E726" s="989"/>
      <c r="F726" s="989"/>
      <c r="G726" s="1110">
        <v>777135</v>
      </c>
      <c r="H726" s="145" t="s">
        <v>1368</v>
      </c>
      <c r="I726" s="518" t="s">
        <v>365</v>
      </c>
      <c r="J726" s="294">
        <v>15.07</v>
      </c>
      <c r="K726" s="288"/>
      <c r="L726" s="289"/>
      <c r="M726" s="294">
        <v>13.51</v>
      </c>
      <c r="N726" s="288"/>
      <c r="O726" s="289"/>
      <c r="P726" s="294">
        <v>15.04</v>
      </c>
      <c r="Q726" s="288"/>
      <c r="R726" s="289"/>
      <c r="S726" s="294">
        <v>13.79</v>
      </c>
      <c r="T726" s="288"/>
      <c r="U726" s="289"/>
      <c r="V726" s="294">
        <v>13.33</v>
      </c>
      <c r="W726" s="288"/>
      <c r="X726" s="289"/>
      <c r="Y726" s="294">
        <v>14.02</v>
      </c>
      <c r="Z726" s="288"/>
      <c r="AA726" s="289"/>
      <c r="AB726" s="294">
        <v>14.5</v>
      </c>
      <c r="AC726" s="288"/>
      <c r="AD726" s="289"/>
      <c r="AE726" s="294">
        <v>14.69</v>
      </c>
      <c r="AF726" s="288"/>
      <c r="AG726" s="289"/>
      <c r="AH726" s="294">
        <v>14.29</v>
      </c>
      <c r="AI726" s="288"/>
      <c r="AJ726" s="289"/>
      <c r="AK726" s="294">
        <v>14.76</v>
      </c>
      <c r="AL726" s="288"/>
      <c r="AM726" s="289"/>
      <c r="AN726" s="294">
        <v>14.49</v>
      </c>
      <c r="AO726" s="288"/>
      <c r="AP726" s="289"/>
      <c r="AQ726" s="294">
        <v>14.94</v>
      </c>
      <c r="AR726" s="288"/>
      <c r="AS726" s="289"/>
      <c r="AT726" s="294">
        <f t="shared" si="25"/>
        <v>172.42999999999998</v>
      </c>
      <c r="AU726" s="288"/>
      <c r="AV726" s="290"/>
      <c r="AW726" s="285"/>
      <c r="AX726" s="295"/>
      <c r="AY726" s="295"/>
      <c r="AZ726" s="357"/>
      <c r="BA726" s="357"/>
      <c r="BB726" s="357"/>
      <c r="BC726" s="357"/>
    </row>
    <row r="727" spans="1:55" s="24" customFormat="1">
      <c r="A727" s="719"/>
      <c r="B727" s="719"/>
      <c r="C727" s="719"/>
      <c r="D727" s="989"/>
      <c r="E727" s="989"/>
      <c r="F727" s="989"/>
      <c r="G727" s="1110">
        <v>777371</v>
      </c>
      <c r="H727" s="145" t="s">
        <v>1369</v>
      </c>
      <c r="I727" s="518" t="s">
        <v>365</v>
      </c>
      <c r="J727" s="294">
        <v>12.21</v>
      </c>
      <c r="K727" s="288"/>
      <c r="L727" s="289"/>
      <c r="M727" s="294">
        <v>11.83</v>
      </c>
      <c r="N727" s="288"/>
      <c r="O727" s="289"/>
      <c r="P727" s="294">
        <v>10.72</v>
      </c>
      <c r="Q727" s="288"/>
      <c r="R727" s="289"/>
      <c r="S727" s="294">
        <v>7.95</v>
      </c>
      <c r="T727" s="288"/>
      <c r="U727" s="289"/>
      <c r="V727" s="294">
        <v>14.85</v>
      </c>
      <c r="W727" s="288"/>
      <c r="X727" s="289"/>
      <c r="Y727" s="294">
        <v>15.01</v>
      </c>
      <c r="Z727" s="288"/>
      <c r="AA727" s="289"/>
      <c r="AB727" s="294">
        <v>15.48</v>
      </c>
      <c r="AC727" s="288"/>
      <c r="AD727" s="289"/>
      <c r="AE727" s="294">
        <v>15.67</v>
      </c>
      <c r="AF727" s="288"/>
      <c r="AG727" s="289"/>
      <c r="AH727" s="294">
        <v>15.15</v>
      </c>
      <c r="AI727" s="288"/>
      <c r="AJ727" s="289"/>
      <c r="AK727" s="294">
        <v>14.45</v>
      </c>
      <c r="AL727" s="288"/>
      <c r="AM727" s="289"/>
      <c r="AN727" s="294">
        <v>11.99</v>
      </c>
      <c r="AO727" s="288"/>
      <c r="AP727" s="289"/>
      <c r="AQ727" s="294">
        <v>13.85</v>
      </c>
      <c r="AR727" s="288"/>
      <c r="AS727" s="289"/>
      <c r="AT727" s="294">
        <f t="shared" si="25"/>
        <v>159.16000000000003</v>
      </c>
      <c r="AU727" s="288"/>
      <c r="AV727" s="290"/>
      <c r="AW727" s="285"/>
      <c r="AX727" s="295"/>
      <c r="AY727" s="295"/>
      <c r="AZ727" s="357"/>
      <c r="BA727" s="357"/>
      <c r="BB727" s="357"/>
      <c r="BC727" s="357"/>
    </row>
    <row r="728" spans="1:55" s="24" customFormat="1">
      <c r="A728" s="719"/>
      <c r="B728" s="719"/>
      <c r="C728" s="719"/>
      <c r="D728" s="989"/>
      <c r="E728" s="989"/>
      <c r="F728" s="989"/>
      <c r="G728" s="1211">
        <v>777822</v>
      </c>
      <c r="H728" s="145" t="s">
        <v>1683</v>
      </c>
      <c r="I728" s="518" t="s">
        <v>365</v>
      </c>
      <c r="J728" s="294">
        <v>1.38</v>
      </c>
      <c r="K728" s="288"/>
      <c r="L728" s="289"/>
      <c r="M728" s="294">
        <v>1.27</v>
      </c>
      <c r="N728" s="288"/>
      <c r="O728" s="289"/>
      <c r="P728" s="294">
        <v>1.73</v>
      </c>
      <c r="Q728" s="288"/>
      <c r="R728" s="289"/>
      <c r="S728" s="294">
        <v>1.67</v>
      </c>
      <c r="T728" s="288"/>
      <c r="U728" s="289"/>
      <c r="V728" s="294">
        <v>1.73</v>
      </c>
      <c r="W728" s="288"/>
      <c r="X728" s="289"/>
      <c r="Y728" s="294">
        <v>1.67</v>
      </c>
      <c r="Z728" s="288"/>
      <c r="AA728" s="289"/>
      <c r="AB728" s="294">
        <v>1.61</v>
      </c>
      <c r="AC728" s="288"/>
      <c r="AD728" s="289"/>
      <c r="AE728" s="294">
        <v>1.73</v>
      </c>
      <c r="AF728" s="288"/>
      <c r="AG728" s="289"/>
      <c r="AH728" s="294">
        <v>1.67</v>
      </c>
      <c r="AI728" s="288"/>
      <c r="AJ728" s="289"/>
      <c r="AK728" s="294">
        <v>1.73</v>
      </c>
      <c r="AL728" s="288"/>
      <c r="AM728" s="289"/>
      <c r="AN728" s="294">
        <v>1.67</v>
      </c>
      <c r="AO728" s="288"/>
      <c r="AP728" s="289"/>
      <c r="AQ728" s="294">
        <v>1.73</v>
      </c>
      <c r="AR728" s="288"/>
      <c r="AS728" s="289"/>
      <c r="AT728" s="294">
        <f t="shared" si="25"/>
        <v>19.59</v>
      </c>
      <c r="AU728" s="288"/>
      <c r="AV728" s="290"/>
      <c r="AW728" s="285"/>
      <c r="AX728" s="295"/>
      <c r="AY728" s="295"/>
      <c r="AZ728" s="357"/>
      <c r="BA728" s="357"/>
      <c r="BB728" s="357"/>
      <c r="BC728" s="357"/>
    </row>
    <row r="729" spans="1:55" s="24" customFormat="1" ht="18.75">
      <c r="A729" s="179"/>
      <c r="B729" s="179"/>
      <c r="C729" s="179"/>
      <c r="D729" s="181">
        <v>684900</v>
      </c>
      <c r="E729" s="181"/>
      <c r="F729" s="181"/>
      <c r="G729" s="181">
        <v>684900</v>
      </c>
      <c r="H729" s="474" t="s">
        <v>1601</v>
      </c>
      <c r="I729" s="474"/>
      <c r="J729" s="277">
        <f>SUM(J730:J731)</f>
        <v>9558.1134419732407</v>
      </c>
      <c r="K729" s="275">
        <f>L729-J729</f>
        <v>-643.02130774548641</v>
      </c>
      <c r="L729" s="276">
        <f>Потребление!D48</f>
        <v>8915.0921342277543</v>
      </c>
      <c r="M729" s="274">
        <f>SUM(M730:M731)</f>
        <v>8886.4292703992433</v>
      </c>
      <c r="N729" s="275">
        <f>O729-M729</f>
        <v>-625.75095875890474</v>
      </c>
      <c r="O729" s="276">
        <f>Потребление!E48</f>
        <v>8260.6783116403385</v>
      </c>
      <c r="P729" s="274">
        <f>SUM(P730:P731)</f>
        <v>9214.0632400810846</v>
      </c>
      <c r="Q729" s="275">
        <f>R729-P729</f>
        <v>-712.25690623855735</v>
      </c>
      <c r="R729" s="276">
        <f>Потребление!F48</f>
        <v>8501.8063338425272</v>
      </c>
      <c r="S729" s="274">
        <f>SUM(S730:S731)</f>
        <v>7661.7968089636561</v>
      </c>
      <c r="T729" s="275">
        <f>U729-S729</f>
        <v>224.33831171419115</v>
      </c>
      <c r="U729" s="276">
        <f>Потребление!G48</f>
        <v>7886.1351206778472</v>
      </c>
      <c r="V729" s="274">
        <f>SUM(V730:V731)</f>
        <v>8117.2922730859937</v>
      </c>
      <c r="W729" s="275">
        <f>X729-V729</f>
        <v>-295.0037580551334</v>
      </c>
      <c r="X729" s="276">
        <f>Потребление!H48</f>
        <v>7822.2885150308603</v>
      </c>
      <c r="Y729" s="274">
        <f>SUM(Y730:Y731)</f>
        <v>7379.5127761988215</v>
      </c>
      <c r="Z729" s="275">
        <f>AA729-Y729</f>
        <v>-34.984733633548785</v>
      </c>
      <c r="AA729" s="276">
        <f>Потребление!I48</f>
        <v>7344.5280425652727</v>
      </c>
      <c r="AB729" s="274">
        <f>SUM(AB730:AB731)</f>
        <v>7809.61094424563</v>
      </c>
      <c r="AC729" s="275">
        <f>AD729-AB729</f>
        <v>-402.19012739453592</v>
      </c>
      <c r="AD729" s="276">
        <f>Потребление!J48</f>
        <v>7407.4208168510941</v>
      </c>
      <c r="AE729" s="274">
        <f>SUM(AE730:AE731)</f>
        <v>8230.1072557475527</v>
      </c>
      <c r="AF729" s="275">
        <f>AG729-AE729</f>
        <v>-630.77937493460468</v>
      </c>
      <c r="AG729" s="276">
        <f>Потребление!K48</f>
        <v>7599.327880812948</v>
      </c>
      <c r="AH729" s="274">
        <f>SUM(AH730:AH731)</f>
        <v>8076.9639293718747</v>
      </c>
      <c r="AI729" s="275">
        <f>AJ729-AH729</f>
        <v>-441.51238038997599</v>
      </c>
      <c r="AJ729" s="276">
        <f>Потребление!L48</f>
        <v>7635.4515489818987</v>
      </c>
      <c r="AK729" s="274">
        <f>SUM(AK730:AK731)</f>
        <v>8486.7260304881147</v>
      </c>
      <c r="AL729" s="275">
        <f>AM729-AK729</f>
        <v>-213.90286220244161</v>
      </c>
      <c r="AM729" s="372">
        <f>Потребление!M48</f>
        <v>8272.8231682856731</v>
      </c>
      <c r="AN729" s="274">
        <f>SUM(AN730:AN731)</f>
        <v>8705.4405234343194</v>
      </c>
      <c r="AO729" s="275">
        <f>AP729-AN729</f>
        <v>-347.1981037610858</v>
      </c>
      <c r="AP729" s="276">
        <f>Потребление!N48</f>
        <v>8358.2424196732336</v>
      </c>
      <c r="AQ729" s="274">
        <f>SUM(AQ730:AQ731)</f>
        <v>9438.9914254615378</v>
      </c>
      <c r="AR729" s="275">
        <f>AS729-AQ729</f>
        <v>-488.78571805098727</v>
      </c>
      <c r="AS729" s="276">
        <f>Потребление!O48</f>
        <v>8950.2057074105505</v>
      </c>
      <c r="AT729" s="274">
        <f>SUM(AT730:AT731)</f>
        <v>101565.04791945106</v>
      </c>
      <c r="AU729" s="275">
        <f>AV729-AT729</f>
        <v>-4611.0479194510553</v>
      </c>
      <c r="AV729" s="278">
        <f>L729+O729+R729+U729+X729+AA729+AD729+AG729+AJ729+AM729+AP729+AS729</f>
        <v>96954</v>
      </c>
      <c r="AW729" s="279"/>
      <c r="AX729" s="1067">
        <v>92429.430019799998</v>
      </c>
      <c r="AY729" s="298">
        <f>SUM(AY730:AY731)</f>
        <v>100408.63962899998</v>
      </c>
      <c r="AZ729" s="357"/>
      <c r="BA729" s="357"/>
      <c r="BB729" s="357"/>
      <c r="BC729" s="357"/>
    </row>
    <row r="730" spans="1:55" s="24" customFormat="1">
      <c r="A730" s="179"/>
      <c r="B730" s="179"/>
      <c r="C730" s="179"/>
      <c r="D730" s="181"/>
      <c r="E730" s="181"/>
      <c r="F730" s="181"/>
      <c r="G730" s="181"/>
      <c r="H730" s="124" t="s">
        <v>56</v>
      </c>
      <c r="I730" s="124"/>
      <c r="J730" s="365">
        <f>J732+J735+J736+J739+J740+J744+J747+J750+J751+J755+J756+J757+J758+J759+J760</f>
        <v>8300.0246665149371</v>
      </c>
      <c r="K730" s="363"/>
      <c r="L730" s="364"/>
      <c r="M730" s="365">
        <f>M732+M735+M736+M739+M740+M744+M747+M750+M751+M755+M756+M757+M758+M759+M760</f>
        <v>7745.7297377630457</v>
      </c>
      <c r="N730" s="363"/>
      <c r="O730" s="364"/>
      <c r="P730" s="365">
        <f>P732+P735+P736+P739+P740+P744+P747+P750+P751+P755+P756+P757+P758+P759+P760</f>
        <v>7977.2351286978082</v>
      </c>
      <c r="Q730" s="363"/>
      <c r="R730" s="364"/>
      <c r="S730" s="365">
        <f>S732+S735+S736+S739+S740+S744+S747+S750+S751+S755+S756+S757+S758+S759+S760</f>
        <v>6506.9469964612599</v>
      </c>
      <c r="T730" s="363"/>
      <c r="U730" s="364"/>
      <c r="V730" s="365">
        <f>V732+V735+V736+V739+V740+V744+V747+V750+V751+V755+V756+V757+V758+V759+V760</f>
        <v>6938.7776710390799</v>
      </c>
      <c r="W730" s="363"/>
      <c r="X730" s="364"/>
      <c r="Y730" s="365">
        <f>Y732+Y735+Y736+Y739+Y740+Y744+Y747+Y750+Y751+Y755+Y756+Y757+Y758+Y759+Y760</f>
        <v>6287.5186840141796</v>
      </c>
      <c r="Z730" s="363"/>
      <c r="AA730" s="364"/>
      <c r="AB730" s="365">
        <f>AB732+AB735+AB736+AB739+AB740+AB744+AB747+AB750+AB751+AB755+AB756+AB757+AB758+AB759+AB760</f>
        <v>6664.3843975431255</v>
      </c>
      <c r="AC730" s="363"/>
      <c r="AD730" s="364"/>
      <c r="AE730" s="365">
        <f>AE732+AE735+AE736+AE739+AE740+AE744+AE747+AE750+AE751+AE755+AE756+AE757+AE758+AE759+AE760</f>
        <v>7062.5172829826852</v>
      </c>
      <c r="AF730" s="363"/>
      <c r="AG730" s="364"/>
      <c r="AH730" s="365">
        <f>AH732+AH735+AH736+AH739+AH740+AH744+AH747+AH750+AH751+AH755+AH756+AH757+AH758+AH759+AH760</f>
        <v>6910.274570967289</v>
      </c>
      <c r="AI730" s="363"/>
      <c r="AJ730" s="364"/>
      <c r="AK730" s="365">
        <f>AK732+AK735+AK736+AK739+AK740+AK744+AK747+AK750+AK751+AK755+AK756+AK757+AK758+AK759+AK760</f>
        <v>7251.7116995536589</v>
      </c>
      <c r="AL730" s="363"/>
      <c r="AM730" s="364"/>
      <c r="AN730" s="365">
        <f>AN732+AN735+AN736+AN739+AN740+AN744+AN747+AN750+AN751+AN755+AN756+AN757+AN758+AN759+AN760</f>
        <v>7471.2510433265616</v>
      </c>
      <c r="AO730" s="363"/>
      <c r="AP730" s="364"/>
      <c r="AQ730" s="365">
        <f>AQ732+AQ735+AQ736+AQ739+AQ740+AQ744+AQ747+AQ750+AQ751+AQ755+AQ756+AQ757+AQ758+AQ759+AQ760</f>
        <v>8168.8607284734271</v>
      </c>
      <c r="AR730" s="363"/>
      <c r="AS730" s="364"/>
      <c r="AT730" s="365">
        <f>AT732+AT735+AT736+AT739+AT740+AT744+AT747+AT750+AT751+AT755+AT756+AT757+AT758+AT759+AT760</f>
        <v>87285.23260733705</v>
      </c>
      <c r="AU730" s="363"/>
      <c r="AV730" s="229"/>
      <c r="AW730" s="226"/>
      <c r="AX730" s="366"/>
      <c r="AY730" s="339">
        <f>AY732+AY735+AY736+AY739+AY740+AY744+AY747+AY750+AY751+AY755+AY756+AY757+AY758+AY759+AY760</f>
        <v>87621.886658999982</v>
      </c>
      <c r="AZ730" s="357"/>
      <c r="BA730" s="357"/>
      <c r="BB730" s="357"/>
      <c r="BC730" s="357"/>
    </row>
    <row r="731" spans="1:55" s="24" customFormat="1">
      <c r="A731" s="179"/>
      <c r="B731" s="179"/>
      <c r="C731" s="179"/>
      <c r="D731" s="181"/>
      <c r="E731" s="181"/>
      <c r="F731" s="181"/>
      <c r="G731" s="181"/>
      <c r="H731" s="124" t="s">
        <v>99</v>
      </c>
      <c r="I731" s="124"/>
      <c r="J731" s="365">
        <f>J761</f>
        <v>1258.0887754583036</v>
      </c>
      <c r="K731" s="363"/>
      <c r="L731" s="364"/>
      <c r="M731" s="362">
        <f>M761</f>
        <v>1140.6995326361969</v>
      </c>
      <c r="N731" s="363"/>
      <c r="O731" s="364"/>
      <c r="P731" s="362">
        <f>P761</f>
        <v>1236.8281113832766</v>
      </c>
      <c r="Q731" s="363"/>
      <c r="R731" s="364"/>
      <c r="S731" s="362">
        <f>S761</f>
        <v>1154.8498125023966</v>
      </c>
      <c r="T731" s="363"/>
      <c r="U731" s="364"/>
      <c r="V731" s="362">
        <f>V761</f>
        <v>1178.5146020469138</v>
      </c>
      <c r="W731" s="363"/>
      <c r="X731" s="364"/>
      <c r="Y731" s="362">
        <f>Y761</f>
        <v>1091.9940921846417</v>
      </c>
      <c r="Z731" s="363"/>
      <c r="AA731" s="364"/>
      <c r="AB731" s="362">
        <f>AB761</f>
        <v>1145.2265467025045</v>
      </c>
      <c r="AC731" s="363"/>
      <c r="AD731" s="364"/>
      <c r="AE731" s="362">
        <f>AE761</f>
        <v>1167.5899727648675</v>
      </c>
      <c r="AF731" s="363"/>
      <c r="AG731" s="364"/>
      <c r="AH731" s="362">
        <f>AH761</f>
        <v>1166.6893584045856</v>
      </c>
      <c r="AI731" s="363"/>
      <c r="AJ731" s="364"/>
      <c r="AK731" s="362">
        <f>AK761</f>
        <v>1235.0143309344551</v>
      </c>
      <c r="AL731" s="363"/>
      <c r="AM731" s="364"/>
      <c r="AN731" s="362">
        <f>AN761</f>
        <v>1234.1894801077572</v>
      </c>
      <c r="AO731" s="363"/>
      <c r="AP731" s="364"/>
      <c r="AQ731" s="362">
        <f>AQ761</f>
        <v>1270.1306969881102</v>
      </c>
      <c r="AR731" s="363"/>
      <c r="AS731" s="364"/>
      <c r="AT731" s="362">
        <f>AT761</f>
        <v>14279.815312114011</v>
      </c>
      <c r="AU731" s="363"/>
      <c r="AV731" s="229"/>
      <c r="AW731" s="226"/>
      <c r="AX731" s="366"/>
      <c r="AY731" s="339">
        <f>AY761</f>
        <v>12786.75297</v>
      </c>
      <c r="AZ731" s="357"/>
      <c r="BA731" s="357"/>
      <c r="BB731" s="357"/>
      <c r="BC731" s="357"/>
    </row>
    <row r="732" spans="1:55" s="24" customFormat="1">
      <c r="A732" s="179"/>
      <c r="B732" s="179"/>
      <c r="C732" s="179"/>
      <c r="D732" s="181">
        <v>684910</v>
      </c>
      <c r="E732" s="181"/>
      <c r="F732" s="181"/>
      <c r="G732" s="1110">
        <v>684910</v>
      </c>
      <c r="H732" s="134" t="s">
        <v>1387</v>
      </c>
      <c r="I732" s="516" t="s">
        <v>364</v>
      </c>
      <c r="J732" s="262">
        <f>SUM(J733:J734)</f>
        <v>436.42500000000001</v>
      </c>
      <c r="K732" s="323"/>
      <c r="L732" s="324"/>
      <c r="M732" s="317">
        <f>SUM(M733:M734)</f>
        <v>423.58100000000002</v>
      </c>
      <c r="N732" s="323"/>
      <c r="O732" s="324"/>
      <c r="P732" s="317">
        <f>SUM(P733:P734)</f>
        <v>393.87799999999999</v>
      </c>
      <c r="Q732" s="323"/>
      <c r="R732" s="324"/>
      <c r="S732" s="317">
        <f>SUM(S733:S734)</f>
        <v>273.286</v>
      </c>
      <c r="T732" s="323"/>
      <c r="U732" s="324"/>
      <c r="V732" s="317">
        <f>SUM(V733:V734)</f>
        <v>296.26099999999997</v>
      </c>
      <c r="W732" s="323"/>
      <c r="X732" s="324"/>
      <c r="Y732" s="317">
        <f>SUM(Y733:Y734)</f>
        <v>203.76</v>
      </c>
      <c r="Z732" s="323"/>
      <c r="AA732" s="324"/>
      <c r="AB732" s="317">
        <f>SUM(AB733:AB734)</f>
        <v>230.93</v>
      </c>
      <c r="AC732" s="323"/>
      <c r="AD732" s="324"/>
      <c r="AE732" s="317">
        <f>SUM(AE733:AE734)</f>
        <v>360.24699999999996</v>
      </c>
      <c r="AF732" s="323"/>
      <c r="AG732" s="324"/>
      <c r="AH732" s="317">
        <f>SUM(AH733:AH734)</f>
        <v>333.63599999999997</v>
      </c>
      <c r="AI732" s="323"/>
      <c r="AJ732" s="324"/>
      <c r="AK732" s="317">
        <f>SUM(AK733:AK734)</f>
        <v>332.28</v>
      </c>
      <c r="AL732" s="323"/>
      <c r="AM732" s="324"/>
      <c r="AN732" s="317">
        <f>SUM(AN733:AN734)</f>
        <v>426.31299999999999</v>
      </c>
      <c r="AO732" s="323"/>
      <c r="AP732" s="324"/>
      <c r="AQ732" s="317">
        <f>SUM(AQ733:AQ734)</f>
        <v>451.09199999999998</v>
      </c>
      <c r="AR732" s="323"/>
      <c r="AS732" s="324"/>
      <c r="AT732" s="317">
        <f>SUM(AT733:AT734)</f>
        <v>4161.6889999999994</v>
      </c>
      <c r="AU732" s="323"/>
      <c r="AV732" s="325"/>
      <c r="AW732" s="226"/>
      <c r="AX732" s="328"/>
      <c r="AY732" s="1068">
        <v>3920.934538</v>
      </c>
      <c r="AZ732" s="357"/>
      <c r="BA732" s="357"/>
      <c r="BB732" s="357"/>
      <c r="BC732" s="357"/>
    </row>
    <row r="733" spans="1:55" s="24" customFormat="1">
      <c r="A733" s="179"/>
      <c r="B733" s="179"/>
      <c r="C733" s="179"/>
      <c r="D733" s="181"/>
      <c r="E733" s="181"/>
      <c r="F733" s="181"/>
      <c r="G733" s="1110"/>
      <c r="H733" s="122" t="s">
        <v>1388</v>
      </c>
      <c r="I733" s="122"/>
      <c r="J733" s="802">
        <f>261.398+7.186+20</f>
        <v>288.584</v>
      </c>
      <c r="K733" s="1115"/>
      <c r="L733" s="1118"/>
      <c r="M733" s="345">
        <f>229.632+50</f>
        <v>279.63200000000001</v>
      </c>
      <c r="N733" s="246"/>
      <c r="O733" s="282"/>
      <c r="P733" s="802">
        <f>198.346+2.63+50</f>
        <v>250.976</v>
      </c>
      <c r="Q733" s="1115"/>
      <c r="R733" s="1118"/>
      <c r="S733" s="802">
        <f>166.838+0.922</f>
        <v>167.76</v>
      </c>
      <c r="T733" s="1115"/>
      <c r="U733" s="1118"/>
      <c r="V733" s="802">
        <f>120.386+52.966</f>
        <v>173.352</v>
      </c>
      <c r="W733" s="1115"/>
      <c r="X733" s="1118"/>
      <c r="Y733" s="802">
        <f>115.271+88.489</f>
        <v>203.76</v>
      </c>
      <c r="Z733" s="1115"/>
      <c r="AA733" s="1118"/>
      <c r="AB733" s="802">
        <f>128.397+72.579</f>
        <v>200.976</v>
      </c>
      <c r="AC733" s="1115"/>
      <c r="AD733" s="1118"/>
      <c r="AE733" s="802">
        <f>109.871+56.279+50</f>
        <v>216.15</v>
      </c>
      <c r="AF733" s="1115"/>
      <c r="AG733" s="1118"/>
      <c r="AH733" s="1181">
        <f>131.612+55</f>
        <v>186.61199999999999</v>
      </c>
      <c r="AI733" s="1115"/>
      <c r="AJ733" s="1118"/>
      <c r="AK733" s="802">
        <f>146.845+24.275+20</f>
        <v>191.12</v>
      </c>
      <c r="AL733" s="246"/>
      <c r="AM733" s="282"/>
      <c r="AN733" s="802">
        <f>182.719+14.657+80</f>
        <v>277.37599999999998</v>
      </c>
      <c r="AO733" s="1115"/>
      <c r="AP733" s="1118"/>
      <c r="AQ733" s="345">
        <f>236.593+80</f>
        <v>316.59299999999996</v>
      </c>
      <c r="AR733" s="246"/>
      <c r="AS733" s="282"/>
      <c r="AT733" s="244">
        <f t="shared" ref="AT733:AT788" si="26">J733+M733+P733+S733+V733+Y733+AB733+AE733+AH733+AK733+AN733+AQ733</f>
        <v>2752.8909999999996</v>
      </c>
      <c r="AU733" s="246"/>
      <c r="AV733" s="336"/>
      <c r="AW733" s="285"/>
      <c r="AX733" s="249"/>
      <c r="AY733" s="338"/>
      <c r="AZ733" s="357"/>
      <c r="BA733" s="357"/>
      <c r="BB733" s="357"/>
      <c r="BC733" s="357"/>
    </row>
    <row r="734" spans="1:55" s="24" customFormat="1">
      <c r="A734" s="179"/>
      <c r="B734" s="179"/>
      <c r="C734" s="179"/>
      <c r="D734" s="181"/>
      <c r="E734" s="181"/>
      <c r="F734" s="181"/>
      <c r="G734" s="1110"/>
      <c r="H734" s="127" t="s">
        <v>1389</v>
      </c>
      <c r="I734" s="127"/>
      <c r="J734" s="1171">
        <f>137.841+10</f>
        <v>147.84100000000001</v>
      </c>
      <c r="K734" s="246"/>
      <c r="L734" s="282"/>
      <c r="M734" s="345">
        <f>128.949+15</f>
        <v>143.94900000000001</v>
      </c>
      <c r="N734" s="246"/>
      <c r="O734" s="282"/>
      <c r="P734" s="345">
        <f>122.902+20</f>
        <v>142.90199999999999</v>
      </c>
      <c r="Q734" s="246"/>
      <c r="R734" s="282"/>
      <c r="S734" s="244">
        <v>105.52600000000001</v>
      </c>
      <c r="T734" s="246"/>
      <c r="U734" s="282"/>
      <c r="V734" s="711">
        <v>122.90899999999999</v>
      </c>
      <c r="W734" s="246"/>
      <c r="X734" s="282"/>
      <c r="Y734" s="244">
        <v>0</v>
      </c>
      <c r="Z734" s="246"/>
      <c r="AA734" s="282"/>
      <c r="AB734" s="244">
        <v>29.954000000000001</v>
      </c>
      <c r="AC734" s="246"/>
      <c r="AD734" s="282"/>
      <c r="AE734" s="345">
        <f>124.097+20</f>
        <v>144.09699999999998</v>
      </c>
      <c r="AF734" s="246"/>
      <c r="AG734" s="282"/>
      <c r="AH734" s="1181">
        <f>107.024+40</f>
        <v>147.024</v>
      </c>
      <c r="AI734" s="246"/>
      <c r="AJ734" s="282"/>
      <c r="AK734" s="345">
        <f>121.16+20</f>
        <v>141.16</v>
      </c>
      <c r="AL734" s="246"/>
      <c r="AM734" s="282"/>
      <c r="AN734" s="345">
        <f>118.937+30</f>
        <v>148.93700000000001</v>
      </c>
      <c r="AO734" s="246"/>
      <c r="AP734" s="282"/>
      <c r="AQ734" s="345">
        <f>124.499+10</f>
        <v>134.499</v>
      </c>
      <c r="AR734" s="246"/>
      <c r="AS734" s="282"/>
      <c r="AT734" s="244">
        <f t="shared" si="26"/>
        <v>1408.798</v>
      </c>
      <c r="AU734" s="246"/>
      <c r="AV734" s="336"/>
      <c r="AW734" s="285"/>
      <c r="AX734" s="249"/>
      <c r="AY734" s="338"/>
      <c r="AZ734" s="357"/>
      <c r="BA734" s="357"/>
      <c r="BB734" s="357"/>
      <c r="BC734" s="357"/>
    </row>
    <row r="735" spans="1:55" s="24" customFormat="1">
      <c r="A735" s="179"/>
      <c r="B735" s="179"/>
      <c r="C735" s="179"/>
      <c r="D735" s="181">
        <v>684912</v>
      </c>
      <c r="E735" s="181"/>
      <c r="F735" s="181"/>
      <c r="G735" s="1110">
        <v>684912</v>
      </c>
      <c r="H735" s="127" t="s">
        <v>1390</v>
      </c>
      <c r="I735" s="516" t="s">
        <v>364</v>
      </c>
      <c r="J735" s="802">
        <f>352.636649099721+89.227</f>
        <v>441.86364909972099</v>
      </c>
      <c r="K735" s="1115"/>
      <c r="L735" s="1118"/>
      <c r="M735" s="802">
        <f>303.63712391591+101.137+50</f>
        <v>454.77412391591002</v>
      </c>
      <c r="N735" s="1115"/>
      <c r="O735" s="1118"/>
      <c r="P735" s="345">
        <f>336.543285997531+150</f>
        <v>486.54328599753097</v>
      </c>
      <c r="Q735" s="246"/>
      <c r="R735" s="282"/>
      <c r="S735" s="244">
        <v>266.37258887913669</v>
      </c>
      <c r="T735" s="246"/>
      <c r="U735" s="282"/>
      <c r="V735" s="345">
        <f>269.943108977175+30</f>
        <v>299.94310897717497</v>
      </c>
      <c r="W735" s="246"/>
      <c r="X735" s="282"/>
      <c r="Y735" s="244">
        <v>247.85655375913294</v>
      </c>
      <c r="Z735" s="246"/>
      <c r="AA735" s="282"/>
      <c r="AB735" s="345">
        <f>232.288973149901+50</f>
        <v>282.28897314990104</v>
      </c>
      <c r="AC735" s="246"/>
      <c r="AD735" s="282"/>
      <c r="AE735" s="345">
        <f>255.492204260979+45</f>
        <v>300.49220426097901</v>
      </c>
      <c r="AF735" s="246"/>
      <c r="AG735" s="282"/>
      <c r="AH735" s="345">
        <f>326.723691748044+20</f>
        <v>346.72369174804402</v>
      </c>
      <c r="AI735" s="246"/>
      <c r="AJ735" s="282"/>
      <c r="AK735" s="244">
        <v>349.82946600228087</v>
      </c>
      <c r="AL735" s="246"/>
      <c r="AM735" s="282"/>
      <c r="AN735" s="345">
        <f>325.162604412054+120</f>
        <v>445.16260441205401</v>
      </c>
      <c r="AO735" s="246"/>
      <c r="AP735" s="282"/>
      <c r="AQ735" s="802">
        <f>375.480149798133+10.656+100</f>
        <v>486.13614979813303</v>
      </c>
      <c r="AR735" s="246"/>
      <c r="AS735" s="282"/>
      <c r="AT735" s="244">
        <f t="shared" si="26"/>
        <v>4407.9863999999989</v>
      </c>
      <c r="AU735" s="246"/>
      <c r="AV735" s="336"/>
      <c r="AW735" s="285"/>
      <c r="AX735" s="249"/>
      <c r="AY735" s="438">
        <v>4424.4617859999998</v>
      </c>
      <c r="AZ735" s="357"/>
      <c r="BA735" s="357"/>
      <c r="BB735" s="357"/>
      <c r="BC735" s="357"/>
    </row>
    <row r="736" spans="1:55" s="24" customFormat="1">
      <c r="A736" s="179"/>
      <c r="B736" s="179"/>
      <c r="C736" s="179"/>
      <c r="D736" s="181">
        <v>684911</v>
      </c>
      <c r="E736" s="181"/>
      <c r="F736" s="181"/>
      <c r="G736" s="1110">
        <v>684911</v>
      </c>
      <c r="H736" s="132" t="s">
        <v>1130</v>
      </c>
      <c r="I736" s="516" t="s">
        <v>364</v>
      </c>
      <c r="J736" s="262">
        <f>SUM(J737:J738)</f>
        <v>281.98199999999997</v>
      </c>
      <c r="K736" s="246"/>
      <c r="L736" s="282"/>
      <c r="M736" s="317">
        <f>SUM(M737:M738)</f>
        <v>267.98500000000001</v>
      </c>
      <c r="N736" s="246"/>
      <c r="O736" s="282"/>
      <c r="P736" s="317">
        <f>SUM(P737:P738)</f>
        <v>266.83099999999996</v>
      </c>
      <c r="Q736" s="246"/>
      <c r="R736" s="282"/>
      <c r="S736" s="317">
        <f>SUM(S737:S738)</f>
        <v>204.47999999999996</v>
      </c>
      <c r="T736" s="246"/>
      <c r="U736" s="282"/>
      <c r="V736" s="317">
        <f>SUM(V737:V738)</f>
        <v>213.072</v>
      </c>
      <c r="W736" s="246"/>
      <c r="X736" s="282"/>
      <c r="Y736" s="317">
        <f>SUM(Y737:Y738)</f>
        <v>167.61599999999999</v>
      </c>
      <c r="Z736" s="246"/>
      <c r="AA736" s="282"/>
      <c r="AB736" s="317">
        <f>SUM(AB737:AB738)</f>
        <v>143.59199999999998</v>
      </c>
      <c r="AC736" s="246"/>
      <c r="AD736" s="282"/>
      <c r="AE736" s="317">
        <f>SUM(AE737:AE738)</f>
        <v>193.35200000000003</v>
      </c>
      <c r="AF736" s="246"/>
      <c r="AG736" s="282"/>
      <c r="AH736" s="317">
        <f>SUM(AH737:AH738)</f>
        <v>191.20770000000002</v>
      </c>
      <c r="AI736" s="246"/>
      <c r="AJ736" s="282"/>
      <c r="AK736" s="317">
        <f>SUM(AK737:AK738)</f>
        <v>269.976</v>
      </c>
      <c r="AL736" s="246"/>
      <c r="AM736" s="282"/>
      <c r="AN736" s="317">
        <f>SUM(AN737:AN738)</f>
        <v>276</v>
      </c>
      <c r="AO736" s="246"/>
      <c r="AP736" s="282"/>
      <c r="AQ736" s="317">
        <f>SUM(AQ737:AQ738)</f>
        <v>288.89599999999996</v>
      </c>
      <c r="AR736" s="246"/>
      <c r="AS736" s="282"/>
      <c r="AT736" s="317">
        <f>SUM(AT737:AT738)</f>
        <v>2764.9896999999996</v>
      </c>
      <c r="AU736" s="246"/>
      <c r="AV736" s="336"/>
      <c r="AW736" s="285"/>
      <c r="AX736" s="249"/>
      <c r="AY736" s="1068">
        <v>2481.8350599999999</v>
      </c>
      <c r="AZ736" s="357"/>
      <c r="BA736" s="357"/>
      <c r="BB736" s="357"/>
      <c r="BC736" s="357"/>
    </row>
    <row r="737" spans="1:55" s="24" customFormat="1">
      <c r="A737" s="179"/>
      <c r="B737" s="179"/>
      <c r="C737" s="179"/>
      <c r="D737" s="181"/>
      <c r="E737" s="181"/>
      <c r="F737" s="181"/>
      <c r="G737" s="1110"/>
      <c r="H737" s="127" t="s">
        <v>1131</v>
      </c>
      <c r="I737" s="127"/>
      <c r="J737" s="802">
        <f>209.064+46.584</f>
        <v>255.648</v>
      </c>
      <c r="K737" s="246"/>
      <c r="L737" s="282"/>
      <c r="M737" s="345">
        <f>184.44+60</f>
        <v>244.44</v>
      </c>
      <c r="N737" s="246"/>
      <c r="O737" s="282"/>
      <c r="P737" s="345">
        <f>230.64+10</f>
        <v>240.64</v>
      </c>
      <c r="Q737" s="246"/>
      <c r="R737" s="282"/>
      <c r="S737" s="802">
        <f>157.2+1.92</f>
        <v>159.11999999999998</v>
      </c>
      <c r="T737" s="246"/>
      <c r="U737" s="282"/>
      <c r="V737" s="802">
        <f>150.48+15.72</f>
        <v>166.2</v>
      </c>
      <c r="W737" s="246"/>
      <c r="X737" s="282"/>
      <c r="Y737" s="802">
        <f>106.2+16.056</f>
        <v>122.256</v>
      </c>
      <c r="Z737" s="246"/>
      <c r="AA737" s="282"/>
      <c r="AB737" s="244">
        <v>96.72</v>
      </c>
      <c r="AC737" s="246"/>
      <c r="AD737" s="282"/>
      <c r="AE737" s="802">
        <f>126.48+20</f>
        <v>146.48000000000002</v>
      </c>
      <c r="AF737" s="246"/>
      <c r="AG737" s="282"/>
      <c r="AH737" s="802">
        <f>136.8+9.048</f>
        <v>145.84800000000001</v>
      </c>
      <c r="AI737" s="246"/>
      <c r="AJ737" s="282"/>
      <c r="AK737" s="802">
        <f>192.72+51.552</f>
        <v>244.27199999999999</v>
      </c>
      <c r="AL737" s="246"/>
      <c r="AM737" s="282"/>
      <c r="AN737" s="345">
        <f>216+60</f>
        <v>276</v>
      </c>
      <c r="AO737" s="246"/>
      <c r="AP737" s="282"/>
      <c r="AQ737" s="802">
        <f>223.944+44.952+20</f>
        <v>288.89599999999996</v>
      </c>
      <c r="AR737" s="246"/>
      <c r="AS737" s="282"/>
      <c r="AT737" s="244">
        <f t="shared" si="26"/>
        <v>2386.5199999999995</v>
      </c>
      <c r="AU737" s="246"/>
      <c r="AV737" s="336"/>
      <c r="AW737" s="285"/>
      <c r="AX737" s="249"/>
      <c r="AY737" s="338"/>
      <c r="AZ737" s="357"/>
      <c r="BA737" s="357"/>
      <c r="BB737" s="357"/>
      <c r="BC737" s="357"/>
    </row>
    <row r="738" spans="1:55" s="24" customFormat="1">
      <c r="A738" s="179"/>
      <c r="B738" s="179"/>
      <c r="C738" s="179"/>
      <c r="D738" s="181"/>
      <c r="E738" s="181"/>
      <c r="F738" s="181"/>
      <c r="G738" s="1110"/>
      <c r="H738" s="127" t="s">
        <v>1132</v>
      </c>
      <c r="I738" s="127"/>
      <c r="J738" s="281">
        <v>26.334</v>
      </c>
      <c r="K738" s="246"/>
      <c r="L738" s="282"/>
      <c r="M738" s="345">
        <f>13.545+10</f>
        <v>23.545000000000002</v>
      </c>
      <c r="N738" s="246"/>
      <c r="O738" s="282"/>
      <c r="P738" s="345">
        <f>16.191+10</f>
        <v>26.190999999999999</v>
      </c>
      <c r="Q738" s="246"/>
      <c r="R738" s="282"/>
      <c r="S738" s="802">
        <f>30.24+15.12</f>
        <v>45.36</v>
      </c>
      <c r="T738" s="246"/>
      <c r="U738" s="282"/>
      <c r="V738" s="802">
        <f>42.651+4.221</f>
        <v>46.872</v>
      </c>
      <c r="W738" s="246"/>
      <c r="X738" s="282"/>
      <c r="Y738" s="802">
        <f>41.391+3.969</f>
        <v>45.36</v>
      </c>
      <c r="Z738" s="246"/>
      <c r="AA738" s="282"/>
      <c r="AB738" s="802">
        <f>37.8+9.072</f>
        <v>46.872</v>
      </c>
      <c r="AC738" s="246"/>
      <c r="AD738" s="282"/>
      <c r="AE738" s="802">
        <f>9.072+37.8</f>
        <v>46.872</v>
      </c>
      <c r="AF738" s="246"/>
      <c r="AG738" s="282"/>
      <c r="AH738" s="802">
        <f>32.7037+12.656</f>
        <v>45.359699999999997</v>
      </c>
      <c r="AI738" s="246"/>
      <c r="AJ738" s="282"/>
      <c r="AK738" s="244">
        <v>25.704000000000001</v>
      </c>
      <c r="AL738" s="246"/>
      <c r="AM738" s="282"/>
      <c r="AN738" s="244">
        <v>0</v>
      </c>
      <c r="AO738" s="246"/>
      <c r="AP738" s="282"/>
      <c r="AQ738" s="244">
        <v>0</v>
      </c>
      <c r="AR738" s="246"/>
      <c r="AS738" s="282"/>
      <c r="AT738" s="244">
        <f t="shared" si="26"/>
        <v>378.46970000000005</v>
      </c>
      <c r="AU738" s="246"/>
      <c r="AV738" s="336"/>
      <c r="AW738" s="285"/>
      <c r="AX738" s="249"/>
      <c r="AY738" s="338"/>
      <c r="AZ738" s="357"/>
      <c r="BA738" s="357"/>
      <c r="BB738" s="357"/>
      <c r="BC738" s="357"/>
    </row>
    <row r="739" spans="1:55" s="24" customFormat="1">
      <c r="A739" s="179"/>
      <c r="B739" s="179"/>
      <c r="C739" s="179"/>
      <c r="D739" s="181">
        <v>684901</v>
      </c>
      <c r="E739" s="181"/>
      <c r="F739" s="181"/>
      <c r="G739" s="1110">
        <v>684901</v>
      </c>
      <c r="H739" s="127" t="s">
        <v>1386</v>
      </c>
      <c r="I739" s="516" t="s">
        <v>364</v>
      </c>
      <c r="J739" s="281">
        <v>1587.9999999999998</v>
      </c>
      <c r="K739" s="246"/>
      <c r="L739" s="282"/>
      <c r="M739" s="345">
        <f>1427+90</f>
        <v>1517</v>
      </c>
      <c r="N739" s="246"/>
      <c r="O739" s="282"/>
      <c r="P739" s="345">
        <f>1521+50</f>
        <v>1571</v>
      </c>
      <c r="Q739" s="246"/>
      <c r="R739" s="282"/>
      <c r="S739" s="345">
        <f>1432+80</f>
        <v>1512</v>
      </c>
      <c r="T739" s="246"/>
      <c r="U739" s="282"/>
      <c r="V739" s="345">
        <f>1487+110</f>
        <v>1597</v>
      </c>
      <c r="W739" s="246"/>
      <c r="X739" s="282"/>
      <c r="Y739" s="244">
        <v>1601</v>
      </c>
      <c r="Z739" s="246"/>
      <c r="AA739" s="282"/>
      <c r="AB739" s="345">
        <f>1493+160</f>
        <v>1653</v>
      </c>
      <c r="AC739" s="246"/>
      <c r="AD739" s="282"/>
      <c r="AE739" s="345">
        <f>1487+200</f>
        <v>1687</v>
      </c>
      <c r="AF739" s="246"/>
      <c r="AG739" s="282"/>
      <c r="AH739" s="345">
        <f>1411+200</f>
        <v>1611</v>
      </c>
      <c r="AI739" s="246"/>
      <c r="AJ739" s="282"/>
      <c r="AK739" s="345">
        <f>1419+200</f>
        <v>1619</v>
      </c>
      <c r="AL739" s="246"/>
      <c r="AM739" s="282"/>
      <c r="AN739" s="1205">
        <f>1476+40</f>
        <v>1516</v>
      </c>
      <c r="AO739" s="246"/>
      <c r="AP739" s="282"/>
      <c r="AQ739" s="345">
        <f>1548+100</f>
        <v>1648</v>
      </c>
      <c r="AR739" s="246"/>
      <c r="AS739" s="282"/>
      <c r="AT739" s="244">
        <f t="shared" si="26"/>
        <v>19120</v>
      </c>
      <c r="AU739" s="246"/>
      <c r="AV739" s="336"/>
      <c r="AW739" s="285"/>
      <c r="AX739" s="249"/>
      <c r="AY739" s="438">
        <v>18642.080095000001</v>
      </c>
      <c r="AZ739" s="357"/>
      <c r="BA739" s="357"/>
      <c r="BB739" s="357"/>
      <c r="BC739" s="357"/>
    </row>
    <row r="740" spans="1:55" s="24" customFormat="1">
      <c r="A740" s="179"/>
      <c r="B740" s="179"/>
      <c r="C740" s="179"/>
      <c r="D740" s="181">
        <v>684902</v>
      </c>
      <c r="E740" s="181"/>
      <c r="F740" s="181"/>
      <c r="G740" s="1110">
        <v>684902</v>
      </c>
      <c r="H740" s="132" t="s">
        <v>926</v>
      </c>
      <c r="I740" s="516" t="s">
        <v>364</v>
      </c>
      <c r="J740" s="262">
        <f>SUM(J741:J743)</f>
        <v>3174.8469999999998</v>
      </c>
      <c r="K740" s="246"/>
      <c r="L740" s="282"/>
      <c r="M740" s="317">
        <f>SUM(M741:M743)</f>
        <v>2785.8909999999996</v>
      </c>
      <c r="N740" s="246"/>
      <c r="O740" s="282"/>
      <c r="P740" s="317">
        <f>SUM(P741:P743)</f>
        <v>2805.8420000000001</v>
      </c>
      <c r="Q740" s="246"/>
      <c r="R740" s="282"/>
      <c r="S740" s="317">
        <f>SUM(S741:S743)</f>
        <v>2336.5790000000002</v>
      </c>
      <c r="T740" s="246"/>
      <c r="U740" s="282"/>
      <c r="V740" s="317">
        <f>SUM(V741:V743)</f>
        <v>2392.52</v>
      </c>
      <c r="W740" s="246"/>
      <c r="X740" s="282"/>
      <c r="Y740" s="317">
        <f>SUM(Y741:Y743)</f>
        <v>2442.9480000000003</v>
      </c>
      <c r="Z740" s="246"/>
      <c r="AA740" s="282"/>
      <c r="AB740" s="317">
        <f>SUM(AB741:AB743)</f>
        <v>2457.5129999999999</v>
      </c>
      <c r="AC740" s="246"/>
      <c r="AD740" s="282"/>
      <c r="AE740" s="317">
        <f>SUM(AE741:AE743)</f>
        <v>2497.1999999999998</v>
      </c>
      <c r="AF740" s="246"/>
      <c r="AG740" s="282"/>
      <c r="AH740" s="317">
        <f>SUM(AH741:AH743)</f>
        <v>2532.13</v>
      </c>
      <c r="AI740" s="246"/>
      <c r="AJ740" s="282"/>
      <c r="AK740" s="317">
        <f>SUM(AK741:AK743)</f>
        <v>2803.4230000000002</v>
      </c>
      <c r="AL740" s="246"/>
      <c r="AM740" s="282"/>
      <c r="AN740" s="317">
        <f>SUM(AN741:AN743)</f>
        <v>2638.4189999999999</v>
      </c>
      <c r="AO740" s="246"/>
      <c r="AP740" s="282"/>
      <c r="AQ740" s="317">
        <f>SUM(AQ741:AQ743)</f>
        <v>2837.5479999999998</v>
      </c>
      <c r="AR740" s="246"/>
      <c r="AS740" s="282"/>
      <c r="AT740" s="317">
        <f>SUM(AT741:AT743)</f>
        <v>31704.859999999997</v>
      </c>
      <c r="AU740" s="246"/>
      <c r="AV740" s="336"/>
      <c r="AW740" s="285"/>
      <c r="AX740" s="249"/>
      <c r="AY740" s="1068">
        <v>30436.692107999999</v>
      </c>
      <c r="AZ740" s="357"/>
      <c r="BA740" s="357"/>
      <c r="BB740" s="357"/>
      <c r="BC740" s="357"/>
    </row>
    <row r="741" spans="1:55" s="24" customFormat="1">
      <c r="A741" s="179"/>
      <c r="B741" s="179"/>
      <c r="C741" s="179"/>
      <c r="D741" s="181"/>
      <c r="E741" s="181"/>
      <c r="F741" s="181"/>
      <c r="G741" s="1110"/>
      <c r="H741" s="127" t="s">
        <v>927</v>
      </c>
      <c r="I741" s="127"/>
      <c r="J741" s="1171">
        <f>2452.247+150</f>
        <v>2602.2469999999998</v>
      </c>
      <c r="K741" s="246"/>
      <c r="L741" s="282"/>
      <c r="M741" s="345">
        <f>2100.734+150.64</f>
        <v>2251.3739999999998</v>
      </c>
      <c r="N741" s="246"/>
      <c r="O741" s="282"/>
      <c r="P741" s="345">
        <f>2084.143+150</f>
        <v>2234.143</v>
      </c>
      <c r="Q741" s="246"/>
      <c r="R741" s="282"/>
      <c r="S741" s="244">
        <v>2096.6030000000001</v>
      </c>
      <c r="T741" s="246"/>
      <c r="U741" s="282"/>
      <c r="V741" s="345">
        <f>1972.038+20</f>
        <v>1992.038</v>
      </c>
      <c r="W741" s="246"/>
      <c r="X741" s="282"/>
      <c r="Y741" s="244">
        <v>1919.604</v>
      </c>
      <c r="Z741" s="246"/>
      <c r="AA741" s="282"/>
      <c r="AB741" s="244">
        <v>1956.3839999999998</v>
      </c>
      <c r="AC741" s="246"/>
      <c r="AD741" s="282"/>
      <c r="AE741" s="345">
        <f>1864.581+76.26</f>
        <v>1940.8409999999999</v>
      </c>
      <c r="AF741" s="246"/>
      <c r="AG741" s="282"/>
      <c r="AH741" s="244">
        <v>1964.2850000000001</v>
      </c>
      <c r="AI741" s="246"/>
      <c r="AJ741" s="282"/>
      <c r="AK741" s="345">
        <f>2284.822+300</f>
        <v>2584.8220000000001</v>
      </c>
      <c r="AL741" s="246"/>
      <c r="AM741" s="282"/>
      <c r="AN741" s="345">
        <f>2346.296+16.28</f>
        <v>2362.576</v>
      </c>
      <c r="AO741" s="246"/>
      <c r="AP741" s="282"/>
      <c r="AQ741" s="345">
        <f>2110.263+405.68</f>
        <v>2515.9429999999998</v>
      </c>
      <c r="AR741" s="246"/>
      <c r="AS741" s="282"/>
      <c r="AT741" s="244">
        <f t="shared" si="26"/>
        <v>26420.859999999997</v>
      </c>
      <c r="AU741" s="246"/>
      <c r="AV741" s="336"/>
      <c r="AW741" s="285"/>
      <c r="AX741" s="249"/>
      <c r="AY741" s="373"/>
      <c r="AZ741" s="357"/>
      <c r="BA741" s="357"/>
      <c r="BB741" s="357"/>
      <c r="BC741" s="357"/>
    </row>
    <row r="742" spans="1:55" s="24" customFormat="1">
      <c r="A742" s="179"/>
      <c r="B742" s="179"/>
      <c r="C742" s="179"/>
      <c r="D742" s="181"/>
      <c r="E742" s="181"/>
      <c r="F742" s="181"/>
      <c r="G742" s="1110"/>
      <c r="H742" s="127" t="s">
        <v>928</v>
      </c>
      <c r="I742" s="127"/>
      <c r="J742" s="246">
        <v>275.73700000000002</v>
      </c>
      <c r="K742" s="246"/>
      <c r="L742" s="282"/>
      <c r="M742" s="246">
        <v>275.86200000000002</v>
      </c>
      <c r="N742" s="246"/>
      <c r="O742" s="282"/>
      <c r="P742" s="246">
        <v>275.029</v>
      </c>
      <c r="Q742" s="246"/>
      <c r="R742" s="282"/>
      <c r="S742" s="244">
        <v>0</v>
      </c>
      <c r="T742" s="246"/>
      <c r="U742" s="282"/>
      <c r="V742" s="244">
        <v>103.907</v>
      </c>
      <c r="W742" s="246"/>
      <c r="X742" s="282"/>
      <c r="Y742" s="246">
        <v>266.13299999999998</v>
      </c>
      <c r="Z742" s="246"/>
      <c r="AA742" s="282"/>
      <c r="AB742" s="244">
        <v>267.11</v>
      </c>
      <c r="AC742" s="246"/>
      <c r="AD742" s="282"/>
      <c r="AE742" s="246">
        <v>291.87099999999998</v>
      </c>
      <c r="AF742" s="246"/>
      <c r="AG742" s="282"/>
      <c r="AH742" s="246">
        <v>285.05099999999999</v>
      </c>
      <c r="AI742" s="246"/>
      <c r="AJ742" s="282"/>
      <c r="AK742" s="244">
        <v>113.617</v>
      </c>
      <c r="AL742" s="246"/>
      <c r="AM742" s="282"/>
      <c r="AN742" s="246">
        <v>275.84300000000002</v>
      </c>
      <c r="AO742" s="246"/>
      <c r="AP742" s="282"/>
      <c r="AQ742" s="246">
        <v>265.39100000000002</v>
      </c>
      <c r="AR742" s="246"/>
      <c r="AS742" s="282"/>
      <c r="AT742" s="244">
        <f t="shared" si="26"/>
        <v>2695.5510000000004</v>
      </c>
      <c r="AU742" s="246"/>
      <c r="AV742" s="336"/>
      <c r="AW742" s="285"/>
      <c r="AX742" s="249"/>
      <c r="AY742" s="338"/>
      <c r="AZ742" s="357"/>
      <c r="BA742" s="357"/>
      <c r="BB742" s="357"/>
      <c r="BC742" s="357"/>
    </row>
    <row r="743" spans="1:55" s="24" customFormat="1">
      <c r="A743" s="179"/>
      <c r="B743" s="179"/>
      <c r="C743" s="179"/>
      <c r="D743" s="181"/>
      <c r="E743" s="181"/>
      <c r="F743" s="181"/>
      <c r="G743" s="1110"/>
      <c r="H743" s="127" t="s">
        <v>929</v>
      </c>
      <c r="I743" s="127"/>
      <c r="J743" s="246">
        <v>296.863</v>
      </c>
      <c r="K743" s="246"/>
      <c r="L743" s="282"/>
      <c r="M743" s="246">
        <v>258.65499999999997</v>
      </c>
      <c r="N743" s="246"/>
      <c r="O743" s="282"/>
      <c r="P743" s="246">
        <v>296.67</v>
      </c>
      <c r="Q743" s="246"/>
      <c r="R743" s="282"/>
      <c r="S743" s="246">
        <v>239.976</v>
      </c>
      <c r="T743" s="246"/>
      <c r="U743" s="282"/>
      <c r="V743" s="246">
        <v>296.57499999999999</v>
      </c>
      <c r="W743" s="246"/>
      <c r="X743" s="282"/>
      <c r="Y743" s="246">
        <v>257.21100000000001</v>
      </c>
      <c r="Z743" s="246"/>
      <c r="AA743" s="282"/>
      <c r="AB743" s="246">
        <v>234.01900000000001</v>
      </c>
      <c r="AC743" s="246"/>
      <c r="AD743" s="282"/>
      <c r="AE743" s="246">
        <v>264.488</v>
      </c>
      <c r="AF743" s="246"/>
      <c r="AG743" s="282"/>
      <c r="AH743" s="246">
        <v>282.79399999999998</v>
      </c>
      <c r="AI743" s="246"/>
      <c r="AJ743" s="282"/>
      <c r="AK743" s="244">
        <v>104.98399999999999</v>
      </c>
      <c r="AL743" s="246"/>
      <c r="AM743" s="282"/>
      <c r="AN743" s="246">
        <v>0</v>
      </c>
      <c r="AO743" s="246"/>
      <c r="AP743" s="282"/>
      <c r="AQ743" s="246">
        <v>56.213999999999999</v>
      </c>
      <c r="AR743" s="246"/>
      <c r="AS743" s="282"/>
      <c r="AT743" s="244">
        <f t="shared" si="26"/>
        <v>2588.4490000000001</v>
      </c>
      <c r="AU743" s="246"/>
      <c r="AV743" s="336"/>
      <c r="AW743" s="285"/>
      <c r="AX743" s="249"/>
      <c r="AY743" s="338"/>
      <c r="AZ743" s="357"/>
      <c r="BA743" s="357"/>
      <c r="BB743" s="357"/>
      <c r="BC743" s="357"/>
    </row>
    <row r="744" spans="1:55" s="24" customFormat="1">
      <c r="A744" s="179"/>
      <c r="B744" s="179"/>
      <c r="C744" s="179"/>
      <c r="D744" s="181">
        <v>684904</v>
      </c>
      <c r="E744" s="181"/>
      <c r="F744" s="181"/>
      <c r="G744" s="1110">
        <v>684904</v>
      </c>
      <c r="H744" s="132" t="s">
        <v>400</v>
      </c>
      <c r="I744" s="516" t="s">
        <v>364</v>
      </c>
      <c r="J744" s="262">
        <f>SUM(J745:J746)</f>
        <v>1245.4459999999999</v>
      </c>
      <c r="K744" s="246"/>
      <c r="L744" s="282"/>
      <c r="M744" s="317">
        <f>SUM(M745:M746)</f>
        <v>1150.422</v>
      </c>
      <c r="N744" s="246"/>
      <c r="O744" s="282"/>
      <c r="P744" s="317">
        <f>SUM(P745:P746)</f>
        <v>1199.6570000000002</v>
      </c>
      <c r="Q744" s="246"/>
      <c r="R744" s="282"/>
      <c r="S744" s="317">
        <f>SUM(S745:S746)</f>
        <v>897.70699999999988</v>
      </c>
      <c r="T744" s="246"/>
      <c r="U744" s="282"/>
      <c r="V744" s="317">
        <f>SUM(V745:V746)</f>
        <v>980.2</v>
      </c>
      <c r="W744" s="246"/>
      <c r="X744" s="282"/>
      <c r="Y744" s="317">
        <f>SUM(Y745:Y746)</f>
        <v>609.02</v>
      </c>
      <c r="Z744" s="246"/>
      <c r="AA744" s="282"/>
      <c r="AB744" s="317">
        <f>SUM(AB745:AB746)</f>
        <v>815.51099999999997</v>
      </c>
      <c r="AC744" s="246"/>
      <c r="AD744" s="282"/>
      <c r="AE744" s="317">
        <f>SUM(AE745:AE746)</f>
        <v>869.70100000000002</v>
      </c>
      <c r="AF744" s="246"/>
      <c r="AG744" s="282"/>
      <c r="AH744" s="317">
        <f>SUM(AH745:AH746)</f>
        <v>793.779</v>
      </c>
      <c r="AI744" s="246"/>
      <c r="AJ744" s="282"/>
      <c r="AK744" s="317">
        <f>SUM(AK745:AK746)</f>
        <v>808.56600000000003</v>
      </c>
      <c r="AL744" s="246"/>
      <c r="AM744" s="282"/>
      <c r="AN744" s="317">
        <f>SUM(AN745:AN746)</f>
        <v>1190.6579999999999</v>
      </c>
      <c r="AO744" s="246"/>
      <c r="AP744" s="282"/>
      <c r="AQ744" s="317">
        <f>SUM(AQ745:AQ746)</f>
        <v>1173.9970000000001</v>
      </c>
      <c r="AR744" s="246"/>
      <c r="AS744" s="282"/>
      <c r="AT744" s="317">
        <f>SUM(AT745:AT746)</f>
        <v>11734.664000000001</v>
      </c>
      <c r="AU744" s="246"/>
      <c r="AV744" s="336"/>
      <c r="AW744" s="285"/>
      <c r="AX744" s="249"/>
      <c r="AY744" s="1068">
        <v>12957.310953</v>
      </c>
      <c r="AZ744" s="357"/>
      <c r="BA744" s="357"/>
      <c r="BB744" s="357"/>
      <c r="BC744" s="357"/>
    </row>
    <row r="745" spans="1:55" s="24" customFormat="1">
      <c r="A745" s="179"/>
      <c r="B745" s="179"/>
      <c r="C745" s="179"/>
      <c r="D745" s="181"/>
      <c r="E745" s="181"/>
      <c r="F745" s="181"/>
      <c r="G745" s="1110"/>
      <c r="H745" s="127" t="s">
        <v>329</v>
      </c>
      <c r="I745" s="127"/>
      <c r="J745" s="281">
        <v>941.13599999999997</v>
      </c>
      <c r="K745" s="246"/>
      <c r="L745" s="282"/>
      <c r="M745" s="244">
        <v>875.56100000000004</v>
      </c>
      <c r="N745" s="246"/>
      <c r="O745" s="282"/>
      <c r="P745" s="244">
        <v>924.79600000000005</v>
      </c>
      <c r="Q745" s="246"/>
      <c r="R745" s="282"/>
      <c r="S745" s="244">
        <v>618.31399999999996</v>
      </c>
      <c r="T745" s="246"/>
      <c r="U745" s="282"/>
      <c r="V745" s="345">
        <f>627.893+50</f>
        <v>677.89300000000003</v>
      </c>
      <c r="W745" s="246"/>
      <c r="X745" s="282"/>
      <c r="Y745" s="244">
        <v>480.51799999999997</v>
      </c>
      <c r="Z745" s="246"/>
      <c r="AA745" s="282"/>
      <c r="AB745" s="1184">
        <f>464.501+60</f>
        <v>524.50099999999998</v>
      </c>
      <c r="AC745" s="246"/>
      <c r="AD745" s="282"/>
      <c r="AE745" s="345">
        <f>496.536+80</f>
        <v>576.53600000000006</v>
      </c>
      <c r="AF745" s="246"/>
      <c r="AG745" s="282"/>
      <c r="AH745" s="345">
        <f>448.484+70</f>
        <v>518.48399999999992</v>
      </c>
      <c r="AI745" s="246"/>
      <c r="AJ745" s="282"/>
      <c r="AK745" s="345">
        <f>496.536+39.72</f>
        <v>536.25599999999997</v>
      </c>
      <c r="AL745" s="246"/>
      <c r="AM745" s="282"/>
      <c r="AN745" s="244">
        <v>905.98099999999999</v>
      </c>
      <c r="AO745" s="246"/>
      <c r="AP745" s="282"/>
      <c r="AQ745" s="244">
        <v>889.32</v>
      </c>
      <c r="AR745" s="246"/>
      <c r="AS745" s="282"/>
      <c r="AT745" s="244">
        <f t="shared" si="26"/>
        <v>8469.2960000000003</v>
      </c>
      <c r="AU745" s="246"/>
      <c r="AV745" s="336"/>
      <c r="AW745" s="285"/>
      <c r="AX745" s="249"/>
      <c r="AY745" s="373"/>
      <c r="AZ745" s="357"/>
      <c r="BA745" s="357"/>
      <c r="BB745" s="357"/>
      <c r="BC745" s="357"/>
    </row>
    <row r="746" spans="1:55" s="24" customFormat="1">
      <c r="A746" s="179"/>
      <c r="B746" s="179"/>
      <c r="C746" s="179"/>
      <c r="D746" s="181"/>
      <c r="E746" s="181"/>
      <c r="F746" s="181"/>
      <c r="G746" s="1110"/>
      <c r="H746" s="125" t="s">
        <v>401</v>
      </c>
      <c r="I746" s="125"/>
      <c r="J746" s="281">
        <v>304.31</v>
      </c>
      <c r="K746" s="246"/>
      <c r="L746" s="282"/>
      <c r="M746" s="244">
        <v>274.86099999999999</v>
      </c>
      <c r="N746" s="246"/>
      <c r="O746" s="282"/>
      <c r="P746" s="244">
        <v>274.86099999999999</v>
      </c>
      <c r="Q746" s="246"/>
      <c r="R746" s="282"/>
      <c r="S746" s="244">
        <v>279.39299999999997</v>
      </c>
      <c r="T746" s="246"/>
      <c r="U746" s="282"/>
      <c r="V746" s="345">
        <f>292.307+10</f>
        <v>302.30700000000002</v>
      </c>
      <c r="W746" s="246"/>
      <c r="X746" s="282"/>
      <c r="Y746" s="244">
        <v>128.50200000000001</v>
      </c>
      <c r="Z746" s="246"/>
      <c r="AA746" s="282"/>
      <c r="AB746" s="1184">
        <f>281.01+10</f>
        <v>291.01</v>
      </c>
      <c r="AC746" s="246"/>
      <c r="AD746" s="282"/>
      <c r="AE746" s="345">
        <f>268.165+25</f>
        <v>293.16500000000002</v>
      </c>
      <c r="AF746" s="246"/>
      <c r="AG746" s="282"/>
      <c r="AH746" s="345">
        <f>265.295+10</f>
        <v>275.29500000000002</v>
      </c>
      <c r="AI746" s="246"/>
      <c r="AJ746" s="282"/>
      <c r="AK746" s="244">
        <v>272.31</v>
      </c>
      <c r="AL746" s="246"/>
      <c r="AM746" s="282"/>
      <c r="AN746" s="244">
        <v>284.67700000000002</v>
      </c>
      <c r="AO746" s="246"/>
      <c r="AP746" s="282"/>
      <c r="AQ746" s="1013">
        <v>284.67700000000002</v>
      </c>
      <c r="AR746" s="246"/>
      <c r="AS746" s="282"/>
      <c r="AT746" s="244">
        <f t="shared" si="26"/>
        <v>3265.3680000000004</v>
      </c>
      <c r="AU746" s="246"/>
      <c r="AV746" s="336"/>
      <c r="AW746" s="285"/>
      <c r="AX746" s="249"/>
      <c r="AY746" s="338"/>
      <c r="AZ746" s="357"/>
      <c r="BA746" s="357"/>
      <c r="BB746" s="357"/>
      <c r="BC746" s="357"/>
    </row>
    <row r="747" spans="1:55" s="24" customFormat="1">
      <c r="A747" s="179"/>
      <c r="B747" s="179"/>
      <c r="C747" s="179"/>
      <c r="D747" s="181">
        <v>684903</v>
      </c>
      <c r="E747" s="181"/>
      <c r="F747" s="181"/>
      <c r="G747" s="1110">
        <v>684903</v>
      </c>
      <c r="H747" s="134" t="s">
        <v>651</v>
      </c>
      <c r="I747" s="516" t="s">
        <v>364</v>
      </c>
      <c r="J747" s="262">
        <f>SUM(J748:J749)</f>
        <v>190.7</v>
      </c>
      <c r="K747" s="246"/>
      <c r="L747" s="282"/>
      <c r="M747" s="317">
        <f>SUM(M748:M749)</f>
        <v>184.9</v>
      </c>
      <c r="N747" s="246"/>
      <c r="O747" s="282"/>
      <c r="P747" s="317">
        <f>SUM(P748:P749)</f>
        <v>181.8</v>
      </c>
      <c r="Q747" s="246"/>
      <c r="R747" s="282"/>
      <c r="S747" s="317">
        <f>SUM(S748:S749)</f>
        <v>187.2</v>
      </c>
      <c r="T747" s="246"/>
      <c r="U747" s="282"/>
      <c r="V747" s="317">
        <f>SUM(V748:V749)</f>
        <v>206.04000000000002</v>
      </c>
      <c r="W747" s="246"/>
      <c r="X747" s="282"/>
      <c r="Y747" s="317">
        <f>SUM(Y748:Y749)</f>
        <v>225.64000000000001</v>
      </c>
      <c r="Z747" s="246"/>
      <c r="AA747" s="282"/>
      <c r="AB747" s="317">
        <f>SUM(AB748:AB749)</f>
        <v>210.4</v>
      </c>
      <c r="AC747" s="246"/>
      <c r="AD747" s="282"/>
      <c r="AE747" s="317">
        <f>SUM(AE748:AE749)</f>
        <v>287.88</v>
      </c>
      <c r="AF747" s="246"/>
      <c r="AG747" s="282"/>
      <c r="AH747" s="317">
        <f>SUM(AH748:AH749)</f>
        <v>254.35999999999999</v>
      </c>
      <c r="AI747" s="246"/>
      <c r="AJ747" s="282"/>
      <c r="AK747" s="317">
        <f>SUM(AK748:AK749)</f>
        <v>288.04399999999998</v>
      </c>
      <c r="AL747" s="246"/>
      <c r="AM747" s="282"/>
      <c r="AN747" s="317">
        <f>SUM(AN748:AN749)</f>
        <v>189.9</v>
      </c>
      <c r="AO747" s="246"/>
      <c r="AP747" s="282"/>
      <c r="AQ747" s="317">
        <f>SUM(AQ748:AQ749)</f>
        <v>267.40000000000003</v>
      </c>
      <c r="AR747" s="246"/>
      <c r="AS747" s="282"/>
      <c r="AT747" s="317">
        <f>SUM(AT748:AT749)</f>
        <v>2674.2640000000001</v>
      </c>
      <c r="AU747" s="246"/>
      <c r="AV747" s="336"/>
      <c r="AW747" s="285"/>
      <c r="AX747" s="249"/>
      <c r="AY747" s="1068">
        <v>3281.2260240000001</v>
      </c>
      <c r="AZ747" s="357"/>
      <c r="BA747" s="357"/>
      <c r="BB747" s="357"/>
      <c r="BC747" s="357"/>
    </row>
    <row r="748" spans="1:55" s="24" customFormat="1">
      <c r="A748" s="179"/>
      <c r="B748" s="179"/>
      <c r="C748" s="179"/>
      <c r="D748" s="181"/>
      <c r="E748" s="181"/>
      <c r="F748" s="181"/>
      <c r="G748" s="1110"/>
      <c r="H748" s="122" t="s">
        <v>652</v>
      </c>
      <c r="I748" s="122"/>
      <c r="J748" s="281">
        <v>10.7</v>
      </c>
      <c r="K748" s="246"/>
      <c r="L748" s="282"/>
      <c r="M748" s="244">
        <v>13.9</v>
      </c>
      <c r="N748" s="246"/>
      <c r="O748" s="282"/>
      <c r="P748" s="244">
        <v>14.4</v>
      </c>
      <c r="Q748" s="246"/>
      <c r="R748" s="282"/>
      <c r="S748" s="244">
        <v>11.7</v>
      </c>
      <c r="T748" s="246"/>
      <c r="U748" s="282"/>
      <c r="V748" s="244">
        <v>7.8</v>
      </c>
      <c r="W748" s="246"/>
      <c r="X748" s="282"/>
      <c r="Y748" s="244">
        <v>7.6</v>
      </c>
      <c r="Z748" s="246"/>
      <c r="AA748" s="282"/>
      <c r="AB748" s="345">
        <f>7.4+10</f>
        <v>17.399999999999999</v>
      </c>
      <c r="AC748" s="246"/>
      <c r="AD748" s="282"/>
      <c r="AE748" s="244">
        <v>7.8</v>
      </c>
      <c r="AF748" s="246"/>
      <c r="AG748" s="282"/>
      <c r="AH748" s="244">
        <v>7.6</v>
      </c>
      <c r="AI748" s="246"/>
      <c r="AJ748" s="282"/>
      <c r="AK748" s="244">
        <v>10.7</v>
      </c>
      <c r="AL748" s="246"/>
      <c r="AM748" s="282"/>
      <c r="AN748" s="244">
        <v>14.4</v>
      </c>
      <c r="AO748" s="246"/>
      <c r="AP748" s="282"/>
      <c r="AQ748" s="244">
        <v>14.6</v>
      </c>
      <c r="AR748" s="246"/>
      <c r="AS748" s="282"/>
      <c r="AT748" s="244">
        <f t="shared" si="26"/>
        <v>138.6</v>
      </c>
      <c r="AU748" s="246"/>
      <c r="AV748" s="336"/>
      <c r="AW748" s="285"/>
      <c r="AX748" s="249"/>
      <c r="AY748" s="373"/>
      <c r="AZ748" s="357"/>
      <c r="BA748" s="357"/>
      <c r="BB748" s="357"/>
      <c r="BC748" s="357"/>
    </row>
    <row r="749" spans="1:55" s="24" customFormat="1">
      <c r="A749" s="179"/>
      <c r="B749" s="179"/>
      <c r="C749" s="179"/>
      <c r="D749" s="181"/>
      <c r="E749" s="181"/>
      <c r="F749" s="181"/>
      <c r="G749" s="1110"/>
      <c r="H749" s="122" t="s">
        <v>653</v>
      </c>
      <c r="I749" s="122"/>
      <c r="J749" s="244">
        <v>180</v>
      </c>
      <c r="K749" s="246"/>
      <c r="L749" s="282"/>
      <c r="M749" s="244">
        <v>171</v>
      </c>
      <c r="N749" s="246"/>
      <c r="O749" s="282"/>
      <c r="P749" s="802">
        <f>157.5+9.9</f>
        <v>167.4</v>
      </c>
      <c r="Q749" s="246"/>
      <c r="R749" s="282"/>
      <c r="S749" s="711">
        <v>175.5</v>
      </c>
      <c r="T749" s="246"/>
      <c r="U749" s="282"/>
      <c r="V749" s="802">
        <f>180+18.24</f>
        <v>198.24</v>
      </c>
      <c r="W749" s="246"/>
      <c r="X749" s="282"/>
      <c r="Y749" s="802">
        <f>108+110.04</f>
        <v>218.04000000000002</v>
      </c>
      <c r="Z749" s="246"/>
      <c r="AA749" s="282"/>
      <c r="AB749" s="345">
        <f>153+40</f>
        <v>193</v>
      </c>
      <c r="AC749" s="246"/>
      <c r="AD749" s="282"/>
      <c r="AE749" s="802">
        <f>180+100.08</f>
        <v>280.08</v>
      </c>
      <c r="AF749" s="246"/>
      <c r="AG749" s="282"/>
      <c r="AH749" s="802">
        <f>153+53.76+40</f>
        <v>246.76</v>
      </c>
      <c r="AI749" s="246"/>
      <c r="AJ749" s="282"/>
      <c r="AK749" s="802">
        <f>189+58.344+30</f>
        <v>277.34399999999999</v>
      </c>
      <c r="AL749" s="246"/>
      <c r="AM749" s="282"/>
      <c r="AN749" s="244">
        <v>175.5</v>
      </c>
      <c r="AO749" s="246"/>
      <c r="AP749" s="282"/>
      <c r="AQ749" s="802">
        <f>189+13.8+50</f>
        <v>252.8</v>
      </c>
      <c r="AR749" s="246"/>
      <c r="AS749" s="282"/>
      <c r="AT749" s="244">
        <f t="shared" si="26"/>
        <v>2535.6640000000002</v>
      </c>
      <c r="AU749" s="246"/>
      <c r="AV749" s="336"/>
      <c r="AW749" s="285"/>
      <c r="AX749" s="249"/>
      <c r="AY749" s="338"/>
      <c r="AZ749" s="357"/>
      <c r="BA749" s="357"/>
      <c r="BB749" s="357"/>
      <c r="BC749" s="357"/>
    </row>
    <row r="750" spans="1:55" s="24" customFormat="1">
      <c r="A750" s="179"/>
      <c r="B750" s="179"/>
      <c r="C750" s="179"/>
      <c r="D750" s="181">
        <v>684914</v>
      </c>
      <c r="E750" s="181"/>
      <c r="F750" s="181"/>
      <c r="G750" s="1110">
        <v>684914</v>
      </c>
      <c r="H750" s="122" t="s">
        <v>402</v>
      </c>
      <c r="I750" s="516" t="s">
        <v>364</v>
      </c>
      <c r="J750" s="711">
        <v>87.792000000000002</v>
      </c>
      <c r="K750" s="246"/>
      <c r="L750" s="282"/>
      <c r="M750" s="244">
        <v>81.571200000000005</v>
      </c>
      <c r="N750" s="246"/>
      <c r="O750" s="282"/>
      <c r="P750" s="711">
        <v>69.597628</v>
      </c>
      <c r="Q750" s="246"/>
      <c r="R750" s="282"/>
      <c r="S750" s="711">
        <v>68.072543999999994</v>
      </c>
      <c r="T750" s="246"/>
      <c r="U750" s="282"/>
      <c r="V750" s="711">
        <v>70.341628</v>
      </c>
      <c r="W750" s="246"/>
      <c r="X750" s="282"/>
      <c r="Y750" s="711">
        <v>68.792544000000007</v>
      </c>
      <c r="Z750" s="246"/>
      <c r="AA750" s="282"/>
      <c r="AB750" s="711">
        <v>51.594408000000001</v>
      </c>
      <c r="AC750" s="246"/>
      <c r="AD750" s="282"/>
      <c r="AE750" s="711">
        <v>24.959932999999999</v>
      </c>
      <c r="AF750" s="246"/>
      <c r="AG750" s="282"/>
      <c r="AH750" s="711">
        <v>64.668917000000008</v>
      </c>
      <c r="AI750" s="246"/>
      <c r="AJ750" s="282"/>
      <c r="AK750" s="711">
        <v>60.003547999999995</v>
      </c>
      <c r="AL750" s="246"/>
      <c r="AM750" s="282"/>
      <c r="AN750" s="711">
        <v>68.072543999999994</v>
      </c>
      <c r="AO750" s="246"/>
      <c r="AP750" s="282"/>
      <c r="AQ750" s="711">
        <v>87.791999999999987</v>
      </c>
      <c r="AR750" s="246"/>
      <c r="AS750" s="282"/>
      <c r="AT750" s="244">
        <f t="shared" si="26"/>
        <v>803.25889400000005</v>
      </c>
      <c r="AU750" s="246"/>
      <c r="AV750" s="336"/>
      <c r="AW750" s="285"/>
      <c r="AX750" s="249"/>
      <c r="AY750" s="438">
        <v>965.51861599999995</v>
      </c>
      <c r="AZ750" s="357"/>
      <c r="BA750" s="357"/>
      <c r="BB750" s="357"/>
      <c r="BC750" s="357"/>
    </row>
    <row r="751" spans="1:55" s="24" customFormat="1">
      <c r="A751" s="179"/>
      <c r="B751" s="179"/>
      <c r="C751" s="179"/>
      <c r="D751" s="181">
        <v>684913</v>
      </c>
      <c r="E751" s="181"/>
      <c r="F751" s="181"/>
      <c r="G751" s="1110">
        <v>684913</v>
      </c>
      <c r="H751" s="134" t="s">
        <v>1391</v>
      </c>
      <c r="I751" s="516" t="s">
        <v>364</v>
      </c>
      <c r="J751" s="262">
        <f>SUM(J752:J754)</f>
        <v>796.0425674152176</v>
      </c>
      <c r="K751" s="246"/>
      <c r="L751" s="282"/>
      <c r="M751" s="317">
        <f>SUM(M752:M754)</f>
        <v>826.76152484713577</v>
      </c>
      <c r="N751" s="246"/>
      <c r="O751" s="282"/>
      <c r="P751" s="317">
        <f>SUM(P752:P754)</f>
        <v>948.84374270027604</v>
      </c>
      <c r="Q751" s="246"/>
      <c r="R751" s="282"/>
      <c r="S751" s="317">
        <f>SUM(S752:S754)</f>
        <v>708.68568958212256</v>
      </c>
      <c r="T751" s="246"/>
      <c r="U751" s="282"/>
      <c r="V751" s="317">
        <f>SUM(V752:V754)</f>
        <v>839.17164506190602</v>
      </c>
      <c r="W751" s="246"/>
      <c r="X751" s="282"/>
      <c r="Y751" s="317">
        <f>SUM(Y752:Y754)</f>
        <v>697.62158625504514</v>
      </c>
      <c r="Z751" s="246"/>
      <c r="AA751" s="282"/>
      <c r="AB751" s="317">
        <f>SUM(AB752:AB754)</f>
        <v>802.01501639322328</v>
      </c>
      <c r="AC751" s="246"/>
      <c r="AD751" s="282"/>
      <c r="AE751" s="317">
        <f>SUM(AE752:AE754)</f>
        <v>824.14514572170503</v>
      </c>
      <c r="AF751" s="246"/>
      <c r="AG751" s="282"/>
      <c r="AH751" s="317">
        <f>SUM(AH752:AH754)</f>
        <v>738.85562121924409</v>
      </c>
      <c r="AI751" s="246"/>
      <c r="AJ751" s="282"/>
      <c r="AK751" s="317">
        <f>SUM(AK752:AK754)</f>
        <v>667.34593055137907</v>
      </c>
      <c r="AL751" s="246"/>
      <c r="AM751" s="282"/>
      <c r="AN751" s="317">
        <f>SUM(AN752:AN754)</f>
        <v>668.41502791450864</v>
      </c>
      <c r="AO751" s="246"/>
      <c r="AP751" s="282"/>
      <c r="AQ751" s="317">
        <f>SUM(AQ752:AQ754)</f>
        <v>871.89748967529454</v>
      </c>
      <c r="AR751" s="246"/>
      <c r="AS751" s="282"/>
      <c r="AT751" s="317">
        <f>SUM(AT752:AT754)</f>
        <v>9389.8009873370574</v>
      </c>
      <c r="AU751" s="246"/>
      <c r="AV751" s="336"/>
      <c r="AW751" s="285"/>
      <c r="AX751" s="249"/>
      <c r="AY751" s="1068">
        <v>10248.732855</v>
      </c>
      <c r="AZ751" s="357"/>
      <c r="BA751" s="357"/>
      <c r="BB751" s="357"/>
      <c r="BC751" s="357"/>
    </row>
    <row r="752" spans="1:55" s="24" customFormat="1">
      <c r="A752" s="179"/>
      <c r="B752" s="179"/>
      <c r="C752" s="179"/>
      <c r="D752" s="181"/>
      <c r="E752" s="181"/>
      <c r="F752" s="181"/>
      <c r="G752" s="1110"/>
      <c r="H752" s="122" t="s">
        <v>1392</v>
      </c>
      <c r="I752" s="122"/>
      <c r="J752" s="246">
        <v>269.50452541109007</v>
      </c>
      <c r="K752" s="246"/>
      <c r="L752" s="282"/>
      <c r="M752" s="521">
        <f>246.688573703111+40</f>
        <v>286.68857370311099</v>
      </c>
      <c r="N752" s="246"/>
      <c r="O752" s="282"/>
      <c r="P752" s="1184">
        <f>273.655503497219+40</f>
        <v>313.655503497219</v>
      </c>
      <c r="Q752" s="246"/>
      <c r="R752" s="282"/>
      <c r="S752" s="708">
        <v>226.68137891111789</v>
      </c>
      <c r="T752" s="246"/>
      <c r="U752" s="282"/>
      <c r="V752" s="521">
        <f>246.802711567172+40</f>
        <v>286.80271156717197</v>
      </c>
      <c r="W752" s="246"/>
      <c r="X752" s="282"/>
      <c r="Y752" s="244">
        <v>231.07710534132983</v>
      </c>
      <c r="Z752" s="246"/>
      <c r="AA752" s="282"/>
      <c r="AB752" s="711">
        <v>212.10452129492234</v>
      </c>
      <c r="AC752" s="246"/>
      <c r="AD752" s="282"/>
      <c r="AE752" s="802">
        <f>245.455849030618+3.184</f>
        <v>248.639849030618</v>
      </c>
      <c r="AF752" s="246"/>
      <c r="AG752" s="282"/>
      <c r="AH752" s="244">
        <v>252.08578929535841</v>
      </c>
      <c r="AI752" s="246"/>
      <c r="AJ752" s="282"/>
      <c r="AK752" s="802">
        <f>189.140535523437+103.659+30</f>
        <v>322.79953552343699</v>
      </c>
      <c r="AL752" s="246"/>
      <c r="AM752" s="282"/>
      <c r="AN752" s="246">
        <v>249.22838970199405</v>
      </c>
      <c r="AO752" s="246"/>
      <c r="AP752" s="282"/>
      <c r="AQ752" s="1205">
        <f>194.924525829596+80</f>
        <v>274.92452582959601</v>
      </c>
      <c r="AR752" s="246"/>
      <c r="AS752" s="282"/>
      <c r="AT752" s="244">
        <f t="shared" si="26"/>
        <v>3174.192409106965</v>
      </c>
      <c r="AU752" s="246"/>
      <c r="AV752" s="336"/>
      <c r="AW752" s="285"/>
      <c r="AX752" s="249"/>
      <c r="AY752" s="338"/>
      <c r="AZ752" s="357"/>
      <c r="BA752" s="357"/>
      <c r="BB752" s="357"/>
      <c r="BC752" s="357"/>
    </row>
    <row r="753" spans="1:55" s="116" customFormat="1">
      <c r="A753" s="179"/>
      <c r="B753" s="179"/>
      <c r="C753" s="179"/>
      <c r="D753" s="181"/>
      <c r="E753" s="181"/>
      <c r="F753" s="181"/>
      <c r="G753" s="1110"/>
      <c r="H753" s="122" t="s">
        <v>1393</v>
      </c>
      <c r="I753" s="122"/>
      <c r="J753" s="708">
        <v>270.6175384647803</v>
      </c>
      <c r="K753" s="246"/>
      <c r="L753" s="282"/>
      <c r="M753" s="711">
        <v>244.82551733910486</v>
      </c>
      <c r="N753" s="246"/>
      <c r="O753" s="282"/>
      <c r="P753" s="1184">
        <f>277.658931716747+50</f>
        <v>327.65893171674702</v>
      </c>
      <c r="Q753" s="246"/>
      <c r="R753" s="282"/>
      <c r="S753" s="708">
        <v>255.61821052656944</v>
      </c>
      <c r="T753" s="246"/>
      <c r="U753" s="282"/>
      <c r="V753" s="802">
        <f>210.747133494734+12.453+100</f>
        <v>323.20013349473402</v>
      </c>
      <c r="W753" s="246"/>
      <c r="X753" s="282"/>
      <c r="Y753" s="708">
        <v>231.3441199787743</v>
      </c>
      <c r="Z753" s="246"/>
      <c r="AA753" s="282"/>
      <c r="AB753" s="345">
        <f>230.408764396209+60</f>
        <v>290.40876439620899</v>
      </c>
      <c r="AC753" s="246"/>
      <c r="AD753" s="282"/>
      <c r="AE753" s="345">
        <f>173.454320435052+100</f>
        <v>273.45432043505201</v>
      </c>
      <c r="AF753" s="246"/>
      <c r="AG753" s="282"/>
      <c r="AH753" s="802">
        <f>181.401957922191+36.758</f>
        <v>218.15995792219101</v>
      </c>
      <c r="AI753" s="246"/>
      <c r="AJ753" s="282"/>
      <c r="AK753" s="579">
        <f>184.777054116856-163.031</f>
        <v>21.746054116855987</v>
      </c>
      <c r="AL753" s="246"/>
      <c r="AM753" s="282"/>
      <c r="AN753" s="579">
        <f>221.715883118755-80.349</f>
        <v>141.36688311875497</v>
      </c>
      <c r="AO753" s="246"/>
      <c r="AP753" s="282"/>
      <c r="AQ753" s="1205">
        <f>246.60728974754+60</f>
        <v>306.60728974753999</v>
      </c>
      <c r="AR753" s="246"/>
      <c r="AS753" s="282"/>
      <c r="AT753" s="244">
        <f t="shared" si="26"/>
        <v>2905.0077212573133</v>
      </c>
      <c r="AU753" s="246"/>
      <c r="AV753" s="336"/>
      <c r="AW753" s="285"/>
      <c r="AX753" s="249"/>
      <c r="AY753" s="338"/>
      <c r="AZ753" s="374"/>
      <c r="BA753" s="374"/>
      <c r="BB753" s="374"/>
      <c r="BC753" s="374"/>
    </row>
    <row r="754" spans="1:55" s="116" customFormat="1">
      <c r="A754" s="179"/>
      <c r="B754" s="179"/>
      <c r="C754" s="179"/>
      <c r="D754" s="181"/>
      <c r="E754" s="181"/>
      <c r="F754" s="181"/>
      <c r="G754" s="1110"/>
      <c r="H754" s="122" t="s">
        <v>1394</v>
      </c>
      <c r="I754" s="122"/>
      <c r="J754" s="708">
        <v>255.92050353934721</v>
      </c>
      <c r="K754" s="246"/>
      <c r="L754" s="282"/>
      <c r="M754" s="521">
        <f>265.24743380492+30</f>
        <v>295.24743380491998</v>
      </c>
      <c r="N754" s="246"/>
      <c r="O754" s="282"/>
      <c r="P754" s="345">
        <f>237.52930748631+70</f>
        <v>307.52930748631002</v>
      </c>
      <c r="Q754" s="246"/>
      <c r="R754" s="282"/>
      <c r="S754" s="244">
        <v>226.3861001444352</v>
      </c>
      <c r="T754" s="246"/>
      <c r="U754" s="282"/>
      <c r="V754" s="246">
        <v>229.16879999999998</v>
      </c>
      <c r="W754" s="246"/>
      <c r="X754" s="282"/>
      <c r="Y754" s="802">
        <f>221.991360934941+13.209</f>
        <v>235.20036093494102</v>
      </c>
      <c r="Z754" s="246"/>
      <c r="AA754" s="282"/>
      <c r="AB754" s="345">
        <f>259.501730702092+40</f>
        <v>299.501730702092</v>
      </c>
      <c r="AC754" s="246"/>
      <c r="AD754" s="282"/>
      <c r="AE754" s="1181">
        <f>252.050976256035+50</f>
        <v>302.05097625603503</v>
      </c>
      <c r="AF754" s="246"/>
      <c r="AG754" s="282"/>
      <c r="AH754" s="244">
        <v>268.60987400169472</v>
      </c>
      <c r="AI754" s="246"/>
      <c r="AJ754" s="282"/>
      <c r="AK754" s="802">
        <f>273.356340911086+19.444+30</f>
        <v>322.80034091108604</v>
      </c>
      <c r="AL754" s="246"/>
      <c r="AM754" s="282"/>
      <c r="AN754" s="1013">
        <v>277.81975509375962</v>
      </c>
      <c r="AO754" s="246"/>
      <c r="AP754" s="282"/>
      <c r="AQ754" s="1013">
        <v>290.36567409815842</v>
      </c>
      <c r="AR754" s="246"/>
      <c r="AS754" s="282"/>
      <c r="AT754" s="244">
        <f t="shared" si="26"/>
        <v>3310.6008569727792</v>
      </c>
      <c r="AU754" s="246"/>
      <c r="AV754" s="336"/>
      <c r="AW754" s="285"/>
      <c r="AX754" s="249"/>
      <c r="AY754" s="338"/>
      <c r="AZ754" s="374"/>
      <c r="BA754" s="374"/>
      <c r="BB754" s="374"/>
      <c r="BC754" s="374"/>
    </row>
    <row r="755" spans="1:55" s="116" customFormat="1">
      <c r="A755" s="179"/>
      <c r="B755" s="179"/>
      <c r="C755" s="179"/>
      <c r="D755" s="181">
        <v>633092</v>
      </c>
      <c r="E755" s="181"/>
      <c r="F755" s="181"/>
      <c r="G755" s="1110">
        <v>633092</v>
      </c>
      <c r="H755" s="125" t="s">
        <v>403</v>
      </c>
      <c r="I755" s="516" t="s">
        <v>364</v>
      </c>
      <c r="J755" s="281">
        <v>16.739999999999998</v>
      </c>
      <c r="K755" s="246"/>
      <c r="L755" s="282"/>
      <c r="M755" s="244">
        <v>15.12</v>
      </c>
      <c r="N755" s="246"/>
      <c r="O755" s="282"/>
      <c r="P755" s="244">
        <v>16.367999999999999</v>
      </c>
      <c r="Q755" s="246"/>
      <c r="R755" s="282"/>
      <c r="S755" s="244">
        <v>15.48</v>
      </c>
      <c r="T755" s="246"/>
      <c r="U755" s="282"/>
      <c r="V755" s="244">
        <v>15.252000000000001</v>
      </c>
      <c r="W755" s="246"/>
      <c r="X755" s="282"/>
      <c r="Y755" s="244">
        <v>12.96</v>
      </c>
      <c r="Z755" s="246"/>
      <c r="AA755" s="282"/>
      <c r="AB755" s="244">
        <v>11.904</v>
      </c>
      <c r="AC755" s="246"/>
      <c r="AD755" s="282"/>
      <c r="AE755" s="244">
        <v>11.904</v>
      </c>
      <c r="AF755" s="246"/>
      <c r="AG755" s="282"/>
      <c r="AH755" s="244">
        <v>13.68</v>
      </c>
      <c r="AI755" s="246"/>
      <c r="AJ755" s="282"/>
      <c r="AK755" s="244">
        <v>15.996</v>
      </c>
      <c r="AL755" s="246"/>
      <c r="AM755" s="282"/>
      <c r="AN755" s="244">
        <v>15.48</v>
      </c>
      <c r="AO755" s="246"/>
      <c r="AP755" s="282"/>
      <c r="AQ755" s="244">
        <v>16.739999999999998</v>
      </c>
      <c r="AR755" s="246"/>
      <c r="AS755" s="282"/>
      <c r="AT755" s="244">
        <f>J755+M755+P755+S755+V755+Y755+AB755+AE755+AH755+AK755+AN755+AQ755</f>
        <v>177.624</v>
      </c>
      <c r="AU755" s="246"/>
      <c r="AV755" s="336"/>
      <c r="AW755" s="285"/>
      <c r="AX755" s="249"/>
      <c r="AY755" s="438">
        <v>133.47720000000001</v>
      </c>
      <c r="AZ755" s="374"/>
      <c r="BA755" s="374"/>
      <c r="BB755" s="374"/>
      <c r="BC755" s="374"/>
    </row>
    <row r="756" spans="1:55" s="116" customFormat="1">
      <c r="A756" s="179"/>
      <c r="B756" s="179"/>
      <c r="C756" s="179"/>
      <c r="D756" s="181">
        <v>633091</v>
      </c>
      <c r="E756" s="181"/>
      <c r="F756" s="181"/>
      <c r="G756" s="1110">
        <v>633091</v>
      </c>
      <c r="H756" s="125" t="s">
        <v>930</v>
      </c>
      <c r="I756" s="516" t="s">
        <v>364</v>
      </c>
      <c r="J756" s="281">
        <v>3.5</v>
      </c>
      <c r="K756" s="246"/>
      <c r="L756" s="282"/>
      <c r="M756" s="244">
        <v>3</v>
      </c>
      <c r="N756" s="246"/>
      <c r="O756" s="282"/>
      <c r="P756" s="244">
        <v>2.5</v>
      </c>
      <c r="Q756" s="246"/>
      <c r="R756" s="282"/>
      <c r="S756" s="244">
        <v>2.5</v>
      </c>
      <c r="T756" s="246"/>
      <c r="U756" s="282"/>
      <c r="V756" s="802">
        <f>1.5+0.732</f>
        <v>2.2320000000000002</v>
      </c>
      <c r="W756" s="246"/>
      <c r="X756" s="282"/>
      <c r="Y756" s="802">
        <f>0.8+1.36</f>
        <v>2.16</v>
      </c>
      <c r="Z756" s="246"/>
      <c r="AA756" s="282"/>
      <c r="AB756" s="802">
        <f>0.8+1.432</f>
        <v>2.2320000000000002</v>
      </c>
      <c r="AC756" s="246"/>
      <c r="AD756" s="282"/>
      <c r="AE756" s="802">
        <f>0.8+1.432</f>
        <v>2.2320000000000002</v>
      </c>
      <c r="AF756" s="246"/>
      <c r="AG756" s="282"/>
      <c r="AH756" s="802">
        <f>2+0.16</f>
        <v>2.16</v>
      </c>
      <c r="AI756" s="246"/>
      <c r="AJ756" s="282"/>
      <c r="AK756" s="244">
        <v>2.7</v>
      </c>
      <c r="AL756" s="246"/>
      <c r="AM756" s="282"/>
      <c r="AN756" s="244">
        <v>2.7</v>
      </c>
      <c r="AO756" s="246"/>
      <c r="AP756" s="282"/>
      <c r="AQ756" s="244">
        <v>2.7</v>
      </c>
      <c r="AR756" s="246"/>
      <c r="AS756" s="282"/>
      <c r="AT756" s="244">
        <f>J756+M756+P756+S756+V756+Y756+AB756+AE756+AH756+AK756+AN756+AQ756</f>
        <v>30.615999999999996</v>
      </c>
      <c r="AU756" s="246"/>
      <c r="AV756" s="336"/>
      <c r="AW756" s="285"/>
      <c r="AX756" s="249"/>
      <c r="AY756" s="438">
        <v>16.72673</v>
      </c>
      <c r="AZ756" s="374"/>
      <c r="BA756" s="374"/>
      <c r="BB756" s="374"/>
      <c r="BC756" s="374"/>
    </row>
    <row r="757" spans="1:55" s="116" customFormat="1">
      <c r="A757" s="179"/>
      <c r="B757" s="179"/>
      <c r="C757" s="179"/>
      <c r="D757" s="181">
        <v>633090</v>
      </c>
      <c r="E757" s="181"/>
      <c r="F757" s="181"/>
      <c r="G757" s="1110">
        <v>633090</v>
      </c>
      <c r="H757" s="125" t="s">
        <v>931</v>
      </c>
      <c r="I757" s="516" t="s">
        <v>364</v>
      </c>
      <c r="J757" s="281">
        <v>4</v>
      </c>
      <c r="K757" s="246"/>
      <c r="L757" s="282"/>
      <c r="M757" s="244">
        <v>4</v>
      </c>
      <c r="N757" s="246"/>
      <c r="O757" s="282"/>
      <c r="P757" s="244">
        <v>3</v>
      </c>
      <c r="Q757" s="246"/>
      <c r="R757" s="282"/>
      <c r="S757" s="244">
        <v>3</v>
      </c>
      <c r="T757" s="246"/>
      <c r="U757" s="282"/>
      <c r="V757" s="244">
        <v>3.15</v>
      </c>
      <c r="W757" s="246"/>
      <c r="X757" s="282"/>
      <c r="Y757" s="244">
        <v>0.8</v>
      </c>
      <c r="Z757" s="246"/>
      <c r="AA757" s="282"/>
      <c r="AB757" s="244">
        <v>0.8</v>
      </c>
      <c r="AC757" s="246"/>
      <c r="AD757" s="282"/>
      <c r="AE757" s="244">
        <v>0.8</v>
      </c>
      <c r="AF757" s="246"/>
      <c r="AG757" s="282"/>
      <c r="AH757" s="244">
        <v>6</v>
      </c>
      <c r="AI757" s="246"/>
      <c r="AJ757" s="282"/>
      <c r="AK757" s="244">
        <v>4</v>
      </c>
      <c r="AL757" s="246"/>
      <c r="AM757" s="282"/>
      <c r="AN757" s="244">
        <v>3.5</v>
      </c>
      <c r="AO757" s="246"/>
      <c r="AP757" s="282"/>
      <c r="AQ757" s="244">
        <v>3.5</v>
      </c>
      <c r="AR757" s="246"/>
      <c r="AS757" s="282"/>
      <c r="AT757" s="244">
        <f>J757+M757+P757+S757+V757+Y757+AB757+AE757+AH757+AK757+AN757+AQ757</f>
        <v>36.549999999999997</v>
      </c>
      <c r="AU757" s="246"/>
      <c r="AV757" s="336"/>
      <c r="AW757" s="285"/>
      <c r="AX757" s="249"/>
      <c r="AY757" s="438">
        <v>49.841597999999998</v>
      </c>
      <c r="AZ757" s="374"/>
      <c r="BA757" s="374"/>
      <c r="BB757" s="374"/>
      <c r="BC757" s="374"/>
    </row>
    <row r="758" spans="1:55" s="116" customFormat="1">
      <c r="A758" s="179"/>
      <c r="B758" s="179"/>
      <c r="C758" s="179"/>
      <c r="D758" s="181"/>
      <c r="E758" s="181"/>
      <c r="F758" s="181"/>
      <c r="G758" s="1110">
        <v>777268</v>
      </c>
      <c r="H758" s="125" t="s">
        <v>1082</v>
      </c>
      <c r="I758" s="516" t="s">
        <v>364</v>
      </c>
      <c r="J758" s="281">
        <v>0</v>
      </c>
      <c r="K758" s="246"/>
      <c r="L758" s="282"/>
      <c r="M758" s="244">
        <v>0</v>
      </c>
      <c r="N758" s="246"/>
      <c r="O758" s="282"/>
      <c r="P758" s="244">
        <v>0</v>
      </c>
      <c r="Q758" s="246"/>
      <c r="R758" s="282"/>
      <c r="S758" s="244">
        <v>0</v>
      </c>
      <c r="T758" s="246"/>
      <c r="U758" s="282"/>
      <c r="V758" s="244">
        <v>0</v>
      </c>
      <c r="W758" s="246"/>
      <c r="X758" s="282"/>
      <c r="Y758" s="244">
        <v>0</v>
      </c>
      <c r="Z758" s="246"/>
      <c r="AA758" s="282"/>
      <c r="AB758" s="244">
        <v>0</v>
      </c>
      <c r="AC758" s="246"/>
      <c r="AD758" s="282"/>
      <c r="AE758" s="244">
        <v>0</v>
      </c>
      <c r="AF758" s="246"/>
      <c r="AG758" s="282"/>
      <c r="AH758" s="244">
        <v>0</v>
      </c>
      <c r="AI758" s="246"/>
      <c r="AJ758" s="282"/>
      <c r="AK758" s="244">
        <v>0</v>
      </c>
      <c r="AL758" s="246"/>
      <c r="AM758" s="282"/>
      <c r="AN758" s="244">
        <v>0</v>
      </c>
      <c r="AO758" s="246"/>
      <c r="AP758" s="282"/>
      <c r="AQ758" s="244">
        <v>0</v>
      </c>
      <c r="AR758" s="246"/>
      <c r="AS758" s="282"/>
      <c r="AT758" s="244">
        <f>J758+M758+P758+S758+V758+Y758+AB758+AE758+AH758+AK758+AN758+AQ758</f>
        <v>0</v>
      </c>
      <c r="AU758" s="246"/>
      <c r="AV758" s="336"/>
      <c r="AW758" s="285"/>
      <c r="AX758" s="249"/>
      <c r="AY758" s="438">
        <v>0</v>
      </c>
      <c r="AZ758" s="374"/>
      <c r="BA758" s="374"/>
      <c r="BB758" s="374"/>
      <c r="BC758" s="374"/>
    </row>
    <row r="759" spans="1:55" s="116" customFormat="1">
      <c r="A759" s="179"/>
      <c r="B759" s="179"/>
      <c r="C759" s="179"/>
      <c r="D759" s="181"/>
      <c r="E759" s="181"/>
      <c r="F759" s="181"/>
      <c r="G759" s="1110">
        <v>777372</v>
      </c>
      <c r="H759" s="125" t="s">
        <v>1395</v>
      </c>
      <c r="I759" s="516" t="s">
        <v>364</v>
      </c>
      <c r="J759" s="244">
        <v>26.139866000000001</v>
      </c>
      <c r="K759" s="246"/>
      <c r="L759" s="282"/>
      <c r="M759" s="244">
        <v>24.437567000000001</v>
      </c>
      <c r="N759" s="246"/>
      <c r="O759" s="282"/>
      <c r="P759" s="244">
        <v>25.745408000000001</v>
      </c>
      <c r="Q759" s="246"/>
      <c r="R759" s="282"/>
      <c r="S759" s="244">
        <v>26.111809999999998</v>
      </c>
      <c r="T759" s="246"/>
      <c r="U759" s="282"/>
      <c r="V759" s="244">
        <v>19.110752000000002</v>
      </c>
      <c r="W759" s="246"/>
      <c r="X759" s="282"/>
      <c r="Y759" s="802">
        <f>0+5.76</f>
        <v>5.76</v>
      </c>
      <c r="Z759" s="246"/>
      <c r="AA759" s="282"/>
      <c r="AB759" s="802">
        <f>0+2.232</f>
        <v>2.2320000000000002</v>
      </c>
      <c r="AC759" s="246"/>
      <c r="AD759" s="282"/>
      <c r="AE759" s="802">
        <f>0+2.232</f>
        <v>2.2320000000000002</v>
      </c>
      <c r="AF759" s="246"/>
      <c r="AG759" s="282"/>
      <c r="AH759" s="244">
        <v>17.975999999999999</v>
      </c>
      <c r="AI759" s="246"/>
      <c r="AJ759" s="282"/>
      <c r="AK759" s="244">
        <v>25.294765999999999</v>
      </c>
      <c r="AL759" s="246"/>
      <c r="AM759" s="282"/>
      <c r="AN759" s="579">
        <f>25.261457-0.1</f>
        <v>25.161456999999999</v>
      </c>
      <c r="AO759" s="246"/>
      <c r="AP759" s="282"/>
      <c r="AQ759" s="244">
        <v>26.21</v>
      </c>
      <c r="AR759" s="246"/>
      <c r="AS759" s="282"/>
      <c r="AT759" s="244">
        <f t="shared" ref="AT759:AT760" si="27">J759+M759+P759+S759+V759+Y759+AB759+AE759+AH759+AK759+AN759+AQ759</f>
        <v>226.41162600000004</v>
      </c>
      <c r="AU759" s="246"/>
      <c r="AV759" s="336"/>
      <c r="AW759" s="285"/>
      <c r="AX759" s="249"/>
      <c r="AY759" s="438">
        <v>50.276513000000001</v>
      </c>
      <c r="AZ759" s="374"/>
      <c r="BA759" s="374"/>
      <c r="BB759" s="374"/>
      <c r="BC759" s="374"/>
    </row>
    <row r="760" spans="1:55" s="116" customFormat="1">
      <c r="A760" s="179"/>
      <c r="B760" s="179"/>
      <c r="C760" s="179"/>
      <c r="D760" s="181"/>
      <c r="E760" s="181"/>
      <c r="F760" s="181"/>
      <c r="G760" s="1110">
        <v>777373</v>
      </c>
      <c r="H760" s="125" t="s">
        <v>1396</v>
      </c>
      <c r="I760" s="516" t="s">
        <v>364</v>
      </c>
      <c r="J760" s="244">
        <v>6.5465840000000002</v>
      </c>
      <c r="K760" s="246"/>
      <c r="L760" s="282"/>
      <c r="M760" s="244">
        <v>6.2863220000000002</v>
      </c>
      <c r="N760" s="246"/>
      <c r="O760" s="282"/>
      <c r="P760" s="244">
        <v>5.6290639999999996</v>
      </c>
      <c r="Q760" s="246"/>
      <c r="R760" s="282"/>
      <c r="S760" s="244">
        <v>5.4723639999999998</v>
      </c>
      <c r="T760" s="246"/>
      <c r="U760" s="282"/>
      <c r="V760" s="244">
        <v>4.4835370000000001</v>
      </c>
      <c r="W760" s="246"/>
      <c r="X760" s="282"/>
      <c r="Y760" s="802">
        <f>0+1.584</f>
        <v>1.5840000000000001</v>
      </c>
      <c r="Z760" s="246"/>
      <c r="AA760" s="282"/>
      <c r="AB760" s="802">
        <f>0+0.372</f>
        <v>0.372</v>
      </c>
      <c r="AC760" s="246"/>
      <c r="AD760" s="282"/>
      <c r="AE760" s="802">
        <f>0+0.372</f>
        <v>0.372</v>
      </c>
      <c r="AF760" s="246"/>
      <c r="AG760" s="282"/>
      <c r="AH760" s="244">
        <v>4.0976410000000003</v>
      </c>
      <c r="AI760" s="246"/>
      <c r="AJ760" s="282"/>
      <c r="AK760" s="244">
        <v>5.2529890000000004</v>
      </c>
      <c r="AL760" s="246"/>
      <c r="AM760" s="282"/>
      <c r="AN760" s="244">
        <v>5.4694099999999999</v>
      </c>
      <c r="AO760" s="246"/>
      <c r="AP760" s="282"/>
      <c r="AQ760" s="244">
        <v>6.952089</v>
      </c>
      <c r="AR760" s="246"/>
      <c r="AS760" s="282"/>
      <c r="AT760" s="244">
        <f t="shared" si="27"/>
        <v>52.518000000000001</v>
      </c>
      <c r="AU760" s="246"/>
      <c r="AV760" s="336"/>
      <c r="AW760" s="285"/>
      <c r="AX760" s="249"/>
      <c r="AY760" s="438">
        <v>12.772582999999999</v>
      </c>
      <c r="AZ760" s="374"/>
      <c r="BA760" s="374"/>
      <c r="BB760" s="374"/>
      <c r="BC760" s="374"/>
    </row>
    <row r="761" spans="1:55" s="116" customFormat="1">
      <c r="A761" s="179"/>
      <c r="B761" s="179"/>
      <c r="C761" s="179"/>
      <c r="D761" s="181"/>
      <c r="E761" s="181"/>
      <c r="F761" s="181"/>
      <c r="G761" s="1110"/>
      <c r="H761" s="138" t="s">
        <v>174</v>
      </c>
      <c r="I761" s="138"/>
      <c r="J761" s="319">
        <f>SUM(J762:J788)</f>
        <v>1258.0887754583036</v>
      </c>
      <c r="K761" s="288"/>
      <c r="L761" s="289"/>
      <c r="M761" s="319">
        <f>SUM(M762:M788)</f>
        <v>1140.6995326361969</v>
      </c>
      <c r="N761" s="288"/>
      <c r="O761" s="289"/>
      <c r="P761" s="319">
        <f>SUM(P762:P788)</f>
        <v>1236.8281113832766</v>
      </c>
      <c r="Q761" s="288"/>
      <c r="R761" s="289"/>
      <c r="S761" s="319">
        <f>SUM(S762:S788)</f>
        <v>1154.8498125023966</v>
      </c>
      <c r="T761" s="288"/>
      <c r="U761" s="289"/>
      <c r="V761" s="319">
        <f>SUM(V762:V788)</f>
        <v>1178.5146020469138</v>
      </c>
      <c r="W761" s="288"/>
      <c r="X761" s="289"/>
      <c r="Y761" s="319">
        <f>SUM(Y762:Y788)</f>
        <v>1091.9940921846417</v>
      </c>
      <c r="Z761" s="288"/>
      <c r="AA761" s="289"/>
      <c r="AB761" s="319">
        <f>SUM(AB762:AB788)</f>
        <v>1145.2265467025045</v>
      </c>
      <c r="AC761" s="288"/>
      <c r="AD761" s="289"/>
      <c r="AE761" s="319">
        <f>SUM(AE762:AE788)</f>
        <v>1167.5899727648675</v>
      </c>
      <c r="AF761" s="288"/>
      <c r="AG761" s="289"/>
      <c r="AH761" s="319">
        <f>SUM(AH762:AH788)</f>
        <v>1166.6893584045856</v>
      </c>
      <c r="AI761" s="288"/>
      <c r="AJ761" s="289"/>
      <c r="AK761" s="319">
        <f>SUM(AK762:AK788)</f>
        <v>1235.0143309344551</v>
      </c>
      <c r="AL761" s="288"/>
      <c r="AM761" s="289"/>
      <c r="AN761" s="319">
        <f>SUM(AN762:AN788)</f>
        <v>1234.1894801077572</v>
      </c>
      <c r="AO761" s="288"/>
      <c r="AP761" s="289"/>
      <c r="AQ761" s="319">
        <f>SUM(AQ762:AQ788)</f>
        <v>1270.1306969881102</v>
      </c>
      <c r="AR761" s="288"/>
      <c r="AS761" s="289"/>
      <c r="AT761" s="319">
        <f>SUM(AT762:AT788)</f>
        <v>14279.815312114011</v>
      </c>
      <c r="AU761" s="288"/>
      <c r="AV761" s="290"/>
      <c r="AW761" s="285"/>
      <c r="AX761" s="295"/>
      <c r="AY761" s="436">
        <v>12786.75297</v>
      </c>
      <c r="AZ761" s="374"/>
      <c r="BA761" s="374"/>
      <c r="BB761" s="374"/>
      <c r="BC761" s="374"/>
    </row>
    <row r="762" spans="1:55" s="116" customFormat="1">
      <c r="A762" s="179"/>
      <c r="B762" s="181"/>
      <c r="C762" s="179"/>
      <c r="D762" s="181">
        <v>684940</v>
      </c>
      <c r="E762" s="181"/>
      <c r="F762" s="181"/>
      <c r="G762" s="1110">
        <v>684940</v>
      </c>
      <c r="H762" s="145" t="s">
        <v>1397</v>
      </c>
      <c r="I762" s="518" t="s">
        <v>365</v>
      </c>
      <c r="J762" s="294">
        <v>20.795999999999999</v>
      </c>
      <c r="K762" s="288"/>
      <c r="L762" s="289"/>
      <c r="M762" s="293">
        <v>18.864999999999998</v>
      </c>
      <c r="N762" s="288"/>
      <c r="O762" s="289"/>
      <c r="P762" s="293">
        <v>19.416999999999998</v>
      </c>
      <c r="Q762" s="288"/>
      <c r="R762" s="289"/>
      <c r="S762" s="293">
        <v>17.516000000000002</v>
      </c>
      <c r="T762" s="288"/>
      <c r="U762" s="289"/>
      <c r="V762" s="293">
        <v>18.193999999999999</v>
      </c>
      <c r="W762" s="288"/>
      <c r="X762" s="289"/>
      <c r="Y762" s="293">
        <v>14.500500000000001</v>
      </c>
      <c r="Z762" s="288"/>
      <c r="AA762" s="289"/>
      <c r="AB762" s="293">
        <v>15.3545</v>
      </c>
      <c r="AC762" s="288"/>
      <c r="AD762" s="289"/>
      <c r="AE762" s="293">
        <v>12.893000000000001</v>
      </c>
      <c r="AF762" s="288"/>
      <c r="AG762" s="289"/>
      <c r="AH762" s="293">
        <v>16.193000000000001</v>
      </c>
      <c r="AI762" s="288"/>
      <c r="AJ762" s="289"/>
      <c r="AK762" s="293">
        <v>20.445</v>
      </c>
      <c r="AL762" s="288"/>
      <c r="AM762" s="289"/>
      <c r="AN762" s="293">
        <v>21.1905</v>
      </c>
      <c r="AO762" s="288"/>
      <c r="AP762" s="289"/>
      <c r="AQ762" s="293">
        <v>20.897000000000002</v>
      </c>
      <c r="AR762" s="288"/>
      <c r="AS762" s="289"/>
      <c r="AT762" s="294">
        <f t="shared" si="26"/>
        <v>216.26150000000001</v>
      </c>
      <c r="AU762" s="288"/>
      <c r="AV762" s="290"/>
      <c r="AW762" s="285"/>
      <c r="AX762" s="295"/>
      <c r="AY762" s="295"/>
      <c r="AZ762" s="374"/>
      <c r="BA762" s="374"/>
      <c r="BB762" s="374"/>
      <c r="BC762" s="374"/>
    </row>
    <row r="763" spans="1:55" s="116" customFormat="1">
      <c r="A763" s="179"/>
      <c r="B763" s="179"/>
      <c r="C763" s="179"/>
      <c r="D763" s="181">
        <v>684941</v>
      </c>
      <c r="E763" s="181"/>
      <c r="F763" s="181"/>
      <c r="G763" s="1110">
        <v>684941</v>
      </c>
      <c r="H763" s="145" t="s">
        <v>1684</v>
      </c>
      <c r="I763" s="518" t="s">
        <v>365</v>
      </c>
      <c r="J763" s="294">
        <v>1.7</v>
      </c>
      <c r="K763" s="288"/>
      <c r="L763" s="289"/>
      <c r="M763" s="293">
        <v>1.5</v>
      </c>
      <c r="N763" s="288"/>
      <c r="O763" s="289"/>
      <c r="P763" s="293">
        <v>1.5</v>
      </c>
      <c r="Q763" s="288"/>
      <c r="R763" s="289"/>
      <c r="S763" s="293">
        <v>1.6</v>
      </c>
      <c r="T763" s="288"/>
      <c r="U763" s="289"/>
      <c r="V763" s="293">
        <v>1.8</v>
      </c>
      <c r="W763" s="288"/>
      <c r="X763" s="289"/>
      <c r="Y763" s="293">
        <v>1.7</v>
      </c>
      <c r="Z763" s="288"/>
      <c r="AA763" s="289"/>
      <c r="AB763" s="293">
        <v>1.7</v>
      </c>
      <c r="AC763" s="288"/>
      <c r="AD763" s="289"/>
      <c r="AE763" s="293">
        <v>1.7</v>
      </c>
      <c r="AF763" s="288"/>
      <c r="AG763" s="289"/>
      <c r="AH763" s="293">
        <v>1.5</v>
      </c>
      <c r="AI763" s="288"/>
      <c r="AJ763" s="289"/>
      <c r="AK763" s="293">
        <v>1.5</v>
      </c>
      <c r="AL763" s="288"/>
      <c r="AM763" s="289"/>
      <c r="AN763" s="293">
        <v>1.5</v>
      </c>
      <c r="AO763" s="288"/>
      <c r="AP763" s="289"/>
      <c r="AQ763" s="293">
        <v>1.5</v>
      </c>
      <c r="AR763" s="288"/>
      <c r="AS763" s="289"/>
      <c r="AT763" s="294">
        <f t="shared" si="26"/>
        <v>19.2</v>
      </c>
      <c r="AU763" s="288"/>
      <c r="AV763" s="290"/>
      <c r="AW763" s="285"/>
      <c r="AX763" s="295"/>
      <c r="AY763" s="295"/>
      <c r="AZ763" s="374"/>
      <c r="BA763" s="374"/>
      <c r="BB763" s="374"/>
      <c r="BC763" s="374"/>
    </row>
    <row r="764" spans="1:55" s="117" customFormat="1">
      <c r="A764" s="179"/>
      <c r="B764" s="179"/>
      <c r="C764" s="179"/>
      <c r="D764" s="181"/>
      <c r="E764" s="181"/>
      <c r="F764" s="181"/>
      <c r="G764" s="1110">
        <v>630075</v>
      </c>
      <c r="H764" s="145" t="s">
        <v>1398</v>
      </c>
      <c r="I764" s="518" t="s">
        <v>365</v>
      </c>
      <c r="J764" s="294">
        <v>4.4640000000000004</v>
      </c>
      <c r="K764" s="288"/>
      <c r="L764" s="289"/>
      <c r="M764" s="293">
        <v>4.032</v>
      </c>
      <c r="N764" s="288"/>
      <c r="O764" s="289"/>
      <c r="P764" s="293">
        <v>4.4640000000000004</v>
      </c>
      <c r="Q764" s="288"/>
      <c r="R764" s="289"/>
      <c r="S764" s="293">
        <v>4.32</v>
      </c>
      <c r="T764" s="288"/>
      <c r="U764" s="289"/>
      <c r="V764" s="293">
        <v>4.4640000000000004</v>
      </c>
      <c r="W764" s="288"/>
      <c r="X764" s="289"/>
      <c r="Y764" s="293">
        <v>4.032</v>
      </c>
      <c r="Z764" s="288"/>
      <c r="AA764" s="289"/>
      <c r="AB764" s="293">
        <v>4.1663999999999994</v>
      </c>
      <c r="AC764" s="288"/>
      <c r="AD764" s="289"/>
      <c r="AE764" s="293">
        <v>4.1663999999999994</v>
      </c>
      <c r="AF764" s="288"/>
      <c r="AG764" s="289"/>
      <c r="AH764" s="293">
        <v>4.32</v>
      </c>
      <c r="AI764" s="288"/>
      <c r="AJ764" s="289"/>
      <c r="AK764" s="293">
        <v>4.4640000000000004</v>
      </c>
      <c r="AL764" s="288"/>
      <c r="AM764" s="289"/>
      <c r="AN764" s="293">
        <v>4.32</v>
      </c>
      <c r="AO764" s="288"/>
      <c r="AP764" s="289"/>
      <c r="AQ764" s="293">
        <v>4.4640000000000004</v>
      </c>
      <c r="AR764" s="288"/>
      <c r="AS764" s="289"/>
      <c r="AT764" s="294">
        <f t="shared" si="26"/>
        <v>51.6768</v>
      </c>
      <c r="AU764" s="288"/>
      <c r="AV764" s="290"/>
      <c r="AW764" s="285"/>
      <c r="AX764" s="295"/>
      <c r="AY764" s="292"/>
      <c r="AZ764" s="375"/>
      <c r="BA764" s="375"/>
      <c r="BB764" s="375"/>
      <c r="BC764" s="375"/>
    </row>
    <row r="765" spans="1:55" s="117" customFormat="1">
      <c r="A765" s="179"/>
      <c r="B765" s="179"/>
      <c r="C765" s="179"/>
      <c r="D765" s="181"/>
      <c r="E765" s="181"/>
      <c r="F765" s="181"/>
      <c r="G765" s="1110">
        <v>684977</v>
      </c>
      <c r="H765" s="145" t="s">
        <v>404</v>
      </c>
      <c r="I765" s="518" t="s">
        <v>365</v>
      </c>
      <c r="J765" s="294">
        <v>178.26966235013458</v>
      </c>
      <c r="K765" s="288"/>
      <c r="L765" s="289"/>
      <c r="M765" s="293">
        <v>160.17182715333348</v>
      </c>
      <c r="N765" s="288"/>
      <c r="O765" s="289"/>
      <c r="P765" s="293">
        <v>175.53140669097166</v>
      </c>
      <c r="Q765" s="288"/>
      <c r="R765" s="289"/>
      <c r="S765" s="293">
        <v>165.72395728001379</v>
      </c>
      <c r="T765" s="288"/>
      <c r="U765" s="289"/>
      <c r="V765" s="293">
        <v>163.55253254872824</v>
      </c>
      <c r="W765" s="288"/>
      <c r="X765" s="289"/>
      <c r="Y765" s="293">
        <v>151.58952602742463</v>
      </c>
      <c r="Z765" s="288"/>
      <c r="AA765" s="289"/>
      <c r="AB765" s="293">
        <v>131.22692229924149</v>
      </c>
      <c r="AC765" s="288"/>
      <c r="AD765" s="289"/>
      <c r="AE765" s="293">
        <v>166.45153237516516</v>
      </c>
      <c r="AF765" s="288"/>
      <c r="AG765" s="289"/>
      <c r="AH765" s="293">
        <v>161.76093605420635</v>
      </c>
      <c r="AI765" s="288"/>
      <c r="AJ765" s="289"/>
      <c r="AK765" s="293">
        <v>163.93300671825801</v>
      </c>
      <c r="AL765" s="288"/>
      <c r="AM765" s="289"/>
      <c r="AN765" s="293">
        <v>164.31548327849842</v>
      </c>
      <c r="AO765" s="288"/>
      <c r="AP765" s="289"/>
      <c r="AQ765" s="293">
        <v>172.36385998948575</v>
      </c>
      <c r="AR765" s="288"/>
      <c r="AS765" s="289"/>
      <c r="AT765" s="294">
        <f t="shared" si="26"/>
        <v>1954.8906527654615</v>
      </c>
      <c r="AU765" s="288"/>
      <c r="AV765" s="290"/>
      <c r="AW765" s="285"/>
      <c r="AX765" s="295"/>
      <c r="AY765" s="292"/>
      <c r="AZ765" s="375"/>
      <c r="BA765" s="375"/>
      <c r="BB765" s="375"/>
      <c r="BC765" s="375"/>
    </row>
    <row r="766" spans="1:55" s="117" customFormat="1">
      <c r="A766" s="179"/>
      <c r="B766" s="179"/>
      <c r="C766" s="179"/>
      <c r="D766" s="181"/>
      <c r="E766" s="181"/>
      <c r="F766" s="181"/>
      <c r="G766" s="1110">
        <v>684977</v>
      </c>
      <c r="H766" s="145" t="s">
        <v>405</v>
      </c>
      <c r="I766" s="518" t="s">
        <v>365</v>
      </c>
      <c r="J766" s="294">
        <v>15.609818598414019</v>
      </c>
      <c r="K766" s="288"/>
      <c r="L766" s="289"/>
      <c r="M766" s="293">
        <v>13.829071566224457</v>
      </c>
      <c r="N766" s="288"/>
      <c r="O766" s="289"/>
      <c r="P766" s="293">
        <v>14.712430861893386</v>
      </c>
      <c r="Q766" s="288"/>
      <c r="R766" s="289"/>
      <c r="S766" s="293">
        <v>13.947670730920748</v>
      </c>
      <c r="T766" s="288"/>
      <c r="U766" s="289"/>
      <c r="V766" s="293">
        <v>14.114323005450881</v>
      </c>
      <c r="W766" s="288"/>
      <c r="X766" s="289"/>
      <c r="Y766" s="293">
        <v>12.500965402944436</v>
      </c>
      <c r="Z766" s="288"/>
      <c r="AA766" s="289"/>
      <c r="AB766" s="293">
        <v>12.917084885973665</v>
      </c>
      <c r="AC766" s="288"/>
      <c r="AD766" s="289"/>
      <c r="AE766" s="293">
        <v>12.917084885973665</v>
      </c>
      <c r="AF766" s="288"/>
      <c r="AG766" s="289"/>
      <c r="AH766" s="293">
        <v>13.947670730920748</v>
      </c>
      <c r="AI766" s="288"/>
      <c r="AJ766" s="289"/>
      <c r="AK766" s="293">
        <v>14.712430861893386</v>
      </c>
      <c r="AL766" s="288"/>
      <c r="AM766" s="289"/>
      <c r="AN766" s="293">
        <v>14.816716334298746</v>
      </c>
      <c r="AO766" s="288"/>
      <c r="AP766" s="289"/>
      <c r="AQ766" s="293">
        <v>15.610103849853248</v>
      </c>
      <c r="AR766" s="288"/>
      <c r="AS766" s="289"/>
      <c r="AT766" s="294">
        <f t="shared" si="26"/>
        <v>169.63537171476139</v>
      </c>
      <c r="AU766" s="288"/>
      <c r="AV766" s="290"/>
      <c r="AW766" s="285"/>
      <c r="AX766" s="295"/>
      <c r="AY766" s="292"/>
      <c r="AZ766" s="375"/>
      <c r="BA766" s="375"/>
      <c r="BB766" s="375"/>
      <c r="BC766" s="375"/>
    </row>
    <row r="767" spans="1:55" s="117" customFormat="1">
      <c r="A767" s="179"/>
      <c r="B767" s="179"/>
      <c r="C767" s="179"/>
      <c r="D767" s="181"/>
      <c r="E767" s="181"/>
      <c r="F767" s="181"/>
      <c r="G767" s="1110">
        <v>684977</v>
      </c>
      <c r="H767" s="145" t="s">
        <v>1685</v>
      </c>
      <c r="I767" s="518" t="s">
        <v>365</v>
      </c>
      <c r="J767" s="294">
        <v>21.152639202023742</v>
      </c>
      <c r="K767" s="288"/>
      <c r="L767" s="289"/>
      <c r="M767" s="293">
        <v>19.068171398501619</v>
      </c>
      <c r="N767" s="288"/>
      <c r="O767" s="289"/>
      <c r="P767" s="293">
        <v>20.8408056429388</v>
      </c>
      <c r="Q767" s="288"/>
      <c r="R767" s="289"/>
      <c r="S767" s="293">
        <v>19.51371111910521</v>
      </c>
      <c r="T767" s="288"/>
      <c r="U767" s="289"/>
      <c r="V767" s="293">
        <v>20.592510965410586</v>
      </c>
      <c r="W767" s="288"/>
      <c r="X767" s="289"/>
      <c r="Y767" s="293">
        <v>19.918794193109782</v>
      </c>
      <c r="Z767" s="288"/>
      <c r="AA767" s="289"/>
      <c r="AB767" s="293">
        <v>20.494342506828307</v>
      </c>
      <c r="AC767" s="288"/>
      <c r="AD767" s="289"/>
      <c r="AE767" s="293">
        <v>20.605217596918106</v>
      </c>
      <c r="AF767" s="288"/>
      <c r="AG767" s="289"/>
      <c r="AH767" s="293">
        <v>20.233703318237747</v>
      </c>
      <c r="AI767" s="288"/>
      <c r="AJ767" s="289"/>
      <c r="AK767" s="293">
        <v>20.246324416047056</v>
      </c>
      <c r="AL767" s="288"/>
      <c r="AM767" s="289"/>
      <c r="AN767" s="293">
        <v>20.359318935151528</v>
      </c>
      <c r="AO767" s="288"/>
      <c r="AP767" s="289"/>
      <c r="AQ767" s="293">
        <v>21.191469006319181</v>
      </c>
      <c r="AR767" s="288"/>
      <c r="AS767" s="289"/>
      <c r="AT767" s="294">
        <f t="shared" si="26"/>
        <v>244.21700830059166</v>
      </c>
      <c r="AU767" s="288"/>
      <c r="AV767" s="290"/>
      <c r="AW767" s="285"/>
      <c r="AX767" s="295"/>
      <c r="AY767" s="292"/>
      <c r="AZ767" s="375"/>
      <c r="BA767" s="375"/>
      <c r="BB767" s="375"/>
      <c r="BC767" s="375"/>
    </row>
    <row r="768" spans="1:55" s="117" customFormat="1">
      <c r="A768" s="179"/>
      <c r="B768" s="179"/>
      <c r="C768" s="179"/>
      <c r="D768" s="181"/>
      <c r="E768" s="181"/>
      <c r="F768" s="181"/>
      <c r="G768" s="1110">
        <v>630078</v>
      </c>
      <c r="H768" s="145" t="s">
        <v>406</v>
      </c>
      <c r="I768" s="518" t="s">
        <v>365</v>
      </c>
      <c r="J768" s="294">
        <v>3.42</v>
      </c>
      <c r="K768" s="288"/>
      <c r="L768" s="289"/>
      <c r="M768" s="293">
        <v>3.1280000000000001</v>
      </c>
      <c r="N768" s="288"/>
      <c r="O768" s="289"/>
      <c r="P768" s="293">
        <v>3.3410000000000002</v>
      </c>
      <c r="Q768" s="288"/>
      <c r="R768" s="289"/>
      <c r="S768" s="293">
        <v>3.0409999999999999</v>
      </c>
      <c r="T768" s="288"/>
      <c r="U768" s="289"/>
      <c r="V768" s="293">
        <v>2.6</v>
      </c>
      <c r="W768" s="288"/>
      <c r="X768" s="289"/>
      <c r="Y768" s="293">
        <v>1.95</v>
      </c>
      <c r="Z768" s="288"/>
      <c r="AA768" s="289"/>
      <c r="AB768" s="293">
        <v>1.75</v>
      </c>
      <c r="AC768" s="288"/>
      <c r="AD768" s="289"/>
      <c r="AE768" s="293">
        <v>1.85</v>
      </c>
      <c r="AF768" s="288"/>
      <c r="AG768" s="289"/>
      <c r="AH768" s="293">
        <v>1.95</v>
      </c>
      <c r="AI768" s="288"/>
      <c r="AJ768" s="289"/>
      <c r="AK768" s="293">
        <v>2.6</v>
      </c>
      <c r="AL768" s="288"/>
      <c r="AM768" s="289"/>
      <c r="AN768" s="293">
        <v>3.25</v>
      </c>
      <c r="AO768" s="288"/>
      <c r="AP768" s="289"/>
      <c r="AQ768" s="293">
        <v>3.7</v>
      </c>
      <c r="AR768" s="288"/>
      <c r="AS768" s="289"/>
      <c r="AT768" s="294">
        <f t="shared" si="26"/>
        <v>32.580000000000005</v>
      </c>
      <c r="AU768" s="288"/>
      <c r="AV768" s="290"/>
      <c r="AW768" s="285"/>
      <c r="AX768" s="295"/>
      <c r="AY768" s="292"/>
      <c r="AZ768" s="375"/>
      <c r="BA768" s="375"/>
      <c r="BB768" s="375"/>
      <c r="BC768" s="375"/>
    </row>
    <row r="769" spans="1:55" s="117" customFormat="1">
      <c r="A769" s="179"/>
      <c r="B769" s="179"/>
      <c r="C769" s="179"/>
      <c r="D769" s="181"/>
      <c r="E769" s="181"/>
      <c r="F769" s="181"/>
      <c r="G769" s="1110">
        <v>630082</v>
      </c>
      <c r="H769" s="145" t="s">
        <v>407</v>
      </c>
      <c r="I769" s="518" t="s">
        <v>365</v>
      </c>
      <c r="J769" s="294">
        <v>43.175040000000003</v>
      </c>
      <c r="K769" s="288"/>
      <c r="L769" s="289"/>
      <c r="M769" s="293">
        <v>44.237760000000002</v>
      </c>
      <c r="N769" s="288"/>
      <c r="O769" s="289"/>
      <c r="P769" s="293">
        <v>42.900479999999995</v>
      </c>
      <c r="Q769" s="288"/>
      <c r="R769" s="289"/>
      <c r="S769" s="293">
        <v>41.593199999999996</v>
      </c>
      <c r="T769" s="288"/>
      <c r="U769" s="289"/>
      <c r="V769" s="293">
        <v>43.0032</v>
      </c>
      <c r="W769" s="288"/>
      <c r="X769" s="289"/>
      <c r="Y769" s="293">
        <v>38.880000000000003</v>
      </c>
      <c r="Z769" s="288"/>
      <c r="AA769" s="289"/>
      <c r="AB769" s="293">
        <v>40.533119999999997</v>
      </c>
      <c r="AC769" s="288"/>
      <c r="AD769" s="289"/>
      <c r="AE769" s="293">
        <v>42.080640000000002</v>
      </c>
      <c r="AF769" s="288"/>
      <c r="AG769" s="289"/>
      <c r="AH769" s="293">
        <v>38.439360000000001</v>
      </c>
      <c r="AI769" s="288"/>
      <c r="AJ769" s="289"/>
      <c r="AK769" s="293">
        <v>40.924080000000004</v>
      </c>
      <c r="AL769" s="288"/>
      <c r="AM769" s="289"/>
      <c r="AN769" s="293">
        <v>45.244800000000005</v>
      </c>
      <c r="AO769" s="288"/>
      <c r="AP769" s="289"/>
      <c r="AQ769" s="293">
        <v>46.901760000000003</v>
      </c>
      <c r="AR769" s="288"/>
      <c r="AS769" s="289"/>
      <c r="AT769" s="294">
        <f t="shared" si="26"/>
        <v>507.91344000000004</v>
      </c>
      <c r="AU769" s="288"/>
      <c r="AV769" s="290"/>
      <c r="AW769" s="285"/>
      <c r="AX769" s="295"/>
      <c r="AY769" s="292"/>
      <c r="AZ769" s="375"/>
      <c r="BA769" s="375"/>
      <c r="BB769" s="375"/>
      <c r="BC769" s="375"/>
    </row>
    <row r="770" spans="1:55" s="117" customFormat="1">
      <c r="A770" s="179"/>
      <c r="B770" s="179"/>
      <c r="C770" s="179"/>
      <c r="D770" s="181"/>
      <c r="E770" s="181"/>
      <c r="F770" s="181"/>
      <c r="G770" s="1121">
        <v>630031</v>
      </c>
      <c r="H770" s="145" t="s">
        <v>408</v>
      </c>
      <c r="I770" s="518" t="s">
        <v>365</v>
      </c>
      <c r="J770" s="294">
        <v>218.16</v>
      </c>
      <c r="K770" s="288"/>
      <c r="L770" s="289"/>
      <c r="M770" s="293">
        <v>187.92</v>
      </c>
      <c r="N770" s="288"/>
      <c r="O770" s="289"/>
      <c r="P770" s="293">
        <v>200.88</v>
      </c>
      <c r="Q770" s="288"/>
      <c r="R770" s="289"/>
      <c r="S770" s="293">
        <v>185.76</v>
      </c>
      <c r="T770" s="288"/>
      <c r="U770" s="289"/>
      <c r="V770" s="293">
        <v>188.49600000000001</v>
      </c>
      <c r="W770" s="288"/>
      <c r="X770" s="289"/>
      <c r="Y770" s="293">
        <v>181.44</v>
      </c>
      <c r="Z770" s="288"/>
      <c r="AA770" s="289"/>
      <c r="AB770" s="293">
        <v>202.56</v>
      </c>
      <c r="AC770" s="288"/>
      <c r="AD770" s="289"/>
      <c r="AE770" s="293">
        <v>186.96</v>
      </c>
      <c r="AF770" s="288"/>
      <c r="AG770" s="289"/>
      <c r="AH770" s="293">
        <v>188.49600000000001</v>
      </c>
      <c r="AI770" s="288"/>
      <c r="AJ770" s="289"/>
      <c r="AK770" s="293">
        <v>210.14400000000001</v>
      </c>
      <c r="AL770" s="288"/>
      <c r="AM770" s="289"/>
      <c r="AN770" s="293">
        <v>220.32</v>
      </c>
      <c r="AO770" s="288"/>
      <c r="AP770" s="289"/>
      <c r="AQ770" s="293">
        <v>218.16</v>
      </c>
      <c r="AR770" s="288"/>
      <c r="AS770" s="289"/>
      <c r="AT770" s="294">
        <f t="shared" si="26"/>
        <v>2389.2959999999998</v>
      </c>
      <c r="AU770" s="288"/>
      <c r="AV770" s="290"/>
      <c r="AW770" s="285"/>
      <c r="AX770" s="295"/>
      <c r="AY770" s="292"/>
      <c r="AZ770" s="375"/>
      <c r="BA770" s="375"/>
      <c r="BB770" s="375"/>
      <c r="BC770" s="375"/>
    </row>
    <row r="771" spans="1:55" s="117" customFormat="1">
      <c r="A771" s="179"/>
      <c r="B771" s="179"/>
      <c r="C771" s="179"/>
      <c r="D771" s="181"/>
      <c r="E771" s="181"/>
      <c r="F771" s="181"/>
      <c r="G771" s="1121">
        <v>630032</v>
      </c>
      <c r="H771" s="145" t="s">
        <v>409</v>
      </c>
      <c r="I771" s="518" t="s">
        <v>365</v>
      </c>
      <c r="J771" s="294">
        <v>16.279199999999999</v>
      </c>
      <c r="K771" s="288"/>
      <c r="L771" s="289"/>
      <c r="M771" s="293">
        <v>15.5952</v>
      </c>
      <c r="N771" s="288"/>
      <c r="O771" s="289"/>
      <c r="P771" s="293">
        <v>16.250399999999999</v>
      </c>
      <c r="Q771" s="288"/>
      <c r="R771" s="289"/>
      <c r="S771" s="293">
        <v>13.986000000000001</v>
      </c>
      <c r="T771" s="288"/>
      <c r="U771" s="289"/>
      <c r="V771" s="293">
        <v>13.341599999999998</v>
      </c>
      <c r="W771" s="288"/>
      <c r="X771" s="289"/>
      <c r="Y771" s="293">
        <v>6.9119999999999999</v>
      </c>
      <c r="Z771" s="288"/>
      <c r="AA771" s="289"/>
      <c r="AB771" s="293">
        <v>14.054399999999999</v>
      </c>
      <c r="AC771" s="288"/>
      <c r="AD771" s="289"/>
      <c r="AE771" s="293">
        <v>14.054399999999999</v>
      </c>
      <c r="AF771" s="288"/>
      <c r="AG771" s="289"/>
      <c r="AH771" s="293">
        <v>12.851999999999999</v>
      </c>
      <c r="AI771" s="288"/>
      <c r="AJ771" s="289"/>
      <c r="AK771" s="293">
        <v>14.518800000000001</v>
      </c>
      <c r="AL771" s="288"/>
      <c r="AM771" s="289"/>
      <c r="AN771" s="293">
        <v>15.717600000000001</v>
      </c>
      <c r="AO771" s="288"/>
      <c r="AP771" s="289"/>
      <c r="AQ771" s="293">
        <v>16.689599999999999</v>
      </c>
      <c r="AR771" s="288"/>
      <c r="AS771" s="289"/>
      <c r="AT771" s="294">
        <f t="shared" si="26"/>
        <v>170.25120000000004</v>
      </c>
      <c r="AU771" s="288"/>
      <c r="AV771" s="290"/>
      <c r="AW771" s="285"/>
      <c r="AX771" s="295"/>
      <c r="AY771" s="292"/>
      <c r="AZ771" s="375"/>
      <c r="BA771" s="375"/>
      <c r="BB771" s="375"/>
      <c r="BC771" s="375"/>
    </row>
    <row r="772" spans="1:55" s="117" customFormat="1">
      <c r="A772" s="179"/>
      <c r="B772" s="179"/>
      <c r="C772" s="179"/>
      <c r="D772" s="181">
        <v>630033</v>
      </c>
      <c r="E772" s="181"/>
      <c r="F772" s="181"/>
      <c r="G772" s="1110">
        <v>630033</v>
      </c>
      <c r="H772" s="145" t="s">
        <v>410</v>
      </c>
      <c r="I772" s="518" t="s">
        <v>365</v>
      </c>
      <c r="J772" s="294">
        <v>62.082789152387711</v>
      </c>
      <c r="K772" s="288"/>
      <c r="L772" s="289"/>
      <c r="M772" s="293">
        <v>61.656390794110486</v>
      </c>
      <c r="N772" s="288"/>
      <c r="O772" s="289"/>
      <c r="P772" s="293">
        <v>64.257488346627767</v>
      </c>
      <c r="Q772" s="288"/>
      <c r="R772" s="289"/>
      <c r="S772" s="293">
        <v>60.283390500769194</v>
      </c>
      <c r="T772" s="288"/>
      <c r="U772" s="289"/>
      <c r="V772" s="293">
        <v>67.860944749281217</v>
      </c>
      <c r="W772" s="288"/>
      <c r="X772" s="289"/>
      <c r="Y772" s="293">
        <v>53.142587492484324</v>
      </c>
      <c r="Z772" s="288"/>
      <c r="AA772" s="289"/>
      <c r="AB772" s="293">
        <v>62.760913004739621</v>
      </c>
      <c r="AC772" s="288"/>
      <c r="AD772" s="289"/>
      <c r="AE772" s="293">
        <v>60.528366351468549</v>
      </c>
      <c r="AF772" s="288"/>
      <c r="AG772" s="289"/>
      <c r="AH772" s="293">
        <v>64.247102185396272</v>
      </c>
      <c r="AI772" s="288"/>
      <c r="AJ772" s="289"/>
      <c r="AK772" s="293">
        <v>64.650155631900745</v>
      </c>
      <c r="AL772" s="288"/>
      <c r="AM772" s="289"/>
      <c r="AN772" s="293">
        <v>63.548568048826084</v>
      </c>
      <c r="AO772" s="288"/>
      <c r="AP772" s="289"/>
      <c r="AQ772" s="293">
        <v>65.157800817987933</v>
      </c>
      <c r="AR772" s="288"/>
      <c r="AS772" s="289"/>
      <c r="AT772" s="294">
        <f t="shared" si="26"/>
        <v>750.1764970759798</v>
      </c>
      <c r="AU772" s="288"/>
      <c r="AV772" s="290"/>
      <c r="AW772" s="285"/>
      <c r="AX772" s="295"/>
      <c r="AY772" s="292"/>
      <c r="AZ772" s="375"/>
      <c r="BA772" s="375"/>
      <c r="BB772" s="375"/>
      <c r="BC772" s="375"/>
    </row>
    <row r="773" spans="1:55" s="117" customFormat="1">
      <c r="A773" s="179"/>
      <c r="B773" s="179"/>
      <c r="C773" s="179"/>
      <c r="D773" s="181"/>
      <c r="E773" s="181"/>
      <c r="F773" s="181"/>
      <c r="G773" s="1110">
        <v>630068</v>
      </c>
      <c r="H773" s="145" t="s">
        <v>411</v>
      </c>
      <c r="I773" s="518" t="s">
        <v>365</v>
      </c>
      <c r="J773" s="294">
        <v>5.9051808868673676</v>
      </c>
      <c r="K773" s="288"/>
      <c r="L773" s="289"/>
      <c r="M773" s="293">
        <v>5.2810775741519631</v>
      </c>
      <c r="N773" s="288"/>
      <c r="O773" s="289"/>
      <c r="P773" s="293">
        <v>5.9235079465613856</v>
      </c>
      <c r="Q773" s="288"/>
      <c r="R773" s="289"/>
      <c r="S773" s="293">
        <v>5.7249124430162954</v>
      </c>
      <c r="T773" s="288"/>
      <c r="U773" s="289"/>
      <c r="V773" s="293">
        <v>5.909665549471633</v>
      </c>
      <c r="W773" s="288"/>
      <c r="X773" s="289"/>
      <c r="Y773" s="293">
        <v>5.5573420686784525</v>
      </c>
      <c r="Z773" s="288"/>
      <c r="AA773" s="289"/>
      <c r="AB773" s="293">
        <v>5.5776512914361751</v>
      </c>
      <c r="AC773" s="288"/>
      <c r="AD773" s="289"/>
      <c r="AE773" s="293">
        <v>5.7284915553424369</v>
      </c>
      <c r="AF773" s="288"/>
      <c r="AG773" s="289"/>
      <c r="AH773" s="293">
        <v>5.6762583158240396</v>
      </c>
      <c r="AI773" s="288"/>
      <c r="AJ773" s="289"/>
      <c r="AK773" s="293">
        <v>5.9441125103365771</v>
      </c>
      <c r="AL773" s="288"/>
      <c r="AM773" s="289"/>
      <c r="AN773" s="293">
        <v>5.673211393613415</v>
      </c>
      <c r="AO773" s="288"/>
      <c r="AP773" s="289"/>
      <c r="AQ773" s="293">
        <v>5.8476683681484092</v>
      </c>
      <c r="AR773" s="288"/>
      <c r="AS773" s="289"/>
      <c r="AT773" s="294">
        <f t="shared" si="26"/>
        <v>68.749079903448148</v>
      </c>
      <c r="AU773" s="288"/>
      <c r="AV773" s="290"/>
      <c r="AW773" s="285"/>
      <c r="AX773" s="295"/>
      <c r="AY773" s="292"/>
      <c r="AZ773" s="375"/>
      <c r="BA773" s="375"/>
      <c r="BB773" s="375"/>
      <c r="BC773" s="375"/>
    </row>
    <row r="774" spans="1:55" s="117" customFormat="1">
      <c r="A774" s="179"/>
      <c r="B774" s="179"/>
      <c r="C774" s="179"/>
      <c r="D774" s="181">
        <v>366</v>
      </c>
      <c r="E774" s="181"/>
      <c r="F774" s="181"/>
      <c r="G774" s="1110">
        <v>684977</v>
      </c>
      <c r="H774" s="145" t="s">
        <v>1686</v>
      </c>
      <c r="I774" s="518" t="s">
        <v>365</v>
      </c>
      <c r="J774" s="294">
        <v>463.76598299999995</v>
      </c>
      <c r="K774" s="288"/>
      <c r="L774" s="289"/>
      <c r="M774" s="293">
        <v>419.33772799999997</v>
      </c>
      <c r="N774" s="288"/>
      <c r="O774" s="289"/>
      <c r="P774" s="293">
        <v>465.6501389999998</v>
      </c>
      <c r="Q774" s="288"/>
      <c r="R774" s="289"/>
      <c r="S774" s="293">
        <v>433.67325899999997</v>
      </c>
      <c r="T774" s="288"/>
      <c r="U774" s="289"/>
      <c r="V774" s="293">
        <v>437.82062900000005</v>
      </c>
      <c r="W774" s="288"/>
      <c r="X774" s="289"/>
      <c r="Y774" s="293">
        <v>411.29787700000003</v>
      </c>
      <c r="Z774" s="288"/>
      <c r="AA774" s="289"/>
      <c r="AB774" s="293">
        <v>438.64960300000007</v>
      </c>
      <c r="AC774" s="288"/>
      <c r="AD774" s="289"/>
      <c r="AE774" s="293">
        <v>442.40509600000007</v>
      </c>
      <c r="AF774" s="288"/>
      <c r="AG774" s="289"/>
      <c r="AH774" s="293">
        <v>443.69982900000002</v>
      </c>
      <c r="AI774" s="288"/>
      <c r="AJ774" s="289"/>
      <c r="AK774" s="293">
        <v>464.42826500000001</v>
      </c>
      <c r="AL774" s="288"/>
      <c r="AM774" s="289"/>
      <c r="AN774" s="293">
        <v>451.85113500000011</v>
      </c>
      <c r="AO774" s="288"/>
      <c r="AP774" s="289"/>
      <c r="AQ774" s="293">
        <v>469.18910599999998</v>
      </c>
      <c r="AR774" s="288"/>
      <c r="AS774" s="289"/>
      <c r="AT774" s="294">
        <f t="shared" si="26"/>
        <v>5341.7686489999996</v>
      </c>
      <c r="AU774" s="288"/>
      <c r="AV774" s="290"/>
      <c r="AW774" s="285"/>
      <c r="AX774" s="295"/>
      <c r="AY774" s="295"/>
      <c r="AZ774" s="375"/>
      <c r="BA774" s="375"/>
      <c r="BB774" s="375"/>
      <c r="BC774" s="375"/>
    </row>
    <row r="775" spans="1:55" s="117" customFormat="1">
      <c r="A775" s="179"/>
      <c r="B775" s="179"/>
      <c r="C775" s="179"/>
      <c r="D775" s="181"/>
      <c r="E775" s="181"/>
      <c r="F775" s="181"/>
      <c r="G775" s="1110">
        <v>630085</v>
      </c>
      <c r="H775" s="145" t="s">
        <v>412</v>
      </c>
      <c r="I775" s="518" t="s">
        <v>365</v>
      </c>
      <c r="J775" s="294">
        <v>40.83</v>
      </c>
      <c r="K775" s="288"/>
      <c r="L775" s="289"/>
      <c r="M775" s="293">
        <v>37.872999999999998</v>
      </c>
      <c r="N775" s="288"/>
      <c r="O775" s="289"/>
      <c r="P775" s="293">
        <v>40.664000000000001</v>
      </c>
      <c r="Q775" s="288"/>
      <c r="R775" s="289"/>
      <c r="S775" s="293">
        <v>40.192999999999998</v>
      </c>
      <c r="T775" s="288"/>
      <c r="U775" s="289"/>
      <c r="V775" s="293">
        <v>44.448399999999992</v>
      </c>
      <c r="W775" s="288"/>
      <c r="X775" s="289"/>
      <c r="Y775" s="293">
        <v>44.078000000000003</v>
      </c>
      <c r="Z775" s="288"/>
      <c r="AA775" s="289"/>
      <c r="AB775" s="293">
        <v>45.817</v>
      </c>
      <c r="AC775" s="288"/>
      <c r="AD775" s="289"/>
      <c r="AE775" s="293">
        <v>44.620080000000002</v>
      </c>
      <c r="AF775" s="288"/>
      <c r="AG775" s="289"/>
      <c r="AH775" s="293">
        <v>43.137</v>
      </c>
      <c r="AI775" s="288"/>
      <c r="AJ775" s="289"/>
      <c r="AK775" s="293">
        <v>46.269800000000004</v>
      </c>
      <c r="AL775" s="288"/>
      <c r="AM775" s="289"/>
      <c r="AN775" s="293">
        <v>44.012</v>
      </c>
      <c r="AO775" s="288"/>
      <c r="AP775" s="289"/>
      <c r="AQ775" s="293">
        <v>44.8245</v>
      </c>
      <c r="AR775" s="288"/>
      <c r="AS775" s="289"/>
      <c r="AT775" s="294">
        <f t="shared" si="26"/>
        <v>516.76677999999993</v>
      </c>
      <c r="AU775" s="288"/>
      <c r="AV775" s="290"/>
      <c r="AW775" s="285"/>
      <c r="AX775" s="295"/>
      <c r="AY775" s="295"/>
      <c r="AZ775" s="375"/>
      <c r="BA775" s="375"/>
      <c r="BB775" s="375"/>
      <c r="BC775" s="375"/>
    </row>
    <row r="776" spans="1:55" s="117" customFormat="1">
      <c r="A776" s="179"/>
      <c r="B776" s="179"/>
      <c r="C776" s="179"/>
      <c r="D776" s="181"/>
      <c r="E776" s="181"/>
      <c r="F776" s="181"/>
      <c r="G776" s="1110">
        <v>630086</v>
      </c>
      <c r="H776" s="145" t="s">
        <v>413</v>
      </c>
      <c r="I776" s="518" t="s">
        <v>365</v>
      </c>
      <c r="J776" s="294">
        <v>4.1660000000000004</v>
      </c>
      <c r="K776" s="288"/>
      <c r="L776" s="289"/>
      <c r="M776" s="293">
        <v>3.3650000000000002</v>
      </c>
      <c r="N776" s="288"/>
      <c r="O776" s="289"/>
      <c r="P776" s="293">
        <v>3.5760000000000001</v>
      </c>
      <c r="Q776" s="288"/>
      <c r="R776" s="289"/>
      <c r="S776" s="293">
        <v>3.1920000000000002</v>
      </c>
      <c r="T776" s="288"/>
      <c r="U776" s="289"/>
      <c r="V776" s="293">
        <v>3.3479999999999999</v>
      </c>
      <c r="W776" s="288"/>
      <c r="X776" s="289"/>
      <c r="Y776" s="293">
        <v>2.7650000000000001</v>
      </c>
      <c r="Z776" s="288"/>
      <c r="AA776" s="289"/>
      <c r="AB776" s="293">
        <v>2.7839999999999998</v>
      </c>
      <c r="AC776" s="288"/>
      <c r="AD776" s="289"/>
      <c r="AE776" s="293">
        <v>2.88</v>
      </c>
      <c r="AF776" s="288"/>
      <c r="AG776" s="289"/>
      <c r="AH776" s="293">
        <v>3.24</v>
      </c>
      <c r="AI776" s="288"/>
      <c r="AJ776" s="289"/>
      <c r="AK776" s="293">
        <v>3.48</v>
      </c>
      <c r="AL776" s="288"/>
      <c r="AM776" s="289"/>
      <c r="AN776" s="293">
        <v>3.3359999999999999</v>
      </c>
      <c r="AO776" s="288"/>
      <c r="AP776" s="289"/>
      <c r="AQ776" s="293">
        <v>4.1660000000000004</v>
      </c>
      <c r="AR776" s="288"/>
      <c r="AS776" s="289"/>
      <c r="AT776" s="294">
        <f t="shared" si="26"/>
        <v>40.298000000000002</v>
      </c>
      <c r="AU776" s="288"/>
      <c r="AV776" s="290"/>
      <c r="AW776" s="285"/>
      <c r="AX776" s="295"/>
      <c r="AY776" s="313"/>
      <c r="AZ776" s="375"/>
      <c r="BA776" s="375"/>
      <c r="BB776" s="375"/>
      <c r="BC776" s="375"/>
    </row>
    <row r="777" spans="1:55" s="117" customFormat="1">
      <c r="A777" s="179"/>
      <c r="B777" s="179"/>
      <c r="C777" s="179"/>
      <c r="D777" s="181"/>
      <c r="E777" s="181"/>
      <c r="F777" s="181"/>
      <c r="G777" s="1110">
        <v>684977</v>
      </c>
      <c r="H777" s="145" t="s">
        <v>1399</v>
      </c>
      <c r="I777" s="518" t="s">
        <v>365</v>
      </c>
      <c r="J777" s="294">
        <v>21.337765714285716</v>
      </c>
      <c r="K777" s="288"/>
      <c r="L777" s="289"/>
      <c r="M777" s="293">
        <v>20.536294544031303</v>
      </c>
      <c r="N777" s="288"/>
      <c r="O777" s="289"/>
      <c r="P777" s="293">
        <v>21.962880000000002</v>
      </c>
      <c r="Q777" s="288"/>
      <c r="R777" s="289"/>
      <c r="S777" s="293">
        <v>19.060971428571431</v>
      </c>
      <c r="T777" s="288"/>
      <c r="U777" s="289"/>
      <c r="V777" s="293">
        <v>20.263571428571428</v>
      </c>
      <c r="W777" s="288"/>
      <c r="X777" s="289"/>
      <c r="Y777" s="293">
        <v>18.338399999999996</v>
      </c>
      <c r="Z777" s="288"/>
      <c r="AA777" s="289"/>
      <c r="AB777" s="293">
        <v>16.476845714285716</v>
      </c>
      <c r="AC777" s="288"/>
      <c r="AD777" s="289"/>
      <c r="AE777" s="293">
        <v>19.693679999999997</v>
      </c>
      <c r="AF777" s="288"/>
      <c r="AG777" s="289"/>
      <c r="AH777" s="293">
        <v>18.849599999999999</v>
      </c>
      <c r="AI777" s="288"/>
      <c r="AJ777" s="289"/>
      <c r="AK777" s="293">
        <v>19.656857142857138</v>
      </c>
      <c r="AL777" s="288"/>
      <c r="AM777" s="289"/>
      <c r="AN777" s="293">
        <v>21.527999999999999</v>
      </c>
      <c r="AO777" s="288"/>
      <c r="AP777" s="289"/>
      <c r="AQ777" s="293">
        <v>22.781280000000002</v>
      </c>
      <c r="AR777" s="288"/>
      <c r="AS777" s="289"/>
      <c r="AT777" s="294">
        <f t="shared" si="26"/>
        <v>240.48614597260274</v>
      </c>
      <c r="AU777" s="288"/>
      <c r="AV777" s="290"/>
      <c r="AW777" s="285"/>
      <c r="AX777" s="295"/>
      <c r="AY777" s="313"/>
      <c r="AZ777" s="375"/>
      <c r="BA777" s="375"/>
      <c r="BB777" s="375"/>
      <c r="BC777" s="375"/>
    </row>
    <row r="778" spans="1:55" s="117" customFormat="1">
      <c r="A778" s="179"/>
      <c r="B778" s="179"/>
      <c r="C778" s="179"/>
      <c r="D778" s="181"/>
      <c r="E778" s="181"/>
      <c r="F778" s="181"/>
      <c r="G778" s="1110">
        <v>684977</v>
      </c>
      <c r="H778" s="145" t="s">
        <v>864</v>
      </c>
      <c r="I778" s="518" t="s">
        <v>365</v>
      </c>
      <c r="J778" s="294">
        <v>0.32086999999999999</v>
      </c>
      <c r="K778" s="288"/>
      <c r="L778" s="289"/>
      <c r="M778" s="293">
        <v>0.70283000000000007</v>
      </c>
      <c r="N778" s="288"/>
      <c r="O778" s="289"/>
      <c r="P778" s="293">
        <v>0.56544000000000005</v>
      </c>
      <c r="Q778" s="288"/>
      <c r="R778" s="289"/>
      <c r="S778" s="293">
        <v>0.89091999999999993</v>
      </c>
      <c r="T778" s="288"/>
      <c r="U778" s="289"/>
      <c r="V778" s="293">
        <v>1.2367699999999999</v>
      </c>
      <c r="W778" s="288"/>
      <c r="X778" s="289"/>
      <c r="Y778" s="293">
        <v>1.7015799999999999</v>
      </c>
      <c r="Z778" s="288"/>
      <c r="AA778" s="289"/>
      <c r="AB778" s="293">
        <v>1.8628499999999999</v>
      </c>
      <c r="AC778" s="288"/>
      <c r="AD778" s="289"/>
      <c r="AE778" s="293">
        <v>1.88161</v>
      </c>
      <c r="AF778" s="288"/>
      <c r="AG778" s="289"/>
      <c r="AH778" s="293">
        <v>1.4312499999999999</v>
      </c>
      <c r="AI778" s="288"/>
      <c r="AJ778" s="289"/>
      <c r="AK778" s="293">
        <v>1.04471</v>
      </c>
      <c r="AL778" s="288"/>
      <c r="AM778" s="289"/>
      <c r="AN778" s="293">
        <v>0.64739999999999998</v>
      </c>
      <c r="AO778" s="288"/>
      <c r="AP778" s="289"/>
      <c r="AQ778" s="293">
        <v>0.36499999999999999</v>
      </c>
      <c r="AR778" s="288"/>
      <c r="AS778" s="289"/>
      <c r="AT778" s="294">
        <f t="shared" si="26"/>
        <v>12.65123</v>
      </c>
      <c r="AU778" s="288"/>
      <c r="AV778" s="290"/>
      <c r="AW778" s="285"/>
      <c r="AX778" s="295"/>
      <c r="AY778" s="313"/>
      <c r="AZ778" s="375"/>
      <c r="BA778" s="375"/>
      <c r="BB778" s="375"/>
      <c r="BC778" s="375"/>
    </row>
    <row r="779" spans="1:55" s="117" customFormat="1">
      <c r="A779" s="179"/>
      <c r="B779" s="179"/>
      <c r="C779" s="179"/>
      <c r="D779" s="181"/>
      <c r="E779" s="181"/>
      <c r="F779" s="181"/>
      <c r="G779" s="1110">
        <v>777301</v>
      </c>
      <c r="H779" s="145" t="s">
        <v>1133</v>
      </c>
      <c r="I779" s="518" t="s">
        <v>365</v>
      </c>
      <c r="J779" s="294">
        <v>3.5712000000000002</v>
      </c>
      <c r="K779" s="288"/>
      <c r="L779" s="289"/>
      <c r="M779" s="293">
        <v>3.3256000000000001</v>
      </c>
      <c r="N779" s="288"/>
      <c r="O779" s="289"/>
      <c r="P779" s="293">
        <v>3.4712000000000001</v>
      </c>
      <c r="Q779" s="288"/>
      <c r="R779" s="289"/>
      <c r="S779" s="293">
        <v>3.456</v>
      </c>
      <c r="T779" s="288"/>
      <c r="U779" s="289"/>
      <c r="V779" s="293">
        <v>3.2824</v>
      </c>
      <c r="W779" s="288"/>
      <c r="X779" s="289"/>
      <c r="Y779" s="293">
        <v>2.456</v>
      </c>
      <c r="Z779" s="288"/>
      <c r="AA779" s="289"/>
      <c r="AB779" s="293">
        <v>3.4712000000000001</v>
      </c>
      <c r="AC779" s="288"/>
      <c r="AD779" s="289"/>
      <c r="AE779" s="293">
        <v>3.4712000000000001</v>
      </c>
      <c r="AF779" s="288"/>
      <c r="AG779" s="289"/>
      <c r="AH779" s="293">
        <v>3.3559999999999999</v>
      </c>
      <c r="AI779" s="288"/>
      <c r="AJ779" s="289"/>
      <c r="AK779" s="293">
        <v>3.4712000000000001</v>
      </c>
      <c r="AL779" s="288"/>
      <c r="AM779" s="289"/>
      <c r="AN779" s="293">
        <v>3.3559999999999999</v>
      </c>
      <c r="AO779" s="288"/>
      <c r="AP779" s="289"/>
      <c r="AQ779" s="293">
        <v>3.4712000000000001</v>
      </c>
      <c r="AR779" s="288"/>
      <c r="AS779" s="289"/>
      <c r="AT779" s="294">
        <f t="shared" si="26"/>
        <v>40.159200000000006</v>
      </c>
      <c r="AU779" s="288"/>
      <c r="AV779" s="290"/>
      <c r="AW779" s="285"/>
      <c r="AX779" s="295"/>
      <c r="AY779" s="313"/>
      <c r="AZ779" s="375"/>
      <c r="BA779" s="375"/>
      <c r="BB779" s="375"/>
      <c r="BC779" s="375"/>
    </row>
    <row r="780" spans="1:55" s="117" customFormat="1">
      <c r="A780" s="179"/>
      <c r="B780" s="179"/>
      <c r="C780" s="179"/>
      <c r="D780" s="181"/>
      <c r="E780" s="181"/>
      <c r="F780" s="181"/>
      <c r="G780" s="1110">
        <v>777353</v>
      </c>
      <c r="H780" s="145" t="s">
        <v>1134</v>
      </c>
      <c r="I780" s="518" t="s">
        <v>365</v>
      </c>
      <c r="J780" s="294">
        <v>17.4132</v>
      </c>
      <c r="K780" s="288"/>
      <c r="L780" s="289"/>
      <c r="M780" s="293">
        <v>15.761200000000001</v>
      </c>
      <c r="N780" s="288"/>
      <c r="O780" s="289"/>
      <c r="P780" s="293">
        <v>17.422999999999998</v>
      </c>
      <c r="Q780" s="288"/>
      <c r="R780" s="289"/>
      <c r="S780" s="293">
        <v>16.753799999999998</v>
      </c>
      <c r="T780" s="288"/>
      <c r="U780" s="289"/>
      <c r="V780" s="293">
        <v>15.76179</v>
      </c>
      <c r="W780" s="288"/>
      <c r="X780" s="289"/>
      <c r="Y780" s="293">
        <v>16.434899999999999</v>
      </c>
      <c r="Z780" s="288"/>
      <c r="AA780" s="289"/>
      <c r="AB780" s="293">
        <v>16.870950000000001</v>
      </c>
      <c r="AC780" s="288"/>
      <c r="AD780" s="289"/>
      <c r="AE780" s="293">
        <v>16.511849999999999</v>
      </c>
      <c r="AF780" s="288"/>
      <c r="AG780" s="289"/>
      <c r="AH780" s="293">
        <v>15.71664</v>
      </c>
      <c r="AI780" s="288"/>
      <c r="AJ780" s="289"/>
      <c r="AK780" s="293">
        <v>16.58933</v>
      </c>
      <c r="AL780" s="288"/>
      <c r="AM780" s="289"/>
      <c r="AN780" s="293">
        <v>16.526309999999999</v>
      </c>
      <c r="AO780" s="288"/>
      <c r="AP780" s="289"/>
      <c r="AQ780" s="293">
        <v>17.055129999999998</v>
      </c>
      <c r="AR780" s="288"/>
      <c r="AS780" s="289"/>
      <c r="AT780" s="294">
        <f t="shared" si="26"/>
        <v>198.81809999999999</v>
      </c>
      <c r="AU780" s="288"/>
      <c r="AV780" s="290"/>
      <c r="AW780" s="285"/>
      <c r="AX780" s="295"/>
      <c r="AY780" s="313"/>
      <c r="AZ780" s="375"/>
      <c r="BA780" s="375"/>
      <c r="BB780" s="375"/>
      <c r="BC780" s="375"/>
    </row>
    <row r="781" spans="1:55" s="117" customFormat="1">
      <c r="A781" s="179"/>
      <c r="B781" s="179"/>
      <c r="C781" s="179"/>
      <c r="D781" s="181"/>
      <c r="E781" s="181"/>
      <c r="F781" s="181"/>
      <c r="G781" s="1110">
        <v>777354</v>
      </c>
      <c r="H781" s="145" t="s">
        <v>1135</v>
      </c>
      <c r="I781" s="518" t="s">
        <v>365</v>
      </c>
      <c r="J781" s="294">
        <v>0</v>
      </c>
      <c r="K781" s="288"/>
      <c r="L781" s="289"/>
      <c r="M781" s="293">
        <v>0</v>
      </c>
      <c r="N781" s="288"/>
      <c r="O781" s="289"/>
      <c r="P781" s="293">
        <v>0</v>
      </c>
      <c r="Q781" s="288"/>
      <c r="R781" s="289"/>
      <c r="S781" s="293">
        <v>0</v>
      </c>
      <c r="T781" s="288"/>
      <c r="U781" s="289"/>
      <c r="V781" s="293">
        <v>5.6253599999999997</v>
      </c>
      <c r="W781" s="288"/>
      <c r="X781" s="289"/>
      <c r="Y781" s="293">
        <v>5.7428999999999997</v>
      </c>
      <c r="Z781" s="288"/>
      <c r="AA781" s="289"/>
      <c r="AB781" s="293">
        <v>6.0263999999999998</v>
      </c>
      <c r="AC781" s="288"/>
      <c r="AD781" s="289"/>
      <c r="AE781" s="293">
        <v>6.0263999999999998</v>
      </c>
      <c r="AF781" s="288"/>
      <c r="AG781" s="289"/>
      <c r="AH781" s="293">
        <v>5.5238399999999999</v>
      </c>
      <c r="AI781" s="288"/>
      <c r="AJ781" s="289"/>
      <c r="AK781" s="293">
        <v>6.1156800000000002</v>
      </c>
      <c r="AL781" s="288"/>
      <c r="AM781" s="289"/>
      <c r="AN781" s="293">
        <v>5.9184000000000001</v>
      </c>
      <c r="AO781" s="288"/>
      <c r="AP781" s="289"/>
      <c r="AQ781" s="293">
        <v>6.0252600000000003</v>
      </c>
      <c r="AR781" s="288"/>
      <c r="AS781" s="289"/>
      <c r="AT781" s="294">
        <f t="shared" si="26"/>
        <v>47.004239999999996</v>
      </c>
      <c r="AU781" s="288"/>
      <c r="AV781" s="290"/>
      <c r="AW781" s="285"/>
      <c r="AX781" s="295"/>
      <c r="AY781" s="313"/>
      <c r="AZ781" s="375"/>
      <c r="BA781" s="375"/>
      <c r="BB781" s="375"/>
      <c r="BC781" s="375"/>
    </row>
    <row r="782" spans="1:55" s="117" customFormat="1">
      <c r="A782" s="179"/>
      <c r="B782" s="179"/>
      <c r="C782" s="179"/>
      <c r="D782" s="181"/>
      <c r="E782" s="181"/>
      <c r="F782" s="181"/>
      <c r="G782" s="1110">
        <v>777355</v>
      </c>
      <c r="H782" s="145" t="s">
        <v>1136</v>
      </c>
      <c r="I782" s="518" t="s">
        <v>365</v>
      </c>
      <c r="J782" s="294">
        <v>6.0263999999999998</v>
      </c>
      <c r="K782" s="288"/>
      <c r="L782" s="289"/>
      <c r="M782" s="293">
        <v>5.5238399999999999</v>
      </c>
      <c r="N782" s="288"/>
      <c r="O782" s="289"/>
      <c r="P782" s="293">
        <v>6.0252600000000003</v>
      </c>
      <c r="Q782" s="288"/>
      <c r="R782" s="289"/>
      <c r="S782" s="293">
        <v>5.7428999999999997</v>
      </c>
      <c r="T782" s="288"/>
      <c r="U782" s="289"/>
      <c r="V782" s="293">
        <v>6.0252600000000003</v>
      </c>
      <c r="W782" s="288"/>
      <c r="X782" s="289"/>
      <c r="Y782" s="293">
        <v>5.7428999999999997</v>
      </c>
      <c r="Z782" s="288"/>
      <c r="AA782" s="289"/>
      <c r="AB782" s="293">
        <v>6.0252600000000003</v>
      </c>
      <c r="AC782" s="288"/>
      <c r="AD782" s="289"/>
      <c r="AE782" s="293">
        <v>6.0252600000000003</v>
      </c>
      <c r="AF782" s="288"/>
      <c r="AG782" s="289"/>
      <c r="AH782" s="293">
        <v>5.7428999999999997</v>
      </c>
      <c r="AI782" s="288"/>
      <c r="AJ782" s="289"/>
      <c r="AK782" s="293">
        <v>6.0252600000000003</v>
      </c>
      <c r="AL782" s="288"/>
      <c r="AM782" s="289"/>
      <c r="AN782" s="293">
        <v>5.7428999999999997</v>
      </c>
      <c r="AO782" s="288"/>
      <c r="AP782" s="289"/>
      <c r="AQ782" s="293">
        <v>6.0252600000000003</v>
      </c>
      <c r="AR782" s="288"/>
      <c r="AS782" s="289"/>
      <c r="AT782" s="294">
        <f t="shared" si="26"/>
        <v>70.673400000000015</v>
      </c>
      <c r="AU782" s="288"/>
      <c r="AV782" s="290"/>
      <c r="AW782" s="285"/>
      <c r="AX782" s="295"/>
      <c r="AY782" s="313"/>
      <c r="AZ782" s="375"/>
      <c r="BA782" s="375"/>
      <c r="BB782" s="375"/>
      <c r="BC782" s="375"/>
    </row>
    <row r="783" spans="1:55" s="117" customFormat="1">
      <c r="A783" s="179"/>
      <c r="B783" s="179"/>
      <c r="C783" s="179"/>
      <c r="D783" s="181"/>
      <c r="E783" s="181"/>
      <c r="F783" s="181"/>
      <c r="G783" s="1110">
        <v>777356</v>
      </c>
      <c r="H783" s="145" t="s">
        <v>1137</v>
      </c>
      <c r="I783" s="518" t="s">
        <v>365</v>
      </c>
      <c r="J783" s="294">
        <v>7.2578399999999998</v>
      </c>
      <c r="K783" s="288"/>
      <c r="L783" s="289"/>
      <c r="M783" s="293">
        <v>6.8014901917808208</v>
      </c>
      <c r="N783" s="288"/>
      <c r="O783" s="289"/>
      <c r="P783" s="293">
        <v>6.858719999999999</v>
      </c>
      <c r="Q783" s="288"/>
      <c r="R783" s="289"/>
      <c r="S783" s="293">
        <v>7.0368000000000013</v>
      </c>
      <c r="T783" s="288"/>
      <c r="U783" s="289"/>
      <c r="V783" s="293">
        <v>6.9660000000000002</v>
      </c>
      <c r="W783" s="288"/>
      <c r="X783" s="289"/>
      <c r="Y783" s="293">
        <v>7.1045000000000007</v>
      </c>
      <c r="Z783" s="288"/>
      <c r="AA783" s="289"/>
      <c r="AB783" s="293">
        <v>7.1318400000000013</v>
      </c>
      <c r="AC783" s="288"/>
      <c r="AD783" s="289"/>
      <c r="AE783" s="293">
        <v>7.1244000000000005</v>
      </c>
      <c r="AF783" s="288"/>
      <c r="AG783" s="289"/>
      <c r="AH783" s="293">
        <v>7.0588000000000015</v>
      </c>
      <c r="AI783" s="288"/>
      <c r="AJ783" s="289"/>
      <c r="AK783" s="293">
        <v>7.33392</v>
      </c>
      <c r="AL783" s="288"/>
      <c r="AM783" s="289"/>
      <c r="AN783" s="293">
        <v>7.0428000000000024</v>
      </c>
      <c r="AO783" s="288"/>
      <c r="AP783" s="289"/>
      <c r="AQ783" s="293">
        <v>7.0961400000000001</v>
      </c>
      <c r="AR783" s="288"/>
      <c r="AS783" s="289"/>
      <c r="AT783" s="294">
        <f t="shared" si="26"/>
        <v>84.813250191780838</v>
      </c>
      <c r="AU783" s="288"/>
      <c r="AV783" s="289"/>
      <c r="AW783" s="285"/>
      <c r="AX783" s="295"/>
      <c r="AY783" s="313"/>
      <c r="AZ783" s="375"/>
      <c r="BA783" s="375"/>
      <c r="BB783" s="375"/>
      <c r="BC783" s="375"/>
    </row>
    <row r="784" spans="1:55" s="117" customFormat="1">
      <c r="A784" s="179"/>
      <c r="B784" s="179"/>
      <c r="C784" s="179"/>
      <c r="D784" s="181"/>
      <c r="E784" s="181"/>
      <c r="F784" s="181"/>
      <c r="G784" s="1211">
        <v>777703</v>
      </c>
      <c r="H784" s="997" t="s">
        <v>1400</v>
      </c>
      <c r="I784" s="518" t="s">
        <v>365</v>
      </c>
      <c r="J784" s="294">
        <v>68.35663679999999</v>
      </c>
      <c r="K784" s="288"/>
      <c r="L784" s="289"/>
      <c r="M784" s="293">
        <v>61.741478399999991</v>
      </c>
      <c r="N784" s="288"/>
      <c r="O784" s="289"/>
      <c r="P784" s="293">
        <v>66.245164799999969</v>
      </c>
      <c r="Q784" s="288"/>
      <c r="R784" s="289"/>
      <c r="S784" s="293">
        <v>57.064320000000002</v>
      </c>
      <c r="T784" s="288"/>
      <c r="U784" s="289"/>
      <c r="V784" s="293">
        <v>54.31884479999998</v>
      </c>
      <c r="W784" s="288"/>
      <c r="X784" s="289"/>
      <c r="Y784" s="293">
        <v>50.080320000000007</v>
      </c>
      <c r="Z784" s="288"/>
      <c r="AA784" s="289"/>
      <c r="AB784" s="293">
        <v>51.74966400000001</v>
      </c>
      <c r="AC784" s="288"/>
      <c r="AD784" s="289"/>
      <c r="AE784" s="293">
        <v>51.74966400000001</v>
      </c>
      <c r="AF784" s="288"/>
      <c r="AG784" s="289"/>
      <c r="AH784" s="293">
        <v>54.757468799999998</v>
      </c>
      <c r="AI784" s="288"/>
      <c r="AJ784" s="289"/>
      <c r="AK784" s="293">
        <v>63.734016000000025</v>
      </c>
      <c r="AL784" s="288"/>
      <c r="AM784" s="289"/>
      <c r="AN784" s="293">
        <v>66.149208000000002</v>
      </c>
      <c r="AO784" s="288"/>
      <c r="AP784" s="289"/>
      <c r="AQ784" s="293">
        <v>68.35663679999999</v>
      </c>
      <c r="AR784" s="288"/>
      <c r="AS784" s="289"/>
      <c r="AT784" s="294">
        <f t="shared" si="26"/>
        <v>714.30342240000004</v>
      </c>
      <c r="AU784" s="288"/>
      <c r="AV784" s="290"/>
      <c r="AW784" s="285"/>
      <c r="AX784" s="295"/>
      <c r="AY784" s="295"/>
      <c r="AZ784" s="375"/>
      <c r="BA784" s="375"/>
      <c r="BB784" s="375"/>
      <c r="BC784" s="375"/>
    </row>
    <row r="785" spans="1:55" s="117" customFormat="1">
      <c r="A785" s="179"/>
      <c r="B785" s="179"/>
      <c r="C785" s="179"/>
      <c r="D785" s="181"/>
      <c r="E785" s="181"/>
      <c r="F785" s="181"/>
      <c r="G785" s="1211">
        <v>777705</v>
      </c>
      <c r="H785" s="997" t="s">
        <v>1401</v>
      </c>
      <c r="I785" s="518" t="s">
        <v>365</v>
      </c>
      <c r="J785" s="294">
        <v>14.359200000000001</v>
      </c>
      <c r="K785" s="288"/>
      <c r="L785" s="289"/>
      <c r="M785" s="293">
        <v>12.9696</v>
      </c>
      <c r="N785" s="288"/>
      <c r="O785" s="289"/>
      <c r="P785" s="293">
        <v>14.136000000000001</v>
      </c>
      <c r="Q785" s="288"/>
      <c r="R785" s="289"/>
      <c r="S785" s="293">
        <v>13.464</v>
      </c>
      <c r="T785" s="288"/>
      <c r="U785" s="289"/>
      <c r="V785" s="293">
        <v>13.466399999999998</v>
      </c>
      <c r="W785" s="288"/>
      <c r="X785" s="289"/>
      <c r="Y785" s="293">
        <v>12.816000000000001</v>
      </c>
      <c r="Z785" s="288"/>
      <c r="AA785" s="289"/>
      <c r="AB785" s="293">
        <v>13.2432</v>
      </c>
      <c r="AC785" s="288"/>
      <c r="AD785" s="289"/>
      <c r="AE785" s="293">
        <v>13.2432</v>
      </c>
      <c r="AF785" s="288"/>
      <c r="AG785" s="289"/>
      <c r="AH785" s="293">
        <v>13.248000000000001</v>
      </c>
      <c r="AI785" s="288"/>
      <c r="AJ785" s="289"/>
      <c r="AK785" s="293">
        <v>13.912799999999999</v>
      </c>
      <c r="AL785" s="288"/>
      <c r="AM785" s="289"/>
      <c r="AN785" s="293">
        <v>13.896000000000001</v>
      </c>
      <c r="AO785" s="288"/>
      <c r="AP785" s="289"/>
      <c r="AQ785" s="293">
        <v>14.359200000000001</v>
      </c>
      <c r="AR785" s="288"/>
      <c r="AS785" s="289"/>
      <c r="AT785" s="294">
        <f t="shared" si="26"/>
        <v>163.11360000000002</v>
      </c>
      <c r="AU785" s="288"/>
      <c r="AV785" s="290"/>
      <c r="AW785" s="285"/>
      <c r="AX785" s="295"/>
      <c r="AY785" s="295"/>
      <c r="AZ785" s="375"/>
      <c r="BA785" s="375"/>
      <c r="BB785" s="375"/>
      <c r="BC785" s="375"/>
    </row>
    <row r="786" spans="1:55" s="117" customFormat="1">
      <c r="A786" s="179"/>
      <c r="B786" s="179"/>
      <c r="C786" s="179"/>
      <c r="D786" s="181"/>
      <c r="E786" s="181"/>
      <c r="F786" s="181"/>
      <c r="G786" s="1211">
        <v>777704</v>
      </c>
      <c r="H786" s="997" t="s">
        <v>1402</v>
      </c>
      <c r="I786" s="518" t="s">
        <v>365</v>
      </c>
      <c r="J786" s="294">
        <v>8.4349497541908498</v>
      </c>
      <c r="K786" s="288"/>
      <c r="L786" s="289"/>
      <c r="M786" s="293">
        <v>7.1833730140628971</v>
      </c>
      <c r="N786" s="288"/>
      <c r="O786" s="289"/>
      <c r="P786" s="293">
        <v>8.9973880942840534</v>
      </c>
      <c r="Q786" s="288"/>
      <c r="R786" s="289"/>
      <c r="S786" s="293">
        <v>10.44</v>
      </c>
      <c r="T786" s="288"/>
      <c r="U786" s="289"/>
      <c r="V786" s="293">
        <v>10.788</v>
      </c>
      <c r="W786" s="288"/>
      <c r="X786" s="289"/>
      <c r="Y786" s="293">
        <v>10.44</v>
      </c>
      <c r="Z786" s="288"/>
      <c r="AA786" s="289"/>
      <c r="AB786" s="293">
        <v>10.788</v>
      </c>
      <c r="AC786" s="288"/>
      <c r="AD786" s="289"/>
      <c r="AE786" s="293">
        <v>10.788</v>
      </c>
      <c r="AF786" s="288"/>
      <c r="AG786" s="289"/>
      <c r="AH786" s="293">
        <v>10.44</v>
      </c>
      <c r="AI786" s="288"/>
      <c r="AJ786" s="289"/>
      <c r="AK786" s="293">
        <v>7.6361826531619474</v>
      </c>
      <c r="AL786" s="288"/>
      <c r="AM786" s="289"/>
      <c r="AN786" s="293">
        <v>3.0551291173687631</v>
      </c>
      <c r="AO786" s="288"/>
      <c r="AP786" s="289"/>
      <c r="AQ786" s="293">
        <v>2.6983221563161202</v>
      </c>
      <c r="AR786" s="288"/>
      <c r="AS786" s="289"/>
      <c r="AT786" s="294">
        <f t="shared" si="26"/>
        <v>101.68934478938463</v>
      </c>
      <c r="AU786" s="288"/>
      <c r="AV786" s="290"/>
      <c r="AW786" s="285"/>
      <c r="AX786" s="295"/>
      <c r="AY786" s="295"/>
      <c r="AZ786" s="375"/>
      <c r="BA786" s="375"/>
      <c r="BB786" s="375"/>
      <c r="BC786" s="375"/>
    </row>
    <row r="787" spans="1:55" s="117" customFormat="1">
      <c r="A787" s="179"/>
      <c r="B787" s="179"/>
      <c r="C787" s="179"/>
      <c r="D787" s="181"/>
      <c r="E787" s="181"/>
      <c r="F787" s="181"/>
      <c r="G787" s="1110">
        <v>777794</v>
      </c>
      <c r="H787" s="145" t="s">
        <v>1489</v>
      </c>
      <c r="I787" s="518" t="s">
        <v>365</v>
      </c>
      <c r="J787" s="294">
        <v>6.6959999999999997</v>
      </c>
      <c r="K787" s="288"/>
      <c r="L787" s="289"/>
      <c r="M787" s="294">
        <v>6.048</v>
      </c>
      <c r="N787" s="288"/>
      <c r="O787" s="289"/>
      <c r="P787" s="294">
        <v>6.6959999999999997</v>
      </c>
      <c r="Q787" s="288"/>
      <c r="R787" s="289"/>
      <c r="S787" s="294">
        <v>6.48</v>
      </c>
      <c r="T787" s="288"/>
      <c r="U787" s="289"/>
      <c r="V787" s="294">
        <v>6.6959999999999997</v>
      </c>
      <c r="W787" s="288"/>
      <c r="X787" s="289"/>
      <c r="Y787" s="294">
        <v>6.48</v>
      </c>
      <c r="Z787" s="288"/>
      <c r="AA787" s="289"/>
      <c r="AB787" s="294">
        <v>6.6959999999999997</v>
      </c>
      <c r="AC787" s="288"/>
      <c r="AD787" s="289"/>
      <c r="AE787" s="294">
        <v>6.6959999999999997</v>
      </c>
      <c r="AF787" s="288"/>
      <c r="AG787" s="289"/>
      <c r="AH787" s="294">
        <v>6.48</v>
      </c>
      <c r="AI787" s="288"/>
      <c r="AJ787" s="289"/>
      <c r="AK787" s="294">
        <v>6.6959999999999997</v>
      </c>
      <c r="AL787" s="288"/>
      <c r="AM787" s="289"/>
      <c r="AN787" s="294">
        <v>6.48</v>
      </c>
      <c r="AO787" s="288"/>
      <c r="AP787" s="289"/>
      <c r="AQ787" s="294">
        <v>6.6959999999999997</v>
      </c>
      <c r="AR787" s="288"/>
      <c r="AS787" s="289"/>
      <c r="AT787" s="294">
        <f t="shared" si="26"/>
        <v>78.84</v>
      </c>
      <c r="AU787" s="288"/>
      <c r="AV787" s="290"/>
      <c r="AW787" s="285"/>
      <c r="AX787" s="295"/>
      <c r="AY787" s="295"/>
      <c r="AZ787" s="375"/>
      <c r="BA787" s="375"/>
      <c r="BB787" s="375"/>
      <c r="BC787" s="375"/>
    </row>
    <row r="788" spans="1:55" s="117" customFormat="1">
      <c r="A788" s="179"/>
      <c r="B788" s="179"/>
      <c r="C788" s="179"/>
      <c r="D788" s="181"/>
      <c r="E788" s="181"/>
      <c r="F788" s="181"/>
      <c r="G788" s="1110">
        <v>777812</v>
      </c>
      <c r="H788" s="145" t="s">
        <v>1516</v>
      </c>
      <c r="I788" s="518" t="s">
        <v>365</v>
      </c>
      <c r="J788" s="294">
        <v>4.5383999999999993</v>
      </c>
      <c r="K788" s="288"/>
      <c r="L788" s="289"/>
      <c r="M788" s="294">
        <v>4.2456000000000005</v>
      </c>
      <c r="N788" s="288"/>
      <c r="O788" s="289"/>
      <c r="P788" s="294">
        <v>4.5383999999999993</v>
      </c>
      <c r="Q788" s="288"/>
      <c r="R788" s="289"/>
      <c r="S788" s="294">
        <v>4.3920000000000021</v>
      </c>
      <c r="T788" s="288"/>
      <c r="U788" s="289"/>
      <c r="V788" s="294">
        <v>4.5383999999999975</v>
      </c>
      <c r="W788" s="288"/>
      <c r="X788" s="289"/>
      <c r="Y788" s="294">
        <v>4.3919999999999986</v>
      </c>
      <c r="Z788" s="288"/>
      <c r="AA788" s="289"/>
      <c r="AB788" s="294">
        <v>4.5383999999999975</v>
      </c>
      <c r="AC788" s="288"/>
      <c r="AD788" s="289"/>
      <c r="AE788" s="294">
        <v>4.5383999999999975</v>
      </c>
      <c r="AF788" s="288"/>
      <c r="AG788" s="289"/>
      <c r="AH788" s="294">
        <v>4.3919999999999968</v>
      </c>
      <c r="AI788" s="288"/>
      <c r="AJ788" s="289"/>
      <c r="AK788" s="294">
        <v>4.5383999999999993</v>
      </c>
      <c r="AL788" s="288"/>
      <c r="AM788" s="289"/>
      <c r="AN788" s="294">
        <v>4.3920000000000003</v>
      </c>
      <c r="AO788" s="288"/>
      <c r="AP788" s="289"/>
      <c r="AQ788" s="294">
        <v>4.5383999999999993</v>
      </c>
      <c r="AR788" s="288"/>
      <c r="AS788" s="289"/>
      <c r="AT788" s="294">
        <f t="shared" si="26"/>
        <v>53.582399999999993</v>
      </c>
      <c r="AU788" s="288"/>
      <c r="AV788" s="290"/>
      <c r="AW788" s="285"/>
      <c r="AX788" s="295"/>
      <c r="AY788" s="295"/>
      <c r="AZ788" s="375"/>
      <c r="BA788" s="375"/>
      <c r="BB788" s="375"/>
      <c r="BC788" s="375"/>
    </row>
    <row r="789" spans="1:55" s="24" customFormat="1" ht="18.75">
      <c r="A789" s="179"/>
      <c r="B789" s="179"/>
      <c r="C789" s="179"/>
      <c r="D789" s="181">
        <v>338800</v>
      </c>
      <c r="E789" s="181"/>
      <c r="F789" s="181"/>
      <c r="G789" s="181">
        <v>338800</v>
      </c>
      <c r="H789" s="473" t="s">
        <v>1602</v>
      </c>
      <c r="I789" s="473"/>
      <c r="J789" s="277">
        <f>J792+J795+J796+J797</f>
        <v>414.25997566666638</v>
      </c>
      <c r="K789" s="275">
        <f>L789-J789</f>
        <v>517.36412740836204</v>
      </c>
      <c r="L789" s="276">
        <f>Потребление!D49</f>
        <v>931.62410307502842</v>
      </c>
      <c r="M789" s="277">
        <f>M792+M795+M796+M797</f>
        <v>382.86358506957299</v>
      </c>
      <c r="N789" s="275">
        <f>O789-M789</f>
        <v>500.33070462213777</v>
      </c>
      <c r="O789" s="276">
        <f>Потребление!E49</f>
        <v>883.19428969171076</v>
      </c>
      <c r="P789" s="277">
        <f>P792+P795+P796+P797</f>
        <v>403.15678666666639</v>
      </c>
      <c r="Q789" s="275">
        <f>R789-P789</f>
        <v>491.46506581425871</v>
      </c>
      <c r="R789" s="276">
        <f>Потребление!F49</f>
        <v>894.6218524809251</v>
      </c>
      <c r="S789" s="277">
        <f>S792+S795+S796+S797</f>
        <v>299.61835925266951</v>
      </c>
      <c r="T789" s="275">
        <f>U789-S789</f>
        <v>509.75002964365592</v>
      </c>
      <c r="U789" s="276">
        <f>Потребление!G49</f>
        <v>809.36838889632543</v>
      </c>
      <c r="V789" s="277">
        <f>V792+V795+V796+V797</f>
        <v>252.68163105652675</v>
      </c>
      <c r="W789" s="275">
        <f>X789-V789</f>
        <v>509.92090338585228</v>
      </c>
      <c r="X789" s="276">
        <f>Потребление!H49</f>
        <v>762.60253444237901</v>
      </c>
      <c r="Y789" s="277">
        <f>Y792+Y795+Y796+Y797</f>
        <v>133.40022266666671</v>
      </c>
      <c r="Z789" s="275">
        <f>AA789-Y789</f>
        <v>582.64023748720842</v>
      </c>
      <c r="AA789" s="276">
        <f>Потребление!I49</f>
        <v>716.04046015387519</v>
      </c>
      <c r="AB789" s="277">
        <f>AB792+AB795+AB796+AB797</f>
        <v>204.06466533333335</v>
      </c>
      <c r="AC789" s="275">
        <f>AD789-AB789</f>
        <v>523.67069434580389</v>
      </c>
      <c r="AD789" s="276">
        <f>Потребление!J49</f>
        <v>727.73535967913722</v>
      </c>
      <c r="AE789" s="277">
        <f>AE792+AE795+AE796+AE797</f>
        <v>226.1773083010753</v>
      </c>
      <c r="AF789" s="275">
        <f>AG789-AE789</f>
        <v>512.68951458759784</v>
      </c>
      <c r="AG789" s="276">
        <f>Потребление!K49</f>
        <v>738.86682288867314</v>
      </c>
      <c r="AH789" s="277">
        <f>AH792+AH795+AH796+AH797</f>
        <v>230.88754066666667</v>
      </c>
      <c r="AI789" s="275">
        <f>AJ789-AH789</f>
        <v>515.56894800361215</v>
      </c>
      <c r="AJ789" s="276">
        <f>Потребление!L49</f>
        <v>746.45648867027887</v>
      </c>
      <c r="AK789" s="277">
        <f>AK792+AK795+AK796+AK797</f>
        <v>368.87545169884459</v>
      </c>
      <c r="AL789" s="275">
        <f>AM789-AK789</f>
        <v>480.26832246211859</v>
      </c>
      <c r="AM789" s="276">
        <f>Потребление!M49</f>
        <v>849.14377416096318</v>
      </c>
      <c r="AN789" s="277">
        <f>AN792+AN795+AN796+AN797</f>
        <v>397.2603806894715</v>
      </c>
      <c r="AO789" s="275">
        <f>AP789-AN789</f>
        <v>478.60624412102368</v>
      </c>
      <c r="AP789" s="276">
        <f>Потребление!N49</f>
        <v>875.86662481049518</v>
      </c>
      <c r="AQ789" s="277">
        <f>AQ792+AQ795+AQ796+AQ797</f>
        <v>400.66626077419352</v>
      </c>
      <c r="AR789" s="275">
        <f>AS789-AQ789</f>
        <v>540.21440912478647</v>
      </c>
      <c r="AS789" s="276">
        <f>Потребление!O49</f>
        <v>940.88066989897993</v>
      </c>
      <c r="AT789" s="277">
        <f>AT792+AT795+AT796+AT797</f>
        <v>3713.9121678423535</v>
      </c>
      <c r="AU789" s="275">
        <f>AV789-AT789</f>
        <v>6162.4892010064186</v>
      </c>
      <c r="AV789" s="278">
        <f>L789+O789+R789+U789+X789+AA789+AD789+AG789+AJ789+AM789+AP789+AS789</f>
        <v>9876.4013688487721</v>
      </c>
      <c r="AW789" s="279"/>
      <c r="AX789" s="1067">
        <v>9801.2769619999999</v>
      </c>
      <c r="AY789" s="280">
        <f>AY790+AY791</f>
        <v>3846.9738350000002</v>
      </c>
      <c r="AZ789" s="357"/>
      <c r="BA789" s="357"/>
      <c r="BB789" s="357"/>
      <c r="BC789" s="357"/>
    </row>
    <row r="790" spans="1:55" s="24" customFormat="1">
      <c r="A790" s="179"/>
      <c r="B790" s="179"/>
      <c r="C790" s="179"/>
      <c r="D790" s="181"/>
      <c r="E790" s="181"/>
      <c r="F790" s="181"/>
      <c r="G790" s="181"/>
      <c r="H790" s="124" t="s">
        <v>56</v>
      </c>
      <c r="I790" s="124"/>
      <c r="J790" s="365">
        <f>J792+SUM(J795:J796)</f>
        <v>385.50309366666636</v>
      </c>
      <c r="K790" s="363"/>
      <c r="L790" s="364"/>
      <c r="M790" s="362">
        <f>M792+SUM(M795:M796)</f>
        <v>351.08347333333302</v>
      </c>
      <c r="N790" s="363"/>
      <c r="O790" s="364"/>
      <c r="P790" s="362">
        <f>P792+SUM(P795:P796)</f>
        <v>371.65975166666635</v>
      </c>
      <c r="Q790" s="363"/>
      <c r="R790" s="364"/>
      <c r="S790" s="362">
        <f>S792+SUM(S795:S796)</f>
        <v>269.12575425266959</v>
      </c>
      <c r="T790" s="363"/>
      <c r="U790" s="364"/>
      <c r="V790" s="362">
        <f>V792+SUM(V795:V796)</f>
        <v>235.30789763717192</v>
      </c>
      <c r="W790" s="363"/>
      <c r="X790" s="364"/>
      <c r="Y790" s="362">
        <f>Y792+SUM(Y795:Y796)</f>
        <v>118.5451826666667</v>
      </c>
      <c r="Z790" s="363"/>
      <c r="AA790" s="364"/>
      <c r="AB790" s="362">
        <f>AB792+SUM(AB795:AB796)</f>
        <v>189.13430533333334</v>
      </c>
      <c r="AC790" s="363"/>
      <c r="AD790" s="364"/>
      <c r="AE790" s="362">
        <f>AE792+SUM(AE795:AE796)</f>
        <v>209.97051333333334</v>
      </c>
      <c r="AF790" s="363"/>
      <c r="AG790" s="364"/>
      <c r="AH790" s="362">
        <f>AH792+SUM(AH795:AH796)</f>
        <v>209.02086766666667</v>
      </c>
      <c r="AI790" s="363"/>
      <c r="AJ790" s="364"/>
      <c r="AK790" s="362">
        <f>AK792+SUM(AK795:AK796)</f>
        <v>337.80848369884461</v>
      </c>
      <c r="AL790" s="363"/>
      <c r="AM790" s="364"/>
      <c r="AN790" s="362">
        <f>AN792+SUM(AN795:AN796)</f>
        <v>364.27634868947149</v>
      </c>
      <c r="AO790" s="363"/>
      <c r="AP790" s="364"/>
      <c r="AQ790" s="362">
        <f>AQ792+SUM(AQ795:AQ796)</f>
        <v>369.76871400000005</v>
      </c>
      <c r="AR790" s="363"/>
      <c r="AS790" s="364"/>
      <c r="AT790" s="362">
        <f>AT792+SUM(AT795:AT796)</f>
        <v>3411.2043859448231</v>
      </c>
      <c r="AU790" s="363"/>
      <c r="AV790" s="229"/>
      <c r="AW790" s="226"/>
      <c r="AX790" s="366"/>
      <c r="AY790" s="366">
        <f>SUM(AY792:AY796)</f>
        <v>3552.3540370000001</v>
      </c>
      <c r="AZ790" s="357"/>
      <c r="BA790" s="357"/>
      <c r="BB790" s="357"/>
      <c r="BC790" s="357"/>
    </row>
    <row r="791" spans="1:55" s="24" customFormat="1">
      <c r="A791" s="179"/>
      <c r="B791" s="179"/>
      <c r="C791" s="179"/>
      <c r="D791" s="181"/>
      <c r="E791" s="181"/>
      <c r="F791" s="181"/>
      <c r="G791" s="181"/>
      <c r="H791" s="124" t="s">
        <v>99</v>
      </c>
      <c r="I791" s="124"/>
      <c r="J791" s="365">
        <f>J797</f>
        <v>28.756882000000001</v>
      </c>
      <c r="K791" s="363"/>
      <c r="L791" s="364"/>
      <c r="M791" s="365">
        <f>M797</f>
        <v>31.780111736239995</v>
      </c>
      <c r="N791" s="363"/>
      <c r="O791" s="364"/>
      <c r="P791" s="365">
        <f>P797</f>
        <v>31.497035</v>
      </c>
      <c r="Q791" s="363"/>
      <c r="R791" s="364"/>
      <c r="S791" s="365">
        <f>S797</f>
        <v>30.492604999999998</v>
      </c>
      <c r="T791" s="363"/>
      <c r="U791" s="364"/>
      <c r="V791" s="365">
        <f>V797</f>
        <v>17.373733419354839</v>
      </c>
      <c r="W791" s="363"/>
      <c r="X791" s="364"/>
      <c r="Y791" s="365">
        <f>Y797</f>
        <v>14.855039999999999</v>
      </c>
      <c r="Z791" s="363"/>
      <c r="AA791" s="364"/>
      <c r="AB791" s="365">
        <f>AB797</f>
        <v>14.93036</v>
      </c>
      <c r="AC791" s="363"/>
      <c r="AD791" s="364"/>
      <c r="AE791" s="365">
        <f>AE797</f>
        <v>16.206794967741935</v>
      </c>
      <c r="AF791" s="363"/>
      <c r="AG791" s="364"/>
      <c r="AH791" s="365">
        <f>AH797</f>
        <v>21.866672999999999</v>
      </c>
      <c r="AI791" s="363"/>
      <c r="AJ791" s="364"/>
      <c r="AK791" s="365">
        <f>AK797</f>
        <v>31.066968000000003</v>
      </c>
      <c r="AL791" s="363"/>
      <c r="AM791" s="364"/>
      <c r="AN791" s="365">
        <f>AN797</f>
        <v>32.984031999999999</v>
      </c>
      <c r="AO791" s="363"/>
      <c r="AP791" s="364"/>
      <c r="AQ791" s="365">
        <f>AQ797</f>
        <v>30.897546774193554</v>
      </c>
      <c r="AR791" s="363"/>
      <c r="AS791" s="364"/>
      <c r="AT791" s="365">
        <f>AT797</f>
        <v>302.70778189753025</v>
      </c>
      <c r="AU791" s="363"/>
      <c r="AV791" s="229"/>
      <c r="AW791" s="226"/>
      <c r="AX791" s="366"/>
      <c r="AY791" s="366">
        <f>AY797</f>
        <v>294.619798</v>
      </c>
      <c r="AZ791" s="357"/>
      <c r="BA791" s="357"/>
      <c r="BB791" s="357"/>
      <c r="BC791" s="357"/>
    </row>
    <row r="792" spans="1:55" s="24" customFormat="1">
      <c r="A792" s="179"/>
      <c r="B792" s="179"/>
      <c r="C792" s="179"/>
      <c r="D792" s="181">
        <v>338810</v>
      </c>
      <c r="E792" s="181"/>
      <c r="F792" s="181"/>
      <c r="G792" s="1110">
        <v>338810</v>
      </c>
      <c r="H792" s="132" t="s">
        <v>638</v>
      </c>
      <c r="I792" s="516" t="s">
        <v>364</v>
      </c>
      <c r="J792" s="262">
        <f>J793+J794</f>
        <v>169.34232933333303</v>
      </c>
      <c r="K792" s="246"/>
      <c r="L792" s="282"/>
      <c r="M792" s="317">
        <f>M793+M794</f>
        <v>149.58930933333301</v>
      </c>
      <c r="N792" s="246"/>
      <c r="O792" s="282"/>
      <c r="P792" s="317">
        <f>P793+P794</f>
        <v>165.37030866666672</v>
      </c>
      <c r="Q792" s="246"/>
      <c r="R792" s="282"/>
      <c r="S792" s="317">
        <f>S793+S794</f>
        <v>107.31412558600293</v>
      </c>
      <c r="T792" s="246"/>
      <c r="U792" s="282"/>
      <c r="V792" s="317">
        <f>V793+V794</f>
        <v>116.12648930383855</v>
      </c>
      <c r="W792" s="246"/>
      <c r="X792" s="282"/>
      <c r="Y792" s="317">
        <f>Y793+Y794</f>
        <v>42.437035666666702</v>
      </c>
      <c r="Z792" s="246"/>
      <c r="AA792" s="282"/>
      <c r="AB792" s="317">
        <f>AB793+AB794</f>
        <v>97.763389666666669</v>
      </c>
      <c r="AC792" s="246"/>
      <c r="AD792" s="282"/>
      <c r="AE792" s="317">
        <f>AE793+AE794</f>
        <v>107.64348166666667</v>
      </c>
      <c r="AF792" s="246"/>
      <c r="AG792" s="282"/>
      <c r="AH792" s="317">
        <f>AH793+AH794</f>
        <v>77.783067666666668</v>
      </c>
      <c r="AI792" s="246"/>
      <c r="AJ792" s="282"/>
      <c r="AK792" s="317">
        <f>AK793+AK794</f>
        <v>158.90188836551127</v>
      </c>
      <c r="AL792" s="246"/>
      <c r="AM792" s="282"/>
      <c r="AN792" s="317">
        <f>AN793+AN794</f>
        <v>160.72395935613815</v>
      </c>
      <c r="AO792" s="246"/>
      <c r="AP792" s="282"/>
      <c r="AQ792" s="317">
        <f>AQ793+AQ794</f>
        <v>159.68711133333335</v>
      </c>
      <c r="AR792" s="246"/>
      <c r="AS792" s="282"/>
      <c r="AT792" s="317">
        <f>AT793+AT794</f>
        <v>1512.6824959448236</v>
      </c>
      <c r="AU792" s="246"/>
      <c r="AV792" s="336"/>
      <c r="AW792" s="285"/>
      <c r="AX792" s="249"/>
      <c r="AY792" s="440">
        <v>1439.0438260000001</v>
      </c>
      <c r="AZ792" s="357"/>
      <c r="BA792" s="357"/>
      <c r="BB792" s="357"/>
      <c r="BC792" s="357"/>
    </row>
    <row r="793" spans="1:55" s="24" customFormat="1">
      <c r="A793" s="179"/>
      <c r="B793" s="179"/>
      <c r="C793" s="179"/>
      <c r="D793" s="181"/>
      <c r="E793" s="181"/>
      <c r="F793" s="181"/>
      <c r="G793" s="1110"/>
      <c r="H793" s="127" t="s">
        <v>639</v>
      </c>
      <c r="I793" s="127"/>
      <c r="J793" s="629">
        <v>25.444800000000004</v>
      </c>
      <c r="K793" s="721"/>
      <c r="L793" s="722"/>
      <c r="M793" s="629">
        <v>23.594400000000004</v>
      </c>
      <c r="N793" s="721"/>
      <c r="O793" s="722"/>
      <c r="P793" s="629">
        <v>25.221600000000006</v>
      </c>
      <c r="Q793" s="721"/>
      <c r="R793" s="722"/>
      <c r="S793" s="629">
        <v>22.297628919336237</v>
      </c>
      <c r="T793" s="721"/>
      <c r="U793" s="722"/>
      <c r="V793" s="629">
        <v>8.4456033038385527</v>
      </c>
      <c r="W793" s="721"/>
      <c r="X793" s="722"/>
      <c r="Y793" s="579">
        <f>4.30768361438281-4.30768361438281</f>
        <v>0</v>
      </c>
      <c r="Z793" s="246"/>
      <c r="AA793" s="282"/>
      <c r="AB793" s="579">
        <f>1.51004835876299-1.51004835876299</f>
        <v>0</v>
      </c>
      <c r="AC793" s="246"/>
      <c r="AD793" s="282"/>
      <c r="AE793" s="579">
        <f>1.1129147028922-1.1129147028922</f>
        <v>0</v>
      </c>
      <c r="AF793" s="246"/>
      <c r="AG793" s="282"/>
      <c r="AH793" s="579">
        <f>8.91311849903821-8.91311849903821</f>
        <v>0</v>
      </c>
      <c r="AI793" s="246"/>
      <c r="AJ793" s="282"/>
      <c r="AK793" s="629">
        <v>17.2090100321779</v>
      </c>
      <c r="AL793" s="721"/>
      <c r="AM793" s="722"/>
      <c r="AN793" s="629">
        <v>22.361914689471163</v>
      </c>
      <c r="AO793" s="721"/>
      <c r="AP793" s="722"/>
      <c r="AQ793" s="629">
        <v>25.333199999999998</v>
      </c>
      <c r="AR793" s="246"/>
      <c r="AS793" s="282"/>
      <c r="AT793" s="244">
        <f>J793+M793+P793+S793+V793+Y793+AB793+AE793+AH793+AK793+AN793+AQ793</f>
        <v>169.90815694482387</v>
      </c>
      <c r="AU793" s="246"/>
      <c r="AV793" s="336"/>
      <c r="AW793" s="285"/>
      <c r="AX793" s="249"/>
      <c r="AY793" s="249"/>
      <c r="AZ793" s="357"/>
      <c r="BA793" s="357"/>
      <c r="BB793" s="357"/>
      <c r="BC793" s="357"/>
    </row>
    <row r="794" spans="1:55" s="24" customFormat="1">
      <c r="A794" s="179"/>
      <c r="B794" s="179"/>
      <c r="C794" s="179"/>
      <c r="D794" s="181"/>
      <c r="E794" s="181"/>
      <c r="F794" s="181"/>
      <c r="G794" s="1110"/>
      <c r="H794" s="127" t="s">
        <v>640</v>
      </c>
      <c r="I794" s="127"/>
      <c r="J794" s="579">
        <f>148.223529333333-4.326</f>
        <v>143.89752933333301</v>
      </c>
      <c r="K794" s="724"/>
      <c r="L794" s="725"/>
      <c r="M794" s="737">
        <f>115.994909333333+10</f>
        <v>125.994909333333</v>
      </c>
      <c r="N794" s="724"/>
      <c r="O794" s="725"/>
      <c r="P794" s="1181">
        <f>95.1487086666667+45</f>
        <v>140.14870866666672</v>
      </c>
      <c r="Q794" s="724"/>
      <c r="R794" s="725"/>
      <c r="S794" s="831">
        <v>85.016496666666697</v>
      </c>
      <c r="T794" s="724"/>
      <c r="U794" s="725"/>
      <c r="V794" s="521">
        <f>87.680886+20</f>
        <v>107.680886</v>
      </c>
      <c r="W794" s="724"/>
      <c r="X794" s="725"/>
      <c r="Y794" s="629">
        <v>42.437035666666702</v>
      </c>
      <c r="Z794" s="721"/>
      <c r="AA794" s="722"/>
      <c r="AB794" s="732">
        <v>97.763389666666669</v>
      </c>
      <c r="AC794" s="724"/>
      <c r="AD794" s="725"/>
      <c r="AE794" s="732">
        <v>107.64348166666667</v>
      </c>
      <c r="AF794" s="724"/>
      <c r="AG794" s="725"/>
      <c r="AH794" s="732">
        <v>77.783067666666668</v>
      </c>
      <c r="AI794" s="724"/>
      <c r="AJ794" s="725"/>
      <c r="AK794" s="732">
        <v>141.69287833333337</v>
      </c>
      <c r="AL794" s="724"/>
      <c r="AM794" s="725"/>
      <c r="AN794" s="579">
        <f>140.431044666667-2.069</f>
        <v>138.362044666667</v>
      </c>
      <c r="AO794" s="724"/>
      <c r="AP794" s="725"/>
      <c r="AQ794" s="629">
        <v>134.35391133333334</v>
      </c>
      <c r="AR794" s="246"/>
      <c r="AS794" s="282"/>
      <c r="AT794" s="244">
        <f>J794+M794+P794+S794+V794+Y794+AB794+AE794+AH794+AK794+AN794+AQ794</f>
        <v>1342.7743389999998</v>
      </c>
      <c r="AU794" s="246"/>
      <c r="AV794" s="336"/>
      <c r="AW794" s="285"/>
      <c r="AX794" s="249"/>
      <c r="AY794" s="249"/>
      <c r="AZ794" s="357"/>
      <c r="BA794" s="357"/>
      <c r="BB794" s="357"/>
      <c r="BC794" s="357"/>
    </row>
    <row r="795" spans="1:55" s="24" customFormat="1">
      <c r="A795" s="179"/>
      <c r="B795" s="179"/>
      <c r="C795" s="179"/>
      <c r="D795" s="181">
        <v>338812</v>
      </c>
      <c r="E795" s="181"/>
      <c r="F795" s="181"/>
      <c r="G795" s="1110">
        <v>338812</v>
      </c>
      <c r="H795" s="127" t="s">
        <v>641</v>
      </c>
      <c r="I795" s="516" t="s">
        <v>364</v>
      </c>
      <c r="J795" s="629">
        <v>208.62137199999998</v>
      </c>
      <c r="K795" s="721"/>
      <c r="L795" s="722"/>
      <c r="M795" s="1181">
        <f>184.754656+10</f>
        <v>194.75465600000001</v>
      </c>
      <c r="N795" s="724"/>
      <c r="O795" s="725"/>
      <c r="P795" s="345">
        <f>188.963324333333+10</f>
        <v>198.96332433333299</v>
      </c>
      <c r="Q795" s="721"/>
      <c r="R795" s="722"/>
      <c r="S795" s="720">
        <v>154.63659199999998</v>
      </c>
      <c r="T795" s="724"/>
      <c r="U795" s="725"/>
      <c r="V795" s="737">
        <f>95.8454586666667+20</f>
        <v>115.8454586666667</v>
      </c>
      <c r="W795" s="724"/>
      <c r="X795" s="725"/>
      <c r="Y795" s="732">
        <v>73.862734666666668</v>
      </c>
      <c r="Z795" s="724"/>
      <c r="AA795" s="725"/>
      <c r="AB795" s="732">
        <v>89.494361333333345</v>
      </c>
      <c r="AC795" s="724"/>
      <c r="AD795" s="725"/>
      <c r="AE795" s="629">
        <v>100.49960800000001</v>
      </c>
      <c r="AF795" s="721"/>
      <c r="AG795" s="722"/>
      <c r="AH795" s="732">
        <v>127.966357</v>
      </c>
      <c r="AI795" s="724"/>
      <c r="AJ795" s="725"/>
      <c r="AK795" s="732">
        <v>171.57761333333335</v>
      </c>
      <c r="AL795" s="724"/>
      <c r="AM795" s="725"/>
      <c r="AN795" s="629">
        <v>196.22036666666668</v>
      </c>
      <c r="AO795" s="721"/>
      <c r="AP795" s="722"/>
      <c r="AQ795" s="629">
        <v>202.38160266666668</v>
      </c>
      <c r="AR795" s="246"/>
      <c r="AS795" s="282"/>
      <c r="AT795" s="244">
        <f>J795+M795+P795+S795+V795+Y795+AB795+AE795+AH795+AK795+AN795+AQ795</f>
        <v>1834.8240466666664</v>
      </c>
      <c r="AU795" s="246"/>
      <c r="AV795" s="336"/>
      <c r="AW795" s="285"/>
      <c r="AX795" s="249"/>
      <c r="AY795" s="441">
        <v>2050.8655119999999</v>
      </c>
      <c r="AZ795" s="357"/>
      <c r="BA795" s="357"/>
      <c r="BB795" s="357"/>
      <c r="BC795" s="357"/>
    </row>
    <row r="796" spans="1:55" s="24" customFormat="1">
      <c r="A796" s="179"/>
      <c r="B796" s="179"/>
      <c r="C796" s="179"/>
      <c r="D796" s="181">
        <v>338811</v>
      </c>
      <c r="E796" s="181"/>
      <c r="F796" s="181"/>
      <c r="G796" s="1110">
        <v>338811</v>
      </c>
      <c r="H796" s="128" t="s">
        <v>1370</v>
      </c>
      <c r="I796" s="519" t="s">
        <v>365</v>
      </c>
      <c r="J796" s="930">
        <v>7.5393923333333346</v>
      </c>
      <c r="K796" s="724"/>
      <c r="L796" s="725"/>
      <c r="M796" s="831">
        <v>6.7395079999999998</v>
      </c>
      <c r="N796" s="724"/>
      <c r="O796" s="725"/>
      <c r="P796" s="831">
        <v>7.326118666666666</v>
      </c>
      <c r="Q796" s="724"/>
      <c r="R796" s="725"/>
      <c r="S796" s="629">
        <v>7.1750366666666672</v>
      </c>
      <c r="T796" s="721"/>
      <c r="U796" s="722"/>
      <c r="V796" s="629">
        <v>3.3359496666666666</v>
      </c>
      <c r="W796" s="721"/>
      <c r="X796" s="722"/>
      <c r="Y796" s="629">
        <v>2.2454123333333333</v>
      </c>
      <c r="Z796" s="721"/>
      <c r="AA796" s="722"/>
      <c r="AB796" s="629">
        <v>1.8765543333333337</v>
      </c>
      <c r="AC796" s="721"/>
      <c r="AD796" s="722"/>
      <c r="AE796" s="831">
        <v>1.8274236666666666</v>
      </c>
      <c r="AF796" s="721"/>
      <c r="AG796" s="722"/>
      <c r="AH796" s="629">
        <v>3.2714430000000001</v>
      </c>
      <c r="AI796" s="721"/>
      <c r="AJ796" s="722"/>
      <c r="AK796" s="629">
        <v>7.3289819999999999</v>
      </c>
      <c r="AL796" s="721"/>
      <c r="AM796" s="722"/>
      <c r="AN796" s="831">
        <v>7.332022666666667</v>
      </c>
      <c r="AO796" s="724"/>
      <c r="AP796" s="725"/>
      <c r="AQ796" s="579">
        <f>7.94-0.24</f>
        <v>7.7</v>
      </c>
      <c r="AR796" s="246"/>
      <c r="AS796" s="282"/>
      <c r="AT796" s="244">
        <f>J796+M796+P796+S796+V796+Y796+AB796+AE796+AH796+AK796+AN796+AQ796</f>
        <v>63.697843333333331</v>
      </c>
      <c r="AU796" s="246"/>
      <c r="AV796" s="336"/>
      <c r="AW796" s="285"/>
      <c r="AX796" s="249"/>
      <c r="AY796" s="441">
        <v>62.444699</v>
      </c>
      <c r="AZ796" s="357"/>
      <c r="BA796" s="357"/>
      <c r="BB796" s="357"/>
      <c r="BC796" s="357"/>
    </row>
    <row r="797" spans="1:55" s="24" customFormat="1">
      <c r="A797" s="179"/>
      <c r="B797" s="179"/>
      <c r="C797" s="179"/>
      <c r="D797" s="181">
        <v>575</v>
      </c>
      <c r="E797" s="181"/>
      <c r="F797" s="181"/>
      <c r="G797" s="1110"/>
      <c r="H797" s="138" t="s">
        <v>174</v>
      </c>
      <c r="I797" s="138"/>
      <c r="J797" s="319">
        <f>SUM(J798:J801)</f>
        <v>28.756882000000001</v>
      </c>
      <c r="K797" s="288"/>
      <c r="L797" s="289"/>
      <c r="M797" s="287">
        <f>SUM(M798:M801)</f>
        <v>31.780111736239995</v>
      </c>
      <c r="N797" s="288"/>
      <c r="O797" s="289"/>
      <c r="P797" s="287">
        <f>SUM(P798:P801)</f>
        <v>31.497035</v>
      </c>
      <c r="Q797" s="288"/>
      <c r="R797" s="289"/>
      <c r="S797" s="287">
        <f>SUM(S798:S801)</f>
        <v>30.492604999999998</v>
      </c>
      <c r="T797" s="288"/>
      <c r="U797" s="289"/>
      <c r="V797" s="287">
        <f>SUM(V798:V801)</f>
        <v>17.373733419354839</v>
      </c>
      <c r="W797" s="288"/>
      <c r="X797" s="289"/>
      <c r="Y797" s="287">
        <f>SUM(Y798:Y801)</f>
        <v>14.855039999999999</v>
      </c>
      <c r="Z797" s="288"/>
      <c r="AA797" s="289"/>
      <c r="AB797" s="287">
        <f>SUM(AB798:AB801)</f>
        <v>14.93036</v>
      </c>
      <c r="AC797" s="288"/>
      <c r="AD797" s="289"/>
      <c r="AE797" s="287">
        <f>SUM(AE798:AE801)</f>
        <v>16.206794967741935</v>
      </c>
      <c r="AF797" s="288"/>
      <c r="AG797" s="289"/>
      <c r="AH797" s="287">
        <f>SUM(AH798:AH801)</f>
        <v>21.866672999999999</v>
      </c>
      <c r="AI797" s="288"/>
      <c r="AJ797" s="289"/>
      <c r="AK797" s="287">
        <f>SUM(AK798:AK801)</f>
        <v>31.066968000000003</v>
      </c>
      <c r="AL797" s="288"/>
      <c r="AM797" s="289"/>
      <c r="AN797" s="287">
        <f>SUM(AN798:AN801)</f>
        <v>32.984031999999999</v>
      </c>
      <c r="AO797" s="288"/>
      <c r="AP797" s="289"/>
      <c r="AQ797" s="287">
        <f>SUM(AQ798:AQ801)</f>
        <v>30.897546774193554</v>
      </c>
      <c r="AR797" s="288"/>
      <c r="AS797" s="289"/>
      <c r="AT797" s="287">
        <f>SUM(AT798:AT801)</f>
        <v>302.70778189753025</v>
      </c>
      <c r="AU797" s="288"/>
      <c r="AV797" s="290"/>
      <c r="AW797" s="285"/>
      <c r="AX797" s="295"/>
      <c r="AY797" s="1066">
        <v>294.619798</v>
      </c>
      <c r="AZ797" s="357"/>
      <c r="BA797" s="357"/>
      <c r="BB797" s="357"/>
      <c r="BC797" s="357"/>
    </row>
    <row r="798" spans="1:55" s="24" customFormat="1">
      <c r="A798" s="179"/>
      <c r="B798" s="179"/>
      <c r="C798" s="179"/>
      <c r="D798" s="181">
        <v>777157</v>
      </c>
      <c r="E798" s="181"/>
      <c r="F798" s="181"/>
      <c r="G798" s="1110">
        <v>777157</v>
      </c>
      <c r="H798" s="135" t="s">
        <v>643</v>
      </c>
      <c r="I798" s="518" t="s">
        <v>365</v>
      </c>
      <c r="J798" s="293">
        <v>0</v>
      </c>
      <c r="K798" s="288"/>
      <c r="L798" s="289"/>
      <c r="M798" s="294">
        <v>0</v>
      </c>
      <c r="N798" s="288"/>
      <c r="O798" s="289"/>
      <c r="P798" s="294">
        <v>0</v>
      </c>
      <c r="Q798" s="288"/>
      <c r="R798" s="289"/>
      <c r="S798" s="294">
        <v>0</v>
      </c>
      <c r="T798" s="288"/>
      <c r="U798" s="289"/>
      <c r="V798" s="294">
        <v>0.52880000000000005</v>
      </c>
      <c r="W798" s="288"/>
      <c r="X798" s="289"/>
      <c r="Y798" s="294">
        <v>0.65539999999999998</v>
      </c>
      <c r="Z798" s="288"/>
      <c r="AA798" s="289"/>
      <c r="AB798" s="294">
        <v>0.71699999999999997</v>
      </c>
      <c r="AC798" s="288"/>
      <c r="AD798" s="289"/>
      <c r="AE798" s="294">
        <v>0.7823</v>
      </c>
      <c r="AF798" s="288"/>
      <c r="AG798" s="289"/>
      <c r="AH798" s="294">
        <v>0.73299999999999998</v>
      </c>
      <c r="AI798" s="288"/>
      <c r="AJ798" s="289"/>
      <c r="AK798" s="294">
        <v>0</v>
      </c>
      <c r="AL798" s="288"/>
      <c r="AM798" s="289"/>
      <c r="AN798" s="294">
        <v>0</v>
      </c>
      <c r="AO798" s="288"/>
      <c r="AP798" s="289"/>
      <c r="AQ798" s="294">
        <v>0</v>
      </c>
      <c r="AR798" s="288"/>
      <c r="AS798" s="289"/>
      <c r="AT798" s="294">
        <f>J798+M798+P798+S798+V798+Y798+AB798+AE798+AH798+AK798+AN798+AQ798</f>
        <v>3.4165000000000005</v>
      </c>
      <c r="AU798" s="288"/>
      <c r="AV798" s="290"/>
      <c r="AW798" s="285"/>
      <c r="AX798" s="295"/>
      <c r="AY798" s="295"/>
      <c r="AZ798" s="357"/>
      <c r="BA798" s="357"/>
      <c r="BB798" s="357"/>
      <c r="BC798" s="357"/>
    </row>
    <row r="799" spans="1:55" s="24" customFormat="1">
      <c r="A799" s="179"/>
      <c r="B799" s="179"/>
      <c r="C799" s="179"/>
      <c r="D799" s="181">
        <v>338840</v>
      </c>
      <c r="E799" s="181"/>
      <c r="F799" s="181"/>
      <c r="G799" s="1110">
        <v>338840</v>
      </c>
      <c r="H799" s="135" t="s">
        <v>642</v>
      </c>
      <c r="I799" s="518" t="s">
        <v>365</v>
      </c>
      <c r="J799" s="293">
        <v>10.96766</v>
      </c>
      <c r="K799" s="288"/>
      <c r="L799" s="289"/>
      <c r="M799" s="294">
        <v>10.535119999999999</v>
      </c>
      <c r="N799" s="288"/>
      <c r="O799" s="289"/>
      <c r="P799" s="1122">
        <v>11.638392</v>
      </c>
      <c r="Q799" s="288"/>
      <c r="R799" s="289"/>
      <c r="S799" s="294">
        <v>9.5201799999999999</v>
      </c>
      <c r="T799" s="288"/>
      <c r="U799" s="289"/>
      <c r="V799" s="1122">
        <v>3.1577759999999997</v>
      </c>
      <c r="W799" s="288"/>
      <c r="X799" s="289"/>
      <c r="Y799" s="294">
        <v>1.65964</v>
      </c>
      <c r="Z799" s="288"/>
      <c r="AA799" s="289"/>
      <c r="AB799" s="1122">
        <v>1.36836</v>
      </c>
      <c r="AC799" s="288"/>
      <c r="AD799" s="289"/>
      <c r="AE799" s="1122">
        <v>1.3555440000000001</v>
      </c>
      <c r="AF799" s="288"/>
      <c r="AG799" s="289"/>
      <c r="AH799" s="294">
        <v>3.7203599999999999</v>
      </c>
      <c r="AI799" s="288"/>
      <c r="AJ799" s="289"/>
      <c r="AK799" s="1122">
        <v>10.500048000000001</v>
      </c>
      <c r="AL799" s="288"/>
      <c r="AM799" s="289"/>
      <c r="AN799" s="1122">
        <v>11.353391999999999</v>
      </c>
      <c r="AO799" s="288"/>
      <c r="AP799" s="289"/>
      <c r="AQ799" s="1122">
        <v>11.08872</v>
      </c>
      <c r="AR799" s="288"/>
      <c r="AS799" s="289"/>
      <c r="AT799" s="294">
        <f>J799+M799+P799+S799+V799+Y799+AB799+AE799+AH799+AK799+AN799+AQ799</f>
        <v>86.865191999999993</v>
      </c>
      <c r="AU799" s="288"/>
      <c r="AV799" s="290"/>
      <c r="AW799" s="285"/>
      <c r="AX799" s="295"/>
      <c r="AY799" s="295"/>
      <c r="AZ799" s="357"/>
      <c r="BA799" s="357"/>
      <c r="BB799" s="357"/>
      <c r="BC799" s="357"/>
    </row>
    <row r="800" spans="1:55" s="24" customFormat="1">
      <c r="A800" s="179"/>
      <c r="B800" s="179"/>
      <c r="C800" s="179"/>
      <c r="D800" s="181">
        <v>338813</v>
      </c>
      <c r="E800" s="181"/>
      <c r="F800" s="181"/>
      <c r="G800" s="1110">
        <v>338813</v>
      </c>
      <c r="H800" s="135" t="s">
        <v>1372</v>
      </c>
      <c r="I800" s="518" t="s">
        <v>365</v>
      </c>
      <c r="J800" s="293">
        <v>14.342000000000001</v>
      </c>
      <c r="K800" s="288"/>
      <c r="L800" s="289"/>
      <c r="M800" s="1122">
        <v>17.330399999999997</v>
      </c>
      <c r="N800" s="288"/>
      <c r="O800" s="289"/>
      <c r="P800" s="294">
        <v>15.646000000000001</v>
      </c>
      <c r="Q800" s="288"/>
      <c r="R800" s="289"/>
      <c r="S800" s="1122">
        <v>17.927999999999997</v>
      </c>
      <c r="T800" s="288"/>
      <c r="U800" s="289"/>
      <c r="V800" s="294">
        <v>13.32</v>
      </c>
      <c r="W800" s="288"/>
      <c r="X800" s="289"/>
      <c r="Y800" s="294">
        <v>12.54</v>
      </c>
      <c r="Z800" s="288"/>
      <c r="AA800" s="289"/>
      <c r="AB800" s="294">
        <v>12.845000000000001</v>
      </c>
      <c r="AC800" s="288"/>
      <c r="AD800" s="289"/>
      <c r="AE800" s="294">
        <v>13.763999999999999</v>
      </c>
      <c r="AF800" s="288"/>
      <c r="AG800" s="289"/>
      <c r="AH800" s="1122">
        <v>16.243199999999998</v>
      </c>
      <c r="AI800" s="288"/>
      <c r="AJ800" s="289"/>
      <c r="AK800" s="294">
        <v>17.928000000000001</v>
      </c>
      <c r="AL800" s="288"/>
      <c r="AM800" s="289"/>
      <c r="AN800" s="1122">
        <v>17.927999999999997</v>
      </c>
      <c r="AO800" s="288"/>
      <c r="AP800" s="289"/>
      <c r="AQ800" s="1122">
        <v>16.300800000000002</v>
      </c>
      <c r="AR800" s="288"/>
      <c r="AS800" s="289"/>
      <c r="AT800" s="294">
        <f>J800+M800+P800+S800+V800+Y800+AB800+AE800+AH800+AK800+AN800+AQ800</f>
        <v>186.11539999999997</v>
      </c>
      <c r="AU800" s="288"/>
      <c r="AV800" s="290"/>
      <c r="AW800" s="285"/>
      <c r="AX800" s="295"/>
      <c r="AY800" s="313"/>
      <c r="AZ800" s="357"/>
      <c r="BA800" s="357"/>
      <c r="BB800" s="357"/>
      <c r="BC800" s="357"/>
    </row>
    <row r="801" spans="1:55" s="24" customFormat="1">
      <c r="A801" s="179"/>
      <c r="B801" s="179"/>
      <c r="C801" s="179"/>
      <c r="D801" s="181">
        <v>338883</v>
      </c>
      <c r="E801" s="181"/>
      <c r="F801" s="181"/>
      <c r="G801" s="1110">
        <v>338883</v>
      </c>
      <c r="H801" s="135" t="s">
        <v>1371</v>
      </c>
      <c r="I801" s="518" t="s">
        <v>365</v>
      </c>
      <c r="J801" s="293">
        <v>3.447222</v>
      </c>
      <c r="K801" s="288"/>
      <c r="L801" s="289"/>
      <c r="M801" s="294">
        <v>3.9145917362400002</v>
      </c>
      <c r="N801" s="288"/>
      <c r="O801" s="289"/>
      <c r="P801" s="1122">
        <v>4.2126429999999999</v>
      </c>
      <c r="Q801" s="288"/>
      <c r="R801" s="289"/>
      <c r="S801" s="1122">
        <v>3.0444249999999999</v>
      </c>
      <c r="T801" s="288"/>
      <c r="U801" s="289"/>
      <c r="V801" s="1122">
        <v>0.3671574193548387</v>
      </c>
      <c r="W801" s="288"/>
      <c r="X801" s="289"/>
      <c r="Y801" s="294">
        <v>0</v>
      </c>
      <c r="Z801" s="288"/>
      <c r="AA801" s="289"/>
      <c r="AB801" s="294">
        <v>0</v>
      </c>
      <c r="AC801" s="288"/>
      <c r="AD801" s="289"/>
      <c r="AE801" s="1122">
        <v>0.30495096774193547</v>
      </c>
      <c r="AF801" s="288"/>
      <c r="AG801" s="289"/>
      <c r="AH801" s="1122">
        <v>1.1701129999999997</v>
      </c>
      <c r="AI801" s="288"/>
      <c r="AJ801" s="289"/>
      <c r="AK801" s="1122">
        <v>2.6389200000000002</v>
      </c>
      <c r="AL801" s="288"/>
      <c r="AM801" s="289"/>
      <c r="AN801" s="1122">
        <v>3.7026399999999997</v>
      </c>
      <c r="AO801" s="288"/>
      <c r="AP801" s="289"/>
      <c r="AQ801" s="1122">
        <v>3.5080267741935485</v>
      </c>
      <c r="AR801" s="288"/>
      <c r="AS801" s="289"/>
      <c r="AT801" s="294">
        <f>J801+M801+P801+S801+V801+Y801+AB801+AE801+AH801+AK801+AN801+AQ801</f>
        <v>26.310689897530324</v>
      </c>
      <c r="AU801" s="288"/>
      <c r="AV801" s="290"/>
      <c r="AW801" s="285"/>
      <c r="AX801" s="295"/>
      <c r="AY801" s="313"/>
      <c r="AZ801" s="357"/>
      <c r="BA801" s="357"/>
      <c r="BB801" s="357"/>
      <c r="BC801" s="357"/>
    </row>
    <row r="802" spans="1:55" s="110" customFormat="1" ht="18.75">
      <c r="A802" s="179"/>
      <c r="B802" s="179"/>
      <c r="C802" s="179"/>
      <c r="D802" s="181">
        <v>338600</v>
      </c>
      <c r="E802" s="181"/>
      <c r="F802" s="181"/>
      <c r="G802" s="181">
        <v>338600</v>
      </c>
      <c r="H802" s="474" t="s">
        <v>1603</v>
      </c>
      <c r="I802" s="474"/>
      <c r="J802" s="277">
        <f>SUM(J803:J804)</f>
        <v>2743.4834616925073</v>
      </c>
      <c r="K802" s="275">
        <f>L802-J802</f>
        <v>606.65717390028885</v>
      </c>
      <c r="L802" s="276">
        <f>Потребление!D50</f>
        <v>3350.1406355927961</v>
      </c>
      <c r="M802" s="274">
        <f>SUM(M803:M804)</f>
        <v>2482.8250246721418</v>
      </c>
      <c r="N802" s="275">
        <f>O802-M802</f>
        <v>669.09078684424276</v>
      </c>
      <c r="O802" s="276">
        <f>Потребление!E50</f>
        <v>3151.9158115163846</v>
      </c>
      <c r="P802" s="274">
        <f>SUM(P803:P804)</f>
        <v>2582.1334243354004</v>
      </c>
      <c r="Q802" s="275">
        <f>R802-P802</f>
        <v>684.2357717875816</v>
      </c>
      <c r="R802" s="276">
        <f>Потребление!F50</f>
        <v>3266.369196122982</v>
      </c>
      <c r="S802" s="274">
        <f>SUM(S803:S804)</f>
        <v>2220.6216486477333</v>
      </c>
      <c r="T802" s="275">
        <f>U802-S802</f>
        <v>713.71979766134564</v>
      </c>
      <c r="U802" s="276">
        <f>Потребление!G50</f>
        <v>2934.3414463090789</v>
      </c>
      <c r="V802" s="274">
        <f>SUM(V803:V804)</f>
        <v>2356.7180226149376</v>
      </c>
      <c r="W802" s="275">
        <f>X802-V802</f>
        <v>462.29124230667412</v>
      </c>
      <c r="X802" s="276">
        <f>Потребление!H50</f>
        <v>2819.0092649216117</v>
      </c>
      <c r="Y802" s="274">
        <f>SUM(Y803:Y804)</f>
        <v>1973.4675315822103</v>
      </c>
      <c r="Z802" s="275">
        <f>AA802-Y802</f>
        <v>704.27085525824828</v>
      </c>
      <c r="AA802" s="276">
        <f>Потребление!I50</f>
        <v>2677.7383868404586</v>
      </c>
      <c r="AB802" s="274">
        <f>SUM(AB803:AB804)</f>
        <v>2115.4901777487216</v>
      </c>
      <c r="AC802" s="275">
        <f>AD802-AB802</f>
        <v>619.40229081534926</v>
      </c>
      <c r="AD802" s="276">
        <f>Потребление!J50</f>
        <v>2734.8924685640709</v>
      </c>
      <c r="AE802" s="274">
        <f>SUM(AE803:AE804)</f>
        <v>2101.9769440868668</v>
      </c>
      <c r="AF802" s="275">
        <f>AG802-AE802</f>
        <v>694.7273600090557</v>
      </c>
      <c r="AG802" s="276">
        <f>Потребление!K50</f>
        <v>2796.7043040959225</v>
      </c>
      <c r="AH802" s="274">
        <f>SUM(AH803:AH804)</f>
        <v>2062.4562581369992</v>
      </c>
      <c r="AI802" s="275">
        <f>AJ802-AH802</f>
        <v>725.77404805557762</v>
      </c>
      <c r="AJ802" s="276">
        <f>Потребление!L50</f>
        <v>2788.2303061925768</v>
      </c>
      <c r="AK802" s="274">
        <f>SUM(AK803:AK804)</f>
        <v>2295.3815672760793</v>
      </c>
      <c r="AL802" s="275">
        <f>AM802-AK802</f>
        <v>814.75025236031479</v>
      </c>
      <c r="AM802" s="276">
        <f>Потребление!M50</f>
        <v>3110.1318196363941</v>
      </c>
      <c r="AN802" s="274">
        <f>SUM(AN803:AN804)</f>
        <v>2460.3098219212325</v>
      </c>
      <c r="AO802" s="275">
        <f>AP802-AN802</f>
        <v>679.95675150743682</v>
      </c>
      <c r="AP802" s="276">
        <f>Потребление!N50</f>
        <v>3140.2665734286693</v>
      </c>
      <c r="AQ802" s="274">
        <f>SUM(AQ803:AQ804)</f>
        <v>2798.2164114436391</v>
      </c>
      <c r="AR802" s="275">
        <f>AS802-AQ802</f>
        <v>597.91201907926188</v>
      </c>
      <c r="AS802" s="276">
        <f>Потребление!O50</f>
        <v>3396.128430522901</v>
      </c>
      <c r="AT802" s="274">
        <f>SUM(AT803:AT804)</f>
        <v>28193.080294158473</v>
      </c>
      <c r="AU802" s="275">
        <f>AV802-AT802</f>
        <v>7972.7883495853712</v>
      </c>
      <c r="AV802" s="278">
        <f>L802+O802+R802+U802+X802+AA802+AD802+AG802+AJ802+AM802+AP802+AS802</f>
        <v>36165.868643743845</v>
      </c>
      <c r="AW802" s="279"/>
      <c r="AX802" s="1067">
        <v>35571.247106700001</v>
      </c>
      <c r="AY802" s="298">
        <f>SUM(AY803:AY804)</f>
        <v>28834.855097400003</v>
      </c>
      <c r="AZ802" s="356"/>
      <c r="BA802" s="356"/>
      <c r="BB802" s="356"/>
      <c r="BC802" s="356"/>
    </row>
    <row r="803" spans="1:55" s="110" customFormat="1">
      <c r="A803" s="179"/>
      <c r="B803" s="179"/>
      <c r="C803" s="179"/>
      <c r="D803" s="181"/>
      <c r="E803" s="181"/>
      <c r="F803" s="181"/>
      <c r="G803" s="181"/>
      <c r="H803" s="124" t="s">
        <v>56</v>
      </c>
      <c r="I803" s="124"/>
      <c r="J803" s="365">
        <f>J805+J808+J809+J812+J816+J820+J823+J824+J827+J828+J829</f>
        <v>2032.442501692507</v>
      </c>
      <c r="K803" s="363"/>
      <c r="L803" s="364"/>
      <c r="M803" s="365">
        <f>M805+M808+M809+M812+M816+M820+M823+M824+M827+M828+M829</f>
        <v>1821.6637846721417</v>
      </c>
      <c r="N803" s="363"/>
      <c r="O803" s="364"/>
      <c r="P803" s="365">
        <f>P805+P808+P809+P812+P816+P820+P823+P824+P827+P828+P829</f>
        <v>1901.1719843354001</v>
      </c>
      <c r="Q803" s="363"/>
      <c r="R803" s="364"/>
      <c r="S803" s="365">
        <f>S805+S808+S809+S812+S816+S820+S823+S824+S827+S828+S829</f>
        <v>1603.1988486477333</v>
      </c>
      <c r="T803" s="363"/>
      <c r="U803" s="364"/>
      <c r="V803" s="365">
        <f>V805+V808+V809+V812+V816+V820+V823+V824+V827+V828+V829</f>
        <v>1743.542062614938</v>
      </c>
      <c r="W803" s="363"/>
      <c r="X803" s="364"/>
      <c r="Y803" s="365">
        <f>Y805+Y808+Y809+Y812+Y816+Y820+Y823+Y824+Y827+Y828+Y829</f>
        <v>1381.2937315822103</v>
      </c>
      <c r="Z803" s="363"/>
      <c r="AA803" s="364"/>
      <c r="AB803" s="365">
        <f>AB805+AB808+AB809+AB812+AB816+AB820+AB823+AB824+AB827+AB828+AB829</f>
        <v>1514.8334177487218</v>
      </c>
      <c r="AC803" s="363"/>
      <c r="AD803" s="364"/>
      <c r="AE803" s="365">
        <f>AE805+AE808+AE809+AE812+AE816+AE820+AE823+AE824+AE827+AE828+AE829</f>
        <v>1487.6329840868668</v>
      </c>
      <c r="AF803" s="363"/>
      <c r="AG803" s="364"/>
      <c r="AH803" s="365">
        <f>AH805+AH808+AH809+AH812+AH816+AH820+AH823+AH824+AH827+AH828+AH829</f>
        <v>1476.010458136999</v>
      </c>
      <c r="AI803" s="363"/>
      <c r="AJ803" s="364"/>
      <c r="AK803" s="365">
        <f>AK805+AK808+AK809+AK812+AK816+AK820+AK823+AK824+AK827+AK828+AK829</f>
        <v>1620.2410072760792</v>
      </c>
      <c r="AL803" s="363"/>
      <c r="AM803" s="364"/>
      <c r="AN803" s="365">
        <f>AN805+AN808+AN809+AN812+AN816+AN820+AN823+AN824+AN827+AN828+AN829</f>
        <v>1766.9950219212321</v>
      </c>
      <c r="AO803" s="363"/>
      <c r="AP803" s="364"/>
      <c r="AQ803" s="365">
        <f>AQ805+AQ808+AQ809+AQ812+AQ816+AQ820+AQ823+AQ824+AQ827+AQ828+AQ829</f>
        <v>2082.1012514436393</v>
      </c>
      <c r="AR803" s="363"/>
      <c r="AS803" s="364"/>
      <c r="AT803" s="365">
        <f>AT805+AT808+AT809+AT812+AT816+AT820+AT823+AT824+AT827+AT828+AT829</f>
        <v>20431.127054158471</v>
      </c>
      <c r="AU803" s="363"/>
      <c r="AV803" s="229"/>
      <c r="AW803" s="226"/>
      <c r="AX803" s="366"/>
      <c r="AY803" s="339">
        <f>AY805+AY808+AY809+AY812+AY816+AY820+AY823+AY824+AY827+AY828+AY829</f>
        <v>21964.808800000003</v>
      </c>
      <c r="AZ803" s="356"/>
      <c r="BA803" s="356"/>
      <c r="BB803" s="356"/>
      <c r="BC803" s="356"/>
    </row>
    <row r="804" spans="1:55" s="110" customFormat="1">
      <c r="A804" s="179"/>
      <c r="B804" s="179"/>
      <c r="C804" s="179"/>
      <c r="D804" s="181"/>
      <c r="E804" s="181"/>
      <c r="F804" s="181"/>
      <c r="G804" s="181"/>
      <c r="H804" s="124" t="s">
        <v>99</v>
      </c>
      <c r="I804" s="124"/>
      <c r="J804" s="365">
        <f>J830</f>
        <v>711.04096000000004</v>
      </c>
      <c r="K804" s="363"/>
      <c r="L804" s="364"/>
      <c r="M804" s="362">
        <f>M830</f>
        <v>661.16124000000002</v>
      </c>
      <c r="N804" s="363"/>
      <c r="O804" s="364"/>
      <c r="P804" s="362">
        <f>P830</f>
        <v>680.96144000000015</v>
      </c>
      <c r="Q804" s="363"/>
      <c r="R804" s="364"/>
      <c r="S804" s="362">
        <f>S830</f>
        <v>617.42280000000005</v>
      </c>
      <c r="T804" s="363"/>
      <c r="U804" s="364"/>
      <c r="V804" s="362">
        <f>V830</f>
        <v>613.1759599999998</v>
      </c>
      <c r="W804" s="363"/>
      <c r="X804" s="364"/>
      <c r="Y804" s="362">
        <f>Y830</f>
        <v>592.17380000000003</v>
      </c>
      <c r="Z804" s="363"/>
      <c r="AA804" s="364"/>
      <c r="AB804" s="362">
        <f>AB830</f>
        <v>600.65675999999974</v>
      </c>
      <c r="AC804" s="363"/>
      <c r="AD804" s="364"/>
      <c r="AE804" s="362">
        <f>AE830</f>
        <v>614.3439599999997</v>
      </c>
      <c r="AF804" s="363"/>
      <c r="AG804" s="364"/>
      <c r="AH804" s="362">
        <f>AH830</f>
        <v>586.44579999999996</v>
      </c>
      <c r="AI804" s="363"/>
      <c r="AJ804" s="364"/>
      <c r="AK804" s="362">
        <f>AK830</f>
        <v>675.14055999999994</v>
      </c>
      <c r="AL804" s="363"/>
      <c r="AM804" s="364"/>
      <c r="AN804" s="362">
        <f>AN830</f>
        <v>693.3148000000001</v>
      </c>
      <c r="AO804" s="363"/>
      <c r="AP804" s="364"/>
      <c r="AQ804" s="362">
        <f>AQ830</f>
        <v>716.11515999999995</v>
      </c>
      <c r="AR804" s="363"/>
      <c r="AS804" s="364"/>
      <c r="AT804" s="362">
        <f>AT830</f>
        <v>7761.9532400000016</v>
      </c>
      <c r="AU804" s="363"/>
      <c r="AV804" s="229"/>
      <c r="AW804" s="226"/>
      <c r="AX804" s="366"/>
      <c r="AY804" s="339">
        <f>AY830</f>
        <v>6870.0462974000002</v>
      </c>
      <c r="AZ804" s="356"/>
      <c r="BA804" s="356"/>
      <c r="BB804" s="356"/>
      <c r="BC804" s="356"/>
    </row>
    <row r="805" spans="1:55" s="109" customFormat="1">
      <c r="A805" s="179"/>
      <c r="B805" s="179"/>
      <c r="C805" s="179"/>
      <c r="D805" s="181">
        <v>338626</v>
      </c>
      <c r="E805" s="181"/>
      <c r="F805" s="181"/>
      <c r="G805" s="1110">
        <v>338626</v>
      </c>
      <c r="H805" s="132" t="s">
        <v>1123</v>
      </c>
      <c r="I805" s="516" t="s">
        <v>364</v>
      </c>
      <c r="J805" s="262">
        <f>SUM(J806:J807)</f>
        <v>80.947200000000009</v>
      </c>
      <c r="K805" s="246"/>
      <c r="L805" s="282"/>
      <c r="M805" s="317">
        <f>SUM(M806:M807)</f>
        <v>75.724800000000002</v>
      </c>
      <c r="N805" s="246"/>
      <c r="O805" s="282"/>
      <c r="P805" s="317">
        <f>SUM(P806:P807)</f>
        <v>80.947200000000009</v>
      </c>
      <c r="Q805" s="246"/>
      <c r="R805" s="282"/>
      <c r="S805" s="317">
        <f>SUM(S806:S807)</f>
        <v>74.313359999999989</v>
      </c>
      <c r="T805" s="246"/>
      <c r="U805" s="282"/>
      <c r="V805" s="317">
        <f>SUM(V806:V807)</f>
        <v>71.807903999999994</v>
      </c>
      <c r="W805" s="246"/>
      <c r="X805" s="282"/>
      <c r="Y805" s="317">
        <f>SUM(Y806:Y807)</f>
        <v>36.600479999999997</v>
      </c>
      <c r="Z805" s="246"/>
      <c r="AA805" s="282"/>
      <c r="AB805" s="317">
        <f>SUM(AB806:AB807)</f>
        <v>70.679999999999993</v>
      </c>
      <c r="AC805" s="246"/>
      <c r="AD805" s="282"/>
      <c r="AE805" s="317">
        <f>SUM(AE806:AE807)</f>
        <v>70.679999999999993</v>
      </c>
      <c r="AF805" s="246"/>
      <c r="AG805" s="282"/>
      <c r="AH805" s="317">
        <f>SUM(AH806:AH807)</f>
        <v>70.559999999999988</v>
      </c>
      <c r="AI805" s="246"/>
      <c r="AJ805" s="282"/>
      <c r="AK805" s="317">
        <f>SUM(AK806:AK807)</f>
        <v>80.947199999999995</v>
      </c>
      <c r="AL805" s="246"/>
      <c r="AM805" s="282"/>
      <c r="AN805" s="317">
        <f>SUM(AN806:AN807)</f>
        <v>68.51952</v>
      </c>
      <c r="AO805" s="246"/>
      <c r="AP805" s="282"/>
      <c r="AQ805" s="317">
        <f>SUM(AQ806:AQ807)</f>
        <v>80.947200000000009</v>
      </c>
      <c r="AR805" s="246"/>
      <c r="AS805" s="282"/>
      <c r="AT805" s="317">
        <f>SUM(AT806:AT807)</f>
        <v>862.67486400000007</v>
      </c>
      <c r="AU805" s="246"/>
      <c r="AV805" s="336"/>
      <c r="AW805" s="285"/>
      <c r="AX805" s="249"/>
      <c r="AY805" s="1068">
        <v>862.36300000000006</v>
      </c>
      <c r="AZ805" s="368"/>
      <c r="BA805" s="368"/>
      <c r="BB805" s="368"/>
      <c r="BC805" s="368"/>
    </row>
    <row r="806" spans="1:55" s="24" customFormat="1">
      <c r="A806" s="179"/>
      <c r="B806" s="179"/>
      <c r="C806" s="179"/>
      <c r="D806" s="181"/>
      <c r="E806" s="181"/>
      <c r="F806" s="181"/>
      <c r="G806" s="1110"/>
      <c r="H806" s="127" t="s">
        <v>1118</v>
      </c>
      <c r="I806" s="127"/>
      <c r="J806" s="579">
        <f>27.702-9.102</f>
        <v>18.600000000000001</v>
      </c>
      <c r="K806" s="724"/>
      <c r="L806" s="725"/>
      <c r="M806" s="579">
        <f>22.416-5.016</f>
        <v>17.399999999999999</v>
      </c>
      <c r="N806" s="724"/>
      <c r="O806" s="725"/>
      <c r="P806" s="579">
        <f>23.404-4.804</f>
        <v>18.600000000000001</v>
      </c>
      <c r="Q806" s="724"/>
      <c r="R806" s="725"/>
      <c r="S806" s="802">
        <f>16.429+1.571</f>
        <v>18</v>
      </c>
      <c r="T806" s="721"/>
      <c r="U806" s="722"/>
      <c r="V806" s="579">
        <f>11.904-1.104096</f>
        <v>10.799904</v>
      </c>
      <c r="W806" s="724"/>
      <c r="X806" s="725"/>
      <c r="Y806" s="579">
        <f>7.137-3.177</f>
        <v>3.9599999999999995</v>
      </c>
      <c r="Z806" s="724"/>
      <c r="AA806" s="725"/>
      <c r="AB806" s="802">
        <f>6.469+4.691</f>
        <v>11.16</v>
      </c>
      <c r="AC806" s="721"/>
      <c r="AD806" s="722"/>
      <c r="AE806" s="802">
        <f>9.078+2.082</f>
        <v>11.16</v>
      </c>
      <c r="AF806" s="721"/>
      <c r="AG806" s="722"/>
      <c r="AH806" s="802">
        <f>9.55+1.97</f>
        <v>11.520000000000001</v>
      </c>
      <c r="AI806" s="721"/>
      <c r="AJ806" s="722"/>
      <c r="AK806" s="579">
        <f>20.543-1.943</f>
        <v>18.599999999999998</v>
      </c>
      <c r="AL806" s="724"/>
      <c r="AM806" s="725"/>
      <c r="AN806" s="579">
        <f>20.554-2.554</f>
        <v>18</v>
      </c>
      <c r="AO806" s="724"/>
      <c r="AP806" s="725"/>
      <c r="AQ806" s="579">
        <f>22.642-4.042</f>
        <v>18.600000000000001</v>
      </c>
      <c r="AR806" s="246"/>
      <c r="AS806" s="282"/>
      <c r="AT806" s="244">
        <f t="shared" ref="AT806:AT829" si="28">J806+M806+P806+S806+V806+Y806+AB806+AE806+AH806+AK806+AN806+AQ806</f>
        <v>176.39990399999996</v>
      </c>
      <c r="AU806" s="246"/>
      <c r="AV806" s="336"/>
      <c r="AW806" s="285"/>
      <c r="AX806" s="249"/>
      <c r="AY806" s="338"/>
      <c r="AZ806" s="357"/>
      <c r="BA806" s="357"/>
      <c r="BB806" s="357"/>
      <c r="BC806" s="357"/>
    </row>
    <row r="807" spans="1:55" s="24" customFormat="1">
      <c r="A807" s="179"/>
      <c r="B807" s="179"/>
      <c r="C807" s="179"/>
      <c r="D807" s="181"/>
      <c r="E807" s="181"/>
      <c r="F807" s="181"/>
      <c r="G807" s="1110"/>
      <c r="H807" s="127" t="s">
        <v>1119</v>
      </c>
      <c r="I807" s="127"/>
      <c r="J807" s="802">
        <f>58.08+4.2672</f>
        <v>62.347200000000001</v>
      </c>
      <c r="K807" s="721"/>
      <c r="L807" s="722"/>
      <c r="M807" s="802">
        <f>51.822+6.5028</f>
        <v>58.324800000000003</v>
      </c>
      <c r="N807" s="721"/>
      <c r="O807" s="722"/>
      <c r="P807" s="802">
        <f>56.665+5.6822</f>
        <v>62.347200000000001</v>
      </c>
      <c r="Q807" s="721"/>
      <c r="R807" s="722"/>
      <c r="S807" s="802">
        <f>52.986+3.32736</f>
        <v>56.313359999999996</v>
      </c>
      <c r="T807" s="721"/>
      <c r="U807" s="722"/>
      <c r="V807" s="802">
        <f>29.537+31.471</f>
        <v>61.007999999999996</v>
      </c>
      <c r="W807" s="721"/>
      <c r="X807" s="722"/>
      <c r="Y807" s="579">
        <f>38.256-5.61552</f>
        <v>32.640479999999997</v>
      </c>
      <c r="Z807" s="724"/>
      <c r="AA807" s="725"/>
      <c r="AB807" s="802">
        <f>32.402+27.118</f>
        <v>59.519999999999996</v>
      </c>
      <c r="AC807" s="721"/>
      <c r="AD807" s="722"/>
      <c r="AE807" s="802">
        <f>46.104+13.416</f>
        <v>59.519999999999996</v>
      </c>
      <c r="AF807" s="721"/>
      <c r="AG807" s="722"/>
      <c r="AH807" s="802">
        <f>42.23+16.81</f>
        <v>59.039999999999992</v>
      </c>
      <c r="AI807" s="721"/>
      <c r="AJ807" s="722"/>
      <c r="AK807" s="802">
        <f>55.344+7.0032</f>
        <v>62.347200000000001</v>
      </c>
      <c r="AL807" s="721"/>
      <c r="AM807" s="722"/>
      <c r="AN807" s="802">
        <f>46.72+3.79952</f>
        <v>50.51952</v>
      </c>
      <c r="AO807" s="721"/>
      <c r="AP807" s="722"/>
      <c r="AQ807" s="802">
        <f>59.338+3.0092</f>
        <v>62.347200000000001</v>
      </c>
      <c r="AR807" s="246"/>
      <c r="AS807" s="282"/>
      <c r="AT807" s="244">
        <f t="shared" si="28"/>
        <v>686.27496000000008</v>
      </c>
      <c r="AU807" s="246"/>
      <c r="AV807" s="336"/>
      <c r="AW807" s="285"/>
      <c r="AX807" s="249"/>
      <c r="AY807" s="338"/>
      <c r="AZ807" s="357"/>
      <c r="BA807" s="357"/>
      <c r="BB807" s="357"/>
      <c r="BC807" s="357"/>
    </row>
    <row r="808" spans="1:55" s="24" customFormat="1">
      <c r="A808" s="179"/>
      <c r="B808" s="179"/>
      <c r="C808" s="179"/>
      <c r="D808" s="181">
        <v>338610</v>
      </c>
      <c r="E808" s="181"/>
      <c r="F808" s="181"/>
      <c r="G808" s="1110">
        <v>338610</v>
      </c>
      <c r="H808" s="127" t="s">
        <v>1120</v>
      </c>
      <c r="I808" s="516" t="s">
        <v>364</v>
      </c>
      <c r="J808" s="802">
        <f>178.027+22.853</f>
        <v>200.88</v>
      </c>
      <c r="K808" s="721"/>
      <c r="L808" s="722"/>
      <c r="M808" s="802">
        <f>158.528+29.392</f>
        <v>187.92</v>
      </c>
      <c r="N808" s="721"/>
      <c r="O808" s="722"/>
      <c r="P808" s="802">
        <f>145.866+24.51</f>
        <v>170.376</v>
      </c>
      <c r="Q808" s="721"/>
      <c r="R808" s="722"/>
      <c r="S808" s="802">
        <f>127.658+7.702</f>
        <v>135.36000000000001</v>
      </c>
      <c r="T808" s="721"/>
      <c r="U808" s="722"/>
      <c r="V808" s="345">
        <f>126.159+10</f>
        <v>136.15899999999999</v>
      </c>
      <c r="W808" s="721"/>
      <c r="X808" s="722"/>
      <c r="Y808" s="345">
        <f>110.008+10</f>
        <v>120.008</v>
      </c>
      <c r="Z808" s="721"/>
      <c r="AA808" s="722"/>
      <c r="AB808" s="629">
        <v>107.407</v>
      </c>
      <c r="AC808" s="721"/>
      <c r="AD808" s="722"/>
      <c r="AE808" s="629">
        <v>90.097999999999999</v>
      </c>
      <c r="AF808" s="721"/>
      <c r="AG808" s="722"/>
      <c r="AH808" s="629">
        <v>66.240000000000009</v>
      </c>
      <c r="AI808" s="721"/>
      <c r="AJ808" s="722"/>
      <c r="AK808" s="802">
        <f>120.121+22.727</f>
        <v>142.84799999999998</v>
      </c>
      <c r="AL808" s="721"/>
      <c r="AM808" s="722"/>
      <c r="AN808" s="802">
        <f>142.837+27.083</f>
        <v>169.92</v>
      </c>
      <c r="AO808" s="721"/>
      <c r="AP808" s="722"/>
      <c r="AQ808" s="802">
        <f>170.614+28.034</f>
        <v>198.648</v>
      </c>
      <c r="AR808" s="246"/>
      <c r="AS808" s="282"/>
      <c r="AT808" s="244">
        <f t="shared" si="28"/>
        <v>1725.8639999999998</v>
      </c>
      <c r="AU808" s="246"/>
      <c r="AV808" s="336"/>
      <c r="AW808" s="285"/>
      <c r="AX808" s="249"/>
      <c r="AY808" s="438">
        <v>1624.684</v>
      </c>
      <c r="AZ808" s="357"/>
      <c r="BA808" s="357"/>
      <c r="BB808" s="357"/>
      <c r="BC808" s="357"/>
    </row>
    <row r="809" spans="1:55" s="24" customFormat="1">
      <c r="A809" s="179"/>
      <c r="B809" s="179"/>
      <c r="C809" s="179"/>
      <c r="D809" s="181">
        <v>338613</v>
      </c>
      <c r="E809" s="181"/>
      <c r="F809" s="181"/>
      <c r="G809" s="1110">
        <v>338613</v>
      </c>
      <c r="H809" s="132" t="s">
        <v>1124</v>
      </c>
      <c r="I809" s="516" t="s">
        <v>364</v>
      </c>
      <c r="J809" s="262">
        <f>SUM(J810:J811)</f>
        <v>368.97936000000004</v>
      </c>
      <c r="K809" s="246"/>
      <c r="L809" s="282"/>
      <c r="M809" s="317">
        <f>SUM(M810:M811)</f>
        <v>348.57767999999999</v>
      </c>
      <c r="N809" s="246"/>
      <c r="O809" s="282"/>
      <c r="P809" s="317">
        <f>SUM(P810:P811)</f>
        <v>343.25358000000006</v>
      </c>
      <c r="Q809" s="246"/>
      <c r="R809" s="282"/>
      <c r="S809" s="317">
        <f>SUM(S810:S811)</f>
        <v>302.50351999999998</v>
      </c>
      <c r="T809" s="246"/>
      <c r="U809" s="282"/>
      <c r="V809" s="317">
        <f>SUM(V810:V811)</f>
        <v>282.13679000000002</v>
      </c>
      <c r="W809" s="246"/>
      <c r="X809" s="282"/>
      <c r="Y809" s="317">
        <f>SUM(Y810:Y811)</f>
        <v>210.96029000000001</v>
      </c>
      <c r="Z809" s="246"/>
      <c r="AA809" s="282"/>
      <c r="AB809" s="317">
        <f>SUM(AB810:AB811)</f>
        <v>242.24449000000001</v>
      </c>
      <c r="AC809" s="246"/>
      <c r="AD809" s="282"/>
      <c r="AE809" s="317">
        <f>SUM(AE810:AE811)</f>
        <v>234.45598000000001</v>
      </c>
      <c r="AF809" s="246"/>
      <c r="AG809" s="282"/>
      <c r="AH809" s="317">
        <f>SUM(AH810:AH811)</f>
        <v>236.72548999999998</v>
      </c>
      <c r="AI809" s="246"/>
      <c r="AJ809" s="282"/>
      <c r="AK809" s="317">
        <f>SUM(AK810:AK811)</f>
        <v>312.45701999999994</v>
      </c>
      <c r="AL809" s="246"/>
      <c r="AM809" s="282"/>
      <c r="AN809" s="317">
        <f>SUM(AN810:AN811)</f>
        <v>344.69287000000003</v>
      </c>
      <c r="AO809" s="246"/>
      <c r="AP809" s="282"/>
      <c r="AQ809" s="317">
        <f>SUM(AQ810:AQ811)</f>
        <v>382.33193</v>
      </c>
      <c r="AR809" s="246"/>
      <c r="AS809" s="282"/>
      <c r="AT809" s="317">
        <f>SUM(AT810:AT811)</f>
        <v>3609.319</v>
      </c>
      <c r="AU809" s="246"/>
      <c r="AV809" s="336"/>
      <c r="AW809" s="285"/>
      <c r="AX809" s="249"/>
      <c r="AY809" s="440">
        <v>3947.723</v>
      </c>
      <c r="AZ809" s="357"/>
      <c r="BA809" s="357"/>
      <c r="BB809" s="357"/>
      <c r="BC809" s="357"/>
    </row>
    <row r="810" spans="1:55" s="24" customFormat="1">
      <c r="A810" s="179"/>
      <c r="B810" s="179"/>
      <c r="C810" s="179"/>
      <c r="D810" s="181"/>
      <c r="E810" s="181"/>
      <c r="F810" s="181"/>
      <c r="G810" s="1110"/>
      <c r="H810" s="127" t="s">
        <v>1121</v>
      </c>
      <c r="I810" s="127"/>
      <c r="J810" s="802">
        <f>226.49968+16.04432</f>
        <v>242.54400000000001</v>
      </c>
      <c r="K810" s="721"/>
      <c r="L810" s="722"/>
      <c r="M810" s="802">
        <f>200.80114+28.16198</f>
        <v>228.96312</v>
      </c>
      <c r="N810" s="721"/>
      <c r="O810" s="722"/>
      <c r="P810" s="629">
        <v>209.03598000000002</v>
      </c>
      <c r="Q810" s="721"/>
      <c r="R810" s="722"/>
      <c r="S810" s="629">
        <v>218.00576000000001</v>
      </c>
      <c r="T810" s="721"/>
      <c r="U810" s="722"/>
      <c r="V810" s="345">
        <f>112.15874+40</f>
        <v>152.15873999999999</v>
      </c>
      <c r="W810" s="721"/>
      <c r="X810" s="722"/>
      <c r="Y810" s="629">
        <v>106.70472000000001</v>
      </c>
      <c r="Z810" s="721"/>
      <c r="AA810" s="722"/>
      <c r="AB810" s="629">
        <v>99.164780000000007</v>
      </c>
      <c r="AC810" s="721"/>
      <c r="AD810" s="722"/>
      <c r="AE810" s="629">
        <v>113.42206</v>
      </c>
      <c r="AF810" s="721"/>
      <c r="AG810" s="722"/>
      <c r="AH810" s="629">
        <v>117.9121</v>
      </c>
      <c r="AI810" s="721"/>
      <c r="AJ810" s="722"/>
      <c r="AK810" s="629">
        <v>183.92848999999998</v>
      </c>
      <c r="AL810" s="721"/>
      <c r="AM810" s="722"/>
      <c r="AN810" s="629">
        <v>207.16848000000002</v>
      </c>
      <c r="AO810" s="721"/>
      <c r="AP810" s="722"/>
      <c r="AQ810" s="802">
        <f>214.64784+33.84816</f>
        <v>248.49600000000001</v>
      </c>
      <c r="AR810" s="246"/>
      <c r="AS810" s="282"/>
      <c r="AT810" s="244">
        <f t="shared" si="28"/>
        <v>2127.50423</v>
      </c>
      <c r="AU810" s="246"/>
      <c r="AV810" s="336"/>
      <c r="AW810" s="285"/>
      <c r="AX810" s="249"/>
      <c r="AY810" s="249"/>
      <c r="AZ810" s="357"/>
      <c r="BA810" s="357"/>
      <c r="BB810" s="357"/>
      <c r="BC810" s="357"/>
    </row>
    <row r="811" spans="1:55" s="24" customFormat="1">
      <c r="A811" s="179"/>
      <c r="B811" s="179"/>
      <c r="C811" s="179"/>
      <c r="D811" s="181"/>
      <c r="E811" s="181"/>
      <c r="F811" s="181"/>
      <c r="G811" s="1110"/>
      <c r="H811" s="127" t="s">
        <v>1122</v>
      </c>
      <c r="I811" s="127"/>
      <c r="J811" s="720">
        <v>126.43536</v>
      </c>
      <c r="K811" s="721"/>
      <c r="L811" s="722"/>
      <c r="M811" s="629">
        <v>119.61456</v>
      </c>
      <c r="N811" s="721"/>
      <c r="O811" s="722"/>
      <c r="P811" s="629">
        <v>134.2176</v>
      </c>
      <c r="Q811" s="721"/>
      <c r="R811" s="722"/>
      <c r="S811" s="629">
        <v>84.49776</v>
      </c>
      <c r="T811" s="721"/>
      <c r="U811" s="722"/>
      <c r="V811" s="345">
        <f>99.97805+30</f>
        <v>129.97805</v>
      </c>
      <c r="W811" s="721"/>
      <c r="X811" s="722"/>
      <c r="Y811" s="629">
        <v>104.25557000000001</v>
      </c>
      <c r="Z811" s="721"/>
      <c r="AA811" s="722"/>
      <c r="AB811" s="345">
        <f>103.07971+40</f>
        <v>143.07971000000001</v>
      </c>
      <c r="AC811" s="721"/>
      <c r="AD811" s="722"/>
      <c r="AE811" s="629">
        <v>121.03391999999999</v>
      </c>
      <c r="AF811" s="721"/>
      <c r="AG811" s="722"/>
      <c r="AH811" s="629">
        <v>118.81339</v>
      </c>
      <c r="AI811" s="721"/>
      <c r="AJ811" s="722"/>
      <c r="AK811" s="629">
        <v>128.52852999999999</v>
      </c>
      <c r="AL811" s="721"/>
      <c r="AM811" s="722"/>
      <c r="AN811" s="629">
        <v>137.52439000000001</v>
      </c>
      <c r="AO811" s="721"/>
      <c r="AP811" s="722"/>
      <c r="AQ811" s="629">
        <v>133.83592999999999</v>
      </c>
      <c r="AR811" s="246"/>
      <c r="AS811" s="282"/>
      <c r="AT811" s="244">
        <f t="shared" si="28"/>
        <v>1481.81477</v>
      </c>
      <c r="AU811" s="246"/>
      <c r="AV811" s="336"/>
      <c r="AW811" s="285"/>
      <c r="AX811" s="249"/>
      <c r="AY811" s="249"/>
      <c r="AZ811" s="357"/>
      <c r="BA811" s="357"/>
      <c r="BB811" s="357"/>
      <c r="BC811" s="357"/>
    </row>
    <row r="812" spans="1:55" s="24" customFormat="1">
      <c r="A812" s="179"/>
      <c r="B812" s="179"/>
      <c r="C812" s="179"/>
      <c r="D812" s="181">
        <v>338627</v>
      </c>
      <c r="E812" s="181"/>
      <c r="F812" s="181"/>
      <c r="G812" s="1110">
        <v>338627</v>
      </c>
      <c r="H812" s="132" t="s">
        <v>1125</v>
      </c>
      <c r="I812" s="516" t="s">
        <v>364</v>
      </c>
      <c r="J812" s="262">
        <f>SUM(J813:J815)</f>
        <v>128.18199999999999</v>
      </c>
      <c r="K812" s="246"/>
      <c r="L812" s="282"/>
      <c r="M812" s="317">
        <f>SUM(M813:M815)</f>
        <v>120.46272</v>
      </c>
      <c r="N812" s="246"/>
      <c r="O812" s="282"/>
      <c r="P812" s="317">
        <f>SUM(P813:P815)</f>
        <v>121.96516</v>
      </c>
      <c r="Q812" s="246"/>
      <c r="R812" s="282"/>
      <c r="S812" s="317">
        <f>SUM(S813:S815)</f>
        <v>118.074</v>
      </c>
      <c r="T812" s="246"/>
      <c r="U812" s="282"/>
      <c r="V812" s="317">
        <f>SUM(V813:V815)</f>
        <v>96.149000000000001</v>
      </c>
      <c r="W812" s="246"/>
      <c r="X812" s="282"/>
      <c r="Y812" s="317">
        <f>SUM(Y813:Y815)</f>
        <v>56.28</v>
      </c>
      <c r="Z812" s="246"/>
      <c r="AA812" s="282"/>
      <c r="AB812" s="317">
        <f>SUM(AB813:AB815)</f>
        <v>72.489000000000004</v>
      </c>
      <c r="AC812" s="246"/>
      <c r="AD812" s="282"/>
      <c r="AE812" s="317">
        <f>SUM(AE813:AE815)</f>
        <v>87.300216000000006</v>
      </c>
      <c r="AF812" s="246"/>
      <c r="AG812" s="282"/>
      <c r="AH812" s="317">
        <f>SUM(AH813:AH815)</f>
        <v>74.88</v>
      </c>
      <c r="AI812" s="246"/>
      <c r="AJ812" s="282"/>
      <c r="AK812" s="317">
        <f>SUM(AK813:AK815)</f>
        <v>95.787000000000006</v>
      </c>
      <c r="AL812" s="246"/>
      <c r="AM812" s="282"/>
      <c r="AN812" s="317">
        <f>SUM(AN813:AN815)</f>
        <v>119.16</v>
      </c>
      <c r="AO812" s="246"/>
      <c r="AP812" s="282"/>
      <c r="AQ812" s="317">
        <f>SUM(AQ813:AQ815)</f>
        <v>129.45600000000002</v>
      </c>
      <c r="AR812" s="246"/>
      <c r="AS812" s="282"/>
      <c r="AT812" s="317">
        <f>SUM(AT813:AT815)</f>
        <v>1220.1850960000002</v>
      </c>
      <c r="AU812" s="246"/>
      <c r="AV812" s="336"/>
      <c r="AW812" s="285"/>
      <c r="AX812" s="249"/>
      <c r="AY812" s="440">
        <v>997.04205899999999</v>
      </c>
      <c r="AZ812" s="357"/>
      <c r="BA812" s="357"/>
      <c r="BB812" s="357"/>
      <c r="BC812" s="357"/>
    </row>
    <row r="813" spans="1:55" s="24" customFormat="1">
      <c r="A813" s="179"/>
      <c r="B813" s="179"/>
      <c r="C813" s="179"/>
      <c r="D813" s="181"/>
      <c r="E813" s="181"/>
      <c r="F813" s="181"/>
      <c r="G813" s="1110"/>
      <c r="H813" s="127" t="s">
        <v>1126</v>
      </c>
      <c r="I813" s="516"/>
      <c r="J813" s="802">
        <f>49.848+17.112</f>
        <v>66.959999999999994</v>
      </c>
      <c r="K813" s="721"/>
      <c r="L813" s="722"/>
      <c r="M813" s="802">
        <f>46.646+26.37832</f>
        <v>73.024320000000003</v>
      </c>
      <c r="N813" s="721"/>
      <c r="O813" s="722"/>
      <c r="P813" s="802">
        <f>44.088+36.55416</f>
        <v>80.642160000000004</v>
      </c>
      <c r="Q813" s="721"/>
      <c r="R813" s="722"/>
      <c r="S813" s="802">
        <f>44.352+28.368</f>
        <v>72.72</v>
      </c>
      <c r="T813" s="721"/>
      <c r="U813" s="722"/>
      <c r="V813" s="802">
        <f>18.6+28.644</f>
        <v>47.244</v>
      </c>
      <c r="W813" s="721"/>
      <c r="X813" s="722"/>
      <c r="Y813" s="629">
        <v>24.96</v>
      </c>
      <c r="Z813" s="721"/>
      <c r="AA813" s="722"/>
      <c r="AB813" s="345">
        <f>31+10</f>
        <v>41</v>
      </c>
      <c r="AC813" s="721"/>
      <c r="AD813" s="722"/>
      <c r="AE813" s="629">
        <v>38.688000000000002</v>
      </c>
      <c r="AF813" s="721"/>
      <c r="AG813" s="722"/>
      <c r="AH813" s="802">
        <f>17.28+5.04</f>
        <v>22.32</v>
      </c>
      <c r="AI813" s="721"/>
      <c r="AJ813" s="722"/>
      <c r="AK813" s="802">
        <f>34.668+15.552</f>
        <v>50.22</v>
      </c>
      <c r="AL813" s="721"/>
      <c r="AM813" s="722"/>
      <c r="AN813" s="802">
        <f>48.6+16.2</f>
        <v>64.8</v>
      </c>
      <c r="AO813" s="721"/>
      <c r="AP813" s="722"/>
      <c r="AQ813" s="802">
        <f>49.872+17.088</f>
        <v>66.960000000000008</v>
      </c>
      <c r="AR813" s="246"/>
      <c r="AS813" s="282"/>
      <c r="AT813" s="244">
        <f t="shared" si="28"/>
        <v>649.53848000000005</v>
      </c>
      <c r="AU813" s="246"/>
      <c r="AV813" s="336"/>
      <c r="AW813" s="285"/>
      <c r="AX813" s="249"/>
      <c r="AY813" s="441"/>
      <c r="AZ813" s="357"/>
      <c r="BA813" s="357"/>
      <c r="BB813" s="357"/>
      <c r="BC813" s="357"/>
    </row>
    <row r="814" spans="1:55" s="24" customFormat="1">
      <c r="A814" s="179"/>
      <c r="B814" s="179"/>
      <c r="C814" s="179"/>
      <c r="D814" s="181"/>
      <c r="E814" s="181"/>
      <c r="F814" s="181"/>
      <c r="G814" s="1110"/>
      <c r="H814" s="127" t="s">
        <v>1127</v>
      </c>
      <c r="I814" s="516"/>
      <c r="J814" s="802">
        <f>31.823+11.329</f>
        <v>43.152000000000001</v>
      </c>
      <c r="K814" s="721"/>
      <c r="L814" s="722"/>
      <c r="M814" s="721">
        <v>29.759999999999998</v>
      </c>
      <c r="N814" s="721"/>
      <c r="O814" s="722"/>
      <c r="P814" s="629">
        <v>24.053000000000001</v>
      </c>
      <c r="Q814" s="721"/>
      <c r="R814" s="722"/>
      <c r="S814" s="629">
        <v>33.114000000000004</v>
      </c>
      <c r="T814" s="721"/>
      <c r="U814" s="722"/>
      <c r="V814" s="629">
        <v>30.305</v>
      </c>
      <c r="W814" s="721"/>
      <c r="X814" s="722"/>
      <c r="Y814" s="802">
        <f>29.872+1.448</f>
        <v>31.32</v>
      </c>
      <c r="Z814" s="721"/>
      <c r="AA814" s="722"/>
      <c r="AB814" s="629">
        <v>31.489000000000001</v>
      </c>
      <c r="AC814" s="721"/>
      <c r="AD814" s="722"/>
      <c r="AE814" s="802">
        <f>19.857+12.135</f>
        <v>31.991999999999997</v>
      </c>
      <c r="AF814" s="721"/>
      <c r="AG814" s="722"/>
      <c r="AH814" s="802">
        <f>28.307+6.973</f>
        <v>35.28</v>
      </c>
      <c r="AI814" s="721"/>
      <c r="AJ814" s="722"/>
      <c r="AK814" s="802">
        <f>31.248+5.208</f>
        <v>36.456000000000003</v>
      </c>
      <c r="AL814" s="721"/>
      <c r="AM814" s="722"/>
      <c r="AN814" s="802">
        <f>30.24+8.64</f>
        <v>38.879999999999995</v>
      </c>
      <c r="AO814" s="721"/>
      <c r="AP814" s="722"/>
      <c r="AQ814" s="802">
        <f>30.87+12.282</f>
        <v>43.152000000000001</v>
      </c>
      <c r="AR814" s="246"/>
      <c r="AS814" s="282"/>
      <c r="AT814" s="244">
        <f t="shared" si="28"/>
        <v>408.95300000000003</v>
      </c>
      <c r="AU814" s="246"/>
      <c r="AV814" s="336"/>
      <c r="AW814" s="285"/>
      <c r="AX814" s="249"/>
      <c r="AY814" s="441"/>
      <c r="AZ814" s="357"/>
      <c r="BA814" s="357"/>
      <c r="BB814" s="357"/>
      <c r="BC814" s="357"/>
    </row>
    <row r="815" spans="1:55" s="24" customFormat="1">
      <c r="A815" s="179"/>
      <c r="B815" s="179"/>
      <c r="C815" s="179"/>
      <c r="D815" s="181"/>
      <c r="E815" s="181"/>
      <c r="F815" s="181"/>
      <c r="G815" s="1110"/>
      <c r="H815" s="127" t="s">
        <v>1128</v>
      </c>
      <c r="I815" s="516"/>
      <c r="J815" s="720">
        <v>18.07</v>
      </c>
      <c r="K815" s="721"/>
      <c r="L815" s="722"/>
      <c r="M815" s="802">
        <f>8.052+9.6264</f>
        <v>17.6784</v>
      </c>
      <c r="N815" s="721"/>
      <c r="O815" s="722"/>
      <c r="P815" s="629">
        <v>17.27</v>
      </c>
      <c r="Q815" s="721"/>
      <c r="R815" s="722"/>
      <c r="S815" s="802">
        <f>0+12.24</f>
        <v>12.24</v>
      </c>
      <c r="T815" s="721"/>
      <c r="U815" s="722"/>
      <c r="V815" s="629">
        <v>18.600000000000001</v>
      </c>
      <c r="W815" s="721"/>
      <c r="X815" s="722"/>
      <c r="Y815" s="629">
        <v>0</v>
      </c>
      <c r="Z815" s="721"/>
      <c r="AA815" s="722"/>
      <c r="AB815" s="629">
        <v>0</v>
      </c>
      <c r="AC815" s="721"/>
      <c r="AD815" s="722"/>
      <c r="AE815" s="802">
        <f>0+16.620216</f>
        <v>16.620215999999999</v>
      </c>
      <c r="AF815" s="721"/>
      <c r="AG815" s="722"/>
      <c r="AH815" s="629">
        <v>17.28</v>
      </c>
      <c r="AI815" s="721"/>
      <c r="AJ815" s="722"/>
      <c r="AK815" s="831">
        <v>9.1110000000000007</v>
      </c>
      <c r="AL815" s="721"/>
      <c r="AM815" s="722"/>
      <c r="AN815" s="802">
        <f>3.833+11.647</f>
        <v>15.48</v>
      </c>
      <c r="AO815" s="721"/>
      <c r="AP815" s="722"/>
      <c r="AQ815" s="802">
        <f>16.368+2.976</f>
        <v>19.343999999999998</v>
      </c>
      <c r="AR815" s="246"/>
      <c r="AS815" s="282"/>
      <c r="AT815" s="244">
        <f t="shared" si="28"/>
        <v>161.69361599999999</v>
      </c>
      <c r="AU815" s="246"/>
      <c r="AV815" s="336"/>
      <c r="AW815" s="285"/>
      <c r="AX815" s="249"/>
      <c r="AY815" s="441"/>
      <c r="AZ815" s="357"/>
      <c r="BA815" s="357"/>
      <c r="BB815" s="357"/>
      <c r="BC815" s="357"/>
    </row>
    <row r="816" spans="1:55" s="24" customFormat="1">
      <c r="A816" s="179"/>
      <c r="B816" s="179"/>
      <c r="C816" s="179"/>
      <c r="D816" s="181">
        <v>338612</v>
      </c>
      <c r="E816" s="181"/>
      <c r="F816" s="181"/>
      <c r="G816" s="1110">
        <v>338612</v>
      </c>
      <c r="H816" s="132" t="s">
        <v>1490</v>
      </c>
      <c r="I816" s="516" t="s">
        <v>364</v>
      </c>
      <c r="J816" s="262">
        <f>SUM(J817:J819)</f>
        <v>444.15618169250683</v>
      </c>
      <c r="K816" s="246"/>
      <c r="L816" s="282"/>
      <c r="M816" s="317">
        <f>SUM(M817:M819)</f>
        <v>442.69058467214199</v>
      </c>
      <c r="N816" s="246"/>
      <c r="O816" s="282"/>
      <c r="P816" s="317">
        <f>SUM(P817:P819)</f>
        <v>410.95826433539986</v>
      </c>
      <c r="Q816" s="246"/>
      <c r="R816" s="282"/>
      <c r="S816" s="317">
        <f>SUM(S817:S819)</f>
        <v>357.71356864773344</v>
      </c>
      <c r="T816" s="246"/>
      <c r="U816" s="282"/>
      <c r="V816" s="317">
        <f>SUM(V817:V819)</f>
        <v>453.83672861493801</v>
      </c>
      <c r="W816" s="246"/>
      <c r="X816" s="282"/>
      <c r="Y816" s="317">
        <f>SUM(Y817:Y819)</f>
        <v>345.77636158221031</v>
      </c>
      <c r="Z816" s="246"/>
      <c r="AA816" s="282"/>
      <c r="AB816" s="317">
        <f>SUM(AB817:AB819)</f>
        <v>382.77946774872146</v>
      </c>
      <c r="AC816" s="246"/>
      <c r="AD816" s="282"/>
      <c r="AE816" s="317">
        <f>SUM(AE817:AE819)</f>
        <v>383.77084808686669</v>
      </c>
      <c r="AF816" s="246"/>
      <c r="AG816" s="282"/>
      <c r="AH816" s="317">
        <f>SUM(AH817:AH819)</f>
        <v>353.84896813699896</v>
      </c>
      <c r="AI816" s="246"/>
      <c r="AJ816" s="282"/>
      <c r="AK816" s="317">
        <f>SUM(AK817:AK819)</f>
        <v>355.51630727607971</v>
      </c>
      <c r="AL816" s="246"/>
      <c r="AM816" s="282"/>
      <c r="AN816" s="317">
        <f>SUM(AN817:AN819)</f>
        <v>416.01123192123242</v>
      </c>
      <c r="AO816" s="246"/>
      <c r="AP816" s="282"/>
      <c r="AQ816" s="317">
        <f>SUM(AQ817:AQ819)</f>
        <v>471.34124144363932</v>
      </c>
      <c r="AR816" s="246"/>
      <c r="AS816" s="282"/>
      <c r="AT816" s="317">
        <f>SUM(AT817:AT819)</f>
        <v>4818.3997541584704</v>
      </c>
      <c r="AU816" s="246"/>
      <c r="AV816" s="336"/>
      <c r="AW816" s="285"/>
      <c r="AX816" s="249"/>
      <c r="AY816" s="440">
        <v>5320.375</v>
      </c>
      <c r="AZ816" s="357"/>
      <c r="BA816" s="357"/>
      <c r="BB816" s="357"/>
      <c r="BC816" s="357"/>
    </row>
    <row r="817" spans="1:55" s="24" customFormat="1">
      <c r="A817" s="179"/>
      <c r="B817" s="179"/>
      <c r="C817" s="179"/>
      <c r="D817" s="181"/>
      <c r="E817" s="181"/>
      <c r="F817" s="181"/>
      <c r="G817" s="1110"/>
      <c r="H817" s="127" t="s">
        <v>1491</v>
      </c>
      <c r="I817" s="127"/>
      <c r="J817" s="802">
        <f>148.429192008833+7.0668079911672</f>
        <v>155.49600000000021</v>
      </c>
      <c r="K817" s="721"/>
      <c r="L817" s="722"/>
      <c r="M817" s="802">
        <f>118.56+17.856+15</f>
        <v>151.416</v>
      </c>
      <c r="N817" s="721"/>
      <c r="O817" s="722"/>
      <c r="P817" s="345">
        <f>159.143042134025+10</f>
        <v>169.14304213402499</v>
      </c>
      <c r="Q817" s="721"/>
      <c r="R817" s="722"/>
      <c r="S817" s="629">
        <v>172.91678432386672</v>
      </c>
      <c r="T817" s="721"/>
      <c r="U817" s="722"/>
      <c r="V817" s="345">
        <f>110.917315180932+30</f>
        <v>140.91731518093201</v>
      </c>
      <c r="W817" s="721"/>
      <c r="X817" s="722"/>
      <c r="Y817" s="802">
        <f>78.4675618733685+10.0204381266315+30</f>
        <v>118.488</v>
      </c>
      <c r="Z817" s="721"/>
      <c r="AA817" s="722"/>
      <c r="AB817" s="629">
        <v>119.52283257952323</v>
      </c>
      <c r="AC817" s="721"/>
      <c r="AD817" s="722"/>
      <c r="AE817" s="629">
        <v>104.74668289018358</v>
      </c>
      <c r="AF817" s="721"/>
      <c r="AG817" s="722"/>
      <c r="AH817" s="629">
        <v>124.83418163781423</v>
      </c>
      <c r="AI817" s="721"/>
      <c r="AJ817" s="722"/>
      <c r="AK817" s="629">
        <v>123.5304</v>
      </c>
      <c r="AL817" s="721"/>
      <c r="AM817" s="722"/>
      <c r="AN817" s="802">
        <f>109.025117053816+33.2468829461835</f>
        <v>142.27199999999951</v>
      </c>
      <c r="AO817" s="721"/>
      <c r="AP817" s="722"/>
      <c r="AQ817" s="802">
        <f>116.673448768652+48.3457512313482</f>
        <v>165.01920000000018</v>
      </c>
      <c r="AR817" s="246"/>
      <c r="AS817" s="282"/>
      <c r="AT817" s="244">
        <f t="shared" si="28"/>
        <v>1688.3024387463449</v>
      </c>
      <c r="AU817" s="246"/>
      <c r="AV817" s="336"/>
      <c r="AW817" s="285"/>
      <c r="AX817" s="249"/>
      <c r="AY817" s="249"/>
      <c r="AZ817" s="357"/>
      <c r="BA817" s="357"/>
      <c r="BB817" s="357"/>
      <c r="BC817" s="357"/>
    </row>
    <row r="818" spans="1:55" s="24" customFormat="1">
      <c r="A818" s="179"/>
      <c r="B818" s="179"/>
      <c r="C818" s="179"/>
      <c r="D818" s="181"/>
      <c r="E818" s="181"/>
      <c r="F818" s="181"/>
      <c r="G818" s="1110"/>
      <c r="H818" s="127" t="s">
        <v>1492</v>
      </c>
      <c r="I818" s="127"/>
      <c r="J818" s="802">
        <f>128.197663203966+27.2983367960335</f>
        <v>155.4959999999995</v>
      </c>
      <c r="K818" s="721"/>
      <c r="L818" s="722"/>
      <c r="M818" s="802">
        <f>132.24+4.176+20</f>
        <v>156.416</v>
      </c>
      <c r="N818" s="721"/>
      <c r="O818" s="722"/>
      <c r="P818" s="802">
        <f>61.9168955715962+27.1845444284037</f>
        <v>89.101439999999897</v>
      </c>
      <c r="Q818" s="721"/>
      <c r="R818" s="722"/>
      <c r="S818" s="802">
        <f>11.5277856215911+0.352214378408886</f>
        <v>11.879999999999987</v>
      </c>
      <c r="T818" s="721"/>
      <c r="U818" s="722"/>
      <c r="V818" s="1171">
        <f>124.464205388295+30</f>
        <v>154.464205388295</v>
      </c>
      <c r="W818" s="721"/>
      <c r="X818" s="722"/>
      <c r="Y818" s="1171">
        <f>81.4085830678089+30</f>
        <v>111.40858306780891</v>
      </c>
      <c r="Z818" s="721"/>
      <c r="AA818" s="722"/>
      <c r="AB818" s="720">
        <v>104.30050131550101</v>
      </c>
      <c r="AC818" s="721"/>
      <c r="AD818" s="722"/>
      <c r="AE818" s="1171">
        <f>91.3358372340881+20</f>
        <v>111.3358372340881</v>
      </c>
      <c r="AF818" s="721"/>
      <c r="AG818" s="722"/>
      <c r="AH818" s="720">
        <v>112.31190335655785</v>
      </c>
      <c r="AI818" s="721"/>
      <c r="AJ818" s="722"/>
      <c r="AK818" s="720">
        <v>129.89648076276714</v>
      </c>
      <c r="AL818" s="721"/>
      <c r="AM818" s="722"/>
      <c r="AN818" s="802">
        <f>136.281396317271+15.6386036827294</f>
        <v>151.92000000000041</v>
      </c>
      <c r="AO818" s="721"/>
      <c r="AP818" s="722"/>
      <c r="AQ818" s="802">
        <f>129.174175422436+35.8450245775641</f>
        <v>165.0192000000001</v>
      </c>
      <c r="AR818" s="246"/>
      <c r="AS818" s="282"/>
      <c r="AT818" s="244">
        <f t="shared" si="28"/>
        <v>1453.5501511250181</v>
      </c>
      <c r="AU818" s="246"/>
      <c r="AV818" s="336"/>
      <c r="AW818" s="285"/>
      <c r="AX818" s="249"/>
      <c r="AY818" s="249"/>
      <c r="AZ818" s="357"/>
      <c r="BA818" s="357"/>
      <c r="BB818" s="357"/>
      <c r="BC818" s="357"/>
    </row>
    <row r="819" spans="1:55" s="24" customFormat="1">
      <c r="A819" s="179"/>
      <c r="B819" s="179"/>
      <c r="C819" s="179"/>
      <c r="D819" s="181"/>
      <c r="E819" s="181"/>
      <c r="F819" s="181"/>
      <c r="G819" s="1110"/>
      <c r="H819" s="127" t="s">
        <v>1493</v>
      </c>
      <c r="I819" s="127"/>
      <c r="J819" s="720">
        <v>133.16418169250713</v>
      </c>
      <c r="K819" s="721"/>
      <c r="L819" s="722"/>
      <c r="M819" s="1171">
        <f>104.858584672142+30</f>
        <v>134.858584672142</v>
      </c>
      <c r="N819" s="721"/>
      <c r="O819" s="722"/>
      <c r="P819" s="720">
        <v>152.71378220137495</v>
      </c>
      <c r="Q819" s="721"/>
      <c r="R819" s="722"/>
      <c r="S819" s="720">
        <v>172.91678432386672</v>
      </c>
      <c r="T819" s="721"/>
      <c r="U819" s="722"/>
      <c r="V819" s="1171">
        <f>138.455208045711+20</f>
        <v>158.455208045711</v>
      </c>
      <c r="W819" s="721"/>
      <c r="X819" s="722"/>
      <c r="Y819" s="1171">
        <f>85.8797785144014+30</f>
        <v>115.87977851440139</v>
      </c>
      <c r="Z819" s="721"/>
      <c r="AA819" s="722"/>
      <c r="AB819" s="1171">
        <f>98.9561338536972+60</f>
        <v>158.9561338536972</v>
      </c>
      <c r="AC819" s="721"/>
      <c r="AD819" s="722"/>
      <c r="AE819" s="1171">
        <f>107.688327962595+60</f>
        <v>167.688327962595</v>
      </c>
      <c r="AF819" s="721"/>
      <c r="AG819" s="722"/>
      <c r="AH819" s="720">
        <v>116.70288314262687</v>
      </c>
      <c r="AI819" s="721"/>
      <c r="AJ819" s="722"/>
      <c r="AK819" s="720">
        <v>102.08942651331259</v>
      </c>
      <c r="AL819" s="721"/>
      <c r="AM819" s="722"/>
      <c r="AN819" s="720">
        <v>121.81923192123254</v>
      </c>
      <c r="AO819" s="721"/>
      <c r="AP819" s="722"/>
      <c r="AQ819" s="629">
        <v>141.3028414436391</v>
      </c>
      <c r="AR819" s="246"/>
      <c r="AS819" s="282"/>
      <c r="AT819" s="244">
        <f t="shared" si="28"/>
        <v>1676.5471642871066</v>
      </c>
      <c r="AU819" s="246"/>
      <c r="AV819" s="336"/>
      <c r="AW819" s="285"/>
      <c r="AX819" s="249"/>
      <c r="AY819" s="249"/>
      <c r="AZ819" s="357"/>
      <c r="BA819" s="357"/>
      <c r="BB819" s="357"/>
      <c r="BC819" s="357"/>
    </row>
    <row r="820" spans="1:55" s="24" customFormat="1">
      <c r="A820" s="179"/>
      <c r="B820" s="179"/>
      <c r="C820" s="179"/>
      <c r="D820" s="181">
        <v>338601</v>
      </c>
      <c r="E820" s="181"/>
      <c r="F820" s="181"/>
      <c r="G820" s="1110">
        <v>338601</v>
      </c>
      <c r="H820" s="132" t="s">
        <v>644</v>
      </c>
      <c r="I820" s="516" t="s">
        <v>364</v>
      </c>
      <c r="J820" s="262">
        <f>J821+J822</f>
        <v>71</v>
      </c>
      <c r="K820" s="246"/>
      <c r="L820" s="282"/>
      <c r="M820" s="317">
        <f>M821+M822</f>
        <v>68</v>
      </c>
      <c r="N820" s="246"/>
      <c r="O820" s="282"/>
      <c r="P820" s="317">
        <f>P821+P822</f>
        <v>71</v>
      </c>
      <c r="Q820" s="246"/>
      <c r="R820" s="282"/>
      <c r="S820" s="317">
        <f>S821+S822</f>
        <v>11</v>
      </c>
      <c r="T820" s="246"/>
      <c r="U820" s="282"/>
      <c r="V820" s="317">
        <f>V821+V822</f>
        <v>70</v>
      </c>
      <c r="W820" s="246"/>
      <c r="X820" s="282"/>
      <c r="Y820" s="317">
        <f>Y821+Y822</f>
        <v>68</v>
      </c>
      <c r="Z820" s="246"/>
      <c r="AA820" s="282"/>
      <c r="AB820" s="317">
        <f>AB821+AB822</f>
        <v>65</v>
      </c>
      <c r="AC820" s="246"/>
      <c r="AD820" s="282"/>
      <c r="AE820" s="317">
        <f>AE821+AE822</f>
        <v>35</v>
      </c>
      <c r="AF820" s="246"/>
      <c r="AG820" s="282"/>
      <c r="AH820" s="317">
        <f>AH821+AH822</f>
        <v>56</v>
      </c>
      <c r="AI820" s="246"/>
      <c r="AJ820" s="282"/>
      <c r="AK820" s="317">
        <f>AK821+AK822</f>
        <v>23</v>
      </c>
      <c r="AL820" s="246"/>
      <c r="AM820" s="282"/>
      <c r="AN820" s="317">
        <f>AN821+AN822</f>
        <v>33</v>
      </c>
      <c r="AO820" s="246"/>
      <c r="AP820" s="282"/>
      <c r="AQ820" s="317">
        <f>AQ821+AQ822</f>
        <v>71</v>
      </c>
      <c r="AR820" s="246"/>
      <c r="AS820" s="282"/>
      <c r="AT820" s="317">
        <f>AT821+AT822</f>
        <v>642</v>
      </c>
      <c r="AU820" s="246"/>
      <c r="AV820" s="336"/>
      <c r="AW820" s="285"/>
      <c r="AX820" s="249"/>
      <c r="AY820" s="440">
        <v>1417.834531</v>
      </c>
      <c r="AZ820" s="357"/>
      <c r="BA820" s="357"/>
      <c r="BB820" s="357"/>
      <c r="BC820" s="357"/>
    </row>
    <row r="821" spans="1:55" s="24" customFormat="1">
      <c r="A821" s="179"/>
      <c r="B821" s="179"/>
      <c r="C821" s="179"/>
      <c r="D821" s="181"/>
      <c r="E821" s="181"/>
      <c r="F821" s="181"/>
      <c r="G821" s="1110"/>
      <c r="H821" s="127" t="s">
        <v>645</v>
      </c>
      <c r="I821" s="127"/>
      <c r="J821" s="629">
        <v>36</v>
      </c>
      <c r="K821" s="721"/>
      <c r="L821" s="722"/>
      <c r="M821" s="345">
        <f>0+36</f>
        <v>36</v>
      </c>
      <c r="N821" s="721"/>
      <c r="O821" s="722"/>
      <c r="P821" s="629">
        <v>36</v>
      </c>
      <c r="Q821" s="721"/>
      <c r="R821" s="722"/>
      <c r="S821" s="629">
        <v>0</v>
      </c>
      <c r="T821" s="721"/>
      <c r="U821" s="722"/>
      <c r="V821" s="345">
        <f>0+35</f>
        <v>35</v>
      </c>
      <c r="W821" s="721"/>
      <c r="X821" s="722"/>
      <c r="Y821" s="629">
        <v>35</v>
      </c>
      <c r="Z821" s="721"/>
      <c r="AA821" s="722"/>
      <c r="AB821" s="629">
        <v>0</v>
      </c>
      <c r="AC821" s="721"/>
      <c r="AD821" s="722"/>
      <c r="AE821" s="629">
        <v>0</v>
      </c>
      <c r="AF821" s="721"/>
      <c r="AG821" s="722"/>
      <c r="AH821" s="629">
        <v>23</v>
      </c>
      <c r="AI821" s="721"/>
      <c r="AJ821" s="722"/>
      <c r="AK821" s="629">
        <v>0</v>
      </c>
      <c r="AL821" s="721"/>
      <c r="AM821" s="722"/>
      <c r="AN821" s="629">
        <v>0</v>
      </c>
      <c r="AO821" s="721"/>
      <c r="AP821" s="722"/>
      <c r="AQ821" s="629">
        <v>36</v>
      </c>
      <c r="AR821" s="246"/>
      <c r="AS821" s="282"/>
      <c r="AT821" s="244">
        <f t="shared" si="28"/>
        <v>237</v>
      </c>
      <c r="AU821" s="246"/>
      <c r="AV821" s="336"/>
      <c r="AW821" s="285"/>
      <c r="AX821" s="249"/>
      <c r="AY821" s="249"/>
      <c r="AZ821" s="357"/>
      <c r="BA821" s="357"/>
      <c r="BB821" s="357"/>
      <c r="BC821" s="357"/>
    </row>
    <row r="822" spans="1:55" s="24" customFormat="1">
      <c r="A822" s="179"/>
      <c r="B822" s="179"/>
      <c r="C822" s="179"/>
      <c r="D822" s="181"/>
      <c r="E822" s="181"/>
      <c r="F822" s="181"/>
      <c r="G822" s="1110"/>
      <c r="H822" s="127" t="s">
        <v>646</v>
      </c>
      <c r="I822" s="127"/>
      <c r="J822" s="720">
        <v>35</v>
      </c>
      <c r="K822" s="721"/>
      <c r="L822" s="722"/>
      <c r="M822" s="629">
        <v>32</v>
      </c>
      <c r="N822" s="721"/>
      <c r="O822" s="722"/>
      <c r="P822" s="629">
        <v>35</v>
      </c>
      <c r="Q822" s="721"/>
      <c r="R822" s="722"/>
      <c r="S822" s="629">
        <v>11</v>
      </c>
      <c r="T822" s="721"/>
      <c r="U822" s="722"/>
      <c r="V822" s="629">
        <v>35</v>
      </c>
      <c r="W822" s="721"/>
      <c r="X822" s="722"/>
      <c r="Y822" s="629">
        <v>33</v>
      </c>
      <c r="Z822" s="721"/>
      <c r="AA822" s="722"/>
      <c r="AB822" s="345">
        <f>35+30</f>
        <v>65</v>
      </c>
      <c r="AC822" s="721"/>
      <c r="AD822" s="722"/>
      <c r="AE822" s="629">
        <v>35</v>
      </c>
      <c r="AF822" s="721"/>
      <c r="AG822" s="722"/>
      <c r="AH822" s="629">
        <v>33</v>
      </c>
      <c r="AI822" s="721"/>
      <c r="AJ822" s="722"/>
      <c r="AK822" s="629">
        <v>23</v>
      </c>
      <c r="AL822" s="721"/>
      <c r="AM822" s="722"/>
      <c r="AN822" s="629">
        <v>33</v>
      </c>
      <c r="AO822" s="721"/>
      <c r="AP822" s="722"/>
      <c r="AQ822" s="629">
        <v>35</v>
      </c>
      <c r="AR822" s="246"/>
      <c r="AS822" s="282"/>
      <c r="AT822" s="244">
        <f t="shared" si="28"/>
        <v>405</v>
      </c>
      <c r="AU822" s="246"/>
      <c r="AV822" s="336"/>
      <c r="AW822" s="285"/>
      <c r="AX822" s="249"/>
      <c r="AY822" s="249"/>
      <c r="AZ822" s="357"/>
      <c r="BA822" s="357"/>
      <c r="BB822" s="357"/>
      <c r="BC822" s="357"/>
    </row>
    <row r="823" spans="1:55" s="24" customFormat="1">
      <c r="A823" s="179"/>
      <c r="B823" s="179"/>
      <c r="C823" s="179"/>
      <c r="D823" s="181">
        <v>338602</v>
      </c>
      <c r="E823" s="181"/>
      <c r="F823" s="181"/>
      <c r="G823" s="1110">
        <v>338602</v>
      </c>
      <c r="H823" s="122" t="s">
        <v>647</v>
      </c>
      <c r="I823" s="516" t="s">
        <v>364</v>
      </c>
      <c r="J823" s="720">
        <v>181.512</v>
      </c>
      <c r="K823" s="721"/>
      <c r="L823" s="722"/>
      <c r="M823" s="629">
        <v>166.68</v>
      </c>
      <c r="N823" s="721"/>
      <c r="O823" s="722"/>
      <c r="P823" s="629">
        <v>168.21600000000001</v>
      </c>
      <c r="Q823" s="721"/>
      <c r="R823" s="722"/>
      <c r="S823" s="802">
        <f>139.536+8.352</f>
        <v>147.88800000000001</v>
      </c>
      <c r="T823" s="721"/>
      <c r="U823" s="722"/>
      <c r="V823" s="345">
        <f>114.984+30</f>
        <v>144.98399999999998</v>
      </c>
      <c r="W823" s="721"/>
      <c r="X823" s="722"/>
      <c r="Y823" s="629">
        <v>110.88</v>
      </c>
      <c r="Z823" s="721"/>
      <c r="AA823" s="722"/>
      <c r="AB823" s="345">
        <f>115.32+20</f>
        <v>135.32</v>
      </c>
      <c r="AC823" s="721"/>
      <c r="AD823" s="722"/>
      <c r="AE823" s="629">
        <v>122.76</v>
      </c>
      <c r="AF823" s="721"/>
      <c r="AG823" s="722"/>
      <c r="AH823" s="629">
        <v>139.80000000000001</v>
      </c>
      <c r="AI823" s="721"/>
      <c r="AJ823" s="722"/>
      <c r="AK823" s="802">
        <f>140.04+18.432</f>
        <v>158.47199999999998</v>
      </c>
      <c r="AL823" s="721"/>
      <c r="AM823" s="722"/>
      <c r="AN823" s="802">
        <f>149.904+2.9304</f>
        <v>152.83439999999999</v>
      </c>
      <c r="AO823" s="721"/>
      <c r="AP823" s="722"/>
      <c r="AQ823" s="629">
        <v>164.232</v>
      </c>
      <c r="AR823" s="246"/>
      <c r="AS823" s="282"/>
      <c r="AT823" s="244">
        <f t="shared" si="28"/>
        <v>1793.5783999999999</v>
      </c>
      <c r="AU823" s="246"/>
      <c r="AV823" s="336"/>
      <c r="AW823" s="285"/>
      <c r="AX823" s="249"/>
      <c r="AY823" s="441">
        <v>1534.6209349999999</v>
      </c>
      <c r="AZ823" s="357"/>
      <c r="BA823" s="357"/>
      <c r="BB823" s="357"/>
      <c r="BC823" s="357"/>
    </row>
    <row r="824" spans="1:55" s="24" customFormat="1">
      <c r="A824" s="179"/>
      <c r="B824" s="179"/>
      <c r="C824" s="179"/>
      <c r="D824" s="181">
        <v>338604</v>
      </c>
      <c r="E824" s="181"/>
      <c r="F824" s="181"/>
      <c r="G824" s="1110">
        <v>338604</v>
      </c>
      <c r="H824" s="134" t="s">
        <v>648</v>
      </c>
      <c r="I824" s="516" t="s">
        <v>364</v>
      </c>
      <c r="J824" s="262">
        <f>J825+J826</f>
        <v>526.70000000000005</v>
      </c>
      <c r="K824" s="246"/>
      <c r="L824" s="282"/>
      <c r="M824" s="317">
        <f>M825+M826</f>
        <v>381</v>
      </c>
      <c r="N824" s="246"/>
      <c r="O824" s="282"/>
      <c r="P824" s="317">
        <f>P825+P826</f>
        <v>500.60000000000014</v>
      </c>
      <c r="Q824" s="246"/>
      <c r="R824" s="282"/>
      <c r="S824" s="317">
        <f>S825+S826</f>
        <v>423.40000000000009</v>
      </c>
      <c r="T824" s="246"/>
      <c r="U824" s="282"/>
      <c r="V824" s="317">
        <f>V825+V826</f>
        <v>470.6</v>
      </c>
      <c r="W824" s="246"/>
      <c r="X824" s="282"/>
      <c r="Y824" s="317">
        <f>Y825+Y826</f>
        <v>410.59000000000015</v>
      </c>
      <c r="Z824" s="246"/>
      <c r="AA824" s="282"/>
      <c r="AB824" s="317">
        <f>AB825+AB826</f>
        <v>415.10000000000014</v>
      </c>
      <c r="AC824" s="246"/>
      <c r="AD824" s="282"/>
      <c r="AE824" s="317">
        <f>AE825+AE826</f>
        <v>440.60000000000014</v>
      </c>
      <c r="AF824" s="246"/>
      <c r="AG824" s="282"/>
      <c r="AH824" s="317">
        <f>AH825+AH826</f>
        <v>449.30000000000007</v>
      </c>
      <c r="AI824" s="246"/>
      <c r="AJ824" s="282"/>
      <c r="AK824" s="317">
        <f>AK825+AK826</f>
        <v>418.79999999999995</v>
      </c>
      <c r="AL824" s="246"/>
      <c r="AM824" s="282"/>
      <c r="AN824" s="317">
        <f>AN825+AN826</f>
        <v>432.00000000000011</v>
      </c>
      <c r="AO824" s="246"/>
      <c r="AP824" s="282"/>
      <c r="AQ824" s="317">
        <f>AQ825+AQ826</f>
        <v>549.29999999999995</v>
      </c>
      <c r="AR824" s="246"/>
      <c r="AS824" s="282"/>
      <c r="AT824" s="317">
        <f>AT825+AT826</f>
        <v>5417.9900000000007</v>
      </c>
      <c r="AU824" s="246"/>
      <c r="AV824" s="336"/>
      <c r="AW824" s="285"/>
      <c r="AX824" s="249"/>
      <c r="AY824" s="440">
        <v>5976.0015000000003</v>
      </c>
      <c r="AZ824" s="357"/>
      <c r="BA824" s="357"/>
      <c r="BB824" s="357"/>
      <c r="BC824" s="357"/>
    </row>
    <row r="825" spans="1:55" s="24" customFormat="1">
      <c r="A825" s="179"/>
      <c r="B825" s="179"/>
      <c r="C825" s="179"/>
      <c r="D825" s="181"/>
      <c r="E825" s="181"/>
      <c r="F825" s="181"/>
      <c r="G825" s="1110"/>
      <c r="H825" s="122" t="s">
        <v>649</v>
      </c>
      <c r="I825" s="122"/>
      <c r="J825" s="1171">
        <f>207.4+53</f>
        <v>260.39999999999998</v>
      </c>
      <c r="K825" s="721"/>
      <c r="L825" s="722"/>
      <c r="M825" s="345">
        <f>112.3+20</f>
        <v>132.30000000000001</v>
      </c>
      <c r="N825" s="721"/>
      <c r="O825" s="722"/>
      <c r="P825" s="629">
        <v>241.90000000000018</v>
      </c>
      <c r="Q825" s="721"/>
      <c r="R825" s="722"/>
      <c r="S825" s="629">
        <v>207.4</v>
      </c>
      <c r="T825" s="721"/>
      <c r="U825" s="722"/>
      <c r="V825" s="629">
        <v>224.60000000000005</v>
      </c>
      <c r="W825" s="721"/>
      <c r="X825" s="722"/>
      <c r="Y825" s="345">
        <f>138.2+30.49</f>
        <v>168.69</v>
      </c>
      <c r="Z825" s="721"/>
      <c r="AA825" s="722"/>
      <c r="AB825" s="629">
        <v>241.90000000000018</v>
      </c>
      <c r="AC825" s="721"/>
      <c r="AD825" s="722"/>
      <c r="AE825" s="629">
        <v>216.00000000000006</v>
      </c>
      <c r="AF825" s="721"/>
      <c r="AG825" s="722"/>
      <c r="AH825" s="629">
        <v>216.00000000000006</v>
      </c>
      <c r="AI825" s="721"/>
      <c r="AJ825" s="722"/>
      <c r="AK825" s="345">
        <f>241.9+20</f>
        <v>261.89999999999998</v>
      </c>
      <c r="AL825" s="721"/>
      <c r="AM825" s="722"/>
      <c r="AN825" s="629">
        <v>216.00000000000006</v>
      </c>
      <c r="AO825" s="721"/>
      <c r="AP825" s="722"/>
      <c r="AQ825" s="345">
        <f>241.9+50</f>
        <v>291.89999999999998</v>
      </c>
      <c r="AR825" s="246"/>
      <c r="AS825" s="282"/>
      <c r="AT825" s="244">
        <f t="shared" si="28"/>
        <v>2678.9900000000002</v>
      </c>
      <c r="AU825" s="246"/>
      <c r="AV825" s="336"/>
      <c r="AW825" s="285"/>
      <c r="AX825" s="249"/>
      <c r="AY825" s="249"/>
      <c r="AZ825" s="357"/>
      <c r="BA825" s="357"/>
      <c r="BB825" s="357"/>
      <c r="BC825" s="357"/>
    </row>
    <row r="826" spans="1:55" s="24" customFormat="1">
      <c r="A826" s="179"/>
      <c r="B826" s="179"/>
      <c r="C826" s="179"/>
      <c r="D826" s="181"/>
      <c r="E826" s="181"/>
      <c r="F826" s="181"/>
      <c r="G826" s="1110"/>
      <c r="H826" s="122" t="s">
        <v>650</v>
      </c>
      <c r="I826" s="122"/>
      <c r="J826" s="1171">
        <f>233.3+33</f>
        <v>266.3</v>
      </c>
      <c r="K826" s="721"/>
      <c r="L826" s="722"/>
      <c r="M826" s="345">
        <f>198.7+50</f>
        <v>248.7</v>
      </c>
      <c r="N826" s="721"/>
      <c r="O826" s="722"/>
      <c r="P826" s="345">
        <f>198.7+60</f>
        <v>258.7</v>
      </c>
      <c r="Q826" s="721"/>
      <c r="R826" s="722"/>
      <c r="S826" s="629">
        <v>216.00000000000006</v>
      </c>
      <c r="T826" s="721"/>
      <c r="U826" s="722"/>
      <c r="V826" s="345">
        <f>216+30</f>
        <v>246</v>
      </c>
      <c r="W826" s="721"/>
      <c r="X826" s="722"/>
      <c r="Y826" s="629">
        <v>241.90000000000018</v>
      </c>
      <c r="Z826" s="721"/>
      <c r="AA826" s="722"/>
      <c r="AB826" s="345">
        <f>155.5+17.7</f>
        <v>173.2</v>
      </c>
      <c r="AC826" s="721"/>
      <c r="AD826" s="722"/>
      <c r="AE826" s="629">
        <v>224.60000000000005</v>
      </c>
      <c r="AF826" s="721"/>
      <c r="AG826" s="722"/>
      <c r="AH826" s="629">
        <v>233.3</v>
      </c>
      <c r="AI826" s="721"/>
      <c r="AJ826" s="722"/>
      <c r="AK826" s="345">
        <f>146.9+10</f>
        <v>156.9</v>
      </c>
      <c r="AL826" s="721"/>
      <c r="AM826" s="722"/>
      <c r="AN826" s="629">
        <v>216.00000000000006</v>
      </c>
      <c r="AO826" s="721"/>
      <c r="AP826" s="722"/>
      <c r="AQ826" s="345">
        <f>207.4+50</f>
        <v>257.39999999999998</v>
      </c>
      <c r="AR826" s="246"/>
      <c r="AS826" s="282"/>
      <c r="AT826" s="244">
        <f t="shared" si="28"/>
        <v>2739.0000000000005</v>
      </c>
      <c r="AU826" s="246"/>
      <c r="AV826" s="336"/>
      <c r="AW826" s="285"/>
      <c r="AX826" s="249"/>
      <c r="AY826" s="249"/>
      <c r="AZ826" s="357"/>
      <c r="BA826" s="357"/>
      <c r="BB826" s="357"/>
      <c r="BC826" s="357"/>
    </row>
    <row r="827" spans="1:55" s="24" customFormat="1">
      <c r="A827" s="179"/>
      <c r="B827" s="179"/>
      <c r="C827" s="179"/>
      <c r="D827" s="181">
        <v>338689</v>
      </c>
      <c r="E827" s="181"/>
      <c r="F827" s="181"/>
      <c r="G827" s="1110">
        <v>338689</v>
      </c>
      <c r="H827" s="122" t="s">
        <v>1373</v>
      </c>
      <c r="I827" s="516" t="s">
        <v>364</v>
      </c>
      <c r="J827" s="629">
        <v>6.6943999999999999</v>
      </c>
      <c r="K827" s="721"/>
      <c r="L827" s="722"/>
      <c r="M827" s="629">
        <v>7.5583999999999998</v>
      </c>
      <c r="N827" s="721"/>
      <c r="O827" s="722"/>
      <c r="P827" s="629">
        <v>8.1729000000000003</v>
      </c>
      <c r="Q827" s="721"/>
      <c r="R827" s="722"/>
      <c r="S827" s="629">
        <v>8.6104000000000003</v>
      </c>
      <c r="T827" s="721"/>
      <c r="U827" s="722"/>
      <c r="V827" s="629">
        <v>6.0688000000000004</v>
      </c>
      <c r="W827" s="721"/>
      <c r="X827" s="722"/>
      <c r="Y827" s="629">
        <v>7.1218000000000004</v>
      </c>
      <c r="Z827" s="721"/>
      <c r="AA827" s="722"/>
      <c r="AB827" s="629">
        <v>7.8620999999999999</v>
      </c>
      <c r="AC827" s="721"/>
      <c r="AD827" s="722"/>
      <c r="AE827" s="629">
        <v>7.0761000000000003</v>
      </c>
      <c r="AF827" s="721"/>
      <c r="AG827" s="722"/>
      <c r="AH827" s="831">
        <v>8.3664000000000005</v>
      </c>
      <c r="AI827" s="721"/>
      <c r="AJ827" s="722"/>
      <c r="AK827" s="629">
        <v>6.5818000000000003</v>
      </c>
      <c r="AL827" s="721"/>
      <c r="AM827" s="722"/>
      <c r="AN827" s="629">
        <v>5.9161999999999999</v>
      </c>
      <c r="AO827" s="721"/>
      <c r="AP827" s="722"/>
      <c r="AQ827" s="629">
        <v>9.2363999999999997</v>
      </c>
      <c r="AR827" s="246"/>
      <c r="AS827" s="282"/>
      <c r="AT827" s="244">
        <f t="shared" si="28"/>
        <v>89.26570000000001</v>
      </c>
      <c r="AU827" s="246"/>
      <c r="AV827" s="336"/>
      <c r="AW827" s="285"/>
      <c r="AX827" s="249"/>
      <c r="AY827" s="438">
        <v>88.192583999999997</v>
      </c>
      <c r="AZ827" s="357"/>
      <c r="BA827" s="357"/>
      <c r="BB827" s="357"/>
      <c r="BC827" s="357"/>
    </row>
    <row r="828" spans="1:55" s="24" customFormat="1">
      <c r="A828" s="179"/>
      <c r="B828" s="179"/>
      <c r="C828" s="179"/>
      <c r="D828" s="181"/>
      <c r="E828" s="181"/>
      <c r="F828" s="181"/>
      <c r="G828" s="1110">
        <v>777304</v>
      </c>
      <c r="H828" s="122" t="s">
        <v>1374</v>
      </c>
      <c r="I828" s="516" t="s">
        <v>365</v>
      </c>
      <c r="J828" s="720">
        <v>11.695679999999999</v>
      </c>
      <c r="K828" s="721"/>
      <c r="L828" s="722"/>
      <c r="M828" s="629">
        <v>11.524799999999999</v>
      </c>
      <c r="N828" s="721"/>
      <c r="O828" s="722"/>
      <c r="P828" s="629">
        <v>12.84144</v>
      </c>
      <c r="Q828" s="721"/>
      <c r="R828" s="722"/>
      <c r="S828" s="629">
        <v>12.167999999999997</v>
      </c>
      <c r="T828" s="721"/>
      <c r="U828" s="722"/>
      <c r="V828" s="629">
        <v>5.8999199999999998</v>
      </c>
      <c r="W828" s="721"/>
      <c r="X828" s="722"/>
      <c r="Y828" s="629">
        <f>7.8768-0.6768</f>
        <v>7.2</v>
      </c>
      <c r="Z828" s="721"/>
      <c r="AA828" s="722"/>
      <c r="AB828" s="629">
        <v>8.511359999999998</v>
      </c>
      <c r="AC828" s="721"/>
      <c r="AD828" s="722"/>
      <c r="AE828" s="629">
        <v>8.4518400000000007</v>
      </c>
      <c r="AF828" s="721"/>
      <c r="AG828" s="722"/>
      <c r="AH828" s="629">
        <v>10.1448</v>
      </c>
      <c r="AI828" s="721"/>
      <c r="AJ828" s="722"/>
      <c r="AK828" s="629">
        <v>12.915839999999999</v>
      </c>
      <c r="AL828" s="721"/>
      <c r="AM828" s="722"/>
      <c r="AN828" s="629">
        <v>12.4704</v>
      </c>
      <c r="AO828" s="721"/>
      <c r="AP828" s="722"/>
      <c r="AQ828" s="629">
        <v>12.80424</v>
      </c>
      <c r="AR828" s="246"/>
      <c r="AS828" s="282"/>
      <c r="AT828" s="244">
        <f t="shared" si="28"/>
        <v>126.62832</v>
      </c>
      <c r="AU828" s="246"/>
      <c r="AV828" s="336"/>
      <c r="AW828" s="285"/>
      <c r="AX828" s="249"/>
      <c r="AY828" s="1072">
        <v>94.071911099999994</v>
      </c>
      <c r="AZ828" s="357"/>
      <c r="BA828" s="357"/>
      <c r="BB828" s="357"/>
      <c r="BC828" s="357"/>
    </row>
    <row r="829" spans="1:55" s="24" customFormat="1">
      <c r="A829" s="179"/>
      <c r="B829" s="179"/>
      <c r="C829" s="179"/>
      <c r="D829" s="181"/>
      <c r="E829" s="181"/>
      <c r="F829" s="181"/>
      <c r="G829" s="1110">
        <v>777305</v>
      </c>
      <c r="H829" s="122" t="s">
        <v>1375</v>
      </c>
      <c r="I829" s="516" t="s">
        <v>365</v>
      </c>
      <c r="J829" s="629">
        <v>11.695679999999999</v>
      </c>
      <c r="K829" s="721"/>
      <c r="L829" s="722"/>
      <c r="M829" s="629">
        <v>11.524799999999999</v>
      </c>
      <c r="N829" s="721"/>
      <c r="O829" s="722"/>
      <c r="P829" s="629">
        <v>12.84144</v>
      </c>
      <c r="Q829" s="721"/>
      <c r="R829" s="722"/>
      <c r="S829" s="629">
        <v>12.167999999999997</v>
      </c>
      <c r="T829" s="721"/>
      <c r="U829" s="722"/>
      <c r="V829" s="629">
        <v>5.8999199999999998</v>
      </c>
      <c r="W829" s="721"/>
      <c r="X829" s="722"/>
      <c r="Y829" s="629">
        <v>7.8767999999999994</v>
      </c>
      <c r="Z829" s="721"/>
      <c r="AA829" s="722"/>
      <c r="AB829" s="629">
        <f>8.51136-1.07136</f>
        <v>7.4399999999999995</v>
      </c>
      <c r="AC829" s="721"/>
      <c r="AD829" s="722"/>
      <c r="AE829" s="629">
        <f>8.45184-1.01184</f>
        <v>7.44</v>
      </c>
      <c r="AF829" s="721"/>
      <c r="AG829" s="722"/>
      <c r="AH829" s="629">
        <v>10.1448</v>
      </c>
      <c r="AI829" s="721"/>
      <c r="AJ829" s="722"/>
      <c r="AK829" s="629">
        <v>12.915839999999999</v>
      </c>
      <c r="AL829" s="721"/>
      <c r="AM829" s="722"/>
      <c r="AN829" s="629">
        <v>12.4704</v>
      </c>
      <c r="AO829" s="721"/>
      <c r="AP829" s="722"/>
      <c r="AQ829" s="629">
        <v>12.80424</v>
      </c>
      <c r="AR829" s="246"/>
      <c r="AS829" s="282"/>
      <c r="AT829" s="244">
        <f t="shared" si="28"/>
        <v>125.22192000000001</v>
      </c>
      <c r="AU829" s="246"/>
      <c r="AV829" s="336"/>
      <c r="AW829" s="285"/>
      <c r="AX829" s="249"/>
      <c r="AY829" s="1072">
        <v>101.9002799</v>
      </c>
      <c r="AZ829" s="357"/>
      <c r="BA829" s="357"/>
      <c r="BB829" s="357"/>
      <c r="BC829" s="357"/>
    </row>
    <row r="830" spans="1:55" s="24" customFormat="1">
      <c r="A830" s="179"/>
      <c r="B830" s="179"/>
      <c r="C830" s="179"/>
      <c r="D830" s="181">
        <v>365</v>
      </c>
      <c r="E830" s="181"/>
      <c r="F830" s="181"/>
      <c r="G830" s="1110"/>
      <c r="H830" s="138" t="s">
        <v>174</v>
      </c>
      <c r="I830" s="518"/>
      <c r="J830" s="319">
        <f>SUM(J831:J848)</f>
        <v>711.04096000000004</v>
      </c>
      <c r="K830" s="288"/>
      <c r="L830" s="289"/>
      <c r="M830" s="319">
        <f>SUM(M831:M848)</f>
        <v>661.16124000000002</v>
      </c>
      <c r="N830" s="288"/>
      <c r="O830" s="289"/>
      <c r="P830" s="319">
        <f>SUM(P831:P848)</f>
        <v>680.96144000000015</v>
      </c>
      <c r="Q830" s="288"/>
      <c r="R830" s="289"/>
      <c r="S830" s="319">
        <f>SUM(S831:S848)</f>
        <v>617.42280000000005</v>
      </c>
      <c r="T830" s="288"/>
      <c r="U830" s="289"/>
      <c r="V830" s="319">
        <f>SUM(V831:V848)</f>
        <v>613.1759599999998</v>
      </c>
      <c r="W830" s="288"/>
      <c r="X830" s="289"/>
      <c r="Y830" s="319">
        <f>SUM(Y831:Y848)</f>
        <v>592.17380000000003</v>
      </c>
      <c r="Z830" s="288"/>
      <c r="AA830" s="289"/>
      <c r="AB830" s="319">
        <f>SUM(AB831:AB848)</f>
        <v>600.65675999999974</v>
      </c>
      <c r="AC830" s="288"/>
      <c r="AD830" s="289"/>
      <c r="AE830" s="319">
        <f>SUM(AE831:AE848)</f>
        <v>614.3439599999997</v>
      </c>
      <c r="AF830" s="288"/>
      <c r="AG830" s="289"/>
      <c r="AH830" s="319">
        <f>SUM(AH831:AH848)</f>
        <v>586.44579999999996</v>
      </c>
      <c r="AI830" s="288"/>
      <c r="AJ830" s="289"/>
      <c r="AK830" s="319">
        <f>SUM(AK831:AK848)</f>
        <v>675.14055999999994</v>
      </c>
      <c r="AL830" s="288"/>
      <c r="AM830" s="289"/>
      <c r="AN830" s="319">
        <f>SUM(AN831:AN848)</f>
        <v>693.3148000000001</v>
      </c>
      <c r="AO830" s="288"/>
      <c r="AP830" s="289"/>
      <c r="AQ830" s="319">
        <f>SUM(AQ831:AQ848)</f>
        <v>716.11515999999995</v>
      </c>
      <c r="AR830" s="288"/>
      <c r="AS830" s="289"/>
      <c r="AT830" s="319">
        <f>SUM(AT831:AT848)</f>
        <v>7761.9532400000016</v>
      </c>
      <c r="AU830" s="288"/>
      <c r="AV830" s="290"/>
      <c r="AW830" s="285"/>
      <c r="AX830" s="295"/>
      <c r="AY830" s="436">
        <v>6870.0462974000002</v>
      </c>
      <c r="AZ830" s="357"/>
      <c r="BA830" s="357"/>
      <c r="BB830" s="357"/>
      <c r="BC830" s="357"/>
    </row>
    <row r="831" spans="1:55" s="24" customFormat="1">
      <c r="A831" s="179"/>
      <c r="B831" s="179"/>
      <c r="C831" s="179"/>
      <c r="D831" s="181">
        <v>338640</v>
      </c>
      <c r="E831" s="181"/>
      <c r="F831" s="181"/>
      <c r="G831" s="1110">
        <v>338640</v>
      </c>
      <c r="H831" s="135" t="s">
        <v>1494</v>
      </c>
      <c r="I831" s="518" t="s">
        <v>365</v>
      </c>
      <c r="J831" s="1122">
        <v>223.20000000000002</v>
      </c>
      <c r="K831" s="288"/>
      <c r="L831" s="289"/>
      <c r="M831" s="1122">
        <v>208.8</v>
      </c>
      <c r="N831" s="288"/>
      <c r="O831" s="289"/>
      <c r="P831" s="294">
        <v>210.48</v>
      </c>
      <c r="Q831" s="288"/>
      <c r="R831" s="289"/>
      <c r="S831" s="294">
        <v>188.64</v>
      </c>
      <c r="T831" s="288"/>
      <c r="U831" s="289"/>
      <c r="V831" s="1122">
        <v>192.32400000000001</v>
      </c>
      <c r="W831" s="288"/>
      <c r="X831" s="289"/>
      <c r="Y831" s="294">
        <v>198.72</v>
      </c>
      <c r="Z831" s="288"/>
      <c r="AA831" s="289"/>
      <c r="AB831" s="293">
        <v>192.96</v>
      </c>
      <c r="AC831" s="288"/>
      <c r="AD831" s="289"/>
      <c r="AE831" s="293">
        <v>206.16</v>
      </c>
      <c r="AF831" s="288"/>
      <c r="AG831" s="289"/>
      <c r="AH831" s="1122">
        <v>170.49600000000001</v>
      </c>
      <c r="AI831" s="288"/>
      <c r="AJ831" s="289"/>
      <c r="AK831" s="293">
        <v>199.32</v>
      </c>
      <c r="AL831" s="288"/>
      <c r="AM831" s="289"/>
      <c r="AN831" s="1122">
        <v>214.05600000000001</v>
      </c>
      <c r="AO831" s="288"/>
      <c r="AP831" s="289"/>
      <c r="AQ831" s="293">
        <v>222.6</v>
      </c>
      <c r="AR831" s="288"/>
      <c r="AS831" s="289"/>
      <c r="AT831" s="294">
        <f t="shared" ref="AT831:AT848" si="29">J831+M831+P831+S831+V831+Y831+AB831+AE831+AH831+AK831+AN831+AQ831</f>
        <v>2427.7559999999999</v>
      </c>
      <c r="AU831" s="288"/>
      <c r="AV831" s="290"/>
      <c r="AW831" s="285"/>
      <c r="AX831" s="295"/>
      <c r="AY831" s="436"/>
      <c r="AZ831" s="357"/>
      <c r="BA831" s="357"/>
      <c r="BB831" s="357"/>
      <c r="BC831" s="357"/>
    </row>
    <row r="832" spans="1:55" s="24" customFormat="1">
      <c r="A832" s="179"/>
      <c r="B832" s="179"/>
      <c r="C832" s="179"/>
      <c r="D832" s="181">
        <v>338642</v>
      </c>
      <c r="E832" s="181"/>
      <c r="F832" s="181"/>
      <c r="G832" s="1110">
        <v>338642</v>
      </c>
      <c r="H832" s="135" t="s">
        <v>1495</v>
      </c>
      <c r="I832" s="518" t="s">
        <v>365</v>
      </c>
      <c r="J832" s="1122">
        <v>154.75200000000001</v>
      </c>
      <c r="K832" s="288"/>
      <c r="L832" s="289"/>
      <c r="M832" s="294">
        <v>141.41999999999999</v>
      </c>
      <c r="N832" s="288"/>
      <c r="O832" s="289"/>
      <c r="P832" s="1122">
        <v>154.75199999999998</v>
      </c>
      <c r="Q832" s="288"/>
      <c r="R832" s="289"/>
      <c r="S832" s="1122">
        <v>147.16800000000001</v>
      </c>
      <c r="T832" s="288"/>
      <c r="U832" s="289"/>
      <c r="V832" s="293">
        <v>132.78</v>
      </c>
      <c r="W832" s="288"/>
      <c r="X832" s="289"/>
      <c r="Y832" s="294">
        <v>135</v>
      </c>
      <c r="Z832" s="288"/>
      <c r="AA832" s="289"/>
      <c r="AB832" s="1122">
        <v>145.97279999999998</v>
      </c>
      <c r="AC832" s="288"/>
      <c r="AD832" s="289"/>
      <c r="AE832" s="293">
        <v>121.86</v>
      </c>
      <c r="AF832" s="288"/>
      <c r="AG832" s="289"/>
      <c r="AH832" s="294">
        <v>118.08</v>
      </c>
      <c r="AI832" s="288"/>
      <c r="AJ832" s="289"/>
      <c r="AK832" s="293">
        <v>131.52000000000001</v>
      </c>
      <c r="AL832" s="288"/>
      <c r="AM832" s="289"/>
      <c r="AN832" s="294">
        <v>142.97999999999999</v>
      </c>
      <c r="AO832" s="288"/>
      <c r="AP832" s="289"/>
      <c r="AQ832" s="1122">
        <v>149.0232</v>
      </c>
      <c r="AR832" s="288"/>
      <c r="AS832" s="289"/>
      <c r="AT832" s="294">
        <f t="shared" si="29"/>
        <v>1675.308</v>
      </c>
      <c r="AU832" s="288"/>
      <c r="AV832" s="290"/>
      <c r="AW832" s="285"/>
      <c r="AX832" s="295"/>
      <c r="AY832" s="436"/>
      <c r="AZ832" s="357"/>
      <c r="BA832" s="357"/>
      <c r="BB832" s="357"/>
      <c r="BC832" s="357"/>
    </row>
    <row r="833" spans="1:55" s="24" customFormat="1">
      <c r="A833" s="179"/>
      <c r="B833" s="179"/>
      <c r="C833" s="179"/>
      <c r="D833" s="181">
        <v>338649</v>
      </c>
      <c r="E833" s="181"/>
      <c r="F833" s="181"/>
      <c r="G833" s="1110">
        <v>338649</v>
      </c>
      <c r="H833" s="135" t="s">
        <v>1496</v>
      </c>
      <c r="I833" s="518" t="s">
        <v>365</v>
      </c>
      <c r="J833" s="293">
        <v>71.400000000000006</v>
      </c>
      <c r="K833" s="288"/>
      <c r="L833" s="289"/>
      <c r="M833" s="1122">
        <v>65.493600000000001</v>
      </c>
      <c r="N833" s="288"/>
      <c r="O833" s="289"/>
      <c r="P833" s="1122">
        <v>70.60560000000001</v>
      </c>
      <c r="Q833" s="288"/>
      <c r="R833" s="289"/>
      <c r="S833" s="1122">
        <v>46.295999999999999</v>
      </c>
      <c r="T833" s="288"/>
      <c r="U833" s="289"/>
      <c r="V833" s="1122">
        <v>68.075999999999993</v>
      </c>
      <c r="W833" s="288"/>
      <c r="X833" s="289"/>
      <c r="Y833" s="294">
        <v>60.6</v>
      </c>
      <c r="Z833" s="288"/>
      <c r="AA833" s="289"/>
      <c r="AB833" s="293">
        <v>56.76</v>
      </c>
      <c r="AC833" s="288"/>
      <c r="AD833" s="289"/>
      <c r="AE833" s="293">
        <v>61.38</v>
      </c>
      <c r="AF833" s="288"/>
      <c r="AG833" s="289"/>
      <c r="AH833" s="294">
        <v>63.48</v>
      </c>
      <c r="AI833" s="288"/>
      <c r="AJ833" s="289"/>
      <c r="AK833" s="1122">
        <v>70.828800000000001</v>
      </c>
      <c r="AL833" s="288"/>
      <c r="AM833" s="289"/>
      <c r="AN833" s="294">
        <v>67.319999999999993</v>
      </c>
      <c r="AO833" s="288"/>
      <c r="AP833" s="289"/>
      <c r="AQ833" s="293">
        <v>69.48</v>
      </c>
      <c r="AR833" s="288"/>
      <c r="AS833" s="289"/>
      <c r="AT833" s="294">
        <f t="shared" si="29"/>
        <v>771.72</v>
      </c>
      <c r="AU833" s="288"/>
      <c r="AV833" s="290"/>
      <c r="AW833" s="285"/>
      <c r="AX833" s="295"/>
      <c r="AY833" s="436"/>
      <c r="AZ833" s="357"/>
      <c r="BA833" s="357"/>
      <c r="BB833" s="357"/>
      <c r="BC833" s="357"/>
    </row>
    <row r="834" spans="1:55" s="24" customFormat="1">
      <c r="A834" s="179"/>
      <c r="B834" s="179"/>
      <c r="C834" s="179"/>
      <c r="D834" s="181"/>
      <c r="E834" s="181"/>
      <c r="F834" s="181"/>
      <c r="G834" s="1211">
        <v>338664</v>
      </c>
      <c r="H834" s="135" t="s">
        <v>1497</v>
      </c>
      <c r="I834" s="518" t="s">
        <v>365</v>
      </c>
      <c r="J834" s="293">
        <v>9.3000000000000007</v>
      </c>
      <c r="K834" s="288"/>
      <c r="L834" s="289"/>
      <c r="M834" s="294">
        <v>8.6999999999999993</v>
      </c>
      <c r="N834" s="288"/>
      <c r="O834" s="289"/>
      <c r="P834" s="294">
        <v>9.1199999999999992</v>
      </c>
      <c r="Q834" s="288"/>
      <c r="R834" s="289"/>
      <c r="S834" s="294">
        <v>8.82</v>
      </c>
      <c r="T834" s="288"/>
      <c r="U834" s="289"/>
      <c r="V834" s="293">
        <v>4.3</v>
      </c>
      <c r="W834" s="288"/>
      <c r="X834" s="289"/>
      <c r="Y834" s="1122">
        <v>7.7759999999999998</v>
      </c>
      <c r="Z834" s="288"/>
      <c r="AA834" s="289"/>
      <c r="AB834" s="293">
        <v>8.16</v>
      </c>
      <c r="AC834" s="288"/>
      <c r="AD834" s="289"/>
      <c r="AE834" s="293">
        <v>8.16</v>
      </c>
      <c r="AF834" s="288"/>
      <c r="AG834" s="289"/>
      <c r="AH834" s="1122">
        <v>3.8879999999999999</v>
      </c>
      <c r="AI834" s="288"/>
      <c r="AJ834" s="289"/>
      <c r="AK834" s="1122">
        <v>9.0768000000000004</v>
      </c>
      <c r="AL834" s="288"/>
      <c r="AM834" s="289"/>
      <c r="AN834" s="294">
        <v>9</v>
      </c>
      <c r="AO834" s="288"/>
      <c r="AP834" s="289"/>
      <c r="AQ834" s="293">
        <v>9.1199999999999992</v>
      </c>
      <c r="AR834" s="288"/>
      <c r="AS834" s="289"/>
      <c r="AT834" s="294">
        <f t="shared" si="29"/>
        <v>95.4208</v>
      </c>
      <c r="AU834" s="288"/>
      <c r="AV834" s="290"/>
      <c r="AW834" s="285"/>
      <c r="AX834" s="295"/>
      <c r="AY834" s="436"/>
      <c r="AZ834" s="357"/>
      <c r="BA834" s="357"/>
      <c r="BB834" s="357"/>
      <c r="BC834" s="357"/>
    </row>
    <row r="835" spans="1:55" s="24" customFormat="1">
      <c r="A835" s="179"/>
      <c r="B835" s="179"/>
      <c r="C835" s="179"/>
      <c r="D835" s="181">
        <v>338641</v>
      </c>
      <c r="E835" s="181"/>
      <c r="F835" s="181"/>
      <c r="G835" s="1110">
        <v>338641</v>
      </c>
      <c r="H835" s="135" t="s">
        <v>1376</v>
      </c>
      <c r="I835" s="518" t="s">
        <v>365</v>
      </c>
      <c r="J835" s="293">
        <v>153</v>
      </c>
      <c r="K835" s="288"/>
      <c r="L835" s="289"/>
      <c r="M835" s="294">
        <v>138</v>
      </c>
      <c r="N835" s="288"/>
      <c r="O835" s="289"/>
      <c r="P835" s="294">
        <v>130</v>
      </c>
      <c r="Q835" s="288"/>
      <c r="R835" s="289"/>
      <c r="S835" s="294">
        <v>122</v>
      </c>
      <c r="T835" s="288"/>
      <c r="U835" s="289"/>
      <c r="V835" s="293">
        <v>127</v>
      </c>
      <c r="W835" s="288"/>
      <c r="X835" s="289"/>
      <c r="Y835" s="294">
        <v>106</v>
      </c>
      <c r="Z835" s="288"/>
      <c r="AA835" s="289"/>
      <c r="AB835" s="293">
        <v>114</v>
      </c>
      <c r="AC835" s="288"/>
      <c r="AD835" s="289"/>
      <c r="AE835" s="293">
        <v>131</v>
      </c>
      <c r="AF835" s="288"/>
      <c r="AG835" s="289"/>
      <c r="AH835" s="294">
        <v>145</v>
      </c>
      <c r="AI835" s="288"/>
      <c r="AJ835" s="289"/>
      <c r="AK835" s="293">
        <v>156</v>
      </c>
      <c r="AL835" s="288"/>
      <c r="AM835" s="289"/>
      <c r="AN835" s="294">
        <v>153</v>
      </c>
      <c r="AO835" s="288"/>
      <c r="AP835" s="289"/>
      <c r="AQ835" s="293">
        <v>154</v>
      </c>
      <c r="AR835" s="288"/>
      <c r="AS835" s="289"/>
      <c r="AT835" s="294">
        <f t="shared" si="29"/>
        <v>1629</v>
      </c>
      <c r="AU835" s="288"/>
      <c r="AV835" s="290"/>
      <c r="AW835" s="285"/>
      <c r="AX835" s="295"/>
      <c r="AY835" s="436"/>
      <c r="AZ835" s="357"/>
      <c r="BA835" s="357"/>
      <c r="BB835" s="357"/>
      <c r="BC835" s="357"/>
    </row>
    <row r="836" spans="1:55" s="24" customFormat="1">
      <c r="A836" s="179"/>
      <c r="B836" s="179"/>
      <c r="C836" s="179"/>
      <c r="D836" s="181">
        <v>338644</v>
      </c>
      <c r="E836" s="181"/>
      <c r="F836" s="181"/>
      <c r="G836" s="1110">
        <v>338644</v>
      </c>
      <c r="H836" s="135" t="s">
        <v>1377</v>
      </c>
      <c r="I836" s="518" t="s">
        <v>365</v>
      </c>
      <c r="J836" s="293">
        <v>18.23</v>
      </c>
      <c r="K836" s="288"/>
      <c r="L836" s="289"/>
      <c r="M836" s="294">
        <v>17.05</v>
      </c>
      <c r="N836" s="288"/>
      <c r="O836" s="289"/>
      <c r="P836" s="294">
        <v>18.23</v>
      </c>
      <c r="Q836" s="288"/>
      <c r="R836" s="289"/>
      <c r="S836" s="294">
        <v>17.64</v>
      </c>
      <c r="T836" s="288"/>
      <c r="U836" s="289"/>
      <c r="V836" s="293">
        <v>9.3000000000000007</v>
      </c>
      <c r="W836" s="288"/>
      <c r="X836" s="289"/>
      <c r="Y836" s="294">
        <v>9</v>
      </c>
      <c r="Z836" s="288"/>
      <c r="AA836" s="289"/>
      <c r="AB836" s="293">
        <v>4.6500000000000004</v>
      </c>
      <c r="AC836" s="288"/>
      <c r="AD836" s="289"/>
      <c r="AE836" s="293">
        <v>9.3000000000000007</v>
      </c>
      <c r="AF836" s="288"/>
      <c r="AG836" s="289"/>
      <c r="AH836" s="294">
        <v>12.24</v>
      </c>
      <c r="AI836" s="288"/>
      <c r="AJ836" s="289"/>
      <c r="AK836" s="293">
        <v>18.23</v>
      </c>
      <c r="AL836" s="288"/>
      <c r="AM836" s="289"/>
      <c r="AN836" s="294">
        <v>17.64</v>
      </c>
      <c r="AO836" s="288"/>
      <c r="AP836" s="289"/>
      <c r="AQ836" s="293">
        <v>18.23</v>
      </c>
      <c r="AR836" s="288"/>
      <c r="AS836" s="289"/>
      <c r="AT836" s="294">
        <f t="shared" si="29"/>
        <v>169.73999999999998</v>
      </c>
      <c r="AU836" s="288"/>
      <c r="AV836" s="290"/>
      <c r="AW836" s="285"/>
      <c r="AX836" s="295"/>
      <c r="AY836" s="436"/>
      <c r="AZ836" s="357"/>
      <c r="BA836" s="357"/>
      <c r="BB836" s="357"/>
      <c r="BC836" s="357"/>
    </row>
    <row r="837" spans="1:55" s="24" customFormat="1">
      <c r="A837" s="179"/>
      <c r="B837" s="179"/>
      <c r="C837" s="179"/>
      <c r="D837" s="181">
        <v>338645</v>
      </c>
      <c r="E837" s="181"/>
      <c r="F837" s="181"/>
      <c r="G837" s="1110">
        <v>338645</v>
      </c>
      <c r="H837" s="135" t="s">
        <v>1129</v>
      </c>
      <c r="I837" s="518" t="s">
        <v>365</v>
      </c>
      <c r="J837" s="293">
        <v>10.9</v>
      </c>
      <c r="K837" s="288"/>
      <c r="L837" s="289"/>
      <c r="M837" s="294">
        <v>14.8</v>
      </c>
      <c r="N837" s="288"/>
      <c r="O837" s="289"/>
      <c r="P837" s="294">
        <v>15.2</v>
      </c>
      <c r="Q837" s="288"/>
      <c r="R837" s="289"/>
      <c r="S837" s="294">
        <v>13.4</v>
      </c>
      <c r="T837" s="288"/>
      <c r="U837" s="289"/>
      <c r="V837" s="293">
        <v>7</v>
      </c>
      <c r="W837" s="288"/>
      <c r="X837" s="289"/>
      <c r="Y837" s="294">
        <v>7.2</v>
      </c>
      <c r="Z837" s="288"/>
      <c r="AA837" s="289"/>
      <c r="AB837" s="293">
        <v>7.4</v>
      </c>
      <c r="AC837" s="288"/>
      <c r="AD837" s="289"/>
      <c r="AE837" s="293">
        <v>7</v>
      </c>
      <c r="AF837" s="288"/>
      <c r="AG837" s="289"/>
      <c r="AH837" s="294">
        <v>7.2</v>
      </c>
      <c r="AI837" s="288"/>
      <c r="AJ837" s="289"/>
      <c r="AK837" s="293">
        <v>14.6</v>
      </c>
      <c r="AL837" s="288"/>
      <c r="AM837" s="289"/>
      <c r="AN837" s="294">
        <v>15.8</v>
      </c>
      <c r="AO837" s="288"/>
      <c r="AP837" s="289"/>
      <c r="AQ837" s="293">
        <v>16.399999999999999</v>
      </c>
      <c r="AR837" s="288"/>
      <c r="AS837" s="289"/>
      <c r="AT837" s="294">
        <f t="shared" si="29"/>
        <v>136.9</v>
      </c>
      <c r="AU837" s="288"/>
      <c r="AV837" s="290"/>
      <c r="AW837" s="285"/>
      <c r="AX837" s="295"/>
      <c r="AY837" s="436"/>
      <c r="AZ837" s="357"/>
      <c r="BA837" s="357"/>
      <c r="BB837" s="357"/>
      <c r="BC837" s="357"/>
    </row>
    <row r="838" spans="1:55" s="24" customFormat="1">
      <c r="A838" s="179"/>
      <c r="B838" s="179"/>
      <c r="C838" s="179"/>
      <c r="D838" s="181">
        <v>338646</v>
      </c>
      <c r="E838" s="181"/>
      <c r="F838" s="181"/>
      <c r="G838" s="1110">
        <v>338646</v>
      </c>
      <c r="H838" s="135" t="s">
        <v>1378</v>
      </c>
      <c r="I838" s="518" t="s">
        <v>365</v>
      </c>
      <c r="J838" s="293">
        <v>10.5</v>
      </c>
      <c r="K838" s="288"/>
      <c r="L838" s="289"/>
      <c r="M838" s="294">
        <v>11.6</v>
      </c>
      <c r="N838" s="288"/>
      <c r="O838" s="289"/>
      <c r="P838" s="294">
        <v>13.2</v>
      </c>
      <c r="Q838" s="288"/>
      <c r="R838" s="289"/>
      <c r="S838" s="294">
        <v>15.7</v>
      </c>
      <c r="T838" s="288"/>
      <c r="U838" s="289"/>
      <c r="V838" s="293">
        <v>19.899999999999999</v>
      </c>
      <c r="W838" s="288"/>
      <c r="X838" s="289"/>
      <c r="Y838" s="294">
        <v>18.600000000000001</v>
      </c>
      <c r="Z838" s="288"/>
      <c r="AA838" s="289"/>
      <c r="AB838" s="293">
        <v>19.899999999999999</v>
      </c>
      <c r="AC838" s="288"/>
      <c r="AD838" s="289"/>
      <c r="AE838" s="293">
        <v>20</v>
      </c>
      <c r="AF838" s="288"/>
      <c r="AG838" s="289"/>
      <c r="AH838" s="294">
        <v>15.5</v>
      </c>
      <c r="AI838" s="288"/>
      <c r="AJ838" s="289"/>
      <c r="AK838" s="293">
        <v>16.399999999999999</v>
      </c>
      <c r="AL838" s="288"/>
      <c r="AM838" s="289"/>
      <c r="AN838" s="294">
        <v>15.6</v>
      </c>
      <c r="AO838" s="288"/>
      <c r="AP838" s="289"/>
      <c r="AQ838" s="293">
        <v>17.7</v>
      </c>
      <c r="AR838" s="288"/>
      <c r="AS838" s="289"/>
      <c r="AT838" s="294">
        <f t="shared" si="29"/>
        <v>194.6</v>
      </c>
      <c r="AU838" s="288"/>
      <c r="AV838" s="290"/>
      <c r="AW838" s="285"/>
      <c r="AX838" s="295"/>
      <c r="AY838" s="436"/>
      <c r="AZ838" s="357"/>
      <c r="BA838" s="357"/>
      <c r="BB838" s="357"/>
      <c r="BC838" s="357"/>
    </row>
    <row r="839" spans="1:55" s="24" customFormat="1">
      <c r="A839" s="179"/>
      <c r="B839" s="179"/>
      <c r="C839" s="179"/>
      <c r="D839" s="181">
        <v>338648</v>
      </c>
      <c r="E839" s="181"/>
      <c r="F839" s="181"/>
      <c r="G839" s="1110">
        <v>338648</v>
      </c>
      <c r="H839" s="135" t="s">
        <v>1379</v>
      </c>
      <c r="I839" s="518" t="s">
        <v>365</v>
      </c>
      <c r="J839" s="293">
        <v>1.6</v>
      </c>
      <c r="K839" s="288"/>
      <c r="L839" s="289"/>
      <c r="M839" s="294">
        <v>1.6</v>
      </c>
      <c r="N839" s="288"/>
      <c r="O839" s="289"/>
      <c r="P839" s="294">
        <v>1.6</v>
      </c>
      <c r="Q839" s="288"/>
      <c r="R839" s="289"/>
      <c r="S839" s="294">
        <v>1.6</v>
      </c>
      <c r="T839" s="288"/>
      <c r="U839" s="289"/>
      <c r="V839" s="293">
        <v>0.8</v>
      </c>
      <c r="W839" s="288"/>
      <c r="X839" s="289"/>
      <c r="Y839" s="294">
        <v>0.8</v>
      </c>
      <c r="Z839" s="288"/>
      <c r="AA839" s="289"/>
      <c r="AB839" s="293">
        <v>0.8</v>
      </c>
      <c r="AC839" s="288"/>
      <c r="AD839" s="289"/>
      <c r="AE839" s="293">
        <v>0.8</v>
      </c>
      <c r="AF839" s="288"/>
      <c r="AG839" s="289"/>
      <c r="AH839" s="294">
        <v>0.8</v>
      </c>
      <c r="AI839" s="288"/>
      <c r="AJ839" s="289"/>
      <c r="AK839" s="293">
        <v>1.6</v>
      </c>
      <c r="AL839" s="288"/>
      <c r="AM839" s="289"/>
      <c r="AN839" s="294">
        <v>1.6</v>
      </c>
      <c r="AO839" s="288"/>
      <c r="AP839" s="289"/>
      <c r="AQ839" s="293">
        <v>1.6</v>
      </c>
      <c r="AR839" s="288"/>
      <c r="AS839" s="289"/>
      <c r="AT839" s="294">
        <f t="shared" si="29"/>
        <v>15.200000000000001</v>
      </c>
      <c r="AU839" s="288"/>
      <c r="AV839" s="290"/>
      <c r="AW839" s="285"/>
      <c r="AX839" s="295"/>
      <c r="AY839" s="436"/>
      <c r="AZ839" s="357"/>
      <c r="BA839" s="357"/>
      <c r="BB839" s="357"/>
      <c r="BC839" s="357"/>
    </row>
    <row r="840" spans="1:55" s="24" customFormat="1">
      <c r="A840" s="179"/>
      <c r="B840" s="179"/>
      <c r="C840" s="179"/>
      <c r="D840" s="181">
        <v>338647</v>
      </c>
      <c r="E840" s="181"/>
      <c r="F840" s="181"/>
      <c r="G840" s="1110">
        <v>338647</v>
      </c>
      <c r="H840" s="135" t="s">
        <v>1380</v>
      </c>
      <c r="I840" s="518" t="s">
        <v>365</v>
      </c>
      <c r="J840" s="293">
        <v>0.83</v>
      </c>
      <c r="K840" s="288"/>
      <c r="L840" s="289"/>
      <c r="M840" s="294">
        <v>0.83</v>
      </c>
      <c r="N840" s="288"/>
      <c r="O840" s="289"/>
      <c r="P840" s="294">
        <v>0.95</v>
      </c>
      <c r="Q840" s="288"/>
      <c r="R840" s="289"/>
      <c r="S840" s="1122">
        <v>0.93599999999999994</v>
      </c>
      <c r="T840" s="288"/>
      <c r="U840" s="289"/>
      <c r="V840" s="293">
        <v>0.9</v>
      </c>
      <c r="W840" s="288"/>
      <c r="X840" s="289"/>
      <c r="Y840" s="294">
        <v>0.9</v>
      </c>
      <c r="Z840" s="288"/>
      <c r="AA840" s="289"/>
      <c r="AB840" s="293">
        <v>0.9</v>
      </c>
      <c r="AC840" s="288"/>
      <c r="AD840" s="289"/>
      <c r="AE840" s="293">
        <v>0.8</v>
      </c>
      <c r="AF840" s="288"/>
      <c r="AG840" s="289"/>
      <c r="AH840" s="294">
        <v>0.8</v>
      </c>
      <c r="AI840" s="288"/>
      <c r="AJ840" s="289"/>
      <c r="AK840" s="293">
        <v>0.85</v>
      </c>
      <c r="AL840" s="288"/>
      <c r="AM840" s="289"/>
      <c r="AN840" s="294">
        <v>0.85</v>
      </c>
      <c r="AO840" s="288"/>
      <c r="AP840" s="289"/>
      <c r="AQ840" s="293">
        <v>0.85</v>
      </c>
      <c r="AR840" s="288"/>
      <c r="AS840" s="289"/>
      <c r="AT840" s="294">
        <f t="shared" si="29"/>
        <v>10.395999999999999</v>
      </c>
      <c r="AU840" s="288"/>
      <c r="AV840" s="290"/>
      <c r="AW840" s="285"/>
      <c r="AX840" s="295"/>
      <c r="AY840" s="436"/>
      <c r="AZ840" s="357"/>
      <c r="BA840" s="357"/>
      <c r="BB840" s="357"/>
      <c r="BC840" s="357"/>
    </row>
    <row r="841" spans="1:55" s="24" customFormat="1">
      <c r="A841" s="179"/>
      <c r="B841" s="179"/>
      <c r="C841" s="179"/>
      <c r="D841" s="181"/>
      <c r="E841" s="181"/>
      <c r="F841" s="181"/>
      <c r="G841" s="1110" t="s">
        <v>1246</v>
      </c>
      <c r="H841" s="135" t="s">
        <v>1381</v>
      </c>
      <c r="I841" s="518" t="s">
        <v>365</v>
      </c>
      <c r="J841" s="1122">
        <v>2.2989600000000001</v>
      </c>
      <c r="K841" s="288"/>
      <c r="L841" s="289"/>
      <c r="M841" s="1122">
        <v>2.1506400000000001</v>
      </c>
      <c r="N841" s="288"/>
      <c r="O841" s="289"/>
      <c r="P841" s="1122">
        <v>2.2989600000000001</v>
      </c>
      <c r="Q841" s="288"/>
      <c r="R841" s="289"/>
      <c r="S841" s="1122">
        <v>2.2248000000000001</v>
      </c>
      <c r="T841" s="288"/>
      <c r="U841" s="289"/>
      <c r="V841" s="1122">
        <v>2.2989599999999997</v>
      </c>
      <c r="W841" s="288"/>
      <c r="X841" s="289"/>
      <c r="Y841" s="1122">
        <v>2.2248000000000001</v>
      </c>
      <c r="Z841" s="288"/>
      <c r="AA841" s="289"/>
      <c r="AB841" s="1122">
        <v>2.2989600000000001</v>
      </c>
      <c r="AC841" s="288"/>
      <c r="AD841" s="289"/>
      <c r="AE841" s="1122">
        <v>2.2989600000000001</v>
      </c>
      <c r="AF841" s="288"/>
      <c r="AG841" s="289"/>
      <c r="AH841" s="1122">
        <v>2.2248000000000001</v>
      </c>
      <c r="AI841" s="288"/>
      <c r="AJ841" s="289"/>
      <c r="AK841" s="1122">
        <v>2.2989600000000001</v>
      </c>
      <c r="AL841" s="288"/>
      <c r="AM841" s="289"/>
      <c r="AN841" s="1122">
        <v>2.2248000000000001</v>
      </c>
      <c r="AO841" s="288"/>
      <c r="AP841" s="289"/>
      <c r="AQ841" s="1122">
        <v>2.2989600000000001</v>
      </c>
      <c r="AR841" s="288"/>
      <c r="AS841" s="289"/>
      <c r="AT841" s="294">
        <f t="shared" si="29"/>
        <v>27.142560000000003</v>
      </c>
      <c r="AU841" s="288"/>
      <c r="AV841" s="290"/>
      <c r="AW841" s="285"/>
      <c r="AX841" s="295"/>
      <c r="AY841" s="436"/>
      <c r="AZ841" s="357"/>
      <c r="BA841" s="357"/>
      <c r="BB841" s="357"/>
      <c r="BC841" s="357"/>
    </row>
    <row r="842" spans="1:55" s="24" customFormat="1">
      <c r="A842" s="179"/>
      <c r="B842" s="179"/>
      <c r="C842" s="179"/>
      <c r="D842" s="181"/>
      <c r="E842" s="181"/>
      <c r="F842" s="181"/>
      <c r="G842" s="1110" t="s">
        <v>1247</v>
      </c>
      <c r="H842" s="135" t="s">
        <v>1382</v>
      </c>
      <c r="I842" s="518" t="s">
        <v>365</v>
      </c>
      <c r="J842" s="1122">
        <v>11.904000000000003</v>
      </c>
      <c r="K842" s="288"/>
      <c r="L842" s="289"/>
      <c r="M842" s="1122">
        <v>11.135999999999999</v>
      </c>
      <c r="N842" s="288"/>
      <c r="O842" s="289"/>
      <c r="P842" s="1122">
        <v>11.904000000000003</v>
      </c>
      <c r="Q842" s="288"/>
      <c r="R842" s="289"/>
      <c r="S842" s="1122">
        <v>11.520000000000003</v>
      </c>
      <c r="T842" s="288"/>
      <c r="U842" s="289"/>
      <c r="V842" s="1122">
        <v>11.904000000000003</v>
      </c>
      <c r="W842" s="288"/>
      <c r="X842" s="289"/>
      <c r="Y842" s="1122">
        <v>11.520000000000003</v>
      </c>
      <c r="Z842" s="288"/>
      <c r="AA842" s="289"/>
      <c r="AB842" s="1122">
        <v>11.904000000000003</v>
      </c>
      <c r="AC842" s="288"/>
      <c r="AD842" s="289"/>
      <c r="AE842" s="1122">
        <v>11.904000000000003</v>
      </c>
      <c r="AF842" s="288"/>
      <c r="AG842" s="289"/>
      <c r="AH842" s="1122">
        <v>11.520000000000003</v>
      </c>
      <c r="AI842" s="288"/>
      <c r="AJ842" s="289"/>
      <c r="AK842" s="1122">
        <v>11.904000000000003</v>
      </c>
      <c r="AL842" s="288"/>
      <c r="AM842" s="289"/>
      <c r="AN842" s="1122">
        <v>11.520000000000003</v>
      </c>
      <c r="AO842" s="288"/>
      <c r="AP842" s="289"/>
      <c r="AQ842" s="1122">
        <v>11.904000000000003</v>
      </c>
      <c r="AR842" s="288"/>
      <c r="AS842" s="289"/>
      <c r="AT842" s="294">
        <f t="shared" si="29"/>
        <v>140.54400000000001</v>
      </c>
      <c r="AU842" s="288"/>
      <c r="AV842" s="290"/>
      <c r="AW842" s="285"/>
      <c r="AX842" s="295"/>
      <c r="AY842" s="436"/>
      <c r="AZ842" s="357"/>
      <c r="BA842" s="357"/>
      <c r="BB842" s="357"/>
      <c r="BC842" s="357"/>
    </row>
    <row r="843" spans="1:55" s="24" customFormat="1">
      <c r="A843" s="179"/>
      <c r="B843" s="179"/>
      <c r="C843" s="179"/>
      <c r="D843" s="181"/>
      <c r="E843" s="181"/>
      <c r="F843" s="181"/>
      <c r="G843" s="1110" t="s">
        <v>1248</v>
      </c>
      <c r="H843" s="135" t="s">
        <v>1383</v>
      </c>
      <c r="I843" s="518" t="s">
        <v>365</v>
      </c>
      <c r="J843" s="293">
        <v>10.788</v>
      </c>
      <c r="K843" s="288"/>
      <c r="L843" s="289"/>
      <c r="M843" s="294">
        <v>10.092000000000001</v>
      </c>
      <c r="N843" s="288"/>
      <c r="O843" s="289"/>
      <c r="P843" s="294">
        <v>10.788</v>
      </c>
      <c r="Q843" s="288"/>
      <c r="R843" s="289"/>
      <c r="S843" s="294">
        <v>10.44</v>
      </c>
      <c r="T843" s="288"/>
      <c r="U843" s="289"/>
      <c r="V843" s="293">
        <v>9.7379999999999995</v>
      </c>
      <c r="W843" s="288"/>
      <c r="X843" s="289"/>
      <c r="Y843" s="294">
        <v>10.08</v>
      </c>
      <c r="Z843" s="288"/>
      <c r="AA843" s="289"/>
      <c r="AB843" s="293">
        <v>10.416</v>
      </c>
      <c r="AC843" s="288"/>
      <c r="AD843" s="289"/>
      <c r="AE843" s="1122">
        <v>8.927999999999999</v>
      </c>
      <c r="AF843" s="288"/>
      <c r="AG843" s="289"/>
      <c r="AH843" s="294">
        <v>10.26</v>
      </c>
      <c r="AI843" s="288"/>
      <c r="AJ843" s="289"/>
      <c r="AK843" s="293">
        <v>10.788</v>
      </c>
      <c r="AL843" s="288"/>
      <c r="AM843" s="289"/>
      <c r="AN843" s="294">
        <v>10.44</v>
      </c>
      <c r="AO843" s="288"/>
      <c r="AP843" s="289"/>
      <c r="AQ843" s="293">
        <v>10.788</v>
      </c>
      <c r="AR843" s="288"/>
      <c r="AS843" s="289"/>
      <c r="AT843" s="294">
        <f t="shared" si="29"/>
        <v>123.54599999999999</v>
      </c>
      <c r="AU843" s="288"/>
      <c r="AV843" s="290"/>
      <c r="AW843" s="285"/>
      <c r="AX843" s="295"/>
      <c r="AY843" s="436"/>
      <c r="AZ843" s="357"/>
      <c r="BA843" s="357"/>
      <c r="BB843" s="357"/>
      <c r="BC843" s="357"/>
    </row>
    <row r="844" spans="1:55" s="24" customFormat="1">
      <c r="A844" s="179"/>
      <c r="B844" s="179"/>
      <c r="C844" s="179"/>
      <c r="D844" s="181"/>
      <c r="E844" s="181"/>
      <c r="F844" s="181"/>
      <c r="G844" s="1110" t="s">
        <v>1249</v>
      </c>
      <c r="H844" s="135" t="s">
        <v>1250</v>
      </c>
      <c r="I844" s="518" t="s">
        <v>365</v>
      </c>
      <c r="J844" s="293">
        <v>9.4600000000000009</v>
      </c>
      <c r="K844" s="288"/>
      <c r="L844" s="289"/>
      <c r="M844" s="294">
        <v>8.6639999999999997</v>
      </c>
      <c r="N844" s="288"/>
      <c r="O844" s="289"/>
      <c r="P844" s="1122">
        <v>9.1288800000000005</v>
      </c>
      <c r="Q844" s="288"/>
      <c r="R844" s="289"/>
      <c r="S844" s="294">
        <v>9.0980000000000008</v>
      </c>
      <c r="T844" s="288"/>
      <c r="U844" s="289"/>
      <c r="V844" s="293">
        <v>6.4450000000000003</v>
      </c>
      <c r="W844" s="288"/>
      <c r="X844" s="289"/>
      <c r="Y844" s="294">
        <v>4.3449999999999998</v>
      </c>
      <c r="Z844" s="288"/>
      <c r="AA844" s="289"/>
      <c r="AB844" s="293">
        <v>4.2320000000000002</v>
      </c>
      <c r="AC844" s="288"/>
      <c r="AD844" s="289"/>
      <c r="AE844" s="293">
        <v>4.4660000000000002</v>
      </c>
      <c r="AF844" s="288"/>
      <c r="AG844" s="289"/>
      <c r="AH844" s="294">
        <v>5.1280000000000001</v>
      </c>
      <c r="AI844" s="288"/>
      <c r="AJ844" s="289"/>
      <c r="AK844" s="293">
        <v>9.032</v>
      </c>
      <c r="AL844" s="288"/>
      <c r="AM844" s="289"/>
      <c r="AN844" s="294">
        <v>9.1140000000000008</v>
      </c>
      <c r="AO844" s="288"/>
      <c r="AP844" s="289"/>
      <c r="AQ844" s="293">
        <v>9.2360000000000007</v>
      </c>
      <c r="AR844" s="288"/>
      <c r="AS844" s="289"/>
      <c r="AT844" s="294">
        <f t="shared" si="29"/>
        <v>88.348880000000008</v>
      </c>
      <c r="AU844" s="288"/>
      <c r="AV844" s="290"/>
      <c r="AW844" s="285"/>
      <c r="AX844" s="295"/>
      <c r="AY844" s="436"/>
      <c r="AZ844" s="357"/>
      <c r="BA844" s="357"/>
      <c r="BB844" s="357"/>
      <c r="BC844" s="357"/>
    </row>
    <row r="845" spans="1:55" s="24" customFormat="1">
      <c r="A845" s="179"/>
      <c r="B845" s="179"/>
      <c r="C845" s="179"/>
      <c r="D845" s="181">
        <v>777176</v>
      </c>
      <c r="E845" s="181"/>
      <c r="F845" s="181"/>
      <c r="G845" s="1110">
        <v>777176</v>
      </c>
      <c r="H845" s="135" t="s">
        <v>1384</v>
      </c>
      <c r="I845" s="518" t="s">
        <v>365</v>
      </c>
      <c r="J845" s="293">
        <v>2.5870000000000002</v>
      </c>
      <c r="K845" s="288"/>
      <c r="L845" s="289"/>
      <c r="M845" s="1122">
        <v>2.4359999999999999</v>
      </c>
      <c r="N845" s="288"/>
      <c r="O845" s="289"/>
      <c r="P845" s="1122">
        <v>2.6040000000000001</v>
      </c>
      <c r="Q845" s="288"/>
      <c r="R845" s="289"/>
      <c r="S845" s="1122">
        <v>2.52</v>
      </c>
      <c r="T845" s="288"/>
      <c r="U845" s="289"/>
      <c r="V845" s="293">
        <v>0.31</v>
      </c>
      <c r="W845" s="288"/>
      <c r="X845" s="289"/>
      <c r="Y845" s="294">
        <v>0</v>
      </c>
      <c r="Z845" s="288"/>
      <c r="AA845" s="289"/>
      <c r="AB845" s="293">
        <v>0</v>
      </c>
      <c r="AC845" s="288"/>
      <c r="AD845" s="289"/>
      <c r="AE845" s="293">
        <v>0</v>
      </c>
      <c r="AF845" s="288"/>
      <c r="AG845" s="289"/>
      <c r="AH845" s="294">
        <v>0.20599999999999999</v>
      </c>
      <c r="AI845" s="288"/>
      <c r="AJ845" s="289"/>
      <c r="AK845" s="293">
        <v>2.4049999999999998</v>
      </c>
      <c r="AL845" s="288"/>
      <c r="AM845" s="289"/>
      <c r="AN845" s="1122">
        <v>2.52</v>
      </c>
      <c r="AO845" s="288"/>
      <c r="AP845" s="289"/>
      <c r="AQ845" s="293">
        <v>2.597</v>
      </c>
      <c r="AR845" s="288"/>
      <c r="AS845" s="289"/>
      <c r="AT845" s="294">
        <f t="shared" si="29"/>
        <v>18.184999999999999</v>
      </c>
      <c r="AU845" s="288"/>
      <c r="AV845" s="290"/>
      <c r="AW845" s="285"/>
      <c r="AX845" s="295"/>
      <c r="AY845" s="436"/>
      <c r="AZ845" s="357"/>
      <c r="BA845" s="357"/>
      <c r="BB845" s="357"/>
      <c r="BC845" s="357"/>
    </row>
    <row r="846" spans="1:55" s="24" customFormat="1">
      <c r="A846" s="179"/>
      <c r="B846" s="179"/>
      <c r="C846" s="179"/>
      <c r="D846" s="181"/>
      <c r="E846" s="181"/>
      <c r="F846" s="181"/>
      <c r="G846" s="1110">
        <v>777369</v>
      </c>
      <c r="H846" s="135" t="s">
        <v>1385</v>
      </c>
      <c r="I846" s="518" t="s">
        <v>365</v>
      </c>
      <c r="J846" s="293">
        <v>2.68</v>
      </c>
      <c r="K846" s="288"/>
      <c r="L846" s="289"/>
      <c r="M846" s="294">
        <v>2.5099999999999998</v>
      </c>
      <c r="N846" s="288"/>
      <c r="O846" s="289"/>
      <c r="P846" s="294">
        <v>2.68</v>
      </c>
      <c r="Q846" s="288"/>
      <c r="R846" s="289"/>
      <c r="S846" s="294">
        <v>2.59</v>
      </c>
      <c r="T846" s="288"/>
      <c r="U846" s="289"/>
      <c r="V846" s="293">
        <v>2.68</v>
      </c>
      <c r="W846" s="288"/>
      <c r="X846" s="289"/>
      <c r="Y846" s="294">
        <v>2.59</v>
      </c>
      <c r="Z846" s="288"/>
      <c r="AA846" s="289"/>
      <c r="AB846" s="293">
        <v>2.68</v>
      </c>
      <c r="AC846" s="288"/>
      <c r="AD846" s="289"/>
      <c r="AE846" s="293">
        <v>2.68</v>
      </c>
      <c r="AF846" s="288"/>
      <c r="AG846" s="289"/>
      <c r="AH846" s="294">
        <v>2.59</v>
      </c>
      <c r="AI846" s="288"/>
      <c r="AJ846" s="289"/>
      <c r="AK846" s="293">
        <v>2.68</v>
      </c>
      <c r="AL846" s="288"/>
      <c r="AM846" s="289"/>
      <c r="AN846" s="294">
        <v>2.59</v>
      </c>
      <c r="AO846" s="288"/>
      <c r="AP846" s="289"/>
      <c r="AQ846" s="293">
        <v>2.68</v>
      </c>
      <c r="AR846" s="288"/>
      <c r="AS846" s="289"/>
      <c r="AT846" s="294">
        <f t="shared" si="29"/>
        <v>31.63</v>
      </c>
      <c r="AU846" s="288"/>
      <c r="AV846" s="290"/>
      <c r="AW846" s="285"/>
      <c r="AX846" s="295"/>
      <c r="AY846" s="436"/>
      <c r="AZ846" s="357"/>
      <c r="BA846" s="357"/>
      <c r="BB846" s="357"/>
      <c r="BC846" s="357"/>
    </row>
    <row r="847" spans="1:55" s="24" customFormat="1">
      <c r="A847" s="179"/>
      <c r="B847" s="179"/>
      <c r="C847" s="179"/>
      <c r="D847" s="181"/>
      <c r="E847" s="181"/>
      <c r="F847" s="181"/>
      <c r="G847" s="1110">
        <v>777790</v>
      </c>
      <c r="H847" s="1123" t="s">
        <v>1498</v>
      </c>
      <c r="I847" s="518" t="s">
        <v>365</v>
      </c>
      <c r="J847" s="293">
        <v>6.0640000000000001</v>
      </c>
      <c r="K847" s="288"/>
      <c r="L847" s="289"/>
      <c r="M847" s="294">
        <v>5.47</v>
      </c>
      <c r="N847" s="288"/>
      <c r="O847" s="289"/>
      <c r="P847" s="294">
        <v>6.0759999999999996</v>
      </c>
      <c r="Q847" s="288"/>
      <c r="R847" s="289"/>
      <c r="S847" s="294">
        <v>5.8780000000000001</v>
      </c>
      <c r="T847" s="288"/>
      <c r="U847" s="289"/>
      <c r="V847" s="293">
        <v>6.0759999999999996</v>
      </c>
      <c r="W847" s="288"/>
      <c r="X847" s="289"/>
      <c r="Y847" s="294">
        <v>5.8659999999999997</v>
      </c>
      <c r="Z847" s="288"/>
      <c r="AA847" s="289"/>
      <c r="AB847" s="293">
        <v>6.0640000000000001</v>
      </c>
      <c r="AC847" s="288"/>
      <c r="AD847" s="289"/>
      <c r="AE847" s="293">
        <v>6.0759999999999996</v>
      </c>
      <c r="AF847" s="288"/>
      <c r="AG847" s="289"/>
      <c r="AH847" s="294">
        <v>5.8780000000000001</v>
      </c>
      <c r="AI847" s="288"/>
      <c r="AJ847" s="289"/>
      <c r="AK847" s="293">
        <v>6.0759999999999996</v>
      </c>
      <c r="AL847" s="288"/>
      <c r="AM847" s="289"/>
      <c r="AN847" s="294">
        <v>5.8780000000000001</v>
      </c>
      <c r="AO847" s="288"/>
      <c r="AP847" s="289"/>
      <c r="AQ847" s="293">
        <v>6.0640000000000001</v>
      </c>
      <c r="AR847" s="288"/>
      <c r="AS847" s="289"/>
      <c r="AT847" s="294">
        <f t="shared" si="29"/>
        <v>71.466000000000008</v>
      </c>
      <c r="AU847" s="288"/>
      <c r="AV847" s="290"/>
      <c r="AW847" s="285"/>
      <c r="AX847" s="295"/>
      <c r="AY847" s="436"/>
      <c r="AZ847" s="357"/>
      <c r="BA847" s="357"/>
      <c r="BB847" s="357"/>
      <c r="BC847" s="357"/>
    </row>
    <row r="848" spans="1:55" s="24" customFormat="1" ht="16.5" thickBot="1">
      <c r="A848" s="179"/>
      <c r="B848" s="179"/>
      <c r="C848" s="179"/>
      <c r="D848" s="181"/>
      <c r="E848" s="181"/>
      <c r="F848" s="181"/>
      <c r="G848" s="1110">
        <v>777798</v>
      </c>
      <c r="H848" s="1124" t="s">
        <v>1499</v>
      </c>
      <c r="I848" s="1040" t="s">
        <v>365</v>
      </c>
      <c r="J848" s="1041">
        <v>11.547000000000001</v>
      </c>
      <c r="K848" s="1042"/>
      <c r="L848" s="1043"/>
      <c r="M848" s="1044">
        <v>10.409000000000001</v>
      </c>
      <c r="N848" s="1042"/>
      <c r="O848" s="1043"/>
      <c r="P848" s="1044">
        <v>11.343999999999999</v>
      </c>
      <c r="Q848" s="1042"/>
      <c r="R848" s="1043"/>
      <c r="S848" s="1044">
        <v>10.952</v>
      </c>
      <c r="T848" s="1042"/>
      <c r="U848" s="1043"/>
      <c r="V848" s="1041">
        <v>11.343999999999999</v>
      </c>
      <c r="W848" s="1042"/>
      <c r="X848" s="1043"/>
      <c r="Y848" s="1044">
        <v>10.952</v>
      </c>
      <c r="Z848" s="1042"/>
      <c r="AA848" s="1043"/>
      <c r="AB848" s="1041">
        <v>11.558999999999999</v>
      </c>
      <c r="AC848" s="1042"/>
      <c r="AD848" s="1043"/>
      <c r="AE848" s="1041">
        <v>11.531000000000001</v>
      </c>
      <c r="AF848" s="1042"/>
      <c r="AG848" s="1043"/>
      <c r="AH848" s="1044">
        <v>11.154999999999999</v>
      </c>
      <c r="AI848" s="1042"/>
      <c r="AJ848" s="1043"/>
      <c r="AK848" s="1041">
        <v>11.531000000000001</v>
      </c>
      <c r="AL848" s="1042"/>
      <c r="AM848" s="1043"/>
      <c r="AN848" s="1044">
        <v>11.182</v>
      </c>
      <c r="AO848" s="1042"/>
      <c r="AP848" s="1043"/>
      <c r="AQ848" s="1041">
        <v>11.544</v>
      </c>
      <c r="AR848" s="288"/>
      <c r="AS848" s="289"/>
      <c r="AT848" s="294">
        <f t="shared" si="29"/>
        <v>135.05000000000001</v>
      </c>
      <c r="AU848" s="288"/>
      <c r="AV848" s="290"/>
      <c r="AW848" s="285"/>
      <c r="AX848" s="295"/>
      <c r="AY848" s="436"/>
      <c r="AZ848" s="357"/>
      <c r="BA848" s="357"/>
      <c r="BB848" s="357"/>
      <c r="BC848" s="357"/>
    </row>
    <row r="849" spans="1:55" s="116" customFormat="1" ht="18.75">
      <c r="A849" s="179"/>
      <c r="B849" s="179"/>
      <c r="C849" s="179"/>
      <c r="D849" s="181">
        <v>840000</v>
      </c>
      <c r="E849" s="181"/>
      <c r="F849" s="181"/>
      <c r="G849" s="181">
        <v>840000</v>
      </c>
      <c r="H849" s="469" t="s">
        <v>94</v>
      </c>
      <c r="I849" s="469"/>
      <c r="J849" s="266">
        <f>SUM(J850:J854)</f>
        <v>11286.729827742263</v>
      </c>
      <c r="K849" s="264">
        <f>L849-J849</f>
        <v>-1827.0115430848164</v>
      </c>
      <c r="L849" s="265">
        <f>L855+L865+L894+L944+L924+L978+L989+L1004+L1045</f>
        <v>9459.7182846574469</v>
      </c>
      <c r="M849" s="263">
        <f>SUM(M850:M854)</f>
        <v>10082.934977160712</v>
      </c>
      <c r="N849" s="264">
        <f>O849-M849</f>
        <v>-1266.9984200684012</v>
      </c>
      <c r="O849" s="265">
        <f>O855+O865+O894+O944+O924+O978+O989+O1004+O1045</f>
        <v>8815.936557092311</v>
      </c>
      <c r="P849" s="263">
        <f>SUM(P850:P854)</f>
        <v>10255.685065803224</v>
      </c>
      <c r="Q849" s="264">
        <f>R849-P849</f>
        <v>-1331.4970432879454</v>
      </c>
      <c r="R849" s="265">
        <f>R855+R865+R894+R944+R924+R978+R989+R1004+R1045</f>
        <v>8924.1880225152781</v>
      </c>
      <c r="S849" s="263">
        <f>SUM(S850:S854)</f>
        <v>8927.382538227539</v>
      </c>
      <c r="T849" s="264">
        <f>U849-S849</f>
        <v>-1008.5022464938629</v>
      </c>
      <c r="U849" s="265">
        <f>U855+U865+U894+U944+U924+U978+U989+U1004+U1045</f>
        <v>7918.8802917336761</v>
      </c>
      <c r="V849" s="263">
        <f>SUM(V850:V854)</f>
        <v>8176.2462527416992</v>
      </c>
      <c r="W849" s="264">
        <f>X849-V849</f>
        <v>-886.50533476164128</v>
      </c>
      <c r="X849" s="265">
        <f>X855+X865+X894+X944+X924+X978+X989+X1004+X1045</f>
        <v>7289.7409179800579</v>
      </c>
      <c r="Y849" s="263">
        <f>SUM(Y850:Y854)</f>
        <v>7734.4699020432126</v>
      </c>
      <c r="Z849" s="264">
        <f>AA849-Y849</f>
        <v>-1090.5051667585549</v>
      </c>
      <c r="AA849" s="265">
        <f>AA855+AA865+AA894+AA944+AA924+AA978+AA989+AA1004+AA1045</f>
        <v>6643.9647352846578</v>
      </c>
      <c r="AB849" s="263">
        <f>SUM(AB850:AB854)</f>
        <v>7948.3618313781735</v>
      </c>
      <c r="AC849" s="264">
        <f>AD849-AB849</f>
        <v>-1224.4962717126855</v>
      </c>
      <c r="AD849" s="265">
        <f>AD855+AD865+AD894+AD944+AD924+AD978+AD989+AD1004+AD1045</f>
        <v>6723.865559665488</v>
      </c>
      <c r="AE849" s="263">
        <f>SUM(AE850:AE854)</f>
        <v>7879.9872289644773</v>
      </c>
      <c r="AF849" s="264">
        <f>AG849-AE849</f>
        <v>-921.49823990046934</v>
      </c>
      <c r="AG849" s="265">
        <f>AG855+AG865+AG894+AG944+AG924+AG978+AG989+AG1004+AG1045</f>
        <v>6958.4889890640079</v>
      </c>
      <c r="AH849" s="263">
        <f>SUM(AH850:AH854)</f>
        <v>8206.8437620086661</v>
      </c>
      <c r="AI849" s="264">
        <f>AJ849-AH849</f>
        <v>-931.50323418621429</v>
      </c>
      <c r="AJ849" s="265">
        <f>AJ855+AJ865+AJ894+AJ944+AJ924+AJ978+AJ989+AJ1004+AJ1045</f>
        <v>7275.3405278224518</v>
      </c>
      <c r="AK849" s="263">
        <f>SUM(AK850:AK854)</f>
        <v>9500.1984391468759</v>
      </c>
      <c r="AL849" s="264">
        <f>AM849-AK849</f>
        <v>-1193.5032136724476</v>
      </c>
      <c r="AM849" s="265">
        <f>AM855+AM865+AM894+AM944+AM924+AM978+AM989+AM1004+AM1045</f>
        <v>8306.6952254744283</v>
      </c>
      <c r="AN849" s="263">
        <f>SUM(AN850:AN854)</f>
        <v>9759.8127294213864</v>
      </c>
      <c r="AO849" s="264">
        <f>AP849-AN849</f>
        <v>-989.0009236960741</v>
      </c>
      <c r="AP849" s="265">
        <f>AP855+AP865+AP894+AP944+AP924+AP978+AP989+AP1004+AP1045</f>
        <v>8770.8118057253123</v>
      </c>
      <c r="AQ849" s="263">
        <f>SUM(AQ850:AQ854)</f>
        <v>10625.370414089381</v>
      </c>
      <c r="AR849" s="264">
        <f>AS849-AQ849</f>
        <v>-1105.0013311044986</v>
      </c>
      <c r="AS849" s="265">
        <f>AS855+AS865+AS894+AS944+AS924+AS978+AS989+AS1004+AS1045</f>
        <v>9520.369082984882</v>
      </c>
      <c r="AT849" s="263">
        <f>SUM(AT850:AT854)</f>
        <v>110384.0229687276</v>
      </c>
      <c r="AU849" s="264">
        <f>AV849-AT849</f>
        <v>-13776.022968727601</v>
      </c>
      <c r="AV849" s="267">
        <f>L849+O849+R849+U849+X849+AA849+AD849+AG849+AJ849+AM849+AP849+AS849</f>
        <v>96608</v>
      </c>
      <c r="AW849" s="268"/>
      <c r="AX849" s="269">
        <f>AX855+AX865+AX894+AX944+AX924+AX978+AX989+AX999</f>
        <v>95030.062198</v>
      </c>
      <c r="AY849" s="376">
        <f>SUM(AY850:AY854)</f>
        <v>113349.74362999998</v>
      </c>
      <c r="AZ849" s="374"/>
      <c r="BA849" s="374"/>
      <c r="BB849" s="374"/>
      <c r="BC849" s="374"/>
    </row>
    <row r="850" spans="1:55" s="116" customFormat="1">
      <c r="A850" s="179"/>
      <c r="B850" s="179"/>
      <c r="C850" s="179"/>
      <c r="D850" s="181"/>
      <c r="E850" s="181"/>
      <c r="F850" s="181"/>
      <c r="G850" s="181"/>
      <c r="H850" s="10" t="s">
        <v>56</v>
      </c>
      <c r="I850" s="10"/>
      <c r="J850" s="223">
        <f>J856+J866+J895+J945+J925+J979+J990+J1000</f>
        <v>5141.7701508000009</v>
      </c>
      <c r="K850" s="271"/>
      <c r="L850" s="224"/>
      <c r="M850" s="270">
        <f>M856+M866+M895+M945+M925+M979+M990+M1000</f>
        <v>5040.30024968</v>
      </c>
      <c r="N850" s="271"/>
      <c r="O850" s="224"/>
      <c r="P850" s="270">
        <f>P856+P866+P895+P945+P925+P979+P990+P1000</f>
        <v>4935.7143460000007</v>
      </c>
      <c r="Q850" s="271"/>
      <c r="R850" s="224"/>
      <c r="S850" s="270">
        <f>S856+S866+S895+S945+S925+S979+S990+S1000</f>
        <v>4151.720182</v>
      </c>
      <c r="T850" s="271"/>
      <c r="U850" s="224"/>
      <c r="V850" s="270">
        <f>V856+V866+V895+V945+V925+V979+V990+V1000</f>
        <v>3396.1470380000001</v>
      </c>
      <c r="W850" s="271"/>
      <c r="X850" s="224"/>
      <c r="Y850" s="270">
        <f>Y856+Y866+Y895+Y945+Y925+Y979+Y990+Y1000</f>
        <v>2938.2739600000004</v>
      </c>
      <c r="Z850" s="271"/>
      <c r="AA850" s="224"/>
      <c r="AB850" s="270">
        <f>AB856+AB866+AB895+AB945+AB925+AB979+AB990+AB1000</f>
        <v>3163.2013239999997</v>
      </c>
      <c r="AC850" s="271"/>
      <c r="AD850" s="224"/>
      <c r="AE850" s="270">
        <f>AE856+AE866+AE895+AE945+AE925+AE979+AE990+AE1000</f>
        <v>3591.9521340000001</v>
      </c>
      <c r="AF850" s="271"/>
      <c r="AG850" s="224"/>
      <c r="AH850" s="270">
        <f>AH856+AH866+AH895+AH945+AH925+AH979+AH990+AH1000</f>
        <v>3769.4133939999997</v>
      </c>
      <c r="AI850" s="271"/>
      <c r="AJ850" s="224"/>
      <c r="AK850" s="270">
        <f>AK856+AK866+AK895+AK945+AK925+AK979+AK990+AK1000</f>
        <v>4141.9727715999998</v>
      </c>
      <c r="AL850" s="271"/>
      <c r="AM850" s="224"/>
      <c r="AN850" s="270">
        <f>AN856+AN866+AN895+AN945+AN925+AN979+AN990+AN1000</f>
        <v>5061.2759980000001</v>
      </c>
      <c r="AO850" s="271"/>
      <c r="AP850" s="224"/>
      <c r="AQ850" s="270">
        <f>AQ856+AQ866+AQ895+AQ945+AQ925+AQ979+AQ990+AQ1000</f>
        <v>5429.0422756000007</v>
      </c>
      <c r="AR850" s="271"/>
      <c r="AS850" s="224"/>
      <c r="AT850" s="270">
        <f>AT856+AT866+AT895+AT945+AT925+AT979+AT990+AT1000</f>
        <v>50760.783823680002</v>
      </c>
      <c r="AU850" s="271"/>
      <c r="AV850" s="229"/>
      <c r="AW850" s="226"/>
      <c r="AX850" s="230"/>
      <c r="AY850" s="231">
        <f>AY856+AY866+AY895+AY945+AY925+AY979+AY990+AY1000</f>
        <v>51264.593577999993</v>
      </c>
      <c r="AZ850" s="374"/>
      <c r="BA850" s="374"/>
      <c r="BB850" s="374"/>
      <c r="BC850" s="374"/>
    </row>
    <row r="851" spans="1:55" s="116" customFormat="1">
      <c r="A851" s="179"/>
      <c r="B851" s="179"/>
      <c r="C851" s="179"/>
      <c r="D851" s="181"/>
      <c r="E851" s="181"/>
      <c r="F851" s="181"/>
      <c r="G851" s="181"/>
      <c r="H851" s="10" t="s">
        <v>55</v>
      </c>
      <c r="I851" s="10"/>
      <c r="J851" s="223">
        <f>J867+J896+J946+J991+J1001</f>
        <v>1023.5308489422607</v>
      </c>
      <c r="K851" s="271"/>
      <c r="L851" s="224"/>
      <c r="M851" s="270">
        <f>M867+M896+M946+M991+M1001</f>
        <v>931.57946148071278</v>
      </c>
      <c r="N851" s="271"/>
      <c r="O851" s="224"/>
      <c r="P851" s="270">
        <f>P867+P896+P946+P991+P1001</f>
        <v>1040.3436108032229</v>
      </c>
      <c r="Q851" s="271"/>
      <c r="R851" s="224"/>
      <c r="S851" s="270">
        <f>S867+S896+S946+S991+S1001</f>
        <v>1115.3578582275391</v>
      </c>
      <c r="T851" s="271"/>
      <c r="U851" s="224"/>
      <c r="V851" s="270">
        <f>V867+V896+V946+V991+V1001</f>
        <v>1233.7244277416992</v>
      </c>
      <c r="W851" s="271"/>
      <c r="X851" s="224"/>
      <c r="Y851" s="270">
        <f>Y867+Y896+Y946+Y991+Y1001</f>
        <v>1239.8007130432129</v>
      </c>
      <c r="Z851" s="271"/>
      <c r="AA851" s="224"/>
      <c r="AB851" s="270">
        <f>AB867+AB896+AB946+AB991+AB1001</f>
        <v>1143.8267613781741</v>
      </c>
      <c r="AC851" s="271"/>
      <c r="AD851" s="224"/>
      <c r="AE851" s="270">
        <f>AE867+AE896+AE946+AE991+AE1001</f>
        <v>1062.7924829644776</v>
      </c>
      <c r="AF851" s="271"/>
      <c r="AG851" s="224"/>
      <c r="AH851" s="270">
        <f>AH867+AH896+AH946+AH991+AH1001</f>
        <v>1004.832837008667</v>
      </c>
      <c r="AI851" s="271"/>
      <c r="AJ851" s="224"/>
      <c r="AK851" s="270">
        <f>AK867+AK896+AK946+AK991+AK1001</f>
        <v>1045.112197546875</v>
      </c>
      <c r="AL851" s="271"/>
      <c r="AM851" s="224"/>
      <c r="AN851" s="270">
        <f>AN867+AN896+AN946+AN991+AN1001</f>
        <v>1066.1336944213867</v>
      </c>
      <c r="AO851" s="271"/>
      <c r="AP851" s="224"/>
      <c r="AQ851" s="270">
        <f>AQ867+AQ896+AQ946+AQ991+AQ1001</f>
        <v>1045.0819854893798</v>
      </c>
      <c r="AR851" s="271"/>
      <c r="AS851" s="224"/>
      <c r="AT851" s="270">
        <f>AT867+AT896+AT946+AT991+AT1001</f>
        <v>12952.116879047609</v>
      </c>
      <c r="AU851" s="271"/>
      <c r="AV851" s="229"/>
      <c r="AW851" s="226"/>
      <c r="AX851" s="230"/>
      <c r="AY851" s="231">
        <f>AY867+AY896+AY946+AY991+AY1001</f>
        <v>13294.406337999999</v>
      </c>
      <c r="AZ851" s="374"/>
      <c r="BA851" s="374"/>
      <c r="BB851" s="374"/>
      <c r="BC851" s="374"/>
    </row>
    <row r="852" spans="1:55" s="116" customFormat="1">
      <c r="A852" s="179"/>
      <c r="B852" s="179"/>
      <c r="C852" s="179"/>
      <c r="D852" s="181"/>
      <c r="E852" s="181"/>
      <c r="F852" s="181"/>
      <c r="G852" s="181"/>
      <c r="H852" s="10" t="s">
        <v>98</v>
      </c>
      <c r="I852" s="10"/>
      <c r="J852" s="223">
        <f>J947+J1002</f>
        <v>4153.43</v>
      </c>
      <c r="K852" s="271"/>
      <c r="L852" s="224"/>
      <c r="M852" s="270">
        <f>M947+M1002</f>
        <v>3207.06</v>
      </c>
      <c r="N852" s="271"/>
      <c r="O852" s="224"/>
      <c r="P852" s="270">
        <f>P947+P1002</f>
        <v>3319.44</v>
      </c>
      <c r="Q852" s="271"/>
      <c r="R852" s="224"/>
      <c r="S852" s="270">
        <f>S947+S1002</f>
        <v>2780.7</v>
      </c>
      <c r="T852" s="271"/>
      <c r="U852" s="224"/>
      <c r="V852" s="270">
        <f>V947+V1002</f>
        <v>2762.5699999999997</v>
      </c>
      <c r="W852" s="271"/>
      <c r="X852" s="224"/>
      <c r="Y852" s="270">
        <f>Y947+Y1002</f>
        <v>2809.5699999999997</v>
      </c>
      <c r="Z852" s="271"/>
      <c r="AA852" s="224"/>
      <c r="AB852" s="270">
        <f>AB947+AB1002</f>
        <v>2876.19</v>
      </c>
      <c r="AC852" s="271"/>
      <c r="AD852" s="224"/>
      <c r="AE852" s="270">
        <f>AE947+AE1002</f>
        <v>2435.8200000000002</v>
      </c>
      <c r="AF852" s="271"/>
      <c r="AG852" s="224"/>
      <c r="AH852" s="270">
        <f>AH947+AH1002</f>
        <v>2643.3900000000003</v>
      </c>
      <c r="AI852" s="271"/>
      <c r="AJ852" s="224"/>
      <c r="AK852" s="270">
        <f>AK947+AK1002</f>
        <v>3425.65</v>
      </c>
      <c r="AL852" s="271"/>
      <c r="AM852" s="224"/>
      <c r="AN852" s="270">
        <f>AN947+AN1002</f>
        <v>2715.7200000000003</v>
      </c>
      <c r="AO852" s="271"/>
      <c r="AP852" s="224"/>
      <c r="AQ852" s="270">
        <f>AQ947+AQ1002</f>
        <v>3182.46</v>
      </c>
      <c r="AR852" s="271"/>
      <c r="AS852" s="224"/>
      <c r="AT852" s="270">
        <f>AT947+AT1002</f>
        <v>36312</v>
      </c>
      <c r="AU852" s="271"/>
      <c r="AV852" s="229"/>
      <c r="AW852" s="226"/>
      <c r="AX852" s="230"/>
      <c r="AY852" s="231">
        <f>AY947+AY1002</f>
        <v>39049.594157</v>
      </c>
      <c r="AZ852" s="374"/>
      <c r="BA852" s="374"/>
      <c r="BB852" s="374"/>
      <c r="BC852" s="374"/>
    </row>
    <row r="853" spans="1:55" s="116" customFormat="1">
      <c r="A853" s="179"/>
      <c r="B853" s="179"/>
      <c r="C853" s="179"/>
      <c r="D853" s="181"/>
      <c r="E853" s="181"/>
      <c r="F853" s="181"/>
      <c r="G853" s="181"/>
      <c r="H853" s="467" t="s">
        <v>346</v>
      </c>
      <c r="I853" s="467"/>
      <c r="J853" s="223">
        <f>J868+J948</f>
        <v>1.2889999999999999</v>
      </c>
      <c r="K853" s="271"/>
      <c r="L853" s="224"/>
      <c r="M853" s="270">
        <f>M868+M948</f>
        <v>1.17</v>
      </c>
      <c r="N853" s="271"/>
      <c r="O853" s="224"/>
      <c r="P853" s="270">
        <f>P868+P948</f>
        <v>1.2749999999999999</v>
      </c>
      <c r="Q853" s="271"/>
      <c r="R853" s="224"/>
      <c r="S853" s="270">
        <f>S868+S948</f>
        <v>0.70199999999999996</v>
      </c>
      <c r="T853" s="271"/>
      <c r="U853" s="224"/>
      <c r="V853" s="270">
        <f>V868+V948</f>
        <v>0.72599999999999998</v>
      </c>
      <c r="W853" s="271"/>
      <c r="X853" s="224"/>
      <c r="Y853" s="270">
        <f>Y868+Y948</f>
        <v>0.70199999999999996</v>
      </c>
      <c r="Z853" s="271"/>
      <c r="AA853" s="224"/>
      <c r="AB853" s="270">
        <f>AB868+AB948</f>
        <v>0.753</v>
      </c>
      <c r="AC853" s="271"/>
      <c r="AD853" s="224"/>
      <c r="AE853" s="270">
        <f>AE868+AE948</f>
        <v>0.753</v>
      </c>
      <c r="AF853" s="271"/>
      <c r="AG853" s="224"/>
      <c r="AH853" s="270">
        <f>AH868+AH948</f>
        <v>0.74399999999999999</v>
      </c>
      <c r="AI853" s="271"/>
      <c r="AJ853" s="224"/>
      <c r="AK853" s="270">
        <f>AK868+AK948</f>
        <v>1.278</v>
      </c>
      <c r="AL853" s="271"/>
      <c r="AM853" s="224"/>
      <c r="AN853" s="270">
        <f>AN868+AN948</f>
        <v>1.3069999999999999</v>
      </c>
      <c r="AO853" s="271"/>
      <c r="AP853" s="224"/>
      <c r="AQ853" s="270">
        <f>AQ868+AQ948</f>
        <v>1.3009999999999999</v>
      </c>
      <c r="AR853" s="271"/>
      <c r="AS853" s="224"/>
      <c r="AT853" s="270">
        <f>AT868+AT948</f>
        <v>12.000000000000002</v>
      </c>
      <c r="AU853" s="271"/>
      <c r="AV853" s="229"/>
      <c r="AW853" s="226"/>
      <c r="AX853" s="230"/>
      <c r="AY853" s="231">
        <f>AY868</f>
        <v>3.6601879999999998</v>
      </c>
      <c r="AZ853" s="374"/>
      <c r="BA853" s="374"/>
      <c r="BB853" s="374"/>
      <c r="BC853" s="374"/>
    </row>
    <row r="854" spans="1:55" s="117" customFormat="1" ht="16.5" thickBot="1">
      <c r="A854" s="179"/>
      <c r="B854" s="179"/>
      <c r="C854" s="179"/>
      <c r="D854" s="181"/>
      <c r="E854" s="181"/>
      <c r="F854" s="181"/>
      <c r="G854" s="181"/>
      <c r="H854" s="121" t="s">
        <v>99</v>
      </c>
      <c r="I854" s="121"/>
      <c r="J854" s="820">
        <f>J857+J869+J897+J949+J926+J980+J992+J1003</f>
        <v>966.70982800000002</v>
      </c>
      <c r="K854" s="273"/>
      <c r="L854" s="233"/>
      <c r="M854" s="272">
        <f>M857+M869+M897+M949+M926+M980+M992+M1003</f>
        <v>902.82526600000006</v>
      </c>
      <c r="N854" s="273"/>
      <c r="O854" s="233"/>
      <c r="P854" s="272">
        <f>P857+P869+P897+P949+P926+P980+P992+P1003</f>
        <v>958.91210899999999</v>
      </c>
      <c r="Q854" s="273"/>
      <c r="R854" s="233"/>
      <c r="S854" s="272">
        <f>S857+S869+S897+S949+S926+S980+S992+S1003</f>
        <v>878.90249800000004</v>
      </c>
      <c r="T854" s="273"/>
      <c r="U854" s="233"/>
      <c r="V854" s="272">
        <f>V857+V869+V897+V949+V926+V980+V992+V1003</f>
        <v>783.07878700000003</v>
      </c>
      <c r="W854" s="273"/>
      <c r="X854" s="233"/>
      <c r="Y854" s="272">
        <f>Y857+Y869+Y897+Y949+Y926+Y980+Y992+Y1003</f>
        <v>746.12322900000004</v>
      </c>
      <c r="Z854" s="273"/>
      <c r="AA854" s="233"/>
      <c r="AB854" s="272">
        <f>AB857+AB869+AB897+AB949+AB926+AB980+AB992+AB1003</f>
        <v>764.39074600000004</v>
      </c>
      <c r="AC854" s="273"/>
      <c r="AD854" s="233"/>
      <c r="AE854" s="272">
        <f>AE857+AE869+AE897+AE949+AE926+AE980+AE992+AE1003</f>
        <v>788.66961200000014</v>
      </c>
      <c r="AF854" s="273"/>
      <c r="AG854" s="233"/>
      <c r="AH854" s="272">
        <f>AH857+AH869+AH897+AH949+AH926+AH980+AH992+AH1003</f>
        <v>788.46353099999999</v>
      </c>
      <c r="AI854" s="273"/>
      <c r="AJ854" s="233"/>
      <c r="AK854" s="272">
        <f>AK857+AK869+AK897+AK949+AK926+AK980+AK992+AK1003</f>
        <v>886.18547000000001</v>
      </c>
      <c r="AL854" s="273"/>
      <c r="AM854" s="233"/>
      <c r="AN854" s="272">
        <f>AN857+AN869+AN897+AN949+AN926+AN980+AN992+AN1003</f>
        <v>915.376037</v>
      </c>
      <c r="AO854" s="273"/>
      <c r="AP854" s="233"/>
      <c r="AQ854" s="272">
        <f>AQ857+AQ869+AQ897+AQ949+AQ926+AQ980+AQ992+AQ1003</f>
        <v>967.48515299999997</v>
      </c>
      <c r="AR854" s="273"/>
      <c r="AS854" s="233"/>
      <c r="AT854" s="272">
        <f>AT857+AT869+AT897+AT949+AT926+AT980+AT992+AT1003</f>
        <v>10347.122265999998</v>
      </c>
      <c r="AU854" s="273"/>
      <c r="AV854" s="234"/>
      <c r="AW854" s="235"/>
      <c r="AX854" s="236"/>
      <c r="AY854" s="237">
        <f>AY857+AY869+AY897+AY949+AY926+AY980+AY992+AY1003</f>
        <v>9737.4893690000008</v>
      </c>
      <c r="AZ854" s="375"/>
      <c r="BA854" s="375"/>
      <c r="BB854" s="375"/>
      <c r="BC854" s="375"/>
    </row>
    <row r="855" spans="1:55" s="117" customFormat="1" ht="18.75">
      <c r="A855" s="179"/>
      <c r="B855" s="179"/>
      <c r="C855" s="179"/>
      <c r="D855" s="181">
        <v>349200</v>
      </c>
      <c r="E855" s="181"/>
      <c r="F855" s="181"/>
      <c r="G855" s="181">
        <v>349200</v>
      </c>
      <c r="H855" s="475" t="s">
        <v>1604</v>
      </c>
      <c r="I855" s="475"/>
      <c r="J855" s="277">
        <f>J856+J857</f>
        <v>636.92700000000002</v>
      </c>
      <c r="K855" s="275">
        <f>L855-J855</f>
        <v>102.74099999999999</v>
      </c>
      <c r="L855" s="276">
        <f>Потребление!D53</f>
        <v>739.66800000000001</v>
      </c>
      <c r="M855" s="274">
        <f>M856+M857</f>
        <v>596.66700000000003</v>
      </c>
      <c r="N855" s="275">
        <f>O855-M855</f>
        <v>82.097999999999956</v>
      </c>
      <c r="O855" s="276">
        <f>Потребление!E53</f>
        <v>678.76499999999999</v>
      </c>
      <c r="P855" s="274">
        <f>P856+P857</f>
        <v>594.75399999999991</v>
      </c>
      <c r="Q855" s="275">
        <f>R855-P855</f>
        <v>87.259000000000128</v>
      </c>
      <c r="R855" s="276">
        <f>Потребление!F53</f>
        <v>682.01300000000003</v>
      </c>
      <c r="S855" s="274">
        <f>S856+S857</f>
        <v>516.53300000000002</v>
      </c>
      <c r="T855" s="275">
        <f>U855-S855</f>
        <v>85.624000000000024</v>
      </c>
      <c r="U855" s="276">
        <f>Потребление!G53</f>
        <v>602.15700000000004</v>
      </c>
      <c r="V855" s="274">
        <f>V856+V857</f>
        <v>461.09300000000002</v>
      </c>
      <c r="W855" s="275">
        <f>X855-V855</f>
        <v>106.68799999999993</v>
      </c>
      <c r="X855" s="276">
        <f>Потребление!H53</f>
        <v>567.78099999999995</v>
      </c>
      <c r="Y855" s="274">
        <f>Y856+Y857</f>
        <v>431.92899999999997</v>
      </c>
      <c r="Z855" s="275">
        <f>AA855-Y855</f>
        <v>90.239000000000033</v>
      </c>
      <c r="AA855" s="276">
        <f>Потребление!I53</f>
        <v>522.16800000000001</v>
      </c>
      <c r="AB855" s="274">
        <f>AB856+AB857</f>
        <v>434.55099999999999</v>
      </c>
      <c r="AC855" s="275">
        <f>AD855-AB855</f>
        <v>80.07099999999997</v>
      </c>
      <c r="AD855" s="276">
        <f>Потребление!J53</f>
        <v>514.62199999999996</v>
      </c>
      <c r="AE855" s="274">
        <f>AE856+AE857</f>
        <v>438</v>
      </c>
      <c r="AF855" s="275">
        <f>AG855-AE855</f>
        <v>86.238000000000056</v>
      </c>
      <c r="AG855" s="276">
        <f>Потребление!K53</f>
        <v>524.23800000000006</v>
      </c>
      <c r="AH855" s="274">
        <f>AH856+AH857</f>
        <v>475.52299999999997</v>
      </c>
      <c r="AI855" s="275">
        <f>AJ855-AH855</f>
        <v>89.620000000000061</v>
      </c>
      <c r="AJ855" s="276">
        <f>Потребление!L53</f>
        <v>565.14300000000003</v>
      </c>
      <c r="AK855" s="274">
        <f>AK856+AK857</f>
        <v>529.779</v>
      </c>
      <c r="AL855" s="275">
        <f>AM855-AK855</f>
        <v>89.000999999999976</v>
      </c>
      <c r="AM855" s="276">
        <f>Потребление!M53</f>
        <v>618.78</v>
      </c>
      <c r="AN855" s="274">
        <f>AN856+AN857</f>
        <v>573.86900000000003</v>
      </c>
      <c r="AO855" s="275">
        <f>AP855-AN855</f>
        <v>92.222999999999956</v>
      </c>
      <c r="AP855" s="276">
        <f>Потребление!N53</f>
        <v>666.09199999999998</v>
      </c>
      <c r="AQ855" s="274">
        <f>AQ856+AQ857</f>
        <v>623.02300000000002</v>
      </c>
      <c r="AR855" s="275">
        <f>AS855-AQ855</f>
        <v>108.54999999999995</v>
      </c>
      <c r="AS855" s="276">
        <f>Потребление!O53</f>
        <v>731.57299999999998</v>
      </c>
      <c r="AT855" s="274">
        <f>AT856+AT857</f>
        <v>6312.6479999999992</v>
      </c>
      <c r="AU855" s="275">
        <f>AV855-AT855</f>
        <v>1100.3520000000008</v>
      </c>
      <c r="AV855" s="278">
        <f>L855+O855+R855+U855+X855+AA855+AD855+AG855+AJ855+AM855+AP855+AS855</f>
        <v>7413</v>
      </c>
      <c r="AW855" s="279"/>
      <c r="AX855" s="1067">
        <v>7383.1310160000003</v>
      </c>
      <c r="AY855" s="298">
        <f>AY856+AY857</f>
        <v>6280.075922</v>
      </c>
      <c r="AZ855" s="375"/>
      <c r="BA855" s="375"/>
      <c r="BB855" s="375"/>
      <c r="BC855" s="375"/>
    </row>
    <row r="856" spans="1:55" s="117" customFormat="1">
      <c r="A856" s="179"/>
      <c r="B856" s="179"/>
      <c r="C856" s="179"/>
      <c r="D856" s="181"/>
      <c r="E856" s="181"/>
      <c r="F856" s="181"/>
      <c r="G856" s="181"/>
      <c r="H856" s="10" t="s">
        <v>56</v>
      </c>
      <c r="I856" s="10"/>
      <c r="J856" s="223">
        <f>SUM(J858:J861)</f>
        <v>407.065</v>
      </c>
      <c r="K856" s="271"/>
      <c r="L856" s="224"/>
      <c r="M856" s="270">
        <f>SUM(M858:M861)</f>
        <v>389.20100000000002</v>
      </c>
      <c r="N856" s="271"/>
      <c r="O856" s="224"/>
      <c r="P856" s="270">
        <f>SUM(P858:P861)</f>
        <v>366.93099999999998</v>
      </c>
      <c r="Q856" s="271"/>
      <c r="R856" s="224"/>
      <c r="S856" s="270">
        <f>SUM(S858:S861)</f>
        <v>312.529</v>
      </c>
      <c r="T856" s="271"/>
      <c r="U856" s="224"/>
      <c r="V856" s="270">
        <f>SUM(V858:V861)</f>
        <v>242.03800000000001</v>
      </c>
      <c r="W856" s="271"/>
      <c r="X856" s="224"/>
      <c r="Y856" s="270">
        <f>SUM(Y858:Y861)</f>
        <v>219.14699999999999</v>
      </c>
      <c r="Z856" s="271"/>
      <c r="AA856" s="224"/>
      <c r="AB856" s="270">
        <f>SUM(AB858:AB861)</f>
        <v>211.28399999999999</v>
      </c>
      <c r="AC856" s="271"/>
      <c r="AD856" s="224"/>
      <c r="AE856" s="270">
        <f>SUM(AE858:AE861)</f>
        <v>220.077</v>
      </c>
      <c r="AF856" s="271"/>
      <c r="AG856" s="224"/>
      <c r="AH856" s="270">
        <f>SUM(AH858:AH861)</f>
        <v>258.815</v>
      </c>
      <c r="AI856" s="271"/>
      <c r="AJ856" s="224"/>
      <c r="AK856" s="270">
        <f>SUM(AK858:AK861)</f>
        <v>311.75</v>
      </c>
      <c r="AL856" s="271"/>
      <c r="AM856" s="224"/>
      <c r="AN856" s="270">
        <f>SUM(AN858:AN861)</f>
        <v>358.50400000000002</v>
      </c>
      <c r="AO856" s="271"/>
      <c r="AP856" s="224"/>
      <c r="AQ856" s="270">
        <f>SUM(AQ858:AQ861)</f>
        <v>396.065</v>
      </c>
      <c r="AR856" s="271"/>
      <c r="AS856" s="224"/>
      <c r="AT856" s="270">
        <f>SUM(AT858:AT861)</f>
        <v>3693.4059999999999</v>
      </c>
      <c r="AU856" s="271"/>
      <c r="AV856" s="229"/>
      <c r="AW856" s="226"/>
      <c r="AX856" s="230"/>
      <c r="AY856" s="231">
        <f>SUM(AY858:AY861)</f>
        <v>3678.222937</v>
      </c>
      <c r="AZ856" s="375"/>
      <c r="BA856" s="375"/>
      <c r="BB856" s="375"/>
      <c r="BC856" s="375"/>
    </row>
    <row r="857" spans="1:55" s="117" customFormat="1">
      <c r="A857" s="179"/>
      <c r="B857" s="179"/>
      <c r="C857" s="179"/>
      <c r="D857" s="181"/>
      <c r="E857" s="181"/>
      <c r="F857" s="181"/>
      <c r="G857" s="181"/>
      <c r="H857" s="10" t="s">
        <v>99</v>
      </c>
      <c r="I857" s="10"/>
      <c r="J857" s="223">
        <f>J862</f>
        <v>229.86200000000002</v>
      </c>
      <c r="K857" s="271"/>
      <c r="L857" s="224"/>
      <c r="M857" s="270">
        <f>M862</f>
        <v>207.46600000000001</v>
      </c>
      <c r="N857" s="271"/>
      <c r="O857" s="224"/>
      <c r="P857" s="270">
        <f>P862</f>
        <v>227.82299999999998</v>
      </c>
      <c r="Q857" s="271"/>
      <c r="R857" s="224"/>
      <c r="S857" s="270">
        <f>S862</f>
        <v>204.00399999999999</v>
      </c>
      <c r="T857" s="271"/>
      <c r="U857" s="224"/>
      <c r="V857" s="270">
        <f>V862</f>
        <v>219.05500000000001</v>
      </c>
      <c r="W857" s="271"/>
      <c r="X857" s="224"/>
      <c r="Y857" s="270">
        <f>Y862</f>
        <v>212.78199999999998</v>
      </c>
      <c r="Z857" s="271"/>
      <c r="AA857" s="224"/>
      <c r="AB857" s="270">
        <f>AB862</f>
        <v>223.267</v>
      </c>
      <c r="AC857" s="271"/>
      <c r="AD857" s="224"/>
      <c r="AE857" s="270">
        <f>AE862</f>
        <v>217.923</v>
      </c>
      <c r="AF857" s="271"/>
      <c r="AG857" s="224"/>
      <c r="AH857" s="270">
        <f>AH862</f>
        <v>216.70799999999997</v>
      </c>
      <c r="AI857" s="271"/>
      <c r="AJ857" s="224"/>
      <c r="AK857" s="270">
        <f>AK862</f>
        <v>218.029</v>
      </c>
      <c r="AL857" s="271"/>
      <c r="AM857" s="224"/>
      <c r="AN857" s="270">
        <f>AN862</f>
        <v>215.36500000000001</v>
      </c>
      <c r="AO857" s="271"/>
      <c r="AP857" s="224"/>
      <c r="AQ857" s="270">
        <f>AQ862</f>
        <v>226.958</v>
      </c>
      <c r="AR857" s="271"/>
      <c r="AS857" s="224"/>
      <c r="AT857" s="270">
        <f>AT862</f>
        <v>2619.2419999999997</v>
      </c>
      <c r="AU857" s="271"/>
      <c r="AV857" s="229"/>
      <c r="AW857" s="226"/>
      <c r="AX857" s="230"/>
      <c r="AY857" s="231">
        <f>AY862</f>
        <v>2601.852985</v>
      </c>
      <c r="AZ857" s="375"/>
      <c r="BA857" s="375"/>
      <c r="BB857" s="375"/>
      <c r="BC857" s="375"/>
    </row>
    <row r="858" spans="1:55" s="117" customFormat="1">
      <c r="A858" s="179"/>
      <c r="B858" s="179"/>
      <c r="C858" s="179"/>
      <c r="D858" s="181">
        <v>349211</v>
      </c>
      <c r="E858" s="181"/>
      <c r="F858" s="181"/>
      <c r="G858" s="1110">
        <v>349211</v>
      </c>
      <c r="H858" s="127" t="s">
        <v>1138</v>
      </c>
      <c r="I858" s="516" t="s">
        <v>364</v>
      </c>
      <c r="J858" s="548">
        <v>204</v>
      </c>
      <c r="K858" s="545"/>
      <c r="L858" s="546"/>
      <c r="M858" s="737">
        <f>180+20</f>
        <v>200</v>
      </c>
      <c r="N858" s="545"/>
      <c r="O858" s="546"/>
      <c r="P858" s="737">
        <f>170+15</f>
        <v>185</v>
      </c>
      <c r="Q858" s="545"/>
      <c r="R858" s="546"/>
      <c r="S858" s="547">
        <v>151</v>
      </c>
      <c r="T858" s="545"/>
      <c r="U858" s="546"/>
      <c r="V858" s="931">
        <v>108</v>
      </c>
      <c r="W858" s="932"/>
      <c r="X858" s="933"/>
      <c r="Y858" s="931">
        <v>113</v>
      </c>
      <c r="Z858" s="545"/>
      <c r="AA858" s="546"/>
      <c r="AB858" s="547">
        <v>105</v>
      </c>
      <c r="AC858" s="545"/>
      <c r="AD858" s="546"/>
      <c r="AE858" s="547">
        <v>104</v>
      </c>
      <c r="AF858" s="545"/>
      <c r="AG858" s="546"/>
      <c r="AH858" s="547">
        <v>115</v>
      </c>
      <c r="AI858" s="545"/>
      <c r="AJ858" s="546"/>
      <c r="AK858" s="547">
        <v>152</v>
      </c>
      <c r="AL858" s="545"/>
      <c r="AM858" s="546"/>
      <c r="AN858" s="547">
        <v>177</v>
      </c>
      <c r="AO858" s="545"/>
      <c r="AP858" s="546"/>
      <c r="AQ858" s="547">
        <v>197</v>
      </c>
      <c r="AR858" s="246"/>
      <c r="AS858" s="282"/>
      <c r="AT858" s="244">
        <f t="shared" ref="AT858:AT864" si="30">J858+M858+P858+S858+V858+Y858+AB858+AE858+AH858+AK858+AN858+AQ858</f>
        <v>1811</v>
      </c>
      <c r="AU858" s="246"/>
      <c r="AV858" s="336"/>
      <c r="AW858" s="285"/>
      <c r="AX858" s="337"/>
      <c r="AY858" s="957">
        <v>1723.3923850000001</v>
      </c>
      <c r="AZ858" s="375"/>
      <c r="BA858" s="375"/>
      <c r="BB858" s="375"/>
      <c r="BC858" s="375"/>
    </row>
    <row r="859" spans="1:55" s="117" customFormat="1">
      <c r="A859" s="179"/>
      <c r="B859" s="179"/>
      <c r="C859" s="179"/>
      <c r="D859" s="181">
        <v>349210</v>
      </c>
      <c r="E859" s="181"/>
      <c r="F859" s="181"/>
      <c r="G859" s="1110">
        <v>349210</v>
      </c>
      <c r="H859" s="127" t="s">
        <v>1139</v>
      </c>
      <c r="I859" s="516" t="s">
        <v>364</v>
      </c>
      <c r="J859" s="548">
        <v>75</v>
      </c>
      <c r="K859" s="545"/>
      <c r="L859" s="546"/>
      <c r="M859" s="547">
        <v>68</v>
      </c>
      <c r="N859" s="545"/>
      <c r="O859" s="546"/>
      <c r="P859" s="547">
        <v>74</v>
      </c>
      <c r="Q859" s="545"/>
      <c r="R859" s="546"/>
      <c r="S859" s="547">
        <v>60</v>
      </c>
      <c r="T859" s="545"/>
      <c r="U859" s="546"/>
      <c r="V859" s="547">
        <v>56</v>
      </c>
      <c r="W859" s="545"/>
      <c r="X859" s="546"/>
      <c r="Y859" s="547">
        <v>44</v>
      </c>
      <c r="Z859" s="545"/>
      <c r="AA859" s="546"/>
      <c r="AB859" s="547">
        <v>46</v>
      </c>
      <c r="AC859" s="545"/>
      <c r="AD859" s="546"/>
      <c r="AE859" s="547">
        <v>47</v>
      </c>
      <c r="AF859" s="545"/>
      <c r="AG859" s="546"/>
      <c r="AH859" s="547">
        <v>54</v>
      </c>
      <c r="AI859" s="545"/>
      <c r="AJ859" s="546"/>
      <c r="AK859" s="547">
        <v>58</v>
      </c>
      <c r="AL859" s="545"/>
      <c r="AM859" s="546"/>
      <c r="AN859" s="547">
        <v>70</v>
      </c>
      <c r="AO859" s="545"/>
      <c r="AP859" s="546"/>
      <c r="AQ859" s="547">
        <v>75</v>
      </c>
      <c r="AR859" s="246"/>
      <c r="AS859" s="282"/>
      <c r="AT859" s="244">
        <f t="shared" si="30"/>
        <v>727</v>
      </c>
      <c r="AU859" s="246"/>
      <c r="AV859" s="336"/>
      <c r="AW859" s="285"/>
      <c r="AX859" s="337"/>
      <c r="AY859" s="957">
        <v>713.63425500000005</v>
      </c>
      <c r="AZ859" s="375"/>
      <c r="BA859" s="375"/>
      <c r="BB859" s="375"/>
      <c r="BC859" s="375"/>
    </row>
    <row r="860" spans="1:55" s="117" customFormat="1">
      <c r="A860" s="179"/>
      <c r="B860" s="179"/>
      <c r="C860" s="179"/>
      <c r="D860" s="181">
        <v>349212</v>
      </c>
      <c r="E860" s="181"/>
      <c r="F860" s="181"/>
      <c r="G860" s="1110">
        <v>349212</v>
      </c>
      <c r="H860" s="127" t="s">
        <v>1140</v>
      </c>
      <c r="I860" s="516" t="s">
        <v>364</v>
      </c>
      <c r="J860" s="548">
        <v>116</v>
      </c>
      <c r="K860" s="545"/>
      <c r="L860" s="546"/>
      <c r="M860" s="737">
        <f>100+10</f>
        <v>110</v>
      </c>
      <c r="N860" s="545"/>
      <c r="O860" s="546"/>
      <c r="P860" s="547">
        <v>96</v>
      </c>
      <c r="Q860" s="545"/>
      <c r="R860" s="546"/>
      <c r="S860" s="547">
        <v>94</v>
      </c>
      <c r="T860" s="545"/>
      <c r="U860" s="546"/>
      <c r="V860" s="547">
        <v>72</v>
      </c>
      <c r="W860" s="545"/>
      <c r="X860" s="546"/>
      <c r="Y860" s="547">
        <v>58</v>
      </c>
      <c r="Z860" s="545"/>
      <c r="AA860" s="546"/>
      <c r="AB860" s="547">
        <v>57</v>
      </c>
      <c r="AC860" s="545"/>
      <c r="AD860" s="546"/>
      <c r="AE860" s="547">
        <v>64</v>
      </c>
      <c r="AF860" s="545"/>
      <c r="AG860" s="546"/>
      <c r="AH860" s="547">
        <v>84</v>
      </c>
      <c r="AI860" s="545"/>
      <c r="AJ860" s="546"/>
      <c r="AK860" s="547">
        <v>94</v>
      </c>
      <c r="AL860" s="545"/>
      <c r="AM860" s="546"/>
      <c r="AN860" s="547">
        <v>100</v>
      </c>
      <c r="AO860" s="545"/>
      <c r="AP860" s="546"/>
      <c r="AQ860" s="547">
        <v>112</v>
      </c>
      <c r="AR860" s="246"/>
      <c r="AS860" s="282"/>
      <c r="AT860" s="244">
        <f t="shared" si="30"/>
        <v>1057</v>
      </c>
      <c r="AU860" s="246"/>
      <c r="AV860" s="336"/>
      <c r="AW860" s="285"/>
      <c r="AX860" s="337"/>
      <c r="AY860" s="706">
        <v>1135.6942320000001</v>
      </c>
      <c r="AZ860" s="375"/>
      <c r="BA860" s="375"/>
      <c r="BB860" s="375"/>
      <c r="BC860" s="375"/>
    </row>
    <row r="861" spans="1:55" s="117" customFormat="1">
      <c r="A861" s="179"/>
      <c r="B861" s="179"/>
      <c r="C861" s="179"/>
      <c r="D861" s="181">
        <v>840007</v>
      </c>
      <c r="E861" s="181"/>
      <c r="F861" s="181"/>
      <c r="G861" s="1110">
        <v>840007</v>
      </c>
      <c r="H861" s="122" t="s">
        <v>932</v>
      </c>
      <c r="I861" s="516" t="s">
        <v>364</v>
      </c>
      <c r="J861" s="548">
        <v>12.065</v>
      </c>
      <c r="K861" s="545"/>
      <c r="L861" s="546"/>
      <c r="M861" s="547">
        <v>11.201000000000001</v>
      </c>
      <c r="N861" s="545"/>
      <c r="O861" s="546"/>
      <c r="P861" s="547">
        <v>11.930999999999999</v>
      </c>
      <c r="Q861" s="545"/>
      <c r="R861" s="546"/>
      <c r="S861" s="547">
        <v>7.5289999999999999</v>
      </c>
      <c r="T861" s="545"/>
      <c r="U861" s="546"/>
      <c r="V861" s="547">
        <v>6.0380000000000003</v>
      </c>
      <c r="W861" s="545"/>
      <c r="X861" s="546"/>
      <c r="Y861" s="547">
        <v>4.1470000000000002</v>
      </c>
      <c r="Z861" s="545"/>
      <c r="AA861" s="546"/>
      <c r="AB861" s="547">
        <v>3.2839999999999998</v>
      </c>
      <c r="AC861" s="545"/>
      <c r="AD861" s="546"/>
      <c r="AE861" s="547">
        <v>5.077</v>
      </c>
      <c r="AF861" s="545"/>
      <c r="AG861" s="546"/>
      <c r="AH861" s="547">
        <v>5.8150000000000004</v>
      </c>
      <c r="AI861" s="545"/>
      <c r="AJ861" s="546"/>
      <c r="AK861" s="547">
        <v>7.75</v>
      </c>
      <c r="AL861" s="545"/>
      <c r="AM861" s="546"/>
      <c r="AN861" s="547">
        <v>11.504</v>
      </c>
      <c r="AO861" s="545"/>
      <c r="AP861" s="546"/>
      <c r="AQ861" s="547">
        <v>12.065</v>
      </c>
      <c r="AR861" s="246"/>
      <c r="AS861" s="282"/>
      <c r="AT861" s="244">
        <f t="shared" si="30"/>
        <v>98.405999999999992</v>
      </c>
      <c r="AU861" s="246"/>
      <c r="AV861" s="336"/>
      <c r="AW861" s="285"/>
      <c r="AX861" s="337"/>
      <c r="AY861" s="706">
        <v>105.502065</v>
      </c>
      <c r="AZ861" s="375"/>
      <c r="BA861" s="375"/>
      <c r="BB861" s="375"/>
      <c r="BC861" s="375"/>
    </row>
    <row r="862" spans="1:55" s="116" customFormat="1">
      <c r="A862" s="179"/>
      <c r="B862" s="179"/>
      <c r="C862" s="179"/>
      <c r="D862" s="181">
        <v>345</v>
      </c>
      <c r="E862" s="181"/>
      <c r="F862" s="181"/>
      <c r="G862" s="1110"/>
      <c r="H862" s="138" t="s">
        <v>174</v>
      </c>
      <c r="I862" s="518" t="s">
        <v>365</v>
      </c>
      <c r="J862" s="319">
        <f>SUM(J863:J864)</f>
        <v>229.86200000000002</v>
      </c>
      <c r="K862" s="288"/>
      <c r="L862" s="289"/>
      <c r="M862" s="287">
        <f>SUM(M863:M864)</f>
        <v>207.46600000000001</v>
      </c>
      <c r="N862" s="288"/>
      <c r="O862" s="289"/>
      <c r="P862" s="287">
        <f>SUM(P863:P864)</f>
        <v>227.82299999999998</v>
      </c>
      <c r="Q862" s="288"/>
      <c r="R862" s="289"/>
      <c r="S862" s="287">
        <f>SUM(S863:S864)</f>
        <v>204.00399999999999</v>
      </c>
      <c r="T862" s="288"/>
      <c r="U862" s="289"/>
      <c r="V862" s="287">
        <f>SUM(V863:V864)</f>
        <v>219.05500000000001</v>
      </c>
      <c r="W862" s="288"/>
      <c r="X862" s="289"/>
      <c r="Y862" s="287">
        <f>SUM(Y863:Y864)</f>
        <v>212.78199999999998</v>
      </c>
      <c r="Z862" s="288"/>
      <c r="AA862" s="289"/>
      <c r="AB862" s="287">
        <f>SUM(AB863:AB864)</f>
        <v>223.267</v>
      </c>
      <c r="AC862" s="288"/>
      <c r="AD862" s="289"/>
      <c r="AE862" s="287">
        <f>SUM(AE863:AE864)</f>
        <v>217.923</v>
      </c>
      <c r="AF862" s="288"/>
      <c r="AG862" s="289"/>
      <c r="AH862" s="287">
        <f>SUM(AH863:AH864)</f>
        <v>216.70799999999997</v>
      </c>
      <c r="AI862" s="288"/>
      <c r="AJ862" s="289"/>
      <c r="AK862" s="287">
        <f>SUM(AK863:AK864)</f>
        <v>218.029</v>
      </c>
      <c r="AL862" s="288"/>
      <c r="AM862" s="289"/>
      <c r="AN862" s="287">
        <f>SUM(AN863:AN864)</f>
        <v>215.36500000000001</v>
      </c>
      <c r="AO862" s="288"/>
      <c r="AP862" s="289"/>
      <c r="AQ862" s="287">
        <f>SUM(AQ863:AQ864)</f>
        <v>226.958</v>
      </c>
      <c r="AR862" s="288"/>
      <c r="AS862" s="289"/>
      <c r="AT862" s="287">
        <f>SUM(AT863:AT864)</f>
        <v>2619.2419999999997</v>
      </c>
      <c r="AU862" s="288"/>
      <c r="AV862" s="290"/>
      <c r="AW862" s="285"/>
      <c r="AX862" s="296"/>
      <c r="AY862" s="965">
        <v>2601.852985</v>
      </c>
      <c r="AZ862" s="374"/>
      <c r="BA862" s="374"/>
      <c r="BB862" s="374"/>
      <c r="BC862" s="374"/>
    </row>
    <row r="863" spans="1:55" s="116" customFormat="1">
      <c r="A863" s="179"/>
      <c r="B863" s="179"/>
      <c r="C863" s="179"/>
      <c r="D863" s="181">
        <v>349203</v>
      </c>
      <c r="E863" s="181"/>
      <c r="F863" s="181"/>
      <c r="G863" s="1110">
        <v>349240</v>
      </c>
      <c r="H863" s="142" t="s">
        <v>1141</v>
      </c>
      <c r="I863" s="518" t="s">
        <v>365</v>
      </c>
      <c r="J863" s="736">
        <v>90.24</v>
      </c>
      <c r="K863" s="734"/>
      <c r="L863" s="735"/>
      <c r="M863" s="736">
        <v>82.956999999999994</v>
      </c>
      <c r="N863" s="734"/>
      <c r="O863" s="735"/>
      <c r="P863" s="736">
        <v>87.816999999999993</v>
      </c>
      <c r="Q863" s="734"/>
      <c r="R863" s="735"/>
      <c r="S863" s="736">
        <v>80.540999999999997</v>
      </c>
      <c r="T863" s="734"/>
      <c r="U863" s="735"/>
      <c r="V863" s="736">
        <v>84.997</v>
      </c>
      <c r="W863" s="734"/>
      <c r="X863" s="735"/>
      <c r="Y863" s="736">
        <v>82.936999999999998</v>
      </c>
      <c r="Z863" s="734"/>
      <c r="AA863" s="735"/>
      <c r="AB863" s="736">
        <v>85.03</v>
      </c>
      <c r="AC863" s="734"/>
      <c r="AD863" s="735"/>
      <c r="AE863" s="736">
        <v>86.614999999999995</v>
      </c>
      <c r="AF863" s="734"/>
      <c r="AG863" s="735"/>
      <c r="AH863" s="736">
        <v>83.192999999999998</v>
      </c>
      <c r="AI863" s="734"/>
      <c r="AJ863" s="735"/>
      <c r="AK863" s="736">
        <v>78.468000000000004</v>
      </c>
      <c r="AL863" s="734"/>
      <c r="AM863" s="735"/>
      <c r="AN863" s="736">
        <v>84.39</v>
      </c>
      <c r="AO863" s="734"/>
      <c r="AP863" s="735"/>
      <c r="AQ863" s="733">
        <v>88.387</v>
      </c>
      <c r="AR863" s="288"/>
      <c r="AS863" s="289"/>
      <c r="AT863" s="294">
        <f t="shared" si="30"/>
        <v>1015.5719999999999</v>
      </c>
      <c r="AU863" s="288"/>
      <c r="AV863" s="290"/>
      <c r="AW863" s="285"/>
      <c r="AX863" s="296"/>
      <c r="AY863" s="313"/>
      <c r="AZ863" s="374"/>
      <c r="BA863" s="374"/>
      <c r="BB863" s="374"/>
      <c r="BC863" s="374"/>
    </row>
    <row r="864" spans="1:55" s="117" customFormat="1">
      <c r="A864" s="179"/>
      <c r="B864" s="179"/>
      <c r="C864" s="179"/>
      <c r="D864" s="181"/>
      <c r="E864" s="181"/>
      <c r="F864" s="181"/>
      <c r="G864" s="1110">
        <v>349243</v>
      </c>
      <c r="H864" s="142" t="s">
        <v>1403</v>
      </c>
      <c r="I864" s="518" t="s">
        <v>365</v>
      </c>
      <c r="J864" s="736">
        <v>139.62200000000001</v>
      </c>
      <c r="K864" s="734"/>
      <c r="L864" s="735"/>
      <c r="M864" s="736">
        <v>124.509</v>
      </c>
      <c r="N864" s="734"/>
      <c r="O864" s="735"/>
      <c r="P864" s="736">
        <v>140.006</v>
      </c>
      <c r="Q864" s="734"/>
      <c r="R864" s="735"/>
      <c r="S864" s="736">
        <v>123.46299999999999</v>
      </c>
      <c r="T864" s="734"/>
      <c r="U864" s="735"/>
      <c r="V864" s="736">
        <v>134.05799999999999</v>
      </c>
      <c r="W864" s="734"/>
      <c r="X864" s="735"/>
      <c r="Y864" s="736">
        <v>129.845</v>
      </c>
      <c r="Z864" s="734"/>
      <c r="AA864" s="735"/>
      <c r="AB864" s="736">
        <v>138.23699999999999</v>
      </c>
      <c r="AC864" s="734"/>
      <c r="AD864" s="735"/>
      <c r="AE864" s="736">
        <v>131.30799999999999</v>
      </c>
      <c r="AF864" s="734"/>
      <c r="AG864" s="735"/>
      <c r="AH864" s="736">
        <v>133.51499999999999</v>
      </c>
      <c r="AI864" s="734"/>
      <c r="AJ864" s="735"/>
      <c r="AK864" s="736">
        <v>139.56100000000001</v>
      </c>
      <c r="AL864" s="734"/>
      <c r="AM864" s="735"/>
      <c r="AN864" s="736">
        <v>130.97499999999999</v>
      </c>
      <c r="AO864" s="734"/>
      <c r="AP864" s="735"/>
      <c r="AQ864" s="733">
        <v>138.571</v>
      </c>
      <c r="AR864" s="288"/>
      <c r="AS864" s="289"/>
      <c r="AT864" s="294">
        <f t="shared" si="30"/>
        <v>1603.6699999999998</v>
      </c>
      <c r="AU864" s="288"/>
      <c r="AV864" s="290"/>
      <c r="AW864" s="285"/>
      <c r="AX864" s="296"/>
      <c r="AY864" s="313"/>
      <c r="AZ864" s="375"/>
      <c r="BA864" s="375"/>
      <c r="BB864" s="375"/>
      <c r="BC864" s="375"/>
    </row>
    <row r="865" spans="1:55" s="117" customFormat="1" ht="18.75">
      <c r="A865" s="179"/>
      <c r="B865" s="179"/>
      <c r="C865" s="179"/>
      <c r="D865" s="181">
        <v>345800</v>
      </c>
      <c r="E865" s="181"/>
      <c r="F865" s="181"/>
      <c r="G865" s="181">
        <v>345800</v>
      </c>
      <c r="H865" s="476" t="s">
        <v>1605</v>
      </c>
      <c r="I865" s="476"/>
      <c r="J865" s="823">
        <f>SUM(J866:J869)</f>
        <v>713.26600000000008</v>
      </c>
      <c r="K865" s="378">
        <f>L865-J865</f>
        <v>-250.0030000000001</v>
      </c>
      <c r="L865" s="379">
        <f>Потребление!D54</f>
        <v>463.26299999999998</v>
      </c>
      <c r="M865" s="377">
        <f>SUM(M866:M869)</f>
        <v>628.97100000000012</v>
      </c>
      <c r="N865" s="378">
        <f>O865-M865</f>
        <v>-200.00000000000006</v>
      </c>
      <c r="O865" s="379">
        <f>Потребление!E54</f>
        <v>428.97100000000006</v>
      </c>
      <c r="P865" s="377">
        <f>SUM(P866:P869)</f>
        <v>637.80100000000004</v>
      </c>
      <c r="Q865" s="378">
        <f>R865-P865</f>
        <v>-199.99600000000004</v>
      </c>
      <c r="R865" s="379">
        <f>Потребление!F54</f>
        <v>437.80500000000001</v>
      </c>
      <c r="S865" s="377">
        <f>SUM(S866:S869)</f>
        <v>515.68899999999996</v>
      </c>
      <c r="T865" s="378">
        <f>U865-S865</f>
        <v>-150.00199999999995</v>
      </c>
      <c r="U865" s="379">
        <f>Потребление!G54</f>
        <v>365.68700000000001</v>
      </c>
      <c r="V865" s="377">
        <f>SUM(V866:V869)</f>
        <v>473.28599999999994</v>
      </c>
      <c r="W865" s="378">
        <f>X865-V865</f>
        <v>-150.00399999999991</v>
      </c>
      <c r="X865" s="379">
        <f>Потребление!H54</f>
        <v>323.28200000000004</v>
      </c>
      <c r="Y865" s="377">
        <f>SUM(Y866:Y869)</f>
        <v>597.58600000000001</v>
      </c>
      <c r="Z865" s="378">
        <f>AA865-Y865</f>
        <v>-300.00499999999994</v>
      </c>
      <c r="AA865" s="379">
        <f>Потребление!I54</f>
        <v>297.58100000000007</v>
      </c>
      <c r="AB865" s="377">
        <f>SUM(AB866:AB869)</f>
        <v>607.26100000000008</v>
      </c>
      <c r="AC865" s="378">
        <f>AD865-AB865</f>
        <v>-299.99900000000008</v>
      </c>
      <c r="AD865" s="379">
        <f>Потребление!J54</f>
        <v>307.262</v>
      </c>
      <c r="AE865" s="377">
        <f>SUM(AE866:AE869)</f>
        <v>616.35000000000014</v>
      </c>
      <c r="AF865" s="378">
        <f>AG865-AE865</f>
        <v>-299.99900000000008</v>
      </c>
      <c r="AG865" s="379">
        <f>Потребление!K54</f>
        <v>316.35100000000006</v>
      </c>
      <c r="AH865" s="377">
        <f>SUM(AH866:AH869)</f>
        <v>624.83399999999995</v>
      </c>
      <c r="AI865" s="378">
        <f>AJ865-AH865</f>
        <v>-299.99999999999994</v>
      </c>
      <c r="AJ865" s="379">
        <f>Потребление!L54</f>
        <v>324.834</v>
      </c>
      <c r="AK865" s="377">
        <f>SUM(AK866:AK869)</f>
        <v>687.58100000000002</v>
      </c>
      <c r="AL865" s="378">
        <f>AM865-AK865</f>
        <v>-300</v>
      </c>
      <c r="AM865" s="379">
        <f>Потребление!M54</f>
        <v>387.58100000000002</v>
      </c>
      <c r="AN865" s="377">
        <f>SUM(AN866:AN869)</f>
        <v>653.84199999999998</v>
      </c>
      <c r="AO865" s="378">
        <f>AP865-AN865</f>
        <v>-239.99699999999996</v>
      </c>
      <c r="AP865" s="379">
        <f>Потребление!N54</f>
        <v>413.84500000000003</v>
      </c>
      <c r="AQ865" s="377">
        <f>SUM(AQ866:AQ869)</f>
        <v>708.53700000000003</v>
      </c>
      <c r="AR865" s="378">
        <f>AS865-AQ865</f>
        <v>-249.99900000000002</v>
      </c>
      <c r="AS865" s="379">
        <f>Потребление!O54</f>
        <v>458.53800000000001</v>
      </c>
      <c r="AT865" s="377">
        <f>SUM(AT866:AT869)</f>
        <v>7465.003999999999</v>
      </c>
      <c r="AU865" s="378">
        <f>AV865-AT865</f>
        <v>-2940.003999999999</v>
      </c>
      <c r="AV865" s="380">
        <f>L865+O865+R865+U865+X865+AA865+AD865+AG865+AJ865+AM865+AP865+AS865</f>
        <v>4525</v>
      </c>
      <c r="AW865" s="279"/>
      <c r="AX865" s="1067">
        <v>4438.5800980000004</v>
      </c>
      <c r="AY865" s="693">
        <f>SUM(AY866:AY869)</f>
        <v>7383.4398279999987</v>
      </c>
      <c r="AZ865" s="375"/>
      <c r="BA865" s="375"/>
      <c r="BB865" s="375"/>
      <c r="BC865" s="375"/>
    </row>
    <row r="866" spans="1:55" s="117" customFormat="1">
      <c r="A866" s="179"/>
      <c r="B866" s="179"/>
      <c r="C866" s="179"/>
      <c r="D866" s="181"/>
      <c r="E866" s="181"/>
      <c r="F866" s="181"/>
      <c r="G866" s="181"/>
      <c r="H866" s="10" t="s">
        <v>56</v>
      </c>
      <c r="I866" s="10"/>
      <c r="J866" s="223">
        <f>J872+J875+J878+J883+J886+J891</f>
        <v>705.08699999999999</v>
      </c>
      <c r="K866" s="381">
        <f>K33+K61</f>
        <v>-250</v>
      </c>
      <c r="L866" s="224"/>
      <c r="M866" s="223">
        <f>M872+M875+M878+M883+M886+M891</f>
        <v>621.92400000000009</v>
      </c>
      <c r="N866" s="381">
        <f>N33+N61</f>
        <v>-200</v>
      </c>
      <c r="O866" s="224"/>
      <c r="P866" s="223">
        <f>P872+P875+P878+P883+P886+P891</f>
        <v>630.71</v>
      </c>
      <c r="Q866" s="381">
        <f>Q33+Q61</f>
        <v>-200</v>
      </c>
      <c r="R866" s="224"/>
      <c r="S866" s="223">
        <f>S872+S875+S878+S883+S886+S891</f>
        <v>509.83</v>
      </c>
      <c r="T866" s="381">
        <f>T33+T61</f>
        <v>-150</v>
      </c>
      <c r="U866" s="224"/>
      <c r="V866" s="223">
        <f>V872+V875+V878+V883+V886+V891</f>
        <v>467.25999999999993</v>
      </c>
      <c r="W866" s="381">
        <f>W33+W61</f>
        <v>-150</v>
      </c>
      <c r="X866" s="224"/>
      <c r="Y866" s="223">
        <f>Y872+Y875+Y878+Y883+Y886+Y891</f>
        <v>591.93000000000006</v>
      </c>
      <c r="Z866" s="381">
        <f>Z33+Z61</f>
        <v>-300</v>
      </c>
      <c r="AA866" s="224"/>
      <c r="AB866" s="223">
        <f>AB872+AB875+AB878+AB883+AB886+AB891</f>
        <v>601.61</v>
      </c>
      <c r="AC866" s="381">
        <f>AC33+AC61</f>
        <v>-300</v>
      </c>
      <c r="AD866" s="224"/>
      <c r="AE866" s="223">
        <f>AE872+AE875+AE878+AE883+AE886+AE891</f>
        <v>610.91000000000008</v>
      </c>
      <c r="AF866" s="381">
        <f>AF33+AF61</f>
        <v>-300</v>
      </c>
      <c r="AG866" s="224"/>
      <c r="AH866" s="223">
        <f>AH872+AH875+AH878+AH883+AH886+AH891</f>
        <v>619.4899999999999</v>
      </c>
      <c r="AI866" s="381">
        <f>AI33+AI61</f>
        <v>-300</v>
      </c>
      <c r="AJ866" s="224"/>
      <c r="AK866" s="223">
        <f>AK872+AK875+AK878+AK883+AK886+AK891</f>
        <v>681.13</v>
      </c>
      <c r="AL866" s="381">
        <f>AL33+AL61</f>
        <v>-300</v>
      </c>
      <c r="AM866" s="224"/>
      <c r="AN866" s="223">
        <f>AN872+AN875+AN878+AN883+AN886+AN891</f>
        <v>647.31999999999994</v>
      </c>
      <c r="AO866" s="381">
        <f>AO33+AO61</f>
        <v>-240</v>
      </c>
      <c r="AP866" s="224"/>
      <c r="AQ866" s="223">
        <f>AQ872+AQ875+AQ878+AQ883+AQ886+AQ891</f>
        <v>701.78700000000003</v>
      </c>
      <c r="AR866" s="381">
        <f>AR33+AR61</f>
        <v>-250</v>
      </c>
      <c r="AS866" s="224"/>
      <c r="AT866" s="223">
        <f>AT872+AT875+AT878+AT883+AT886+AT891</f>
        <v>7388.9879999999994</v>
      </c>
      <c r="AU866" s="381">
        <f>AU33+AU61</f>
        <v>-2940</v>
      </c>
      <c r="AV866" s="229"/>
      <c r="AW866" s="226"/>
      <c r="AX866" s="230"/>
      <c r="AY866" s="231">
        <f>AY872+AY875+AY878+AY883+AY891</f>
        <v>7319.0406899999989</v>
      </c>
      <c r="AZ866" s="375"/>
      <c r="BA866" s="375"/>
      <c r="BB866" s="375"/>
      <c r="BC866" s="375"/>
    </row>
    <row r="867" spans="1:55" s="117" customFormat="1">
      <c r="A867" s="179"/>
      <c r="B867" s="179"/>
      <c r="C867" s="179"/>
      <c r="D867" s="181"/>
      <c r="E867" s="181"/>
      <c r="F867" s="181"/>
      <c r="G867" s="181"/>
      <c r="H867" s="10" t="s">
        <v>55</v>
      </c>
      <c r="I867" s="10"/>
      <c r="J867" s="223">
        <f>J890</f>
        <v>0.89200000000000002</v>
      </c>
      <c r="K867" s="271">
        <f>K866-K865</f>
        <v>3.0000000000995897E-3</v>
      </c>
      <c r="L867" s="224"/>
      <c r="M867" s="270">
        <f>M890</f>
        <v>0.82599999999999996</v>
      </c>
      <c r="N867" s="271">
        <f>N866-N865</f>
        <v>0</v>
      </c>
      <c r="O867" s="224"/>
      <c r="P867" s="270">
        <f>P890</f>
        <v>0.88400000000000001</v>
      </c>
      <c r="Q867" s="271">
        <f>Q866-Q865</f>
        <v>-3.999999999962256E-3</v>
      </c>
      <c r="R867" s="224"/>
      <c r="S867" s="270">
        <f>S890</f>
        <v>0.87</v>
      </c>
      <c r="T867" s="271">
        <f>T866-T865</f>
        <v>1.9999999999527063E-3</v>
      </c>
      <c r="U867" s="224"/>
      <c r="V867" s="270">
        <f>V890</f>
        <v>0.88400000000000001</v>
      </c>
      <c r="W867" s="271">
        <f>W866-W865</f>
        <v>3.9999999999054126E-3</v>
      </c>
      <c r="X867" s="224"/>
      <c r="Y867" s="270">
        <f>Y890</f>
        <v>0.84199999999999997</v>
      </c>
      <c r="Z867" s="271">
        <f>Z866-Z865</f>
        <v>4.9999999999386091E-3</v>
      </c>
      <c r="AA867" s="224"/>
      <c r="AB867" s="270">
        <f>AB890</f>
        <v>0.84699999999999998</v>
      </c>
      <c r="AC867" s="271">
        <f>AC866-AC865</f>
        <v>-9.9999999991950972E-4</v>
      </c>
      <c r="AD867" s="224"/>
      <c r="AE867" s="270">
        <f>AE890</f>
        <v>0.66199999999999992</v>
      </c>
      <c r="AF867" s="271">
        <f>AF866-AF865</f>
        <v>-9.9999999991950972E-4</v>
      </c>
      <c r="AG867" s="224"/>
      <c r="AH867" s="270">
        <f>AH890</f>
        <v>0.40700000000000003</v>
      </c>
      <c r="AI867" s="271">
        <f>AI866-AI865</f>
        <v>0</v>
      </c>
      <c r="AJ867" s="224"/>
      <c r="AK867" s="270">
        <f>AK890</f>
        <v>0.84099999999999997</v>
      </c>
      <c r="AL867" s="271">
        <f>AL866-AL865</f>
        <v>0</v>
      </c>
      <c r="AM867" s="224"/>
      <c r="AN867" s="270">
        <f>AN890</f>
        <v>0.83699999999999997</v>
      </c>
      <c r="AO867" s="271">
        <f>AO866-AO865</f>
        <v>-3.0000000000427463E-3</v>
      </c>
      <c r="AP867" s="224"/>
      <c r="AQ867" s="270">
        <f>AQ890</f>
        <v>0.88500000000000001</v>
      </c>
      <c r="AR867" s="271">
        <f>AR866-AR865</f>
        <v>-9.9999999997635314E-4</v>
      </c>
      <c r="AS867" s="224"/>
      <c r="AT867" s="270">
        <f>AT890</f>
        <v>9.6769999999999996</v>
      </c>
      <c r="AU867" s="271"/>
      <c r="AV867" s="229"/>
      <c r="AW867" s="226"/>
      <c r="AX867" s="230"/>
      <c r="AY867" s="231">
        <f>AY890</f>
        <v>10.074341</v>
      </c>
      <c r="AZ867" s="375"/>
      <c r="BA867" s="375"/>
      <c r="BB867" s="375"/>
      <c r="BC867" s="375"/>
    </row>
    <row r="868" spans="1:55" s="117" customFormat="1">
      <c r="A868" s="179"/>
      <c r="B868" s="179"/>
      <c r="C868" s="179"/>
      <c r="D868" s="181"/>
      <c r="E868" s="181"/>
      <c r="F868" s="181"/>
      <c r="G868" s="181"/>
      <c r="H868" s="467" t="s">
        <v>346</v>
      </c>
      <c r="I868" s="467"/>
      <c r="J868" s="223">
        <f>SUM(J870:J871)</f>
        <v>1.2889999999999999</v>
      </c>
      <c r="K868" s="271"/>
      <c r="L868" s="224"/>
      <c r="M868" s="223">
        <f>SUM(M870:M871)</f>
        <v>1.17</v>
      </c>
      <c r="N868" s="271"/>
      <c r="O868" s="224"/>
      <c r="P868" s="223">
        <f>SUM(P870:P871)</f>
        <v>1.2749999999999999</v>
      </c>
      <c r="Q868" s="271"/>
      <c r="R868" s="224"/>
      <c r="S868" s="223">
        <f>SUM(S870:S871)</f>
        <v>0.70199999999999996</v>
      </c>
      <c r="T868" s="271"/>
      <c r="U868" s="224"/>
      <c r="V868" s="223">
        <f>SUM(V870:V871)</f>
        <v>0.72599999999999998</v>
      </c>
      <c r="W868" s="271"/>
      <c r="X868" s="224"/>
      <c r="Y868" s="223">
        <f>SUM(Y870:Y871)</f>
        <v>0.70199999999999996</v>
      </c>
      <c r="Z868" s="271"/>
      <c r="AA868" s="224"/>
      <c r="AB868" s="223">
        <f>SUM(AB870:AB871)</f>
        <v>0.753</v>
      </c>
      <c r="AC868" s="271"/>
      <c r="AD868" s="224"/>
      <c r="AE868" s="223">
        <f>SUM(AE870:AE871)</f>
        <v>0.753</v>
      </c>
      <c r="AF868" s="271"/>
      <c r="AG868" s="224"/>
      <c r="AH868" s="223">
        <f>SUM(AH870:AH871)</f>
        <v>0.74399999999999999</v>
      </c>
      <c r="AI868" s="271"/>
      <c r="AJ868" s="224"/>
      <c r="AK868" s="223">
        <f>SUM(AK870:AK871)</f>
        <v>1.278</v>
      </c>
      <c r="AL868" s="271"/>
      <c r="AM868" s="224"/>
      <c r="AN868" s="223">
        <f>SUM(AN870:AN871)</f>
        <v>1.3069999999999999</v>
      </c>
      <c r="AO868" s="271"/>
      <c r="AP868" s="224"/>
      <c r="AQ868" s="223">
        <f>SUM(AQ870:AQ871)</f>
        <v>1.3009999999999999</v>
      </c>
      <c r="AR868" s="271"/>
      <c r="AS868" s="224"/>
      <c r="AT868" s="223">
        <f>SUM(AT870:AT871)</f>
        <v>12.000000000000002</v>
      </c>
      <c r="AU868" s="271"/>
      <c r="AV868" s="229"/>
      <c r="AW868" s="226"/>
      <c r="AX868" s="230"/>
      <c r="AY868" s="231">
        <f>AY870+AY871</f>
        <v>3.6601879999999998</v>
      </c>
      <c r="AZ868" s="375"/>
      <c r="BA868" s="375"/>
      <c r="BB868" s="375"/>
      <c r="BC868" s="375"/>
    </row>
    <row r="869" spans="1:55" s="117" customFormat="1">
      <c r="A869" s="179"/>
      <c r="B869" s="179"/>
      <c r="C869" s="179"/>
      <c r="D869" s="181"/>
      <c r="E869" s="181"/>
      <c r="F869" s="181"/>
      <c r="G869" s="181"/>
      <c r="H869" s="10" t="s">
        <v>99</v>
      </c>
      <c r="I869" s="10"/>
      <c r="J869" s="223">
        <f>J892</f>
        <v>5.9980000000000002</v>
      </c>
      <c r="K869" s="271"/>
      <c r="L869" s="224"/>
      <c r="M869" s="270">
        <f>M892</f>
        <v>5.0510000000000002</v>
      </c>
      <c r="N869" s="271"/>
      <c r="O869" s="224"/>
      <c r="P869" s="270">
        <f>P892</f>
        <v>4.9320000000000004</v>
      </c>
      <c r="Q869" s="271"/>
      <c r="R869" s="224"/>
      <c r="S869" s="270">
        <f>S892</f>
        <v>4.2869999999999999</v>
      </c>
      <c r="T869" s="271"/>
      <c r="U869" s="224"/>
      <c r="V869" s="270">
        <f>V892</f>
        <v>4.4160000000000004</v>
      </c>
      <c r="W869" s="271"/>
      <c r="X869" s="224"/>
      <c r="Y869" s="270">
        <f>Y892</f>
        <v>4.1120000000000001</v>
      </c>
      <c r="Z869" s="271"/>
      <c r="AA869" s="224"/>
      <c r="AB869" s="270">
        <f>AB892</f>
        <v>4.0510000000000002</v>
      </c>
      <c r="AC869" s="271"/>
      <c r="AD869" s="224"/>
      <c r="AE869" s="270">
        <f>AE892</f>
        <v>4.0250000000000004</v>
      </c>
      <c r="AF869" s="271"/>
      <c r="AG869" s="224"/>
      <c r="AH869" s="270">
        <f>AH892</f>
        <v>4.1929999999999996</v>
      </c>
      <c r="AI869" s="271"/>
      <c r="AJ869" s="224"/>
      <c r="AK869" s="270">
        <f>AK892</f>
        <v>4.3319999999999999</v>
      </c>
      <c r="AL869" s="271"/>
      <c r="AM869" s="224"/>
      <c r="AN869" s="270">
        <f>AN892</f>
        <v>4.3780000000000001</v>
      </c>
      <c r="AO869" s="271"/>
      <c r="AP869" s="224"/>
      <c r="AQ869" s="270">
        <f>AQ892</f>
        <v>4.5640000000000001</v>
      </c>
      <c r="AR869" s="271"/>
      <c r="AS869" s="224"/>
      <c r="AT869" s="270">
        <f>AT892</f>
        <v>54.338999999999999</v>
      </c>
      <c r="AU869" s="271"/>
      <c r="AV869" s="229"/>
      <c r="AW869" s="226"/>
      <c r="AX869" s="230"/>
      <c r="AY869" s="231">
        <f>AY892</f>
        <v>50.664608999999999</v>
      </c>
      <c r="AZ869" s="375"/>
      <c r="BA869" s="375"/>
      <c r="BB869" s="375"/>
      <c r="BC869" s="375"/>
    </row>
    <row r="870" spans="1:55" s="117" customFormat="1">
      <c r="A870" s="179"/>
      <c r="B870" s="179"/>
      <c r="C870" s="179"/>
      <c r="D870" s="181">
        <v>345830</v>
      </c>
      <c r="E870" s="181"/>
      <c r="F870" s="181"/>
      <c r="G870" s="1110">
        <v>345830</v>
      </c>
      <c r="H870" s="129" t="s">
        <v>220</v>
      </c>
      <c r="I870" s="519" t="s">
        <v>365</v>
      </c>
      <c r="J870" s="244">
        <v>0</v>
      </c>
      <c r="K870" s="246"/>
      <c r="L870" s="282"/>
      <c r="M870" s="244">
        <v>0</v>
      </c>
      <c r="N870" s="246"/>
      <c r="O870" s="282"/>
      <c r="P870" s="244">
        <v>0</v>
      </c>
      <c r="Q870" s="246"/>
      <c r="R870" s="282"/>
      <c r="S870" s="244">
        <v>0</v>
      </c>
      <c r="T870" s="246"/>
      <c r="U870" s="282"/>
      <c r="V870" s="244">
        <v>0</v>
      </c>
      <c r="W870" s="246"/>
      <c r="X870" s="282"/>
      <c r="Y870" s="244">
        <v>0</v>
      </c>
      <c r="Z870" s="246"/>
      <c r="AA870" s="282"/>
      <c r="AB870" s="244">
        <v>0</v>
      </c>
      <c r="AC870" s="246"/>
      <c r="AD870" s="282"/>
      <c r="AE870" s="244">
        <v>0</v>
      </c>
      <c r="AF870" s="246"/>
      <c r="AG870" s="282"/>
      <c r="AH870" s="244">
        <v>0</v>
      </c>
      <c r="AI870" s="246"/>
      <c r="AJ870" s="282"/>
      <c r="AK870" s="244">
        <v>0</v>
      </c>
      <c r="AL870" s="246"/>
      <c r="AM870" s="282"/>
      <c r="AN870" s="244">
        <v>0</v>
      </c>
      <c r="AO870" s="246"/>
      <c r="AP870" s="282"/>
      <c r="AQ870" s="244">
        <v>0</v>
      </c>
      <c r="AR870" s="246"/>
      <c r="AS870" s="282"/>
      <c r="AT870" s="244">
        <f t="shared" ref="AT870:AT891" si="31">J870+M870+P870+S870+V870+Y870+AB870+AE870+AH870+AK870+AN870+AQ870</f>
        <v>0</v>
      </c>
      <c r="AU870" s="246"/>
      <c r="AV870" s="336"/>
      <c r="AW870" s="285"/>
      <c r="AX870" s="337"/>
      <c r="AY870" s="438">
        <v>2.4122999999999999E-2</v>
      </c>
      <c r="AZ870" s="375"/>
      <c r="BA870" s="375"/>
      <c r="BB870" s="375"/>
      <c r="BC870" s="375"/>
    </row>
    <row r="871" spans="1:55" s="117" customFormat="1">
      <c r="A871" s="179"/>
      <c r="B871" s="179"/>
      <c r="C871" s="179"/>
      <c r="D871" s="181"/>
      <c r="E871" s="181"/>
      <c r="F871" s="181"/>
      <c r="G871" s="1110">
        <v>777795</v>
      </c>
      <c r="H871" s="129" t="s">
        <v>1500</v>
      </c>
      <c r="I871" s="519" t="s">
        <v>365</v>
      </c>
      <c r="J871" s="244">
        <v>1.2889999999999999</v>
      </c>
      <c r="K871" s="246"/>
      <c r="L871" s="282"/>
      <c r="M871" s="244">
        <v>1.17</v>
      </c>
      <c r="N871" s="246"/>
      <c r="O871" s="282"/>
      <c r="P871" s="244">
        <v>1.2749999999999999</v>
      </c>
      <c r="Q871" s="246"/>
      <c r="R871" s="282"/>
      <c r="S871" s="244">
        <v>0.70199999999999996</v>
      </c>
      <c r="T871" s="246"/>
      <c r="U871" s="282"/>
      <c r="V871" s="244">
        <v>0.72599999999999998</v>
      </c>
      <c r="W871" s="246"/>
      <c r="X871" s="282"/>
      <c r="Y871" s="244">
        <v>0.70199999999999996</v>
      </c>
      <c r="Z871" s="246"/>
      <c r="AA871" s="282"/>
      <c r="AB871" s="244">
        <v>0.753</v>
      </c>
      <c r="AC871" s="246"/>
      <c r="AD871" s="282"/>
      <c r="AE871" s="244">
        <v>0.753</v>
      </c>
      <c r="AF871" s="246"/>
      <c r="AG871" s="282"/>
      <c r="AH871" s="244">
        <v>0.74399999999999999</v>
      </c>
      <c r="AI871" s="246"/>
      <c r="AJ871" s="282"/>
      <c r="AK871" s="244">
        <v>1.278</v>
      </c>
      <c r="AL871" s="246"/>
      <c r="AM871" s="282"/>
      <c r="AN871" s="244">
        <v>1.3069999999999999</v>
      </c>
      <c r="AO871" s="246"/>
      <c r="AP871" s="282"/>
      <c r="AQ871" s="244">
        <v>1.3009999999999999</v>
      </c>
      <c r="AR871" s="246"/>
      <c r="AS871" s="282"/>
      <c r="AT871" s="244">
        <f t="shared" si="31"/>
        <v>12.000000000000002</v>
      </c>
      <c r="AU871" s="246"/>
      <c r="AV871" s="336"/>
      <c r="AW871" s="285"/>
      <c r="AX871" s="337"/>
      <c r="AY871" s="438">
        <v>3.6360649999999999</v>
      </c>
      <c r="AZ871" s="375"/>
      <c r="BA871" s="375"/>
      <c r="BB871" s="375"/>
      <c r="BC871" s="375"/>
    </row>
    <row r="872" spans="1:55" s="117" customFormat="1">
      <c r="A872" s="179"/>
      <c r="B872" s="179"/>
      <c r="C872" s="179"/>
      <c r="D872" s="181">
        <v>345803</v>
      </c>
      <c r="E872" s="181"/>
      <c r="F872" s="181"/>
      <c r="G872" s="1110">
        <v>345803</v>
      </c>
      <c r="H872" s="132" t="s">
        <v>654</v>
      </c>
      <c r="I872" s="516" t="s">
        <v>364</v>
      </c>
      <c r="J872" s="262">
        <f>SUM(J873:J874)</f>
        <v>356.52</v>
      </c>
      <c r="K872" s="246"/>
      <c r="L872" s="282"/>
      <c r="M872" s="317">
        <f>SUM(M873:M874)</f>
        <v>303.48</v>
      </c>
      <c r="N872" s="246"/>
      <c r="O872" s="282"/>
      <c r="P872" s="317">
        <f>SUM(P873:P874)</f>
        <v>300.21000000000004</v>
      </c>
      <c r="Q872" s="246"/>
      <c r="R872" s="282"/>
      <c r="S872" s="317">
        <f>SUM(S873:S874)</f>
        <v>235.93</v>
      </c>
      <c r="T872" s="246"/>
      <c r="U872" s="282"/>
      <c r="V872" s="317">
        <f>SUM(V873:V874)</f>
        <v>233.36</v>
      </c>
      <c r="W872" s="246"/>
      <c r="X872" s="282"/>
      <c r="Y872" s="317">
        <f>SUM(Y873:Y874)</f>
        <v>359.13</v>
      </c>
      <c r="Z872" s="246"/>
      <c r="AA872" s="282"/>
      <c r="AB872" s="317">
        <f>SUM(AB873:AB874)</f>
        <v>337.81</v>
      </c>
      <c r="AC872" s="246"/>
      <c r="AD872" s="282"/>
      <c r="AE872" s="317">
        <f>SUM(AE873:AE874)</f>
        <v>397.09000000000003</v>
      </c>
      <c r="AF872" s="246"/>
      <c r="AG872" s="282"/>
      <c r="AH872" s="317">
        <f>SUM(AH873:AH874)</f>
        <v>368.31</v>
      </c>
      <c r="AI872" s="246"/>
      <c r="AJ872" s="282"/>
      <c r="AK872" s="317">
        <f>SUM(AK873:AK874)</f>
        <v>358.63</v>
      </c>
      <c r="AL872" s="246"/>
      <c r="AM872" s="282"/>
      <c r="AN872" s="317">
        <f>SUM(AN873:AN874)</f>
        <v>317.02</v>
      </c>
      <c r="AO872" s="246"/>
      <c r="AP872" s="282"/>
      <c r="AQ872" s="317">
        <f>SUM(AQ873:AQ874)</f>
        <v>320.60000000000002</v>
      </c>
      <c r="AR872" s="246"/>
      <c r="AS872" s="282"/>
      <c r="AT872" s="317">
        <f>SUM(AT873:AT874)</f>
        <v>3888.0899999999997</v>
      </c>
      <c r="AU872" s="246"/>
      <c r="AV872" s="336"/>
      <c r="AW872" s="285"/>
      <c r="AX872" s="337"/>
      <c r="AY872" s="1068">
        <v>6085.4117189999997</v>
      </c>
      <c r="AZ872" s="375"/>
      <c r="BA872" s="375"/>
      <c r="BB872" s="375"/>
      <c r="BC872" s="375"/>
    </row>
    <row r="873" spans="1:55" s="117" customFormat="1">
      <c r="A873" s="179"/>
      <c r="B873" s="179"/>
      <c r="C873" s="179"/>
      <c r="D873" s="181"/>
      <c r="E873" s="181"/>
      <c r="F873" s="181"/>
      <c r="G873" s="1110"/>
      <c r="H873" s="127" t="s">
        <v>654</v>
      </c>
      <c r="I873" s="127"/>
      <c r="J873" s="320">
        <f>219.8-25.48</f>
        <v>194.32000000000002</v>
      </c>
      <c r="K873" s="246"/>
      <c r="L873" s="282"/>
      <c r="M873" s="244">
        <v>135.4</v>
      </c>
      <c r="N873" s="246"/>
      <c r="O873" s="282"/>
      <c r="P873" s="244">
        <v>100.9</v>
      </c>
      <c r="Q873" s="246"/>
      <c r="R873" s="282"/>
      <c r="S873" s="320">
        <f>135.6-24.57</f>
        <v>111.03</v>
      </c>
      <c r="T873" s="246"/>
      <c r="U873" s="282"/>
      <c r="V873" s="320">
        <f>128.9-4.64</f>
        <v>124.26</v>
      </c>
      <c r="W873" s="246"/>
      <c r="X873" s="282"/>
      <c r="Y873" s="345">
        <f>145.1+32.83</f>
        <v>177.93</v>
      </c>
      <c r="Z873" s="246"/>
      <c r="AA873" s="282"/>
      <c r="AB873" s="345">
        <f>140+27.41</f>
        <v>167.41</v>
      </c>
      <c r="AC873" s="246"/>
      <c r="AD873" s="282"/>
      <c r="AE873" s="345">
        <f>128.9+69.29</f>
        <v>198.19</v>
      </c>
      <c r="AF873" s="246"/>
      <c r="AG873" s="282"/>
      <c r="AH873" s="345">
        <f>138.9+35.41</f>
        <v>174.31</v>
      </c>
      <c r="AI873" s="246"/>
      <c r="AJ873" s="282"/>
      <c r="AK873" s="345">
        <f>148+27.63</f>
        <v>175.63</v>
      </c>
      <c r="AL873" s="246"/>
      <c r="AM873" s="282"/>
      <c r="AN873" s="244">
        <v>153.6</v>
      </c>
      <c r="AO873" s="246"/>
      <c r="AP873" s="282"/>
      <c r="AQ873" s="244">
        <v>144.80000000000001</v>
      </c>
      <c r="AR873" s="246"/>
      <c r="AS873" s="282"/>
      <c r="AT873" s="244">
        <f t="shared" si="31"/>
        <v>1857.7799999999995</v>
      </c>
      <c r="AU873" s="246"/>
      <c r="AV873" s="336"/>
      <c r="AW873" s="285"/>
      <c r="AX873" s="337"/>
      <c r="AY873" s="338"/>
      <c r="AZ873" s="375"/>
      <c r="BA873" s="375"/>
      <c r="BB873" s="375"/>
      <c r="BC873" s="375"/>
    </row>
    <row r="874" spans="1:55" s="117" customFormat="1">
      <c r="A874" s="179"/>
      <c r="B874" s="179"/>
      <c r="C874" s="179"/>
      <c r="D874" s="181"/>
      <c r="E874" s="181"/>
      <c r="F874" s="181"/>
      <c r="G874" s="1110"/>
      <c r="H874" s="127" t="s">
        <v>655</v>
      </c>
      <c r="I874" s="127"/>
      <c r="J874" s="244">
        <v>162.19999999999999</v>
      </c>
      <c r="K874" s="246"/>
      <c r="L874" s="282"/>
      <c r="M874" s="345">
        <f>145.4+22.68</f>
        <v>168.08</v>
      </c>
      <c r="N874" s="246"/>
      <c r="O874" s="282"/>
      <c r="P874" s="345">
        <f>196.9+2.41</f>
        <v>199.31</v>
      </c>
      <c r="Q874" s="246"/>
      <c r="R874" s="282"/>
      <c r="S874" s="320">
        <f>154.9-30</f>
        <v>124.9</v>
      </c>
      <c r="T874" s="246"/>
      <c r="U874" s="282"/>
      <c r="V874" s="320">
        <f>114.1-5</f>
        <v>109.1</v>
      </c>
      <c r="W874" s="246"/>
      <c r="X874" s="282"/>
      <c r="Y874" s="345">
        <f>111.2+70</f>
        <v>181.2</v>
      </c>
      <c r="Z874" s="246"/>
      <c r="AA874" s="282"/>
      <c r="AB874" s="345">
        <f>130.4+40</f>
        <v>170.4</v>
      </c>
      <c r="AC874" s="246"/>
      <c r="AD874" s="282"/>
      <c r="AE874" s="345">
        <f>128.9+70</f>
        <v>198.9</v>
      </c>
      <c r="AF874" s="246"/>
      <c r="AG874" s="282"/>
      <c r="AH874" s="345">
        <f>124+70</f>
        <v>194</v>
      </c>
      <c r="AI874" s="246"/>
      <c r="AJ874" s="282"/>
      <c r="AK874" s="345">
        <f>143+40</f>
        <v>183</v>
      </c>
      <c r="AL874" s="246"/>
      <c r="AM874" s="282"/>
      <c r="AN874" s="345">
        <f>153.6+9.82</f>
        <v>163.41999999999999</v>
      </c>
      <c r="AO874" s="246"/>
      <c r="AP874" s="282"/>
      <c r="AQ874" s="244">
        <v>175.8</v>
      </c>
      <c r="AR874" s="246"/>
      <c r="AS874" s="282"/>
      <c r="AT874" s="244">
        <f t="shared" si="31"/>
        <v>2030.3100000000002</v>
      </c>
      <c r="AU874" s="246"/>
      <c r="AV874" s="336"/>
      <c r="AW874" s="285"/>
      <c r="AX874" s="337"/>
      <c r="AY874" s="338"/>
      <c r="AZ874" s="375"/>
      <c r="BA874" s="375"/>
      <c r="BB874" s="375"/>
      <c r="BC874" s="375"/>
    </row>
    <row r="875" spans="1:55" s="117" customFormat="1">
      <c r="A875" s="179"/>
      <c r="B875" s="179"/>
      <c r="C875" s="179"/>
      <c r="D875" s="181"/>
      <c r="E875" s="181"/>
      <c r="F875" s="181"/>
      <c r="G875" s="1211">
        <v>777326</v>
      </c>
      <c r="H875" s="999" t="s">
        <v>1142</v>
      </c>
      <c r="I875" s="835" t="s">
        <v>364</v>
      </c>
      <c r="J875" s="927">
        <f>SUM(J876:J877)</f>
        <v>80.900000000000006</v>
      </c>
      <c r="K875" s="998"/>
      <c r="L875" s="692"/>
      <c r="M875" s="927">
        <f>SUM(M876:M877)</f>
        <v>76.199999999999989</v>
      </c>
      <c r="N875" s="998"/>
      <c r="O875" s="692"/>
      <c r="P875" s="927">
        <f>SUM(P876:P877)</f>
        <v>86.2</v>
      </c>
      <c r="Q875" s="998"/>
      <c r="R875" s="692"/>
      <c r="S875" s="927">
        <f>SUM(S876:S877)</f>
        <v>51.8</v>
      </c>
      <c r="T875" s="998"/>
      <c r="U875" s="692"/>
      <c r="V875" s="927">
        <f>SUM(V876:V877)</f>
        <v>44.9</v>
      </c>
      <c r="W875" s="998"/>
      <c r="X875" s="692"/>
      <c r="Y875" s="927">
        <f>SUM(Y876:Y877)</f>
        <v>53.5</v>
      </c>
      <c r="Z875" s="998"/>
      <c r="AA875" s="692"/>
      <c r="AB875" s="927">
        <f>SUM(AB876:AB877)</f>
        <v>53.9</v>
      </c>
      <c r="AC875" s="998"/>
      <c r="AD875" s="692"/>
      <c r="AE875" s="927">
        <f>SUM(AE876:AE877)</f>
        <v>46.1</v>
      </c>
      <c r="AF875" s="998"/>
      <c r="AG875" s="692"/>
      <c r="AH875" s="927">
        <f>SUM(AH876:AH877)</f>
        <v>50.4</v>
      </c>
      <c r="AI875" s="998"/>
      <c r="AJ875" s="692"/>
      <c r="AK875" s="927">
        <f>SUM(AK876:AK877)</f>
        <v>47.5</v>
      </c>
      <c r="AL875" s="998"/>
      <c r="AM875" s="692"/>
      <c r="AN875" s="927">
        <f>SUM(AN876:AN877)</f>
        <v>47.2</v>
      </c>
      <c r="AO875" s="998"/>
      <c r="AP875" s="692"/>
      <c r="AQ875" s="927">
        <f>SUM(AQ876:AQ877)</f>
        <v>85</v>
      </c>
      <c r="AR875" s="323"/>
      <c r="AS875" s="324"/>
      <c r="AT875" s="927">
        <f>SUM(AT876:AT877)</f>
        <v>723.59999999999991</v>
      </c>
      <c r="AU875" s="246"/>
      <c r="AV875" s="336"/>
      <c r="AW875" s="285"/>
      <c r="AX875" s="337"/>
      <c r="AY875" s="441">
        <v>531.90230799999995</v>
      </c>
      <c r="AZ875" s="375"/>
      <c r="BA875" s="375"/>
      <c r="BB875" s="375"/>
      <c r="BC875" s="375"/>
    </row>
    <row r="876" spans="1:55" s="117" customFormat="1">
      <c r="A876" s="179"/>
      <c r="B876" s="179"/>
      <c r="C876" s="179"/>
      <c r="D876" s="181"/>
      <c r="E876" s="181"/>
      <c r="F876" s="181"/>
      <c r="G876" s="1110"/>
      <c r="H876" s="487" t="s">
        <v>1404</v>
      </c>
      <c r="I876" s="835"/>
      <c r="J876" s="244">
        <v>35.6</v>
      </c>
      <c r="K876" s="246"/>
      <c r="L876" s="282"/>
      <c r="M876" s="244">
        <v>38.9</v>
      </c>
      <c r="N876" s="246"/>
      <c r="O876" s="282"/>
      <c r="P876" s="244">
        <v>40.6</v>
      </c>
      <c r="Q876" s="246"/>
      <c r="R876" s="282"/>
      <c r="S876" s="320">
        <f>35.9-10</f>
        <v>25.9</v>
      </c>
      <c r="T876" s="246"/>
      <c r="U876" s="282"/>
      <c r="V876" s="244">
        <v>16.100000000000001</v>
      </c>
      <c r="W876" s="246"/>
      <c r="X876" s="282"/>
      <c r="Y876" s="244">
        <v>29.2</v>
      </c>
      <c r="Z876" s="246"/>
      <c r="AA876" s="282"/>
      <c r="AB876" s="345">
        <f>19.4+10</f>
        <v>29.4</v>
      </c>
      <c r="AC876" s="246"/>
      <c r="AD876" s="282"/>
      <c r="AE876" s="244">
        <v>28</v>
      </c>
      <c r="AF876" s="246"/>
      <c r="AG876" s="282"/>
      <c r="AH876" s="244">
        <v>25.2</v>
      </c>
      <c r="AI876" s="246"/>
      <c r="AJ876" s="282"/>
      <c r="AK876" s="244">
        <v>0</v>
      </c>
      <c r="AL876" s="246"/>
      <c r="AM876" s="282"/>
      <c r="AN876" s="244">
        <v>45.5</v>
      </c>
      <c r="AO876" s="246"/>
      <c r="AP876" s="282"/>
      <c r="AQ876" s="244">
        <v>47.4</v>
      </c>
      <c r="AR876" s="246"/>
      <c r="AS876" s="282"/>
      <c r="AT876" s="244">
        <f t="shared" si="31"/>
        <v>361.79999999999995</v>
      </c>
      <c r="AU876" s="246"/>
      <c r="AV876" s="336"/>
      <c r="AW876" s="285"/>
      <c r="AX876" s="337"/>
      <c r="AY876" s="706"/>
      <c r="AZ876" s="375"/>
      <c r="BA876" s="375"/>
      <c r="BB876" s="375"/>
      <c r="BC876" s="375"/>
    </row>
    <row r="877" spans="1:55" s="117" customFormat="1">
      <c r="A877" s="179"/>
      <c r="B877" s="179"/>
      <c r="C877" s="179"/>
      <c r="D877" s="181"/>
      <c r="E877" s="181"/>
      <c r="F877" s="181"/>
      <c r="G877" s="1110"/>
      <c r="H877" s="487" t="s">
        <v>1405</v>
      </c>
      <c r="I877" s="835"/>
      <c r="J877" s="244">
        <v>45.3</v>
      </c>
      <c r="K877" s="246"/>
      <c r="L877" s="282"/>
      <c r="M877" s="244">
        <v>37.299999999999997</v>
      </c>
      <c r="N877" s="246"/>
      <c r="O877" s="282"/>
      <c r="P877" s="244">
        <v>45.6</v>
      </c>
      <c r="Q877" s="246"/>
      <c r="R877" s="282"/>
      <c r="S877" s="320">
        <f>35.9-10</f>
        <v>25.9</v>
      </c>
      <c r="T877" s="246"/>
      <c r="U877" s="282"/>
      <c r="V877" s="320">
        <f>33.8-5</f>
        <v>28.799999999999997</v>
      </c>
      <c r="W877" s="246"/>
      <c r="X877" s="282"/>
      <c r="Y877" s="244">
        <v>24.3</v>
      </c>
      <c r="Z877" s="246"/>
      <c r="AA877" s="282"/>
      <c r="AB877" s="345">
        <f>14.5+10</f>
        <v>24.5</v>
      </c>
      <c r="AC877" s="246"/>
      <c r="AD877" s="282"/>
      <c r="AE877" s="244">
        <v>18.100000000000001</v>
      </c>
      <c r="AF877" s="246"/>
      <c r="AG877" s="282"/>
      <c r="AH877" s="244">
        <v>25.2</v>
      </c>
      <c r="AI877" s="246"/>
      <c r="AJ877" s="282"/>
      <c r="AK877" s="244">
        <v>47.5</v>
      </c>
      <c r="AL877" s="246"/>
      <c r="AM877" s="282"/>
      <c r="AN877" s="244">
        <v>1.7</v>
      </c>
      <c r="AO877" s="246"/>
      <c r="AP877" s="282"/>
      <c r="AQ877" s="244">
        <v>37.6</v>
      </c>
      <c r="AR877" s="246"/>
      <c r="AS877" s="282"/>
      <c r="AT877" s="244">
        <f t="shared" si="31"/>
        <v>361.8</v>
      </c>
      <c r="AU877" s="246"/>
      <c r="AV877" s="336"/>
      <c r="AW877" s="285"/>
      <c r="AX877" s="337"/>
      <c r="AY877" s="706"/>
      <c r="AZ877" s="375"/>
      <c r="BA877" s="375"/>
      <c r="BB877" s="375"/>
      <c r="BC877" s="375"/>
    </row>
    <row r="878" spans="1:55" s="117" customFormat="1">
      <c r="A878" s="179"/>
      <c r="B878" s="179"/>
      <c r="C878" s="179"/>
      <c r="D878" s="181"/>
      <c r="E878" s="181"/>
      <c r="F878" s="181"/>
      <c r="G878" s="1211">
        <v>777339</v>
      </c>
      <c r="H878" s="999" t="s">
        <v>1143</v>
      </c>
      <c r="I878" s="835" t="s">
        <v>364</v>
      </c>
      <c r="J878" s="787">
        <f>SUM(J879:J882)</f>
        <v>174.7</v>
      </c>
      <c r="K878" s="545"/>
      <c r="L878" s="546"/>
      <c r="M878" s="787">
        <f>SUM(M879:M882)</f>
        <v>149</v>
      </c>
      <c r="N878" s="545"/>
      <c r="O878" s="546"/>
      <c r="P878" s="787">
        <f>SUM(P879:P882)</f>
        <v>163.1</v>
      </c>
      <c r="Q878" s="545"/>
      <c r="R878" s="546"/>
      <c r="S878" s="787">
        <f>SUM(S879:S882)</f>
        <v>134</v>
      </c>
      <c r="T878" s="545"/>
      <c r="U878" s="546"/>
      <c r="V878" s="787">
        <f>SUM(V879:V882)</f>
        <v>141.39999999999998</v>
      </c>
      <c r="W878" s="545"/>
      <c r="X878" s="546"/>
      <c r="Y878" s="787">
        <f>SUM(Y879:Y882)</f>
        <v>122.5</v>
      </c>
      <c r="Z878" s="545"/>
      <c r="AA878" s="546"/>
      <c r="AB878" s="787">
        <f>SUM(AB879:AB882)</f>
        <v>126.39999999999999</v>
      </c>
      <c r="AC878" s="545"/>
      <c r="AD878" s="546"/>
      <c r="AE878" s="787">
        <f>SUM(AE879:AE882)</f>
        <v>110.1</v>
      </c>
      <c r="AF878" s="545"/>
      <c r="AG878" s="546"/>
      <c r="AH878" s="787">
        <f>SUM(AH879:AH882)</f>
        <v>136.80000000000001</v>
      </c>
      <c r="AI878" s="545"/>
      <c r="AJ878" s="546"/>
      <c r="AK878" s="787">
        <f>SUM(AK879:AK882)</f>
        <v>165.6</v>
      </c>
      <c r="AL878" s="545"/>
      <c r="AM878" s="546"/>
      <c r="AN878" s="787">
        <f>SUM(AN879:AN882)</f>
        <v>166.9</v>
      </c>
      <c r="AO878" s="545"/>
      <c r="AP878" s="546"/>
      <c r="AQ878" s="787">
        <f>SUM(AQ879:AQ882)</f>
        <v>175.42000000000002</v>
      </c>
      <c r="AR878" s="246"/>
      <c r="AS878" s="282"/>
      <c r="AT878" s="787">
        <f>SUM(AT879:AT882)</f>
        <v>1765.9200000000003</v>
      </c>
      <c r="AU878" s="246"/>
      <c r="AV878" s="336"/>
      <c r="AW878" s="285"/>
      <c r="AX878" s="337"/>
      <c r="AY878" s="441">
        <v>113.469088</v>
      </c>
      <c r="AZ878" s="375"/>
      <c r="BA878" s="375"/>
      <c r="BB878" s="375"/>
      <c r="BC878" s="375"/>
    </row>
    <row r="879" spans="1:55" s="117" customFormat="1">
      <c r="A879" s="179"/>
      <c r="B879" s="179"/>
      <c r="C879" s="179"/>
      <c r="D879" s="181"/>
      <c r="E879" s="181"/>
      <c r="F879" s="181"/>
      <c r="G879" s="1110"/>
      <c r="H879" s="487" t="s">
        <v>1406</v>
      </c>
      <c r="I879" s="835"/>
      <c r="J879" s="244">
        <v>25.7</v>
      </c>
      <c r="K879" s="246"/>
      <c r="L879" s="282"/>
      <c r="M879" s="244">
        <v>23.1</v>
      </c>
      <c r="N879" s="246"/>
      <c r="O879" s="282"/>
      <c r="P879" s="244">
        <v>34.6</v>
      </c>
      <c r="Q879" s="246"/>
      <c r="R879" s="282"/>
      <c r="S879" s="244">
        <v>33.6</v>
      </c>
      <c r="T879" s="246"/>
      <c r="U879" s="282"/>
      <c r="V879" s="244">
        <v>34.200000000000003</v>
      </c>
      <c r="W879" s="246"/>
      <c r="X879" s="282"/>
      <c r="Y879" s="244">
        <v>38.799999999999997</v>
      </c>
      <c r="Z879" s="246"/>
      <c r="AA879" s="282"/>
      <c r="AB879" s="244">
        <v>20.399999999999999</v>
      </c>
      <c r="AC879" s="246"/>
      <c r="AD879" s="282"/>
      <c r="AE879" s="244">
        <v>32.6</v>
      </c>
      <c r="AF879" s="246"/>
      <c r="AG879" s="282"/>
      <c r="AH879" s="244">
        <v>29.6</v>
      </c>
      <c r="AI879" s="246"/>
      <c r="AJ879" s="282"/>
      <c r="AK879" s="244">
        <v>76.599999999999994</v>
      </c>
      <c r="AL879" s="246"/>
      <c r="AM879" s="282"/>
      <c r="AN879" s="244">
        <v>23.1</v>
      </c>
      <c r="AO879" s="246"/>
      <c r="AP879" s="282"/>
      <c r="AQ879" s="320">
        <f>77-14.58</f>
        <v>62.42</v>
      </c>
      <c r="AR879" s="246"/>
      <c r="AS879" s="282"/>
      <c r="AT879" s="244">
        <f t="shared" si="31"/>
        <v>434.72000000000008</v>
      </c>
      <c r="AU879" s="246"/>
      <c r="AV879" s="336"/>
      <c r="AW879" s="285"/>
      <c r="AX879" s="337"/>
      <c r="AY879" s="249"/>
      <c r="AZ879" s="375"/>
      <c r="BA879" s="375"/>
      <c r="BB879" s="375"/>
      <c r="BC879" s="375"/>
    </row>
    <row r="880" spans="1:55" s="117" customFormat="1">
      <c r="A880" s="179"/>
      <c r="B880" s="179"/>
      <c r="C880" s="179"/>
      <c r="D880" s="181"/>
      <c r="E880" s="181"/>
      <c r="F880" s="181"/>
      <c r="G880" s="1110"/>
      <c r="H880" s="487" t="s">
        <v>1407</v>
      </c>
      <c r="I880" s="835"/>
      <c r="J880" s="244">
        <v>33.4</v>
      </c>
      <c r="K880" s="246"/>
      <c r="L880" s="282"/>
      <c r="M880" s="244">
        <v>25.7</v>
      </c>
      <c r="N880" s="246"/>
      <c r="O880" s="282"/>
      <c r="P880" s="244">
        <v>42</v>
      </c>
      <c r="Q880" s="246"/>
      <c r="R880" s="282"/>
      <c r="S880" s="320">
        <f>48-10</f>
        <v>38</v>
      </c>
      <c r="T880" s="246"/>
      <c r="U880" s="282"/>
      <c r="V880" s="244">
        <v>31.9</v>
      </c>
      <c r="W880" s="246"/>
      <c r="X880" s="282"/>
      <c r="Y880" s="244">
        <v>0</v>
      </c>
      <c r="Z880" s="246"/>
      <c r="AA880" s="282"/>
      <c r="AB880" s="244">
        <v>32.6</v>
      </c>
      <c r="AC880" s="246"/>
      <c r="AD880" s="282"/>
      <c r="AE880" s="244">
        <v>46.9</v>
      </c>
      <c r="AF880" s="246"/>
      <c r="AG880" s="282"/>
      <c r="AH880" s="244">
        <v>34.200000000000003</v>
      </c>
      <c r="AI880" s="246"/>
      <c r="AJ880" s="282"/>
      <c r="AK880" s="244">
        <v>42</v>
      </c>
      <c r="AL880" s="246"/>
      <c r="AM880" s="282"/>
      <c r="AN880" s="244">
        <v>61.6</v>
      </c>
      <c r="AO880" s="246"/>
      <c r="AP880" s="282"/>
      <c r="AQ880" s="244">
        <v>48.8</v>
      </c>
      <c r="AR880" s="246"/>
      <c r="AS880" s="282"/>
      <c r="AT880" s="244">
        <f t="shared" si="31"/>
        <v>437.1</v>
      </c>
      <c r="AU880" s="246"/>
      <c r="AV880" s="336"/>
      <c r="AW880" s="285"/>
      <c r="AX880" s="337"/>
      <c r="AY880" s="249"/>
      <c r="AZ880" s="375"/>
      <c r="BA880" s="375"/>
      <c r="BB880" s="375"/>
      <c r="BC880" s="375"/>
    </row>
    <row r="881" spans="1:55" s="117" customFormat="1">
      <c r="A881" s="179"/>
      <c r="B881" s="179"/>
      <c r="C881" s="179"/>
      <c r="D881" s="181"/>
      <c r="E881" s="181"/>
      <c r="F881" s="181"/>
      <c r="G881" s="1110"/>
      <c r="H881" s="487" t="s">
        <v>1408</v>
      </c>
      <c r="I881" s="835"/>
      <c r="J881" s="244">
        <v>71.900000000000006</v>
      </c>
      <c r="K881" s="246"/>
      <c r="L881" s="282"/>
      <c r="M881" s="244">
        <v>48.8</v>
      </c>
      <c r="N881" s="246"/>
      <c r="O881" s="282"/>
      <c r="P881" s="244">
        <v>32.1</v>
      </c>
      <c r="Q881" s="246"/>
      <c r="R881" s="282"/>
      <c r="S881" s="244">
        <v>24</v>
      </c>
      <c r="T881" s="246"/>
      <c r="U881" s="282"/>
      <c r="V881" s="244">
        <v>38.799999999999997</v>
      </c>
      <c r="W881" s="246"/>
      <c r="X881" s="282"/>
      <c r="Y881" s="244">
        <v>38.799999999999997</v>
      </c>
      <c r="Z881" s="246"/>
      <c r="AA881" s="282"/>
      <c r="AB881" s="244">
        <v>30.6</v>
      </c>
      <c r="AC881" s="246"/>
      <c r="AD881" s="282"/>
      <c r="AE881" s="244">
        <v>0</v>
      </c>
      <c r="AF881" s="246"/>
      <c r="AG881" s="282"/>
      <c r="AH881" s="244">
        <v>34.200000000000003</v>
      </c>
      <c r="AI881" s="246"/>
      <c r="AJ881" s="282"/>
      <c r="AK881" s="244">
        <v>47</v>
      </c>
      <c r="AL881" s="246"/>
      <c r="AM881" s="282"/>
      <c r="AN881" s="244">
        <v>48.8</v>
      </c>
      <c r="AO881" s="246"/>
      <c r="AP881" s="282"/>
      <c r="AQ881" s="244">
        <v>30.8</v>
      </c>
      <c r="AR881" s="246"/>
      <c r="AS881" s="282"/>
      <c r="AT881" s="244">
        <f t="shared" si="31"/>
        <v>445.80000000000007</v>
      </c>
      <c r="AU881" s="246"/>
      <c r="AV881" s="336"/>
      <c r="AW881" s="285"/>
      <c r="AX881" s="337"/>
      <c r="AY881" s="249"/>
      <c r="AZ881" s="375"/>
      <c r="BA881" s="375"/>
      <c r="BB881" s="375"/>
      <c r="BC881" s="375"/>
    </row>
    <row r="882" spans="1:55" s="117" customFormat="1">
      <c r="A882" s="179"/>
      <c r="B882" s="179"/>
      <c r="C882" s="179"/>
      <c r="D882" s="181"/>
      <c r="E882" s="181"/>
      <c r="F882" s="181"/>
      <c r="G882" s="1110"/>
      <c r="H882" s="487" t="s">
        <v>1409</v>
      </c>
      <c r="I882" s="835"/>
      <c r="J882" s="244">
        <v>43.7</v>
      </c>
      <c r="K882" s="246"/>
      <c r="L882" s="282"/>
      <c r="M882" s="244">
        <v>51.4</v>
      </c>
      <c r="N882" s="246"/>
      <c r="O882" s="282"/>
      <c r="P882" s="244">
        <v>54.4</v>
      </c>
      <c r="Q882" s="246"/>
      <c r="R882" s="282"/>
      <c r="S882" s="244">
        <v>38.4</v>
      </c>
      <c r="T882" s="246"/>
      <c r="U882" s="282"/>
      <c r="V882" s="244">
        <v>36.5</v>
      </c>
      <c r="W882" s="246"/>
      <c r="X882" s="282"/>
      <c r="Y882" s="244">
        <v>44.9</v>
      </c>
      <c r="Z882" s="246"/>
      <c r="AA882" s="282"/>
      <c r="AB882" s="244">
        <v>42.8</v>
      </c>
      <c r="AC882" s="246"/>
      <c r="AD882" s="282"/>
      <c r="AE882" s="244">
        <v>30.6</v>
      </c>
      <c r="AF882" s="246"/>
      <c r="AG882" s="282"/>
      <c r="AH882" s="244">
        <v>38.799999999999997</v>
      </c>
      <c r="AI882" s="246"/>
      <c r="AJ882" s="282"/>
      <c r="AK882" s="244">
        <v>0</v>
      </c>
      <c r="AL882" s="246"/>
      <c r="AM882" s="282"/>
      <c r="AN882" s="244">
        <v>33.4</v>
      </c>
      <c r="AO882" s="246"/>
      <c r="AP882" s="282"/>
      <c r="AQ882" s="244">
        <v>33.4</v>
      </c>
      <c r="AR882" s="246"/>
      <c r="AS882" s="282"/>
      <c r="AT882" s="244">
        <f t="shared" si="31"/>
        <v>448.3</v>
      </c>
      <c r="AU882" s="246"/>
      <c r="AV882" s="336"/>
      <c r="AW882" s="285"/>
      <c r="AX882" s="337"/>
      <c r="AY882" s="249"/>
      <c r="AZ882" s="375"/>
      <c r="BA882" s="375"/>
      <c r="BB882" s="375"/>
      <c r="BC882" s="375"/>
    </row>
    <row r="883" spans="1:55" s="117" customFormat="1">
      <c r="A883" s="179"/>
      <c r="B883" s="179"/>
      <c r="C883" s="179"/>
      <c r="D883" s="181"/>
      <c r="E883" s="181"/>
      <c r="F883" s="181"/>
      <c r="G883" s="1211">
        <v>777327</v>
      </c>
      <c r="H883" s="999" t="s">
        <v>1144</v>
      </c>
      <c r="I883" s="835" t="s">
        <v>364</v>
      </c>
      <c r="J883" s="927">
        <f>SUM(J884:J885)</f>
        <v>82.699999999999989</v>
      </c>
      <c r="K883" s="545"/>
      <c r="L883" s="546"/>
      <c r="M883" s="927">
        <f>SUM(M884:M885)</f>
        <v>81.599999999999994</v>
      </c>
      <c r="N883" s="545"/>
      <c r="O883" s="546"/>
      <c r="P883" s="927">
        <f>SUM(P884:P885)</f>
        <v>71.099999999999994</v>
      </c>
      <c r="Q883" s="545"/>
      <c r="R883" s="546"/>
      <c r="S883" s="927">
        <f>SUM(S884:S885)</f>
        <v>67.900000000000006</v>
      </c>
      <c r="T883" s="545"/>
      <c r="U883" s="546"/>
      <c r="V883" s="927">
        <f>SUM(V884:V885)</f>
        <v>27.4</v>
      </c>
      <c r="W883" s="545"/>
      <c r="X883" s="546"/>
      <c r="Y883" s="927">
        <f>SUM(Y884:Y885)</f>
        <v>36.6</v>
      </c>
      <c r="Z883" s="545"/>
      <c r="AA883" s="546"/>
      <c r="AB883" s="927">
        <f>SUM(AB884:AB885)</f>
        <v>53.2</v>
      </c>
      <c r="AC883" s="545"/>
      <c r="AD883" s="546"/>
      <c r="AE883" s="927">
        <f>SUM(AE884:AE885)</f>
        <v>27.32</v>
      </c>
      <c r="AF883" s="545"/>
      <c r="AG883" s="546"/>
      <c r="AH883" s="927">
        <f>SUM(AH884:AH885)</f>
        <v>33.68</v>
      </c>
      <c r="AI883" s="545"/>
      <c r="AJ883" s="546"/>
      <c r="AK883" s="927">
        <f>SUM(AK884:AK885)</f>
        <v>69</v>
      </c>
      <c r="AL883" s="545"/>
      <c r="AM883" s="546"/>
      <c r="AN883" s="927">
        <f>SUM(AN884:AN885)</f>
        <v>75.8</v>
      </c>
      <c r="AO883" s="545"/>
      <c r="AP883" s="546"/>
      <c r="AQ883" s="927">
        <f>SUM(AQ884:AQ885)</f>
        <v>80.2</v>
      </c>
      <c r="AR883" s="246"/>
      <c r="AS883" s="282"/>
      <c r="AT883" s="927">
        <f>SUM(AT884:AT885)</f>
        <v>706.5</v>
      </c>
      <c r="AU883" s="246"/>
      <c r="AV883" s="336"/>
      <c r="AW883" s="285"/>
      <c r="AX883" s="337"/>
      <c r="AY883" s="441">
        <v>588.25757499999997</v>
      </c>
      <c r="AZ883" s="375"/>
      <c r="BA883" s="375"/>
      <c r="BB883" s="375"/>
      <c r="BC883" s="375"/>
    </row>
    <row r="884" spans="1:55" s="117" customFormat="1">
      <c r="A884" s="179"/>
      <c r="B884" s="179"/>
      <c r="C884" s="179"/>
      <c r="D884" s="181"/>
      <c r="E884" s="181"/>
      <c r="F884" s="181"/>
      <c r="G884" s="1110"/>
      <c r="H884" s="487" t="s">
        <v>1410</v>
      </c>
      <c r="I884" s="835"/>
      <c r="J884" s="244">
        <v>36.4</v>
      </c>
      <c r="K884" s="246"/>
      <c r="L884" s="282"/>
      <c r="M884" s="244">
        <v>43.3</v>
      </c>
      <c r="N884" s="246"/>
      <c r="O884" s="282"/>
      <c r="P884" s="244">
        <v>36.4</v>
      </c>
      <c r="Q884" s="246"/>
      <c r="R884" s="282"/>
      <c r="S884" s="244">
        <v>37.9</v>
      </c>
      <c r="T884" s="246"/>
      <c r="U884" s="282"/>
      <c r="V884" s="244">
        <v>14.5</v>
      </c>
      <c r="W884" s="246"/>
      <c r="X884" s="282"/>
      <c r="Y884" s="244">
        <v>18.3</v>
      </c>
      <c r="Z884" s="246"/>
      <c r="AA884" s="282"/>
      <c r="AB884" s="244">
        <v>26.6</v>
      </c>
      <c r="AC884" s="246"/>
      <c r="AD884" s="282"/>
      <c r="AE884" s="244">
        <v>1.92</v>
      </c>
      <c r="AF884" s="246"/>
      <c r="AG884" s="282"/>
      <c r="AH884" s="244">
        <v>24.2</v>
      </c>
      <c r="AI884" s="246"/>
      <c r="AJ884" s="282"/>
      <c r="AK884" s="244">
        <v>28.6</v>
      </c>
      <c r="AL884" s="246"/>
      <c r="AM884" s="282"/>
      <c r="AN884" s="244">
        <v>37.9</v>
      </c>
      <c r="AO884" s="246"/>
      <c r="AP884" s="282"/>
      <c r="AQ884" s="244">
        <v>40.1</v>
      </c>
      <c r="AR884" s="246"/>
      <c r="AS884" s="282"/>
      <c r="AT884" s="244">
        <f t="shared" si="31"/>
        <v>346.12</v>
      </c>
      <c r="AU884" s="246"/>
      <c r="AV884" s="336"/>
      <c r="AW884" s="285"/>
      <c r="AX884" s="337"/>
      <c r="AY884" s="706"/>
      <c r="AZ884" s="375"/>
      <c r="BA884" s="375"/>
      <c r="BB884" s="375"/>
      <c r="BC884" s="375"/>
    </row>
    <row r="885" spans="1:55" s="117" customFormat="1">
      <c r="A885" s="179"/>
      <c r="B885" s="179"/>
      <c r="C885" s="179"/>
      <c r="D885" s="181"/>
      <c r="E885" s="181"/>
      <c r="F885" s="181"/>
      <c r="G885" s="1110"/>
      <c r="H885" s="487" t="s">
        <v>1411</v>
      </c>
      <c r="I885" s="835"/>
      <c r="J885" s="244">
        <v>46.3</v>
      </c>
      <c r="K885" s="246"/>
      <c r="L885" s="282"/>
      <c r="M885" s="244">
        <v>38.299999999999997</v>
      </c>
      <c r="N885" s="246"/>
      <c r="O885" s="282"/>
      <c r="P885" s="244">
        <v>34.700000000000003</v>
      </c>
      <c r="Q885" s="246"/>
      <c r="R885" s="282"/>
      <c r="S885" s="244">
        <v>30</v>
      </c>
      <c r="T885" s="246"/>
      <c r="U885" s="282"/>
      <c r="V885" s="244">
        <v>12.9</v>
      </c>
      <c r="W885" s="246"/>
      <c r="X885" s="282"/>
      <c r="Y885" s="244">
        <v>18.3</v>
      </c>
      <c r="Z885" s="246"/>
      <c r="AA885" s="282"/>
      <c r="AB885" s="244">
        <v>26.6</v>
      </c>
      <c r="AC885" s="246"/>
      <c r="AD885" s="282"/>
      <c r="AE885" s="244">
        <v>25.4</v>
      </c>
      <c r="AF885" s="246"/>
      <c r="AG885" s="282"/>
      <c r="AH885" s="244">
        <v>9.48</v>
      </c>
      <c r="AI885" s="246"/>
      <c r="AJ885" s="282"/>
      <c r="AK885" s="244">
        <v>40.4</v>
      </c>
      <c r="AL885" s="246"/>
      <c r="AM885" s="282"/>
      <c r="AN885" s="244">
        <v>37.9</v>
      </c>
      <c r="AO885" s="246"/>
      <c r="AP885" s="282"/>
      <c r="AQ885" s="244">
        <v>40.1</v>
      </c>
      <c r="AR885" s="246"/>
      <c r="AS885" s="282"/>
      <c r="AT885" s="244">
        <f t="shared" si="31"/>
        <v>360.38</v>
      </c>
      <c r="AU885" s="246"/>
      <c r="AV885" s="336"/>
      <c r="AW885" s="285"/>
      <c r="AX885" s="337"/>
      <c r="AY885" s="706"/>
      <c r="AZ885" s="375"/>
      <c r="BA885" s="375"/>
      <c r="BB885" s="375"/>
      <c r="BC885" s="375"/>
    </row>
    <row r="886" spans="1:55" s="117" customFormat="1">
      <c r="A886" s="179"/>
      <c r="B886" s="179"/>
      <c r="C886" s="179"/>
      <c r="D886" s="181"/>
      <c r="E886" s="181"/>
      <c r="F886" s="181"/>
      <c r="G886" s="1211">
        <v>777845</v>
      </c>
      <c r="H886" s="999" t="s">
        <v>1713</v>
      </c>
      <c r="I886" s="835"/>
      <c r="J886" s="927">
        <f>SUM(J887:J889)</f>
        <v>10.1</v>
      </c>
      <c r="K886" s="246"/>
      <c r="L886" s="282"/>
      <c r="M886" s="927">
        <f>SUM(M887:M889)</f>
        <v>11.5</v>
      </c>
      <c r="N886" s="246"/>
      <c r="O886" s="282"/>
      <c r="P886" s="927">
        <f>SUM(P887:P889)</f>
        <v>10.1</v>
      </c>
      <c r="Q886" s="246"/>
      <c r="R886" s="282"/>
      <c r="S886" s="927">
        <f>SUM(S887:S889)</f>
        <v>20.2</v>
      </c>
      <c r="T886" s="246"/>
      <c r="U886" s="282"/>
      <c r="V886" s="927">
        <f>SUM(V887:V889)</f>
        <v>20.2</v>
      </c>
      <c r="W886" s="246"/>
      <c r="X886" s="282"/>
      <c r="Y886" s="927">
        <f>SUM(Y887:Y889)</f>
        <v>20.2</v>
      </c>
      <c r="Z886" s="246"/>
      <c r="AA886" s="282"/>
      <c r="AB886" s="927">
        <f>SUM(AB887:AB889)</f>
        <v>30.299999999999997</v>
      </c>
      <c r="AC886" s="246"/>
      <c r="AD886" s="282"/>
      <c r="AE886" s="927">
        <f>SUM(AE887:AE889)</f>
        <v>30.299999999999997</v>
      </c>
      <c r="AF886" s="246"/>
      <c r="AG886" s="282"/>
      <c r="AH886" s="927">
        <f>SUM(AH887:AH889)</f>
        <v>30.299999999999997</v>
      </c>
      <c r="AI886" s="246"/>
      <c r="AJ886" s="282"/>
      <c r="AK886" s="927">
        <f>SUM(AK887:AK889)</f>
        <v>40.4</v>
      </c>
      <c r="AL886" s="246"/>
      <c r="AM886" s="282"/>
      <c r="AN886" s="927">
        <f>SUM(AN887:AN889)</f>
        <v>40.4</v>
      </c>
      <c r="AO886" s="246"/>
      <c r="AP886" s="282"/>
      <c r="AQ886" s="927">
        <f>SUM(AQ887:AQ889)</f>
        <v>40.4</v>
      </c>
      <c r="AR886" s="246"/>
      <c r="AS886" s="282"/>
      <c r="AT886" s="927">
        <f>SUM(AT887:AT889)</f>
        <v>304.39999999999998</v>
      </c>
      <c r="AU886" s="246"/>
      <c r="AV886" s="336"/>
      <c r="AW886" s="285"/>
      <c r="AX886" s="337"/>
      <c r="AY886" s="706"/>
      <c r="AZ886" s="375"/>
      <c r="BA886" s="375"/>
      <c r="BB886" s="375"/>
      <c r="BC886" s="375"/>
    </row>
    <row r="887" spans="1:55" s="117" customFormat="1">
      <c r="A887" s="179"/>
      <c r="B887" s="179"/>
      <c r="C887" s="179"/>
      <c r="D887" s="181"/>
      <c r="E887" s="181"/>
      <c r="F887" s="181"/>
      <c r="G887" s="1110"/>
      <c r="H887" s="487" t="s">
        <v>1714</v>
      </c>
      <c r="I887" s="835"/>
      <c r="J887" s="244">
        <v>10.1</v>
      </c>
      <c r="K887" s="246"/>
      <c r="L887" s="282"/>
      <c r="M887" s="244">
        <v>11.5</v>
      </c>
      <c r="N887" s="246"/>
      <c r="O887" s="282"/>
      <c r="P887" s="244">
        <v>10.1</v>
      </c>
      <c r="Q887" s="246"/>
      <c r="R887" s="282"/>
      <c r="S887" s="244">
        <v>10.1</v>
      </c>
      <c r="T887" s="246"/>
      <c r="U887" s="282"/>
      <c r="V887" s="244">
        <v>10.1</v>
      </c>
      <c r="W887" s="246"/>
      <c r="X887" s="282"/>
      <c r="Y887" s="244">
        <v>10.1</v>
      </c>
      <c r="Z887" s="246"/>
      <c r="AA887" s="282"/>
      <c r="AB887" s="244">
        <v>10.1</v>
      </c>
      <c r="AC887" s="246"/>
      <c r="AD887" s="282"/>
      <c r="AE887" s="244">
        <v>10.1</v>
      </c>
      <c r="AF887" s="246"/>
      <c r="AG887" s="282"/>
      <c r="AH887" s="244">
        <v>10.1</v>
      </c>
      <c r="AI887" s="246"/>
      <c r="AJ887" s="282"/>
      <c r="AK887" s="244">
        <v>20.2</v>
      </c>
      <c r="AL887" s="246"/>
      <c r="AM887" s="282"/>
      <c r="AN887" s="244">
        <v>20.2</v>
      </c>
      <c r="AO887" s="246"/>
      <c r="AP887" s="282"/>
      <c r="AQ887" s="244">
        <v>20.2</v>
      </c>
      <c r="AR887" s="246"/>
      <c r="AS887" s="282"/>
      <c r="AT887" s="244">
        <f t="shared" si="31"/>
        <v>152.89999999999998</v>
      </c>
      <c r="AU887" s="246"/>
      <c r="AV887" s="336"/>
      <c r="AW887" s="285"/>
      <c r="AX887" s="337"/>
      <c r="AY887" s="706"/>
      <c r="AZ887" s="375"/>
      <c r="BA887" s="375"/>
      <c r="BB887" s="375"/>
      <c r="BC887" s="375"/>
    </row>
    <row r="888" spans="1:55" s="117" customFormat="1">
      <c r="A888" s="179"/>
      <c r="B888" s="179"/>
      <c r="C888" s="179"/>
      <c r="D888" s="181"/>
      <c r="E888" s="181"/>
      <c r="F888" s="181"/>
      <c r="G888" s="1110"/>
      <c r="H888" s="487" t="s">
        <v>1715</v>
      </c>
      <c r="I888" s="835"/>
      <c r="J888" s="244">
        <v>0</v>
      </c>
      <c r="K888" s="246"/>
      <c r="L888" s="282"/>
      <c r="M888" s="244">
        <v>0</v>
      </c>
      <c r="N888" s="246"/>
      <c r="O888" s="282"/>
      <c r="P888" s="244">
        <v>0</v>
      </c>
      <c r="Q888" s="246"/>
      <c r="R888" s="282"/>
      <c r="S888" s="244">
        <v>10.1</v>
      </c>
      <c r="T888" s="246"/>
      <c r="U888" s="282"/>
      <c r="V888" s="244">
        <v>10.1</v>
      </c>
      <c r="W888" s="246"/>
      <c r="X888" s="282"/>
      <c r="Y888" s="244">
        <v>10.1</v>
      </c>
      <c r="Z888" s="246"/>
      <c r="AA888" s="282"/>
      <c r="AB888" s="244">
        <v>10.1</v>
      </c>
      <c r="AC888" s="246"/>
      <c r="AD888" s="282"/>
      <c r="AE888" s="244">
        <v>10.1</v>
      </c>
      <c r="AF888" s="246"/>
      <c r="AG888" s="282"/>
      <c r="AH888" s="244">
        <v>10.1</v>
      </c>
      <c r="AI888" s="246"/>
      <c r="AJ888" s="282"/>
      <c r="AK888" s="244">
        <v>10.1</v>
      </c>
      <c r="AL888" s="246"/>
      <c r="AM888" s="282"/>
      <c r="AN888" s="244">
        <v>10.1</v>
      </c>
      <c r="AO888" s="246"/>
      <c r="AP888" s="282"/>
      <c r="AQ888" s="244">
        <v>10.1</v>
      </c>
      <c r="AR888" s="246"/>
      <c r="AS888" s="282"/>
      <c r="AT888" s="244">
        <f t="shared" si="31"/>
        <v>90.899999999999991</v>
      </c>
      <c r="AU888" s="246"/>
      <c r="AV888" s="336"/>
      <c r="AW888" s="285"/>
      <c r="AX888" s="337"/>
      <c r="AY888" s="706"/>
      <c r="AZ888" s="375"/>
      <c r="BA888" s="375"/>
      <c r="BB888" s="375"/>
      <c r="BC888" s="375"/>
    </row>
    <row r="889" spans="1:55" s="117" customFormat="1">
      <c r="A889" s="179"/>
      <c r="B889" s="179"/>
      <c r="C889" s="179"/>
      <c r="D889" s="181"/>
      <c r="E889" s="181"/>
      <c r="F889" s="181"/>
      <c r="G889" s="1110"/>
      <c r="H889" s="487" t="s">
        <v>1716</v>
      </c>
      <c r="I889" s="835"/>
      <c r="J889" s="244">
        <v>0</v>
      </c>
      <c r="K889" s="246"/>
      <c r="L889" s="282"/>
      <c r="M889" s="244">
        <v>0</v>
      </c>
      <c r="N889" s="246"/>
      <c r="O889" s="282"/>
      <c r="P889" s="244">
        <v>0</v>
      </c>
      <c r="Q889" s="246"/>
      <c r="R889" s="282"/>
      <c r="S889" s="244">
        <v>0</v>
      </c>
      <c r="T889" s="246"/>
      <c r="U889" s="282"/>
      <c r="V889" s="244">
        <v>0</v>
      </c>
      <c r="W889" s="246"/>
      <c r="X889" s="282"/>
      <c r="Y889" s="244">
        <v>0</v>
      </c>
      <c r="Z889" s="246"/>
      <c r="AA889" s="282"/>
      <c r="AB889" s="244">
        <v>10.1</v>
      </c>
      <c r="AC889" s="246"/>
      <c r="AD889" s="282"/>
      <c r="AE889" s="244">
        <v>10.1</v>
      </c>
      <c r="AF889" s="246"/>
      <c r="AG889" s="282"/>
      <c r="AH889" s="244">
        <v>10.1</v>
      </c>
      <c r="AI889" s="246"/>
      <c r="AJ889" s="282"/>
      <c r="AK889" s="244">
        <v>10.1</v>
      </c>
      <c r="AL889" s="246"/>
      <c r="AM889" s="282"/>
      <c r="AN889" s="244">
        <v>10.1</v>
      </c>
      <c r="AO889" s="246"/>
      <c r="AP889" s="282"/>
      <c r="AQ889" s="244">
        <v>10.1</v>
      </c>
      <c r="AR889" s="246"/>
      <c r="AS889" s="282"/>
      <c r="AT889" s="244">
        <f t="shared" si="31"/>
        <v>60.6</v>
      </c>
      <c r="AU889" s="246"/>
      <c r="AV889" s="336"/>
      <c r="AW889" s="285"/>
      <c r="AX889" s="337"/>
      <c r="AY889" s="706"/>
      <c r="AZ889" s="375"/>
      <c r="BA889" s="375"/>
      <c r="BB889" s="375"/>
      <c r="BC889" s="375"/>
    </row>
    <row r="890" spans="1:55" s="117" customFormat="1">
      <c r="A890" s="179"/>
      <c r="B890" s="179"/>
      <c r="C890" s="179"/>
      <c r="D890" s="181">
        <v>345835</v>
      </c>
      <c r="E890" s="181"/>
      <c r="F890" s="181"/>
      <c r="G890" s="1110">
        <v>345835</v>
      </c>
      <c r="H890" s="129" t="s">
        <v>45</v>
      </c>
      <c r="I890" s="519" t="s">
        <v>365</v>
      </c>
      <c r="J890" s="638">
        <f>ГЭС!C53</f>
        <v>0.89200000000000002</v>
      </c>
      <c r="K890" s="246"/>
      <c r="L890" s="282"/>
      <c r="M890" s="638">
        <f>ГЭС!D53</f>
        <v>0.82599999999999996</v>
      </c>
      <c r="N890" s="246"/>
      <c r="O890" s="282"/>
      <c r="P890" s="638">
        <f>ГЭС!E53</f>
        <v>0.88400000000000001</v>
      </c>
      <c r="Q890" s="246"/>
      <c r="R890" s="282"/>
      <c r="S890" s="638">
        <f>ГЭС!G53</f>
        <v>0.87</v>
      </c>
      <c r="T890" s="246"/>
      <c r="U890" s="282"/>
      <c r="V890" s="638">
        <f>ГЭС!H53</f>
        <v>0.88400000000000001</v>
      </c>
      <c r="W890" s="246"/>
      <c r="X890" s="282"/>
      <c r="Y890" s="638">
        <f>ГЭС!I53</f>
        <v>0.84199999999999997</v>
      </c>
      <c r="Z890" s="246"/>
      <c r="AA890" s="282"/>
      <c r="AB890" s="638">
        <f>ГЭС!K53</f>
        <v>0.84699999999999998</v>
      </c>
      <c r="AC890" s="246"/>
      <c r="AD890" s="282"/>
      <c r="AE890" s="638">
        <f>ГЭС!L53</f>
        <v>0.66199999999999992</v>
      </c>
      <c r="AF890" s="246"/>
      <c r="AG890" s="282"/>
      <c r="AH890" s="638">
        <f>ГЭС!M53</f>
        <v>0.40700000000000003</v>
      </c>
      <c r="AI890" s="246"/>
      <c r="AJ890" s="282"/>
      <c r="AK890" s="638">
        <f>ГЭС!O53</f>
        <v>0.84099999999999997</v>
      </c>
      <c r="AL890" s="246"/>
      <c r="AM890" s="282"/>
      <c r="AN890" s="638">
        <f>ГЭС!P53</f>
        <v>0.83699999999999997</v>
      </c>
      <c r="AO890" s="246"/>
      <c r="AP890" s="282"/>
      <c r="AQ890" s="638">
        <f>ГЭС!Q53</f>
        <v>0.88500000000000001</v>
      </c>
      <c r="AR890" s="246"/>
      <c r="AS890" s="282"/>
      <c r="AT890" s="638">
        <f t="shared" si="31"/>
        <v>9.6769999999999996</v>
      </c>
      <c r="AU890" s="246"/>
      <c r="AV890" s="336"/>
      <c r="AW890" s="285"/>
      <c r="AX890" s="337"/>
      <c r="AY890" s="441">
        <v>10.074341</v>
      </c>
      <c r="AZ890" s="375"/>
      <c r="BA890" s="375"/>
      <c r="BB890" s="375"/>
      <c r="BC890" s="375"/>
    </row>
    <row r="891" spans="1:55" s="117" customFormat="1">
      <c r="A891" s="179"/>
      <c r="B891" s="179"/>
      <c r="C891" s="179"/>
      <c r="D891" s="181">
        <v>345802</v>
      </c>
      <c r="E891" s="181"/>
      <c r="F891" s="181"/>
      <c r="G891" s="1110">
        <v>345802</v>
      </c>
      <c r="H891" s="129" t="s">
        <v>219</v>
      </c>
      <c r="I891" s="519" t="s">
        <v>365</v>
      </c>
      <c r="J891" s="244">
        <v>0.16700000000000001</v>
      </c>
      <c r="K891" s="246"/>
      <c r="L891" s="282"/>
      <c r="M891" s="244">
        <v>0.14399999999999999</v>
      </c>
      <c r="N891" s="246"/>
      <c r="O891" s="282"/>
      <c r="P891" s="244">
        <v>0</v>
      </c>
      <c r="Q891" s="246"/>
      <c r="R891" s="282"/>
      <c r="S891" s="244">
        <v>0</v>
      </c>
      <c r="T891" s="246"/>
      <c r="U891" s="282"/>
      <c r="V891" s="244">
        <v>0</v>
      </c>
      <c r="W891" s="246"/>
      <c r="X891" s="282"/>
      <c r="Y891" s="244">
        <v>0</v>
      </c>
      <c r="Z891" s="246"/>
      <c r="AA891" s="282"/>
      <c r="AB891" s="244">
        <v>0</v>
      </c>
      <c r="AC891" s="246"/>
      <c r="AD891" s="282"/>
      <c r="AE891" s="244">
        <v>0</v>
      </c>
      <c r="AF891" s="246"/>
      <c r="AG891" s="282"/>
      <c r="AH891" s="244">
        <v>0</v>
      </c>
      <c r="AI891" s="246"/>
      <c r="AJ891" s="282"/>
      <c r="AK891" s="244">
        <v>0</v>
      </c>
      <c r="AL891" s="246"/>
      <c r="AM891" s="282"/>
      <c r="AN891" s="244">
        <v>0</v>
      </c>
      <c r="AO891" s="246"/>
      <c r="AP891" s="282"/>
      <c r="AQ891" s="244">
        <v>0.16700000000000001</v>
      </c>
      <c r="AR891" s="246"/>
      <c r="AS891" s="282"/>
      <c r="AT891" s="244">
        <f t="shared" si="31"/>
        <v>0.47799999999999998</v>
      </c>
      <c r="AU891" s="246"/>
      <c r="AV891" s="336"/>
      <c r="AW891" s="285"/>
      <c r="AX891" s="337"/>
      <c r="AY891" s="438">
        <v>0</v>
      </c>
      <c r="AZ891" s="375"/>
      <c r="BA891" s="375"/>
      <c r="BB891" s="375"/>
      <c r="BC891" s="375"/>
    </row>
    <row r="892" spans="1:55" s="117" customFormat="1">
      <c r="A892" s="179"/>
      <c r="B892" s="179"/>
      <c r="C892" s="179"/>
      <c r="D892" s="181"/>
      <c r="E892" s="181"/>
      <c r="F892" s="181"/>
      <c r="G892" s="1110"/>
      <c r="H892" s="138" t="s">
        <v>174</v>
      </c>
      <c r="I892" s="138"/>
      <c r="J892" s="319">
        <f>J893</f>
        <v>5.9980000000000002</v>
      </c>
      <c r="K892" s="288"/>
      <c r="L892" s="289"/>
      <c r="M892" s="287">
        <f>M893</f>
        <v>5.0510000000000002</v>
      </c>
      <c r="N892" s="288"/>
      <c r="O892" s="289"/>
      <c r="P892" s="287">
        <f>P893</f>
        <v>4.9320000000000004</v>
      </c>
      <c r="Q892" s="288"/>
      <c r="R892" s="289"/>
      <c r="S892" s="287">
        <f>S893</f>
        <v>4.2869999999999999</v>
      </c>
      <c r="T892" s="288"/>
      <c r="U892" s="289"/>
      <c r="V892" s="287">
        <f>V893</f>
        <v>4.4160000000000004</v>
      </c>
      <c r="W892" s="288"/>
      <c r="X892" s="289"/>
      <c r="Y892" s="287">
        <f>Y893</f>
        <v>4.1120000000000001</v>
      </c>
      <c r="Z892" s="288"/>
      <c r="AA892" s="289"/>
      <c r="AB892" s="287">
        <f>AB893</f>
        <v>4.0510000000000002</v>
      </c>
      <c r="AC892" s="288"/>
      <c r="AD892" s="289"/>
      <c r="AE892" s="287">
        <f>AE893</f>
        <v>4.0250000000000004</v>
      </c>
      <c r="AF892" s="288"/>
      <c r="AG892" s="289"/>
      <c r="AH892" s="287">
        <f>AH893</f>
        <v>4.1929999999999996</v>
      </c>
      <c r="AI892" s="288"/>
      <c r="AJ892" s="289"/>
      <c r="AK892" s="287">
        <f>AK893</f>
        <v>4.3319999999999999</v>
      </c>
      <c r="AL892" s="288"/>
      <c r="AM892" s="289"/>
      <c r="AN892" s="287">
        <f>AN893</f>
        <v>4.3780000000000001</v>
      </c>
      <c r="AO892" s="288"/>
      <c r="AP892" s="289"/>
      <c r="AQ892" s="287">
        <f>AQ893</f>
        <v>4.5640000000000001</v>
      </c>
      <c r="AR892" s="288"/>
      <c r="AS892" s="289"/>
      <c r="AT892" s="287">
        <f>AT893</f>
        <v>54.338999999999999</v>
      </c>
      <c r="AU892" s="288"/>
      <c r="AV892" s="290"/>
      <c r="AW892" s="285"/>
      <c r="AX892" s="296"/>
      <c r="AY892" s="436">
        <v>50.664608999999999</v>
      </c>
      <c r="AZ892" s="375"/>
      <c r="BA892" s="375"/>
      <c r="BB892" s="375"/>
      <c r="BC892" s="375"/>
    </row>
    <row r="893" spans="1:55" s="117" customFormat="1">
      <c r="A893" s="179"/>
      <c r="B893" s="179"/>
      <c r="C893" s="179"/>
      <c r="D893" s="181">
        <v>345840</v>
      </c>
      <c r="E893" s="181"/>
      <c r="F893" s="181"/>
      <c r="G893" s="1110">
        <v>345840</v>
      </c>
      <c r="H893" s="142" t="s">
        <v>1501</v>
      </c>
      <c r="I893" s="518" t="s">
        <v>365</v>
      </c>
      <c r="J893" s="736">
        <v>5.9980000000000002</v>
      </c>
      <c r="K893" s="734"/>
      <c r="L893" s="735"/>
      <c r="M893" s="736">
        <v>5.0510000000000002</v>
      </c>
      <c r="N893" s="734"/>
      <c r="O893" s="735"/>
      <c r="P893" s="736">
        <v>4.9320000000000004</v>
      </c>
      <c r="Q893" s="734"/>
      <c r="R893" s="735"/>
      <c r="S893" s="736">
        <v>4.2869999999999999</v>
      </c>
      <c r="T893" s="734"/>
      <c r="U893" s="735"/>
      <c r="V893" s="736">
        <v>4.4160000000000004</v>
      </c>
      <c r="W893" s="734"/>
      <c r="X893" s="735"/>
      <c r="Y893" s="736">
        <v>4.1120000000000001</v>
      </c>
      <c r="Z893" s="734"/>
      <c r="AA893" s="735"/>
      <c r="AB893" s="736">
        <v>4.0510000000000002</v>
      </c>
      <c r="AC893" s="734"/>
      <c r="AD893" s="735"/>
      <c r="AE893" s="736">
        <v>4.0250000000000004</v>
      </c>
      <c r="AF893" s="734"/>
      <c r="AG893" s="735"/>
      <c r="AH893" s="736">
        <v>4.1929999999999996</v>
      </c>
      <c r="AI893" s="734"/>
      <c r="AJ893" s="735"/>
      <c r="AK893" s="736">
        <v>4.3319999999999999</v>
      </c>
      <c r="AL893" s="734"/>
      <c r="AM893" s="735"/>
      <c r="AN893" s="736">
        <v>4.3780000000000001</v>
      </c>
      <c r="AO893" s="734"/>
      <c r="AP893" s="735"/>
      <c r="AQ893" s="736">
        <v>4.5640000000000001</v>
      </c>
      <c r="AR893" s="288"/>
      <c r="AS893" s="289"/>
      <c r="AT893" s="294">
        <f>J893+M893+P893+S893+V893+Y893+AB893+AE893+AH893+AK893+AN893+AQ893</f>
        <v>54.338999999999999</v>
      </c>
      <c r="AU893" s="288"/>
      <c r="AV893" s="290"/>
      <c r="AW893" s="285"/>
      <c r="AX893" s="296"/>
      <c r="AY893" s="313"/>
      <c r="AZ893" s="375"/>
      <c r="BA893" s="375"/>
      <c r="BB893" s="375"/>
      <c r="BC893" s="375"/>
    </row>
    <row r="894" spans="1:55" s="117" customFormat="1" ht="18.75">
      <c r="A894" s="179"/>
      <c r="B894" s="179"/>
      <c r="C894" s="179"/>
      <c r="D894" s="181">
        <v>345900</v>
      </c>
      <c r="E894" s="181"/>
      <c r="F894" s="181"/>
      <c r="G894" s="181">
        <v>345900</v>
      </c>
      <c r="H894" s="475" t="s">
        <v>1606</v>
      </c>
      <c r="I894" s="475"/>
      <c r="J894" s="277">
        <f>SUM(J895:J897)</f>
        <v>475.74900000000002</v>
      </c>
      <c r="K894" s="275">
        <f>L894-J894</f>
        <v>286.68999999999994</v>
      </c>
      <c r="L894" s="276">
        <f>Потребление!D55</f>
        <v>762.43899999999996</v>
      </c>
      <c r="M894" s="274">
        <f>SUM(M895:M897)</f>
        <v>427.62499999999994</v>
      </c>
      <c r="N894" s="275">
        <f>O894-M894</f>
        <v>282.483</v>
      </c>
      <c r="O894" s="276">
        <f>Потребление!E55</f>
        <v>710.10799999999995</v>
      </c>
      <c r="P894" s="274">
        <f>SUM(P895:P897)</f>
        <v>436.00200000000001</v>
      </c>
      <c r="Q894" s="275">
        <f>R894-P894</f>
        <v>290.28799999999995</v>
      </c>
      <c r="R894" s="276">
        <f>Потребление!F55</f>
        <v>726.29</v>
      </c>
      <c r="S894" s="274">
        <f>SUM(S895:S897)</f>
        <v>432.30600000000004</v>
      </c>
      <c r="T894" s="275">
        <f>U894-S894</f>
        <v>229.76</v>
      </c>
      <c r="U894" s="276">
        <f>Потребление!G55</f>
        <v>662.06600000000003</v>
      </c>
      <c r="V894" s="274">
        <f>SUM(V895:V897)</f>
        <v>508.17099999999994</v>
      </c>
      <c r="W894" s="275">
        <f>X894-V894</f>
        <v>114.75800000000004</v>
      </c>
      <c r="X894" s="276">
        <f>Потребление!H55</f>
        <v>622.92899999999997</v>
      </c>
      <c r="Y894" s="274">
        <f>SUM(Y895:Y897)</f>
        <v>377.00799999999998</v>
      </c>
      <c r="Z894" s="275">
        <f>AA894-Y894</f>
        <v>175.78500000000003</v>
      </c>
      <c r="AA894" s="276">
        <f>Потребление!I55</f>
        <v>552.79300000000001</v>
      </c>
      <c r="AB894" s="274">
        <f>SUM(AB895:AB897)</f>
        <v>356.673</v>
      </c>
      <c r="AC894" s="275">
        <f>AD894-AB894</f>
        <v>218.10299999999995</v>
      </c>
      <c r="AD894" s="276">
        <f>Потребление!J55</f>
        <v>574.77599999999995</v>
      </c>
      <c r="AE894" s="274">
        <f>SUM(AE895:AE897)</f>
        <v>344.65899999999999</v>
      </c>
      <c r="AF894" s="275">
        <f>AG894-AE894</f>
        <v>242.21299999999997</v>
      </c>
      <c r="AG894" s="276">
        <f>Потребление!K55</f>
        <v>586.87199999999996</v>
      </c>
      <c r="AH894" s="274">
        <f>SUM(AH895:AH897)</f>
        <v>341.31299999999999</v>
      </c>
      <c r="AI894" s="275">
        <f>AJ894-AH894</f>
        <v>267.346</v>
      </c>
      <c r="AJ894" s="276">
        <f>Потребление!L55</f>
        <v>608.65899999999999</v>
      </c>
      <c r="AK894" s="274">
        <f>SUM(AK895:AK897)</f>
        <v>412.19299999999998</v>
      </c>
      <c r="AL894" s="275">
        <f>AM894-AK894</f>
        <v>255.71000000000004</v>
      </c>
      <c r="AM894" s="276">
        <f>Потребление!M55</f>
        <v>667.90300000000002</v>
      </c>
      <c r="AN894" s="274">
        <f>SUM(AN895:AN897)</f>
        <v>442.702</v>
      </c>
      <c r="AO894" s="275">
        <f>AP894-AN894</f>
        <v>241.55799999999999</v>
      </c>
      <c r="AP894" s="276">
        <f>Потребление!N55</f>
        <v>684.26</v>
      </c>
      <c r="AQ894" s="274">
        <f>SUM(AQ895:AQ897)</f>
        <v>456.31700000000001</v>
      </c>
      <c r="AR894" s="275">
        <f>AS894-AQ894</f>
        <v>273.58799999999997</v>
      </c>
      <c r="AS894" s="276">
        <f>Потребление!O55</f>
        <v>729.90499999999997</v>
      </c>
      <c r="AT894" s="274">
        <f>SUM(AT895:AT897)</f>
        <v>5010.7179999999998</v>
      </c>
      <c r="AU894" s="275">
        <f>AV894-AT894</f>
        <v>2878.2820000000011</v>
      </c>
      <c r="AV894" s="278">
        <f>L894+O894+R894+U894+X894+AA894+AD894+AG894+AJ894+AM894+AP894+AS894</f>
        <v>7889.0000000000009</v>
      </c>
      <c r="AW894" s="279"/>
      <c r="AX894" s="1067">
        <v>7931.8782940000001</v>
      </c>
      <c r="AY894" s="298">
        <f>SUM(AY895:AY897)</f>
        <v>4997.2887689999998</v>
      </c>
      <c r="AZ894" s="375"/>
      <c r="BA894" s="375"/>
      <c r="BB894" s="375"/>
      <c r="BC894" s="375"/>
    </row>
    <row r="895" spans="1:55" s="117" customFormat="1">
      <c r="A895" s="179"/>
      <c r="B895" s="179"/>
      <c r="C895" s="179"/>
      <c r="D895" s="181"/>
      <c r="E895" s="181"/>
      <c r="F895" s="181"/>
      <c r="G895" s="181"/>
      <c r="H895" s="10" t="s">
        <v>56</v>
      </c>
      <c r="I895" s="10"/>
      <c r="J895" s="223">
        <f>J898</f>
        <v>157.72800000000001</v>
      </c>
      <c r="K895" s="271"/>
      <c r="L895" s="224"/>
      <c r="M895" s="270">
        <f>M898</f>
        <v>146.16</v>
      </c>
      <c r="N895" s="271"/>
      <c r="O895" s="224"/>
      <c r="P895" s="270">
        <f>P898</f>
        <v>143.59200000000001</v>
      </c>
      <c r="Q895" s="271"/>
      <c r="R895" s="224"/>
      <c r="S895" s="270">
        <f>S898</f>
        <v>102.96</v>
      </c>
      <c r="T895" s="271"/>
      <c r="U895" s="224"/>
      <c r="V895" s="270">
        <f>V898</f>
        <v>84.816000000000003</v>
      </c>
      <c r="W895" s="271"/>
      <c r="X895" s="224"/>
      <c r="Y895" s="270">
        <f>Y898</f>
        <v>28.8</v>
      </c>
      <c r="Z895" s="271"/>
      <c r="AA895" s="224"/>
      <c r="AB895" s="270">
        <f>AB898</f>
        <v>55.8</v>
      </c>
      <c r="AC895" s="271"/>
      <c r="AD895" s="224"/>
      <c r="AE895" s="270">
        <f>AE898</f>
        <v>55.8</v>
      </c>
      <c r="AF895" s="271"/>
      <c r="AG895" s="224"/>
      <c r="AH895" s="270">
        <f>AH898</f>
        <v>54</v>
      </c>
      <c r="AI895" s="271"/>
      <c r="AJ895" s="224"/>
      <c r="AK895" s="270">
        <f>AK898</f>
        <v>92.256</v>
      </c>
      <c r="AL895" s="271"/>
      <c r="AM895" s="224"/>
      <c r="AN895" s="270">
        <f>AN898</f>
        <v>108</v>
      </c>
      <c r="AO895" s="271"/>
      <c r="AP895" s="224"/>
      <c r="AQ895" s="270">
        <f>AQ898</f>
        <v>122.01600000000001</v>
      </c>
      <c r="AR895" s="271"/>
      <c r="AS895" s="224"/>
      <c r="AT895" s="270">
        <f>AT898</f>
        <v>1151.9279999999999</v>
      </c>
      <c r="AU895" s="271"/>
      <c r="AV895" s="229"/>
      <c r="AW895" s="226"/>
      <c r="AX895" s="230"/>
      <c r="AY895" s="231">
        <f>AY898</f>
        <v>1227.0766880000001</v>
      </c>
      <c r="AZ895" s="375"/>
      <c r="BA895" s="375"/>
      <c r="BB895" s="375"/>
      <c r="BC895" s="375"/>
    </row>
    <row r="896" spans="1:55" s="117" customFormat="1">
      <c r="A896" s="179"/>
      <c r="B896" s="179"/>
      <c r="C896" s="179"/>
      <c r="D896" s="181"/>
      <c r="E896" s="181"/>
      <c r="F896" s="181"/>
      <c r="G896" s="181"/>
      <c r="H896" s="10" t="s">
        <v>55</v>
      </c>
      <c r="I896" s="10"/>
      <c r="J896" s="223">
        <f>J899+J905+J910+J914+J915+J916+J917</f>
        <v>232.52100000000002</v>
      </c>
      <c r="K896" s="271"/>
      <c r="L896" s="224"/>
      <c r="M896" s="223">
        <f>M899+M905+M910+M914+M915+M916+M917</f>
        <v>201.46499999999995</v>
      </c>
      <c r="N896" s="271"/>
      <c r="O896" s="224"/>
      <c r="P896" s="223">
        <f>P899+P905+P910+P914+P915+P916+P917</f>
        <v>209.21000000000004</v>
      </c>
      <c r="Q896" s="271"/>
      <c r="R896" s="224"/>
      <c r="S896" s="223">
        <f>S899+S905+S910+S914+S915+S916+S917</f>
        <v>251.74600000000001</v>
      </c>
      <c r="T896" s="271"/>
      <c r="U896" s="224"/>
      <c r="V896" s="223">
        <f>V899+V905+V910+V914+V915+V916+V917</f>
        <v>355.45499999999998</v>
      </c>
      <c r="W896" s="271"/>
      <c r="X896" s="224"/>
      <c r="Y896" s="223">
        <f>Y899+Y905+Y910+Y914+Y915+Y916+Y917</f>
        <v>305.30799999999999</v>
      </c>
      <c r="Z896" s="271"/>
      <c r="AA896" s="224"/>
      <c r="AB896" s="223">
        <f>AB899+AB905+AB910+AB914+AB915+AB916+AB917</f>
        <v>251.57300000000001</v>
      </c>
      <c r="AC896" s="271"/>
      <c r="AD896" s="224"/>
      <c r="AE896" s="223">
        <f>AE899+AE905+AE910+AE914+AE915+AE916+AE917</f>
        <v>224.45899999999997</v>
      </c>
      <c r="AF896" s="271"/>
      <c r="AG896" s="224"/>
      <c r="AH896" s="223">
        <f>AH899+AH905+AH910+AH914+AH915+AH916+AH917</f>
        <v>221.91299999999995</v>
      </c>
      <c r="AI896" s="271"/>
      <c r="AJ896" s="224"/>
      <c r="AK896" s="223">
        <f>AK899+AK905+AK910+AK914+AK915+AK916+AK917</f>
        <v>243.33700000000002</v>
      </c>
      <c r="AL896" s="271"/>
      <c r="AM896" s="224"/>
      <c r="AN896" s="223">
        <f>AN899+AN905+AN910+AN914+AN915+AN916+AN917</f>
        <v>253.80200000000005</v>
      </c>
      <c r="AO896" s="271"/>
      <c r="AP896" s="224"/>
      <c r="AQ896" s="223">
        <f>AQ899+AQ905+AQ910+AQ914+AQ915+AQ916+AQ917</f>
        <v>249.20100000000002</v>
      </c>
      <c r="AR896" s="271"/>
      <c r="AS896" s="224"/>
      <c r="AT896" s="223">
        <f>AT899+AT905+AT910+AT914+AT915+AT916+AT917</f>
        <v>2999.99</v>
      </c>
      <c r="AU896" s="271"/>
      <c r="AV896" s="229"/>
      <c r="AW896" s="226"/>
      <c r="AX896" s="230"/>
      <c r="AY896" s="231">
        <f>AY899+AY905+AY910+AY914+AY915+AY916+AY917</f>
        <v>2946.5064870000001</v>
      </c>
      <c r="AZ896" s="375"/>
      <c r="BA896" s="375"/>
      <c r="BB896" s="375"/>
      <c r="BC896" s="375"/>
    </row>
    <row r="897" spans="1:55" s="117" customFormat="1">
      <c r="A897" s="179"/>
      <c r="B897" s="179"/>
      <c r="C897" s="179"/>
      <c r="D897" s="181"/>
      <c r="E897" s="181"/>
      <c r="F897" s="181"/>
      <c r="G897" s="181"/>
      <c r="H897" s="10" t="s">
        <v>99</v>
      </c>
      <c r="I897" s="10"/>
      <c r="J897" s="223">
        <f>J920</f>
        <v>85.5</v>
      </c>
      <c r="K897" s="271"/>
      <c r="L897" s="224"/>
      <c r="M897" s="270">
        <f>M920</f>
        <v>80</v>
      </c>
      <c r="N897" s="271"/>
      <c r="O897" s="224"/>
      <c r="P897" s="270">
        <f>P920</f>
        <v>83.2</v>
      </c>
      <c r="Q897" s="271"/>
      <c r="R897" s="224"/>
      <c r="S897" s="270">
        <f>S920</f>
        <v>77.599999999999994</v>
      </c>
      <c r="T897" s="271"/>
      <c r="U897" s="224"/>
      <c r="V897" s="270">
        <f>V920</f>
        <v>67.900000000000006</v>
      </c>
      <c r="W897" s="271"/>
      <c r="X897" s="224"/>
      <c r="Y897" s="270">
        <f>Y920</f>
        <v>42.9</v>
      </c>
      <c r="Z897" s="271"/>
      <c r="AA897" s="224"/>
      <c r="AB897" s="270">
        <f>AB920</f>
        <v>49.300000000000004</v>
      </c>
      <c r="AC897" s="271"/>
      <c r="AD897" s="224"/>
      <c r="AE897" s="270">
        <f>AE920</f>
        <v>64.400000000000006</v>
      </c>
      <c r="AF897" s="271"/>
      <c r="AG897" s="224"/>
      <c r="AH897" s="270">
        <f>AH920</f>
        <v>65.400000000000006</v>
      </c>
      <c r="AI897" s="271"/>
      <c r="AJ897" s="224"/>
      <c r="AK897" s="270">
        <f>AK920</f>
        <v>76.599999999999994</v>
      </c>
      <c r="AL897" s="271"/>
      <c r="AM897" s="224"/>
      <c r="AN897" s="270">
        <f>AN920</f>
        <v>80.900000000000006</v>
      </c>
      <c r="AO897" s="271"/>
      <c r="AP897" s="224"/>
      <c r="AQ897" s="270">
        <f>AQ920</f>
        <v>85.1</v>
      </c>
      <c r="AR897" s="271"/>
      <c r="AS897" s="224"/>
      <c r="AT897" s="270">
        <f>AT920</f>
        <v>858.79999999999984</v>
      </c>
      <c r="AU897" s="271"/>
      <c r="AV897" s="229"/>
      <c r="AW897" s="226"/>
      <c r="AX897" s="230"/>
      <c r="AY897" s="231">
        <f>AY920</f>
        <v>823.70559400000002</v>
      </c>
      <c r="AZ897" s="375"/>
      <c r="BA897" s="375"/>
      <c r="BB897" s="375"/>
      <c r="BC897" s="375"/>
    </row>
    <row r="898" spans="1:55" s="117" customFormat="1">
      <c r="A898" s="179"/>
      <c r="B898" s="179"/>
      <c r="C898" s="179"/>
      <c r="D898" s="181">
        <v>345910</v>
      </c>
      <c r="E898" s="181"/>
      <c r="F898" s="181"/>
      <c r="G898" s="1110">
        <v>345910</v>
      </c>
      <c r="H898" s="122" t="s">
        <v>933</v>
      </c>
      <c r="I898" s="516" t="s">
        <v>364</v>
      </c>
      <c r="J898" s="547">
        <v>157.72800000000001</v>
      </c>
      <c r="K898" s="545"/>
      <c r="L898" s="546"/>
      <c r="M898" s="547">
        <v>146.16</v>
      </c>
      <c r="N898" s="545"/>
      <c r="O898" s="546"/>
      <c r="P898" s="547">
        <v>143.59200000000001</v>
      </c>
      <c r="Q898" s="545"/>
      <c r="R898" s="546"/>
      <c r="S898" s="547">
        <v>102.96</v>
      </c>
      <c r="T898" s="545"/>
      <c r="U898" s="546"/>
      <c r="V898" s="547">
        <v>84.816000000000003</v>
      </c>
      <c r="W898" s="545"/>
      <c r="X898" s="546"/>
      <c r="Y898" s="547">
        <v>28.8</v>
      </c>
      <c r="Z898" s="545"/>
      <c r="AA898" s="546"/>
      <c r="AB898" s="547">
        <v>55.8</v>
      </c>
      <c r="AC898" s="545"/>
      <c r="AD898" s="546"/>
      <c r="AE898" s="547">
        <v>55.8</v>
      </c>
      <c r="AF898" s="545"/>
      <c r="AG898" s="546"/>
      <c r="AH898" s="547">
        <v>54</v>
      </c>
      <c r="AI898" s="545"/>
      <c r="AJ898" s="546"/>
      <c r="AK898" s="547">
        <v>92.256</v>
      </c>
      <c r="AL898" s="545"/>
      <c r="AM898" s="546"/>
      <c r="AN898" s="836">
        <v>108</v>
      </c>
      <c r="AO898" s="545"/>
      <c r="AP898" s="546"/>
      <c r="AQ898" s="547">
        <v>122.01600000000001</v>
      </c>
      <c r="AR898" s="246"/>
      <c r="AS898" s="282"/>
      <c r="AT898" s="244">
        <f t="shared" ref="AT898:AT923" si="32">J898+M898+P898+S898+V898+Y898+AB898+AE898+AH898+AK898+AN898+AQ898</f>
        <v>1151.9279999999999</v>
      </c>
      <c r="AU898" s="246"/>
      <c r="AV898" s="336"/>
      <c r="AW898" s="285"/>
      <c r="AX898" s="337"/>
      <c r="AY898" s="438">
        <v>1227.0766880000001</v>
      </c>
      <c r="AZ898" s="375"/>
      <c r="BA898" s="375"/>
      <c r="BB898" s="375"/>
      <c r="BC898" s="375"/>
    </row>
    <row r="899" spans="1:55" s="117" customFormat="1">
      <c r="A899" s="179"/>
      <c r="B899" s="179"/>
      <c r="C899" s="179"/>
      <c r="D899" s="181"/>
      <c r="E899" s="181"/>
      <c r="F899" s="181"/>
      <c r="G899" s="1110"/>
      <c r="H899" s="134" t="s">
        <v>934</v>
      </c>
      <c r="I899" s="516" t="s">
        <v>364</v>
      </c>
      <c r="J899" s="262">
        <f>SUM(J900:J904)</f>
        <v>102.459</v>
      </c>
      <c r="K899" s="246"/>
      <c r="L899" s="282"/>
      <c r="M899" s="317">
        <f>SUM(M900:M904)</f>
        <v>89.084000000000003</v>
      </c>
      <c r="N899" s="246"/>
      <c r="O899" s="282"/>
      <c r="P899" s="317">
        <f>SUM(P900:P904)</f>
        <v>97.598000000000013</v>
      </c>
      <c r="Q899" s="246"/>
      <c r="R899" s="282"/>
      <c r="S899" s="317">
        <f>SUM(S900:S904)</f>
        <v>104.38799999999999</v>
      </c>
      <c r="T899" s="246"/>
      <c r="U899" s="282"/>
      <c r="V899" s="317">
        <f>SUM(V900:V904)</f>
        <v>120.462</v>
      </c>
      <c r="W899" s="246"/>
      <c r="X899" s="282"/>
      <c r="Y899" s="317">
        <f>SUM(Y900:Y904)</f>
        <v>107.91900000000001</v>
      </c>
      <c r="Z899" s="246"/>
      <c r="AA899" s="282"/>
      <c r="AB899" s="317">
        <f>SUM(AB900:AB904)</f>
        <v>95.86699999999999</v>
      </c>
      <c r="AC899" s="246"/>
      <c r="AD899" s="282"/>
      <c r="AE899" s="317">
        <f>SUM(AE900:AE904)</f>
        <v>86.435999999999993</v>
      </c>
      <c r="AF899" s="246"/>
      <c r="AG899" s="282"/>
      <c r="AH899" s="317">
        <f>SUM(AH900:AH904)</f>
        <v>84.733000000000004</v>
      </c>
      <c r="AI899" s="246"/>
      <c r="AJ899" s="282"/>
      <c r="AK899" s="317">
        <f>SUM(AK900:AK904)</f>
        <v>99.812000000000012</v>
      </c>
      <c r="AL899" s="246"/>
      <c r="AM899" s="282"/>
      <c r="AN899" s="317">
        <f>SUM(AN900:AN904)</f>
        <v>104.43700000000001</v>
      </c>
      <c r="AO899" s="246"/>
      <c r="AP899" s="282"/>
      <c r="AQ899" s="317">
        <f>SUM(AQ900:AQ904)</f>
        <v>106.545</v>
      </c>
      <c r="AR899" s="246"/>
      <c r="AS899" s="282"/>
      <c r="AT899" s="317">
        <f>SUM(AT900:AT904)</f>
        <v>1199.74</v>
      </c>
      <c r="AU899" s="246"/>
      <c r="AV899" s="336"/>
      <c r="AW899" s="285"/>
      <c r="AX899" s="337"/>
      <c r="AY899" s="327">
        <f>SUM(AY900:AY904)</f>
        <v>1410.3851050000001</v>
      </c>
      <c r="AZ899" s="375"/>
      <c r="BA899" s="375"/>
      <c r="BB899" s="375"/>
      <c r="BC899" s="375"/>
    </row>
    <row r="900" spans="1:55" s="117" customFormat="1">
      <c r="A900" s="179"/>
      <c r="B900" s="179"/>
      <c r="C900" s="179"/>
      <c r="D900" s="181">
        <v>345921</v>
      </c>
      <c r="E900" s="181"/>
      <c r="F900" s="181"/>
      <c r="G900" s="1110">
        <v>345921</v>
      </c>
      <c r="H900" s="122" t="s">
        <v>415</v>
      </c>
      <c r="I900" s="122"/>
      <c r="J900" s="587">
        <v>31.2</v>
      </c>
      <c r="K900" s="521"/>
      <c r="L900" s="522"/>
      <c r="M900" s="587">
        <v>27.8</v>
      </c>
      <c r="N900" s="521"/>
      <c r="O900" s="522"/>
      <c r="P900" s="587">
        <v>29.7</v>
      </c>
      <c r="Q900" s="521"/>
      <c r="R900" s="522"/>
      <c r="S900" s="587">
        <v>25.2</v>
      </c>
      <c r="T900" s="521"/>
      <c r="U900" s="522"/>
      <c r="V900" s="587">
        <v>28.2</v>
      </c>
      <c r="W900" s="521"/>
      <c r="X900" s="522"/>
      <c r="Y900" s="587">
        <v>28.8</v>
      </c>
      <c r="Z900" s="521"/>
      <c r="AA900" s="522"/>
      <c r="AB900" s="587">
        <v>26.7</v>
      </c>
      <c r="AC900" s="521"/>
      <c r="AD900" s="522"/>
      <c r="AE900" s="587">
        <v>26</v>
      </c>
      <c r="AF900" s="521"/>
      <c r="AG900" s="522"/>
      <c r="AH900" s="587">
        <v>23.7</v>
      </c>
      <c r="AI900" s="521"/>
      <c r="AJ900" s="522"/>
      <c r="AK900" s="587">
        <v>26.7</v>
      </c>
      <c r="AL900" s="521"/>
      <c r="AM900" s="522"/>
      <c r="AN900" s="587">
        <v>30.2</v>
      </c>
      <c r="AO900" s="521"/>
      <c r="AP900" s="522"/>
      <c r="AQ900" s="587">
        <v>31.9</v>
      </c>
      <c r="AR900" s="521"/>
      <c r="AS900" s="522"/>
      <c r="AT900" s="587">
        <f t="shared" si="32"/>
        <v>336.09999999999997</v>
      </c>
      <c r="AU900" s="246"/>
      <c r="AV900" s="336"/>
      <c r="AW900" s="285"/>
      <c r="AX900" s="337"/>
      <c r="AY900" s="438">
        <v>431.64168699999999</v>
      </c>
      <c r="AZ900" s="375"/>
      <c r="BA900" s="375"/>
      <c r="BB900" s="375"/>
      <c r="BC900" s="375"/>
    </row>
    <row r="901" spans="1:55" s="117" customFormat="1">
      <c r="A901" s="179"/>
      <c r="B901" s="179"/>
      <c r="C901" s="179"/>
      <c r="D901" s="181">
        <v>345922</v>
      </c>
      <c r="E901" s="181"/>
      <c r="F901" s="181"/>
      <c r="G901" s="1110">
        <v>345922</v>
      </c>
      <c r="H901" s="122" t="s">
        <v>935</v>
      </c>
      <c r="I901" s="122"/>
      <c r="J901" s="587">
        <v>18.544</v>
      </c>
      <c r="K901" s="521"/>
      <c r="L901" s="522"/>
      <c r="M901" s="587">
        <v>15.526</v>
      </c>
      <c r="N901" s="521"/>
      <c r="O901" s="522"/>
      <c r="P901" s="587">
        <v>18.027000000000001</v>
      </c>
      <c r="Q901" s="521"/>
      <c r="R901" s="522"/>
      <c r="S901" s="587">
        <v>20.864999999999998</v>
      </c>
      <c r="T901" s="521"/>
      <c r="U901" s="522"/>
      <c r="V901" s="587">
        <v>23.222000000000001</v>
      </c>
      <c r="W901" s="521"/>
      <c r="X901" s="522"/>
      <c r="Y901" s="587">
        <v>20.291</v>
      </c>
      <c r="Z901" s="521"/>
      <c r="AA901" s="522"/>
      <c r="AB901" s="587">
        <v>17.02</v>
      </c>
      <c r="AC901" s="521"/>
      <c r="AD901" s="522"/>
      <c r="AE901" s="587">
        <v>13.297000000000001</v>
      </c>
      <c r="AF901" s="521"/>
      <c r="AG901" s="522"/>
      <c r="AH901" s="587">
        <v>15.319000000000001</v>
      </c>
      <c r="AI901" s="521"/>
      <c r="AJ901" s="522"/>
      <c r="AK901" s="587">
        <v>17.187999999999999</v>
      </c>
      <c r="AL901" s="521"/>
      <c r="AM901" s="522"/>
      <c r="AN901" s="587">
        <v>17.803999999999998</v>
      </c>
      <c r="AO901" s="521"/>
      <c r="AP901" s="522"/>
      <c r="AQ901" s="587">
        <v>18.640999999999998</v>
      </c>
      <c r="AR901" s="521"/>
      <c r="AS901" s="522"/>
      <c r="AT901" s="587">
        <f t="shared" si="32"/>
        <v>215.74399999999997</v>
      </c>
      <c r="AU901" s="246"/>
      <c r="AV901" s="336"/>
      <c r="AW901" s="285"/>
      <c r="AX901" s="337"/>
      <c r="AY901" s="438">
        <v>253.89870999999999</v>
      </c>
      <c r="AZ901" s="375"/>
      <c r="BA901" s="375"/>
      <c r="BB901" s="375"/>
      <c r="BC901" s="375"/>
    </row>
    <row r="902" spans="1:55" s="116" customFormat="1">
      <c r="A902" s="179"/>
      <c r="B902" s="179"/>
      <c r="C902" s="179"/>
      <c r="D902" s="181">
        <v>345923</v>
      </c>
      <c r="E902" s="181"/>
      <c r="F902" s="181"/>
      <c r="G902" s="1110">
        <v>345923</v>
      </c>
      <c r="H902" s="122" t="s">
        <v>936</v>
      </c>
      <c r="I902" s="122"/>
      <c r="J902" s="587">
        <v>10.205</v>
      </c>
      <c r="K902" s="521"/>
      <c r="L902" s="522"/>
      <c r="M902" s="587">
        <v>8.9329999999999998</v>
      </c>
      <c r="N902" s="521"/>
      <c r="O902" s="522"/>
      <c r="P902" s="587">
        <v>9.1440000000000001</v>
      </c>
      <c r="Q902" s="521"/>
      <c r="R902" s="522"/>
      <c r="S902" s="587">
        <v>12.346</v>
      </c>
      <c r="T902" s="521"/>
      <c r="U902" s="522"/>
      <c r="V902" s="587">
        <v>14.156000000000001</v>
      </c>
      <c r="W902" s="521"/>
      <c r="X902" s="522"/>
      <c r="Y902" s="587">
        <v>10.608000000000001</v>
      </c>
      <c r="Z902" s="521"/>
      <c r="AA902" s="522"/>
      <c r="AB902" s="587">
        <v>10.632999999999999</v>
      </c>
      <c r="AC902" s="521"/>
      <c r="AD902" s="522"/>
      <c r="AE902" s="587">
        <v>10.355</v>
      </c>
      <c r="AF902" s="521"/>
      <c r="AG902" s="522"/>
      <c r="AH902" s="587">
        <v>6.48</v>
      </c>
      <c r="AI902" s="521"/>
      <c r="AJ902" s="522"/>
      <c r="AK902" s="587">
        <v>11.61</v>
      </c>
      <c r="AL902" s="521"/>
      <c r="AM902" s="522"/>
      <c r="AN902" s="587">
        <v>11.769</v>
      </c>
      <c r="AO902" s="521"/>
      <c r="AP902" s="522"/>
      <c r="AQ902" s="587">
        <v>10.750999999999999</v>
      </c>
      <c r="AR902" s="521"/>
      <c r="AS902" s="522"/>
      <c r="AT902" s="587">
        <f t="shared" si="32"/>
        <v>126.99000000000001</v>
      </c>
      <c r="AU902" s="246"/>
      <c r="AV902" s="336"/>
      <c r="AW902" s="285"/>
      <c r="AX902" s="337"/>
      <c r="AY902" s="438">
        <v>143.729961</v>
      </c>
      <c r="AZ902" s="374"/>
      <c r="BA902" s="374"/>
      <c r="BB902" s="374"/>
      <c r="BC902" s="374"/>
    </row>
    <row r="903" spans="1:55" s="116" customFormat="1">
      <c r="A903" s="179"/>
      <c r="B903" s="179"/>
      <c r="C903" s="179"/>
      <c r="D903" s="181">
        <v>345924</v>
      </c>
      <c r="E903" s="181"/>
      <c r="F903" s="181"/>
      <c r="G903" s="1110">
        <v>345924</v>
      </c>
      <c r="H903" s="122" t="s">
        <v>937</v>
      </c>
      <c r="I903" s="122"/>
      <c r="J903" s="587">
        <v>13.769</v>
      </c>
      <c r="K903" s="521"/>
      <c r="L903" s="522"/>
      <c r="M903" s="587">
        <v>12.15</v>
      </c>
      <c r="N903" s="521"/>
      <c r="O903" s="522"/>
      <c r="P903" s="587">
        <v>13.305999999999999</v>
      </c>
      <c r="Q903" s="521"/>
      <c r="R903" s="522"/>
      <c r="S903" s="587">
        <v>14.177</v>
      </c>
      <c r="T903" s="521"/>
      <c r="U903" s="522"/>
      <c r="V903" s="587">
        <v>16.579999999999998</v>
      </c>
      <c r="W903" s="521"/>
      <c r="X903" s="522"/>
      <c r="Y903" s="587">
        <v>14.4</v>
      </c>
      <c r="Z903" s="521"/>
      <c r="AA903" s="522"/>
      <c r="AB903" s="587">
        <v>13.477</v>
      </c>
      <c r="AC903" s="521"/>
      <c r="AD903" s="522"/>
      <c r="AE903" s="587">
        <v>12.544</v>
      </c>
      <c r="AF903" s="521"/>
      <c r="AG903" s="522"/>
      <c r="AH903" s="587">
        <v>12.929</v>
      </c>
      <c r="AI903" s="521"/>
      <c r="AJ903" s="522"/>
      <c r="AK903" s="587">
        <v>14.458</v>
      </c>
      <c r="AL903" s="521"/>
      <c r="AM903" s="522"/>
      <c r="AN903" s="587">
        <v>14.698</v>
      </c>
      <c r="AO903" s="521"/>
      <c r="AP903" s="522"/>
      <c r="AQ903" s="587">
        <v>14.413</v>
      </c>
      <c r="AR903" s="521"/>
      <c r="AS903" s="522"/>
      <c r="AT903" s="587">
        <f t="shared" si="32"/>
        <v>166.90100000000004</v>
      </c>
      <c r="AU903" s="246"/>
      <c r="AV903" s="336"/>
      <c r="AW903" s="285"/>
      <c r="AX903" s="337"/>
      <c r="AY903" s="438">
        <v>194.64528899999999</v>
      </c>
      <c r="AZ903" s="374"/>
      <c r="BA903" s="374"/>
      <c r="BB903" s="374"/>
      <c r="BC903" s="374"/>
    </row>
    <row r="904" spans="1:55" s="116" customFormat="1">
      <c r="A904" s="179"/>
      <c r="B904" s="179"/>
      <c r="C904" s="179"/>
      <c r="D904" s="181">
        <v>345920</v>
      </c>
      <c r="E904" s="181"/>
      <c r="F904" s="181"/>
      <c r="G904" s="1110">
        <v>345920</v>
      </c>
      <c r="H904" s="122" t="s">
        <v>938</v>
      </c>
      <c r="I904" s="122"/>
      <c r="J904" s="587">
        <v>28.741</v>
      </c>
      <c r="K904" s="521"/>
      <c r="L904" s="522"/>
      <c r="M904" s="587">
        <v>24.675000000000001</v>
      </c>
      <c r="N904" s="521"/>
      <c r="O904" s="522"/>
      <c r="P904" s="587">
        <v>27.420999999999999</v>
      </c>
      <c r="Q904" s="521"/>
      <c r="R904" s="522"/>
      <c r="S904" s="587">
        <v>31.8</v>
      </c>
      <c r="T904" s="521"/>
      <c r="U904" s="522"/>
      <c r="V904" s="587">
        <v>38.304000000000002</v>
      </c>
      <c r="W904" s="521"/>
      <c r="X904" s="522"/>
      <c r="Y904" s="587">
        <v>33.82</v>
      </c>
      <c r="Z904" s="521"/>
      <c r="AA904" s="522"/>
      <c r="AB904" s="587">
        <v>28.036999999999999</v>
      </c>
      <c r="AC904" s="521"/>
      <c r="AD904" s="522"/>
      <c r="AE904" s="587">
        <v>24.24</v>
      </c>
      <c r="AF904" s="521"/>
      <c r="AG904" s="522"/>
      <c r="AH904" s="587">
        <v>26.305</v>
      </c>
      <c r="AI904" s="521"/>
      <c r="AJ904" s="522"/>
      <c r="AK904" s="587">
        <v>29.856000000000002</v>
      </c>
      <c r="AL904" s="521"/>
      <c r="AM904" s="522"/>
      <c r="AN904" s="587">
        <v>29.966000000000001</v>
      </c>
      <c r="AO904" s="521"/>
      <c r="AP904" s="522"/>
      <c r="AQ904" s="587">
        <v>30.84</v>
      </c>
      <c r="AR904" s="246"/>
      <c r="AS904" s="282"/>
      <c r="AT904" s="587">
        <f t="shared" si="32"/>
        <v>354.00499999999994</v>
      </c>
      <c r="AU904" s="246"/>
      <c r="AV904" s="336"/>
      <c r="AW904" s="285"/>
      <c r="AX904" s="337"/>
      <c r="AY904" s="438">
        <v>386.46945799999997</v>
      </c>
      <c r="AZ904" s="374"/>
      <c r="BA904" s="374"/>
      <c r="BB904" s="374"/>
      <c r="BC904" s="374"/>
    </row>
    <row r="905" spans="1:55" s="116" customFormat="1">
      <c r="A905" s="179"/>
      <c r="B905" s="179"/>
      <c r="C905" s="179"/>
      <c r="D905" s="181"/>
      <c r="E905" s="181"/>
      <c r="F905" s="181"/>
      <c r="G905" s="1110"/>
      <c r="H905" s="134" t="s">
        <v>939</v>
      </c>
      <c r="I905" s="516" t="s">
        <v>364</v>
      </c>
      <c r="J905" s="262">
        <f>SUM(J906:J909)</f>
        <v>88.756</v>
      </c>
      <c r="K905" s="246"/>
      <c r="L905" s="282"/>
      <c r="M905" s="317">
        <f>SUM(M906:M909)</f>
        <v>78.103999999999999</v>
      </c>
      <c r="N905" s="246"/>
      <c r="O905" s="282"/>
      <c r="P905" s="317">
        <f>SUM(P906:P909)</f>
        <v>77.62</v>
      </c>
      <c r="Q905" s="246"/>
      <c r="R905" s="282"/>
      <c r="S905" s="317">
        <f>SUM(S906:S909)</f>
        <v>89.025000000000006</v>
      </c>
      <c r="T905" s="246"/>
      <c r="U905" s="282"/>
      <c r="V905" s="317">
        <f>SUM(V906:V909)</f>
        <v>163.04399999999998</v>
      </c>
      <c r="W905" s="246"/>
      <c r="X905" s="282"/>
      <c r="Y905" s="317">
        <f>SUM(Y906:Y909)</f>
        <v>135.18799999999999</v>
      </c>
      <c r="Z905" s="246"/>
      <c r="AA905" s="282"/>
      <c r="AB905" s="317">
        <f>SUM(AB906:AB909)</f>
        <v>110.38000000000001</v>
      </c>
      <c r="AC905" s="246"/>
      <c r="AD905" s="282"/>
      <c r="AE905" s="317">
        <f>SUM(AE906:AE909)</f>
        <v>105.84699999999999</v>
      </c>
      <c r="AF905" s="246"/>
      <c r="AG905" s="282"/>
      <c r="AH905" s="317">
        <f>SUM(AH906:AH909)</f>
        <v>100.133</v>
      </c>
      <c r="AI905" s="246"/>
      <c r="AJ905" s="282"/>
      <c r="AK905" s="317">
        <f>SUM(AK906:AK909)</f>
        <v>102.08</v>
      </c>
      <c r="AL905" s="246"/>
      <c r="AM905" s="282"/>
      <c r="AN905" s="317">
        <f>SUM(AN906:AN909)</f>
        <v>98.295000000000002</v>
      </c>
      <c r="AO905" s="246"/>
      <c r="AP905" s="282"/>
      <c r="AQ905" s="317">
        <f>SUM(AQ906:AQ909)</f>
        <v>96.862000000000009</v>
      </c>
      <c r="AR905" s="246"/>
      <c r="AS905" s="282"/>
      <c r="AT905" s="317">
        <f>SUM(AT906:AT909)</f>
        <v>1245.3339999999998</v>
      </c>
      <c r="AU905" s="246"/>
      <c r="AV905" s="336"/>
      <c r="AW905" s="285"/>
      <c r="AX905" s="337"/>
      <c r="AY905" s="327">
        <f>SUM(AY906:AY909)</f>
        <v>1221.0327709999999</v>
      </c>
      <c r="AZ905" s="374"/>
      <c r="BA905" s="374"/>
      <c r="BB905" s="374"/>
      <c r="BC905" s="374"/>
    </row>
    <row r="906" spans="1:55" s="116" customFormat="1">
      <c r="A906" s="179"/>
      <c r="B906" s="179"/>
      <c r="C906" s="179"/>
      <c r="D906" s="181">
        <v>345928</v>
      </c>
      <c r="E906" s="181"/>
      <c r="F906" s="181"/>
      <c r="G906" s="1110">
        <v>345928</v>
      </c>
      <c r="H906" s="143" t="s">
        <v>940</v>
      </c>
      <c r="I906" s="143"/>
      <c r="J906" s="587">
        <v>29.295999999999999</v>
      </c>
      <c r="K906" s="521"/>
      <c r="L906" s="522"/>
      <c r="M906" s="587">
        <v>25.175000000000001</v>
      </c>
      <c r="N906" s="521"/>
      <c r="O906" s="522"/>
      <c r="P906" s="587">
        <v>26.05</v>
      </c>
      <c r="Q906" s="521"/>
      <c r="R906" s="522"/>
      <c r="S906" s="587">
        <v>30.535</v>
      </c>
      <c r="T906" s="521"/>
      <c r="U906" s="522"/>
      <c r="V906" s="587">
        <v>56.215000000000003</v>
      </c>
      <c r="W906" s="521"/>
      <c r="X906" s="522"/>
      <c r="Y906" s="587">
        <v>46.76</v>
      </c>
      <c r="Z906" s="521"/>
      <c r="AA906" s="522"/>
      <c r="AB906" s="587">
        <v>31.751999999999999</v>
      </c>
      <c r="AC906" s="521"/>
      <c r="AD906" s="522"/>
      <c r="AE906" s="587">
        <v>34.505000000000003</v>
      </c>
      <c r="AF906" s="521"/>
      <c r="AG906" s="522"/>
      <c r="AH906" s="587">
        <v>32.289000000000001</v>
      </c>
      <c r="AI906" s="521"/>
      <c r="AJ906" s="522"/>
      <c r="AK906" s="587">
        <v>34.130000000000003</v>
      </c>
      <c r="AL906" s="521"/>
      <c r="AM906" s="522"/>
      <c r="AN906" s="587">
        <v>33.429000000000002</v>
      </c>
      <c r="AO906" s="521"/>
      <c r="AP906" s="522"/>
      <c r="AQ906" s="587">
        <v>32.075000000000003</v>
      </c>
      <c r="AR906" s="521"/>
      <c r="AS906" s="522"/>
      <c r="AT906" s="587">
        <f t="shared" si="32"/>
        <v>412.21099999999996</v>
      </c>
      <c r="AU906" s="246"/>
      <c r="AV906" s="336"/>
      <c r="AW906" s="285"/>
      <c r="AX906" s="337"/>
      <c r="AY906" s="438">
        <v>404.22366099999999</v>
      </c>
      <c r="AZ906" s="374"/>
      <c r="BA906" s="374"/>
      <c r="BB906" s="374"/>
      <c r="BC906" s="374"/>
    </row>
    <row r="907" spans="1:55" s="117" customFormat="1">
      <c r="A907" s="179"/>
      <c r="B907" s="179"/>
      <c r="C907" s="179"/>
      <c r="D907" s="181">
        <v>345930</v>
      </c>
      <c r="E907" s="181"/>
      <c r="F907" s="181"/>
      <c r="G907" s="1110">
        <v>345930</v>
      </c>
      <c r="H907" s="143" t="s">
        <v>941</v>
      </c>
      <c r="I907" s="143"/>
      <c r="J907" s="587">
        <v>15.48</v>
      </c>
      <c r="K907" s="521"/>
      <c r="L907" s="522"/>
      <c r="M907" s="587">
        <v>13.303000000000001</v>
      </c>
      <c r="N907" s="521"/>
      <c r="O907" s="522"/>
      <c r="P907" s="587">
        <v>13.317</v>
      </c>
      <c r="Q907" s="521"/>
      <c r="R907" s="522"/>
      <c r="S907" s="587">
        <v>16.495000000000001</v>
      </c>
      <c r="T907" s="521"/>
      <c r="U907" s="522"/>
      <c r="V907" s="587">
        <v>31.893000000000001</v>
      </c>
      <c r="W907" s="521"/>
      <c r="X907" s="522"/>
      <c r="Y907" s="587">
        <v>26.306999999999999</v>
      </c>
      <c r="Z907" s="521"/>
      <c r="AA907" s="522"/>
      <c r="AB907" s="587">
        <v>22.082000000000001</v>
      </c>
      <c r="AC907" s="521"/>
      <c r="AD907" s="522"/>
      <c r="AE907" s="587">
        <v>18.454999999999998</v>
      </c>
      <c r="AF907" s="521"/>
      <c r="AG907" s="522"/>
      <c r="AH907" s="587">
        <v>17.995000000000001</v>
      </c>
      <c r="AI907" s="521"/>
      <c r="AJ907" s="522"/>
      <c r="AK907" s="587">
        <v>19.178999999999998</v>
      </c>
      <c r="AL907" s="521"/>
      <c r="AM907" s="522"/>
      <c r="AN907" s="587">
        <v>18.141999999999999</v>
      </c>
      <c r="AO907" s="521"/>
      <c r="AP907" s="522"/>
      <c r="AQ907" s="587">
        <v>17.224</v>
      </c>
      <c r="AR907" s="521"/>
      <c r="AS907" s="522"/>
      <c r="AT907" s="587">
        <f t="shared" si="32"/>
        <v>229.87199999999999</v>
      </c>
      <c r="AU907" s="246"/>
      <c r="AV907" s="336"/>
      <c r="AW907" s="285"/>
      <c r="AX907" s="337"/>
      <c r="AY907" s="438">
        <v>219.56968699999999</v>
      </c>
      <c r="AZ907" s="375"/>
      <c r="BA907" s="375"/>
      <c r="BB907" s="375"/>
      <c r="BC907" s="375"/>
    </row>
    <row r="908" spans="1:55" s="117" customFormat="1">
      <c r="A908" s="179"/>
      <c r="B908" s="179"/>
      <c r="C908" s="179"/>
      <c r="D908" s="181">
        <v>345933</v>
      </c>
      <c r="E908" s="181"/>
      <c r="F908" s="181"/>
      <c r="G908" s="1110">
        <v>345933</v>
      </c>
      <c r="H908" s="143" t="s">
        <v>942</v>
      </c>
      <c r="I908" s="143"/>
      <c r="J908" s="587">
        <v>36.54</v>
      </c>
      <c r="K908" s="521"/>
      <c r="L908" s="522"/>
      <c r="M908" s="587">
        <v>32.936</v>
      </c>
      <c r="N908" s="521"/>
      <c r="O908" s="522"/>
      <c r="P908" s="587">
        <v>31.556999999999999</v>
      </c>
      <c r="Q908" s="521"/>
      <c r="R908" s="522"/>
      <c r="S908" s="587">
        <v>37.71</v>
      </c>
      <c r="T908" s="521"/>
      <c r="U908" s="522"/>
      <c r="V908" s="587">
        <v>73.433000000000007</v>
      </c>
      <c r="W908" s="521"/>
      <c r="X908" s="522"/>
      <c r="Y908" s="587">
        <v>57.801000000000002</v>
      </c>
      <c r="Z908" s="521"/>
      <c r="AA908" s="522"/>
      <c r="AB908" s="587">
        <v>49.875999999999998</v>
      </c>
      <c r="AC908" s="521"/>
      <c r="AD908" s="522"/>
      <c r="AE908" s="587">
        <v>44.218000000000004</v>
      </c>
      <c r="AF908" s="521"/>
      <c r="AG908" s="522"/>
      <c r="AH908" s="587">
        <v>42.768999999999998</v>
      </c>
      <c r="AI908" s="521"/>
      <c r="AJ908" s="522"/>
      <c r="AK908" s="587">
        <v>44.307000000000002</v>
      </c>
      <c r="AL908" s="521"/>
      <c r="AM908" s="522"/>
      <c r="AN908" s="587">
        <v>41.683999999999997</v>
      </c>
      <c r="AO908" s="521"/>
      <c r="AP908" s="522"/>
      <c r="AQ908" s="587">
        <v>40.197000000000003</v>
      </c>
      <c r="AR908" s="521"/>
      <c r="AS908" s="522"/>
      <c r="AT908" s="587">
        <f t="shared" si="32"/>
        <v>533.02800000000002</v>
      </c>
      <c r="AU908" s="246"/>
      <c r="AV908" s="336"/>
      <c r="AW908" s="285"/>
      <c r="AX908" s="337"/>
      <c r="AY908" s="438">
        <v>522.20661800000005</v>
      </c>
      <c r="AZ908" s="375"/>
      <c r="BA908" s="375"/>
      <c r="BB908" s="375"/>
      <c r="BC908" s="375"/>
    </row>
    <row r="909" spans="1:55" s="116" customFormat="1">
      <c r="A909" s="179"/>
      <c r="B909" s="179"/>
      <c r="C909" s="179"/>
      <c r="D909" s="181">
        <v>345932</v>
      </c>
      <c r="E909" s="181"/>
      <c r="F909" s="181"/>
      <c r="G909" s="1110">
        <v>345932</v>
      </c>
      <c r="H909" s="143" t="s">
        <v>943</v>
      </c>
      <c r="I909" s="143"/>
      <c r="J909" s="587">
        <v>7.44</v>
      </c>
      <c r="K909" s="521"/>
      <c r="L909" s="522"/>
      <c r="M909" s="587">
        <v>6.69</v>
      </c>
      <c r="N909" s="521"/>
      <c r="O909" s="522"/>
      <c r="P909" s="587">
        <v>6.6959999999999997</v>
      </c>
      <c r="Q909" s="521"/>
      <c r="R909" s="522"/>
      <c r="S909" s="587">
        <v>4.2850000000000001</v>
      </c>
      <c r="T909" s="521"/>
      <c r="U909" s="522"/>
      <c r="V909" s="587">
        <v>1.5029999999999999</v>
      </c>
      <c r="W909" s="521"/>
      <c r="X909" s="522"/>
      <c r="Y909" s="587">
        <v>4.32</v>
      </c>
      <c r="Z909" s="521"/>
      <c r="AA909" s="522"/>
      <c r="AB909" s="587">
        <v>6.67</v>
      </c>
      <c r="AC909" s="521"/>
      <c r="AD909" s="522"/>
      <c r="AE909" s="587">
        <v>8.6690000000000005</v>
      </c>
      <c r="AF909" s="521"/>
      <c r="AG909" s="522"/>
      <c r="AH909" s="587">
        <v>7.08</v>
      </c>
      <c r="AI909" s="521"/>
      <c r="AJ909" s="522"/>
      <c r="AK909" s="587">
        <v>4.4640000000000004</v>
      </c>
      <c r="AL909" s="521"/>
      <c r="AM909" s="522"/>
      <c r="AN909" s="587">
        <v>5.04</v>
      </c>
      <c r="AO909" s="521"/>
      <c r="AP909" s="522"/>
      <c r="AQ909" s="587">
        <v>7.3659999999999997</v>
      </c>
      <c r="AR909" s="521"/>
      <c r="AS909" s="522"/>
      <c r="AT909" s="587">
        <f t="shared" si="32"/>
        <v>70.222999999999985</v>
      </c>
      <c r="AU909" s="246"/>
      <c r="AV909" s="336"/>
      <c r="AW909" s="285"/>
      <c r="AX909" s="337"/>
      <c r="AY909" s="438">
        <v>75.032804999999996</v>
      </c>
      <c r="AZ909" s="374"/>
      <c r="BA909" s="374"/>
      <c r="BB909" s="374"/>
      <c r="BC909" s="374"/>
    </row>
    <row r="910" spans="1:55" s="116" customFormat="1">
      <c r="A910" s="179"/>
      <c r="B910" s="179"/>
      <c r="C910" s="179"/>
      <c r="D910" s="181"/>
      <c r="E910" s="181"/>
      <c r="F910" s="181"/>
      <c r="G910" s="1110"/>
      <c r="H910" s="134" t="s">
        <v>944</v>
      </c>
      <c r="I910" s="516" t="s">
        <v>364</v>
      </c>
      <c r="J910" s="262">
        <f>SUM(J911:J913)</f>
        <v>23.346</v>
      </c>
      <c r="K910" s="246"/>
      <c r="L910" s="282"/>
      <c r="M910" s="317">
        <f>SUM(M911:M913)</f>
        <v>21.016999999999999</v>
      </c>
      <c r="N910" s="246"/>
      <c r="O910" s="282"/>
      <c r="P910" s="317">
        <f>SUM(P911:P913)</f>
        <v>20.612000000000002</v>
      </c>
      <c r="Q910" s="246"/>
      <c r="R910" s="282"/>
      <c r="S910" s="317">
        <f>SUM(S911:S913)</f>
        <v>26.243000000000002</v>
      </c>
      <c r="T910" s="246"/>
      <c r="U910" s="282"/>
      <c r="V910" s="317">
        <f>SUM(V911:V913)</f>
        <v>37.719000000000001</v>
      </c>
      <c r="W910" s="246"/>
      <c r="X910" s="282"/>
      <c r="Y910" s="317">
        <f>SUM(Y911:Y913)</f>
        <v>36.611000000000004</v>
      </c>
      <c r="Z910" s="246"/>
      <c r="AA910" s="282"/>
      <c r="AB910" s="317">
        <f>SUM(AB911:AB913)</f>
        <v>29.426000000000002</v>
      </c>
      <c r="AC910" s="246"/>
      <c r="AD910" s="282"/>
      <c r="AE910" s="317">
        <f>SUM(AE911:AE913)</f>
        <v>22.015999999999998</v>
      </c>
      <c r="AF910" s="246"/>
      <c r="AG910" s="282"/>
      <c r="AH910" s="317">
        <f>SUM(AH911:AH913)</f>
        <v>23.806999999999999</v>
      </c>
      <c r="AI910" s="246"/>
      <c r="AJ910" s="282"/>
      <c r="AK910" s="317">
        <f>SUM(AK911:AK913)</f>
        <v>23.585000000000001</v>
      </c>
      <c r="AL910" s="246"/>
      <c r="AM910" s="282"/>
      <c r="AN910" s="317">
        <f>SUM(AN911:AN913)</f>
        <v>24.93</v>
      </c>
      <c r="AO910" s="246"/>
      <c r="AP910" s="282"/>
      <c r="AQ910" s="317">
        <f>SUM(AQ911:AQ913)</f>
        <v>25.964000000000002</v>
      </c>
      <c r="AR910" s="246"/>
      <c r="AS910" s="282"/>
      <c r="AT910" s="317">
        <f>SUM(AT911:AT913)</f>
        <v>315.27600000000001</v>
      </c>
      <c r="AU910" s="246"/>
      <c r="AV910" s="336"/>
      <c r="AW910" s="285"/>
      <c r="AX910" s="337"/>
      <c r="AY910" s="327">
        <f>SUM(AY911:AY913)</f>
        <v>289.27359999999999</v>
      </c>
      <c r="AZ910" s="374"/>
      <c r="BA910" s="374"/>
      <c r="BB910" s="374"/>
      <c r="BC910" s="374"/>
    </row>
    <row r="911" spans="1:55" s="116" customFormat="1">
      <c r="A911" s="179"/>
      <c r="B911" s="179"/>
      <c r="C911" s="179"/>
      <c r="D911" s="181">
        <v>345926</v>
      </c>
      <c r="E911" s="181"/>
      <c r="F911" s="181"/>
      <c r="G911" s="1110">
        <v>345926</v>
      </c>
      <c r="H911" s="143" t="s">
        <v>945</v>
      </c>
      <c r="I911" s="143"/>
      <c r="J911" s="587">
        <v>7.298</v>
      </c>
      <c r="K911" s="521"/>
      <c r="L911" s="522"/>
      <c r="M911" s="587">
        <v>6.6989999999999998</v>
      </c>
      <c r="N911" s="521"/>
      <c r="O911" s="522"/>
      <c r="P911" s="587">
        <v>6.0309999999999997</v>
      </c>
      <c r="Q911" s="521"/>
      <c r="R911" s="522"/>
      <c r="S911" s="587">
        <v>9.9550000000000001</v>
      </c>
      <c r="T911" s="521"/>
      <c r="U911" s="522"/>
      <c r="V911" s="587">
        <v>16.945</v>
      </c>
      <c r="W911" s="521"/>
      <c r="X911" s="522"/>
      <c r="Y911" s="587">
        <v>14.513</v>
      </c>
      <c r="Z911" s="521"/>
      <c r="AA911" s="522"/>
      <c r="AB911" s="587">
        <v>10.308999999999999</v>
      </c>
      <c r="AC911" s="521"/>
      <c r="AD911" s="522"/>
      <c r="AE911" s="587">
        <v>7.6559999999999997</v>
      </c>
      <c r="AF911" s="521"/>
      <c r="AG911" s="522"/>
      <c r="AH911" s="587">
        <v>9.4979999999999993</v>
      </c>
      <c r="AI911" s="521"/>
      <c r="AJ911" s="522"/>
      <c r="AK911" s="587">
        <v>9.2070000000000007</v>
      </c>
      <c r="AL911" s="521"/>
      <c r="AM911" s="522"/>
      <c r="AN911" s="587">
        <v>10.045999999999999</v>
      </c>
      <c r="AO911" s="521"/>
      <c r="AP911" s="522"/>
      <c r="AQ911" s="587">
        <v>9.6679999999999993</v>
      </c>
      <c r="AR911" s="521"/>
      <c r="AS911" s="522"/>
      <c r="AT911" s="587">
        <f t="shared" si="32"/>
        <v>117.82500000000002</v>
      </c>
      <c r="AU911" s="246"/>
      <c r="AV911" s="336"/>
      <c r="AW911" s="285"/>
      <c r="AX911" s="337"/>
      <c r="AY911" s="438">
        <v>112.369272</v>
      </c>
      <c r="AZ911" s="374"/>
      <c r="BA911" s="374"/>
      <c r="BB911" s="374"/>
      <c r="BC911" s="374"/>
    </row>
    <row r="912" spans="1:55" s="116" customFormat="1">
      <c r="A912" s="179"/>
      <c r="B912" s="179"/>
      <c r="C912" s="179"/>
      <c r="D912" s="181">
        <v>345925</v>
      </c>
      <c r="E912" s="181"/>
      <c r="F912" s="181"/>
      <c r="G912" s="1110">
        <v>345925</v>
      </c>
      <c r="H912" s="122" t="s">
        <v>946</v>
      </c>
      <c r="I912" s="122"/>
      <c r="J912" s="587">
        <v>9.6910000000000007</v>
      </c>
      <c r="K912" s="521"/>
      <c r="L912" s="522"/>
      <c r="M912" s="587">
        <v>9.2050000000000001</v>
      </c>
      <c r="N912" s="521"/>
      <c r="O912" s="522"/>
      <c r="P912" s="587">
        <v>9.3510000000000009</v>
      </c>
      <c r="Q912" s="521"/>
      <c r="R912" s="522"/>
      <c r="S912" s="587">
        <v>10.246</v>
      </c>
      <c r="T912" s="521"/>
      <c r="U912" s="522"/>
      <c r="V912" s="587">
        <v>13.143000000000001</v>
      </c>
      <c r="W912" s="521"/>
      <c r="X912" s="522"/>
      <c r="Y912" s="587">
        <v>15.114000000000001</v>
      </c>
      <c r="Z912" s="521"/>
      <c r="AA912" s="522"/>
      <c r="AB912" s="587">
        <v>13.523</v>
      </c>
      <c r="AC912" s="521"/>
      <c r="AD912" s="522"/>
      <c r="AE912" s="587">
        <v>9.8819999999999997</v>
      </c>
      <c r="AF912" s="521"/>
      <c r="AG912" s="522"/>
      <c r="AH912" s="587">
        <v>10.259</v>
      </c>
      <c r="AI912" s="521"/>
      <c r="AJ912" s="522"/>
      <c r="AK912" s="587">
        <v>9.5079999999999991</v>
      </c>
      <c r="AL912" s="521"/>
      <c r="AM912" s="522"/>
      <c r="AN912" s="587">
        <v>9.0809999999999995</v>
      </c>
      <c r="AO912" s="521"/>
      <c r="AP912" s="522"/>
      <c r="AQ912" s="587">
        <v>9.7949999999999999</v>
      </c>
      <c r="AR912" s="521"/>
      <c r="AS912" s="522"/>
      <c r="AT912" s="587">
        <f t="shared" si="32"/>
        <v>128.798</v>
      </c>
      <c r="AU912" s="246"/>
      <c r="AV912" s="336"/>
      <c r="AW912" s="285"/>
      <c r="AX912" s="337"/>
      <c r="AY912" s="438">
        <v>114.582843</v>
      </c>
      <c r="AZ912" s="374"/>
      <c r="BA912" s="374"/>
      <c r="BB912" s="374"/>
      <c r="BC912" s="374"/>
    </row>
    <row r="913" spans="1:55" s="116" customFormat="1">
      <c r="A913" s="179"/>
      <c r="B913" s="179"/>
      <c r="C913" s="179"/>
      <c r="D913" s="181">
        <v>345939</v>
      </c>
      <c r="E913" s="181"/>
      <c r="F913" s="181"/>
      <c r="G913" s="1211">
        <v>345929</v>
      </c>
      <c r="H913" s="122" t="s">
        <v>947</v>
      </c>
      <c r="I913" s="122"/>
      <c r="J913" s="587">
        <v>6.3570000000000002</v>
      </c>
      <c r="K913" s="521"/>
      <c r="L913" s="522"/>
      <c r="M913" s="587">
        <v>5.1130000000000004</v>
      </c>
      <c r="N913" s="521"/>
      <c r="O913" s="522"/>
      <c r="P913" s="587">
        <v>5.23</v>
      </c>
      <c r="Q913" s="521"/>
      <c r="R913" s="522"/>
      <c r="S913" s="587">
        <v>6.0419999999999998</v>
      </c>
      <c r="T913" s="521"/>
      <c r="U913" s="522"/>
      <c r="V913" s="587">
        <v>7.6310000000000002</v>
      </c>
      <c r="W913" s="521"/>
      <c r="X913" s="522"/>
      <c r="Y913" s="587">
        <v>6.984</v>
      </c>
      <c r="Z913" s="521"/>
      <c r="AA913" s="522"/>
      <c r="AB913" s="587">
        <v>5.5940000000000003</v>
      </c>
      <c r="AC913" s="521"/>
      <c r="AD913" s="522"/>
      <c r="AE913" s="587">
        <v>4.4779999999999998</v>
      </c>
      <c r="AF913" s="521"/>
      <c r="AG913" s="522"/>
      <c r="AH913" s="587">
        <v>4.05</v>
      </c>
      <c r="AI913" s="521"/>
      <c r="AJ913" s="522"/>
      <c r="AK913" s="587">
        <v>4.87</v>
      </c>
      <c r="AL913" s="521"/>
      <c r="AM913" s="522"/>
      <c r="AN913" s="587">
        <v>5.8029999999999999</v>
      </c>
      <c r="AO913" s="521"/>
      <c r="AP913" s="522"/>
      <c r="AQ913" s="587">
        <v>6.5010000000000003</v>
      </c>
      <c r="AR913" s="521"/>
      <c r="AS913" s="522"/>
      <c r="AT913" s="587">
        <f t="shared" si="32"/>
        <v>68.653000000000006</v>
      </c>
      <c r="AU913" s="246"/>
      <c r="AV913" s="336"/>
      <c r="AW913" s="285"/>
      <c r="AX913" s="337"/>
      <c r="AY913" s="441">
        <v>62.321485000000003</v>
      </c>
      <c r="AZ913" s="374"/>
      <c r="BA913" s="374"/>
      <c r="BB913" s="374"/>
      <c r="BC913" s="374"/>
    </row>
    <row r="914" spans="1:55" s="116" customFormat="1">
      <c r="A914" s="179"/>
      <c r="B914" s="179"/>
      <c r="C914" s="179"/>
      <c r="D914" s="181">
        <v>345949</v>
      </c>
      <c r="E914" s="181"/>
      <c r="F914" s="181"/>
      <c r="G914" s="1110">
        <v>345949</v>
      </c>
      <c r="H914" s="130" t="s">
        <v>1717</v>
      </c>
      <c r="I914" s="519" t="s">
        <v>365</v>
      </c>
      <c r="J914" s="587">
        <v>2</v>
      </c>
      <c r="K914" s="521"/>
      <c r="L914" s="522"/>
      <c r="M914" s="587">
        <v>1.7</v>
      </c>
      <c r="N914" s="521"/>
      <c r="O914" s="522"/>
      <c r="P914" s="587">
        <v>2.11</v>
      </c>
      <c r="Q914" s="521"/>
      <c r="R914" s="522"/>
      <c r="S914" s="587">
        <v>2.19</v>
      </c>
      <c r="T914" s="521"/>
      <c r="U914" s="522"/>
      <c r="V914" s="587">
        <v>2.4700000000000002</v>
      </c>
      <c r="W914" s="521"/>
      <c r="X914" s="522"/>
      <c r="Y914" s="587">
        <v>2.33</v>
      </c>
      <c r="Z914" s="521"/>
      <c r="AA914" s="522"/>
      <c r="AB914" s="587">
        <v>2.0499999999999998</v>
      </c>
      <c r="AC914" s="521"/>
      <c r="AD914" s="522"/>
      <c r="AE914" s="587">
        <v>1.72</v>
      </c>
      <c r="AF914" s="521"/>
      <c r="AG914" s="522"/>
      <c r="AH914" s="587">
        <v>1.56</v>
      </c>
      <c r="AI914" s="521"/>
      <c r="AJ914" s="522"/>
      <c r="AK914" s="587">
        <v>1.55</v>
      </c>
      <c r="AL914" s="521"/>
      <c r="AM914" s="522"/>
      <c r="AN914" s="587">
        <v>1.75</v>
      </c>
      <c r="AO914" s="521"/>
      <c r="AP914" s="522"/>
      <c r="AQ914" s="587">
        <v>2.0099999999999998</v>
      </c>
      <c r="AR914" s="521"/>
      <c r="AS914" s="522"/>
      <c r="AT914" s="587">
        <f t="shared" si="32"/>
        <v>23.439999999999998</v>
      </c>
      <c r="AU914" s="246"/>
      <c r="AV914" s="336"/>
      <c r="AW914" s="285"/>
      <c r="AX914" s="337"/>
      <c r="AY914" s="441">
        <v>19.159549999999999</v>
      </c>
      <c r="AZ914" s="374"/>
      <c r="BA914" s="374"/>
      <c r="BB914" s="374"/>
      <c r="BC914" s="374"/>
    </row>
    <row r="915" spans="1:55" s="116" customFormat="1">
      <c r="A915" s="179"/>
      <c r="B915" s="179"/>
      <c r="C915" s="179"/>
      <c r="D915" s="181">
        <v>345916</v>
      </c>
      <c r="E915" s="181"/>
      <c r="F915" s="181"/>
      <c r="G915" s="1212">
        <v>345916</v>
      </c>
      <c r="H915" s="130" t="s">
        <v>1718</v>
      </c>
      <c r="I915" s="519" t="s">
        <v>365</v>
      </c>
      <c r="J915" s="587">
        <v>0.22</v>
      </c>
      <c r="K915" s="521"/>
      <c r="L915" s="522"/>
      <c r="M915" s="587">
        <v>0.16</v>
      </c>
      <c r="N915" s="521"/>
      <c r="O915" s="522"/>
      <c r="P915" s="587">
        <v>0.2</v>
      </c>
      <c r="Q915" s="521"/>
      <c r="R915" s="522"/>
      <c r="S915" s="587">
        <v>0.32</v>
      </c>
      <c r="T915" s="521"/>
      <c r="U915" s="522"/>
      <c r="V915" s="587">
        <v>0.38</v>
      </c>
      <c r="W915" s="521"/>
      <c r="X915" s="522"/>
      <c r="Y915" s="587">
        <v>0.21</v>
      </c>
      <c r="Z915" s="521"/>
      <c r="AA915" s="522"/>
      <c r="AB915" s="587">
        <v>0.2</v>
      </c>
      <c r="AC915" s="521"/>
      <c r="AD915" s="522"/>
      <c r="AE915" s="587">
        <v>0.16</v>
      </c>
      <c r="AF915" s="521"/>
      <c r="AG915" s="522"/>
      <c r="AH915" s="587">
        <v>0.19</v>
      </c>
      <c r="AI915" s="521"/>
      <c r="AJ915" s="522"/>
      <c r="AK915" s="587">
        <v>0.28000000000000003</v>
      </c>
      <c r="AL915" s="521"/>
      <c r="AM915" s="522"/>
      <c r="AN915" s="587">
        <v>0.3</v>
      </c>
      <c r="AO915" s="521"/>
      <c r="AP915" s="522"/>
      <c r="AQ915" s="587">
        <v>0.3</v>
      </c>
      <c r="AR915" s="521"/>
      <c r="AS915" s="522"/>
      <c r="AT915" s="587">
        <f t="shared" si="32"/>
        <v>2.92</v>
      </c>
      <c r="AU915" s="246"/>
      <c r="AV915" s="336"/>
      <c r="AW915" s="285"/>
      <c r="AX915" s="337"/>
      <c r="AY915" s="441">
        <v>2.868131</v>
      </c>
      <c r="AZ915" s="374"/>
      <c r="BA915" s="374"/>
      <c r="BB915" s="374"/>
      <c r="BC915" s="374"/>
    </row>
    <row r="916" spans="1:55" s="116" customFormat="1">
      <c r="A916" s="179"/>
      <c r="B916" s="179"/>
      <c r="C916" s="179"/>
      <c r="D916" s="181">
        <v>345916</v>
      </c>
      <c r="E916" s="181"/>
      <c r="F916" s="181"/>
      <c r="G916" s="1212">
        <v>777028</v>
      </c>
      <c r="H916" s="130" t="s">
        <v>948</v>
      </c>
      <c r="I916" s="519" t="s">
        <v>365</v>
      </c>
      <c r="J916" s="587">
        <v>0.34</v>
      </c>
      <c r="K916" s="521"/>
      <c r="L916" s="522"/>
      <c r="M916" s="587">
        <v>0.2</v>
      </c>
      <c r="N916" s="521"/>
      <c r="O916" s="522"/>
      <c r="P916" s="587">
        <v>0.27</v>
      </c>
      <c r="Q916" s="521"/>
      <c r="R916" s="522"/>
      <c r="S916" s="587">
        <v>0.57999999999999996</v>
      </c>
      <c r="T916" s="521"/>
      <c r="U916" s="522"/>
      <c r="V916" s="587">
        <v>0.57999999999999996</v>
      </c>
      <c r="W916" s="521"/>
      <c r="X916" s="522"/>
      <c r="Y916" s="587">
        <v>0.25</v>
      </c>
      <c r="Z916" s="521"/>
      <c r="AA916" s="522"/>
      <c r="AB916" s="587">
        <v>0.25</v>
      </c>
      <c r="AC916" s="521"/>
      <c r="AD916" s="522"/>
      <c r="AE916" s="587">
        <v>0.28000000000000003</v>
      </c>
      <c r="AF916" s="521"/>
      <c r="AG916" s="522"/>
      <c r="AH916" s="587">
        <v>0.28999999999999998</v>
      </c>
      <c r="AI916" s="521"/>
      <c r="AJ916" s="522"/>
      <c r="AK916" s="587">
        <v>0.43</v>
      </c>
      <c r="AL916" s="521"/>
      <c r="AM916" s="522"/>
      <c r="AN916" s="587">
        <v>0.49</v>
      </c>
      <c r="AO916" s="521"/>
      <c r="AP916" s="522"/>
      <c r="AQ916" s="587">
        <v>0.52</v>
      </c>
      <c r="AR916" s="521"/>
      <c r="AS916" s="522"/>
      <c r="AT916" s="587">
        <f t="shared" si="32"/>
        <v>4.4800000000000004</v>
      </c>
      <c r="AU916" s="246"/>
      <c r="AV916" s="336"/>
      <c r="AW916" s="285"/>
      <c r="AX916" s="337"/>
      <c r="AY916" s="441">
        <v>3.7873299999999999</v>
      </c>
      <c r="AZ916" s="374"/>
      <c r="BA916" s="374"/>
      <c r="BB916" s="374"/>
      <c r="BC916" s="374"/>
    </row>
    <row r="917" spans="1:55" s="116" customFormat="1">
      <c r="A917" s="179"/>
      <c r="B917" s="179"/>
      <c r="C917" s="179"/>
      <c r="D917" s="181"/>
      <c r="E917" s="181"/>
      <c r="F917" s="181"/>
      <c r="G917" s="1121"/>
      <c r="H917" s="134" t="s">
        <v>1502</v>
      </c>
      <c r="I917" s="519"/>
      <c r="J917" s="262">
        <f>SUM(J918:J919)</f>
        <v>15.4</v>
      </c>
      <c r="K917" s="521"/>
      <c r="L917" s="522"/>
      <c r="M917" s="262">
        <f>SUM(M918:M919)</f>
        <v>11.2</v>
      </c>
      <c r="N917" s="521"/>
      <c r="O917" s="522"/>
      <c r="P917" s="262">
        <f>SUM(P918:P919)</f>
        <v>10.8</v>
      </c>
      <c r="Q917" s="521"/>
      <c r="R917" s="522"/>
      <c r="S917" s="262">
        <f>SUM(S918:S919)</f>
        <v>29</v>
      </c>
      <c r="T917" s="521"/>
      <c r="U917" s="522"/>
      <c r="V917" s="262">
        <f>SUM(V918:V919)</f>
        <v>30.8</v>
      </c>
      <c r="W917" s="521"/>
      <c r="X917" s="522"/>
      <c r="Y917" s="262">
        <f>SUM(Y918:Y919)</f>
        <v>22.8</v>
      </c>
      <c r="Z917" s="521"/>
      <c r="AA917" s="522"/>
      <c r="AB917" s="262">
        <f>SUM(AB918:AB919)</f>
        <v>13.4</v>
      </c>
      <c r="AC917" s="521"/>
      <c r="AD917" s="522"/>
      <c r="AE917" s="262">
        <f>SUM(AE918:AE919)</f>
        <v>8</v>
      </c>
      <c r="AF917" s="521"/>
      <c r="AG917" s="522"/>
      <c r="AH917" s="262">
        <f>SUM(AH918:AH919)</f>
        <v>11.2</v>
      </c>
      <c r="AI917" s="521"/>
      <c r="AJ917" s="522"/>
      <c r="AK917" s="262">
        <f>SUM(AK918:AK919)</f>
        <v>15.6</v>
      </c>
      <c r="AL917" s="521"/>
      <c r="AM917" s="522"/>
      <c r="AN917" s="262">
        <f>SUM(AN918:AN919)</f>
        <v>23.6</v>
      </c>
      <c r="AO917" s="521"/>
      <c r="AP917" s="522"/>
      <c r="AQ917" s="262">
        <f>SUM(AQ918:AQ919)</f>
        <v>17</v>
      </c>
      <c r="AR917" s="521"/>
      <c r="AS917" s="522"/>
      <c r="AT917" s="262">
        <f>SUM(AT918:AT919)</f>
        <v>208.79999999999998</v>
      </c>
      <c r="AU917" s="246"/>
      <c r="AV917" s="336"/>
      <c r="AW917" s="285"/>
      <c r="AX917" s="337"/>
      <c r="AY917" s="262">
        <f>SUM(AY918:AY919)</f>
        <v>0</v>
      </c>
      <c r="AZ917" s="374"/>
      <c r="BA917" s="374"/>
      <c r="BB917" s="374"/>
      <c r="BC917" s="374"/>
    </row>
    <row r="918" spans="1:55" s="116" customFormat="1">
      <c r="A918" s="179"/>
      <c r="B918" s="179"/>
      <c r="C918" s="179"/>
      <c r="D918" s="181"/>
      <c r="E918" s="181"/>
      <c r="F918" s="181"/>
      <c r="G918" s="1212">
        <v>777814</v>
      </c>
      <c r="H918" s="130" t="s">
        <v>1503</v>
      </c>
      <c r="I918" s="519" t="s">
        <v>365</v>
      </c>
      <c r="J918" s="587">
        <v>7.7</v>
      </c>
      <c r="K918" s="521"/>
      <c r="L918" s="522"/>
      <c r="M918" s="587">
        <v>5.6</v>
      </c>
      <c r="N918" s="521"/>
      <c r="O918" s="522"/>
      <c r="P918" s="587">
        <v>5.4</v>
      </c>
      <c r="Q918" s="521"/>
      <c r="R918" s="522"/>
      <c r="S918" s="587">
        <v>14.5</v>
      </c>
      <c r="T918" s="521"/>
      <c r="U918" s="522"/>
      <c r="V918" s="587">
        <v>15.4</v>
      </c>
      <c r="W918" s="521"/>
      <c r="X918" s="522"/>
      <c r="Y918" s="587">
        <v>11.4</v>
      </c>
      <c r="Z918" s="521"/>
      <c r="AA918" s="522"/>
      <c r="AB918" s="587">
        <v>6.7</v>
      </c>
      <c r="AC918" s="521"/>
      <c r="AD918" s="522"/>
      <c r="AE918" s="587">
        <v>4</v>
      </c>
      <c r="AF918" s="521"/>
      <c r="AG918" s="522"/>
      <c r="AH918" s="587">
        <v>5.6</v>
      </c>
      <c r="AI918" s="521"/>
      <c r="AJ918" s="522"/>
      <c r="AK918" s="587">
        <v>7.8</v>
      </c>
      <c r="AL918" s="521"/>
      <c r="AM918" s="522"/>
      <c r="AN918" s="587">
        <v>11.8</v>
      </c>
      <c r="AO918" s="521"/>
      <c r="AP918" s="522"/>
      <c r="AQ918" s="587">
        <v>8.5</v>
      </c>
      <c r="AR918" s="521"/>
      <c r="AS918" s="522"/>
      <c r="AT918" s="587">
        <f t="shared" si="32"/>
        <v>104.39999999999999</v>
      </c>
      <c r="AU918" s="246"/>
      <c r="AV918" s="336"/>
      <c r="AW918" s="285"/>
      <c r="AX918" s="337"/>
      <c r="AY918" s="441">
        <v>0</v>
      </c>
      <c r="AZ918" s="374"/>
      <c r="BA918" s="374"/>
      <c r="BB918" s="374"/>
      <c r="BC918" s="374"/>
    </row>
    <row r="919" spans="1:55" s="116" customFormat="1">
      <c r="A919" s="179"/>
      <c r="B919" s="179"/>
      <c r="C919" s="179"/>
      <c r="D919" s="181"/>
      <c r="E919" s="181"/>
      <c r="F919" s="181"/>
      <c r="G919" s="1212">
        <v>777815</v>
      </c>
      <c r="H919" s="130" t="s">
        <v>1504</v>
      </c>
      <c r="I919" s="519" t="s">
        <v>365</v>
      </c>
      <c r="J919" s="587">
        <v>7.7</v>
      </c>
      <c r="K919" s="521"/>
      <c r="L919" s="522"/>
      <c r="M919" s="587">
        <v>5.6</v>
      </c>
      <c r="N919" s="521"/>
      <c r="O919" s="522"/>
      <c r="P919" s="587">
        <v>5.4</v>
      </c>
      <c r="Q919" s="521"/>
      <c r="R919" s="522"/>
      <c r="S919" s="587">
        <v>14.5</v>
      </c>
      <c r="T919" s="521"/>
      <c r="U919" s="522"/>
      <c r="V919" s="587">
        <v>15.4</v>
      </c>
      <c r="W919" s="521"/>
      <c r="X919" s="522"/>
      <c r="Y919" s="587">
        <v>11.4</v>
      </c>
      <c r="Z919" s="521"/>
      <c r="AA919" s="522"/>
      <c r="AB919" s="587">
        <v>6.7</v>
      </c>
      <c r="AC919" s="521"/>
      <c r="AD919" s="522"/>
      <c r="AE919" s="587">
        <v>4</v>
      </c>
      <c r="AF919" s="521"/>
      <c r="AG919" s="522"/>
      <c r="AH919" s="587">
        <v>5.6</v>
      </c>
      <c r="AI919" s="521"/>
      <c r="AJ919" s="522"/>
      <c r="AK919" s="587">
        <v>7.8</v>
      </c>
      <c r="AL919" s="521"/>
      <c r="AM919" s="522"/>
      <c r="AN919" s="587">
        <v>11.8</v>
      </c>
      <c r="AO919" s="521"/>
      <c r="AP919" s="522"/>
      <c r="AQ919" s="587">
        <v>8.5</v>
      </c>
      <c r="AR919" s="521"/>
      <c r="AS919" s="522"/>
      <c r="AT919" s="587">
        <f t="shared" si="32"/>
        <v>104.39999999999999</v>
      </c>
      <c r="AU919" s="246"/>
      <c r="AV919" s="336"/>
      <c r="AW919" s="285"/>
      <c r="AX919" s="337"/>
      <c r="AY919" s="441">
        <v>0</v>
      </c>
      <c r="AZ919" s="374"/>
      <c r="BA919" s="374"/>
      <c r="BB919" s="374"/>
      <c r="BC919" s="374"/>
    </row>
    <row r="920" spans="1:55" s="116" customFormat="1">
      <c r="A920" s="179"/>
      <c r="B920" s="179"/>
      <c r="C920" s="179"/>
      <c r="D920" s="181"/>
      <c r="E920" s="181"/>
      <c r="F920" s="181"/>
      <c r="G920" s="1110"/>
      <c r="H920" s="138" t="s">
        <v>174</v>
      </c>
      <c r="I920" s="138"/>
      <c r="J920" s="319">
        <f>SUM(J921:J923)</f>
        <v>85.5</v>
      </c>
      <c r="K920" s="288"/>
      <c r="L920" s="289"/>
      <c r="M920" s="287">
        <f>SUM(M921:M923)</f>
        <v>80</v>
      </c>
      <c r="N920" s="288"/>
      <c r="O920" s="289"/>
      <c r="P920" s="287">
        <f>SUM(P921:P923)</f>
        <v>83.2</v>
      </c>
      <c r="Q920" s="288"/>
      <c r="R920" s="289"/>
      <c r="S920" s="287">
        <f>SUM(S921:S923)</f>
        <v>77.599999999999994</v>
      </c>
      <c r="T920" s="288"/>
      <c r="U920" s="289"/>
      <c r="V920" s="287">
        <f>SUM(V921:V923)</f>
        <v>67.900000000000006</v>
      </c>
      <c r="W920" s="288"/>
      <c r="X920" s="289"/>
      <c r="Y920" s="287">
        <f>SUM(Y921:Y923)</f>
        <v>42.9</v>
      </c>
      <c r="Z920" s="288"/>
      <c r="AA920" s="289"/>
      <c r="AB920" s="287">
        <f>SUM(AB921:AB923)</f>
        <v>49.300000000000004</v>
      </c>
      <c r="AC920" s="288"/>
      <c r="AD920" s="289"/>
      <c r="AE920" s="287">
        <f>SUM(AE921:AE923)</f>
        <v>64.400000000000006</v>
      </c>
      <c r="AF920" s="288"/>
      <c r="AG920" s="289"/>
      <c r="AH920" s="287">
        <f>SUM(AH921:AH923)</f>
        <v>65.400000000000006</v>
      </c>
      <c r="AI920" s="288"/>
      <c r="AJ920" s="289"/>
      <c r="AK920" s="287">
        <f>SUM(AK921:AK923)</f>
        <v>76.599999999999994</v>
      </c>
      <c r="AL920" s="288"/>
      <c r="AM920" s="289"/>
      <c r="AN920" s="287">
        <f>SUM(AN921:AN923)</f>
        <v>80.900000000000006</v>
      </c>
      <c r="AO920" s="288"/>
      <c r="AP920" s="289"/>
      <c r="AQ920" s="287">
        <f>SUM(AQ921:AQ923)</f>
        <v>85.1</v>
      </c>
      <c r="AR920" s="288"/>
      <c r="AS920" s="289"/>
      <c r="AT920" s="287">
        <f>SUM(AT921:AT923)</f>
        <v>858.79999999999984</v>
      </c>
      <c r="AU920" s="288"/>
      <c r="AV920" s="290"/>
      <c r="AW920" s="285"/>
      <c r="AX920" s="296"/>
      <c r="AY920" s="1066">
        <v>823.70559400000002</v>
      </c>
      <c r="AZ920" s="374"/>
      <c r="BA920" s="374"/>
      <c r="BB920" s="374"/>
      <c r="BC920" s="374"/>
    </row>
    <row r="921" spans="1:55" s="116" customFormat="1">
      <c r="A921" s="179"/>
      <c r="B921" s="179"/>
      <c r="C921" s="179"/>
      <c r="D921" s="181">
        <v>345940</v>
      </c>
      <c r="E921" s="181"/>
      <c r="F921" s="181"/>
      <c r="G921" s="1110">
        <v>345940</v>
      </c>
      <c r="H921" s="135" t="s">
        <v>1412</v>
      </c>
      <c r="I921" s="518" t="s">
        <v>365</v>
      </c>
      <c r="J921" s="736">
        <v>20.5</v>
      </c>
      <c r="K921" s="734"/>
      <c r="L921" s="735"/>
      <c r="M921" s="736">
        <v>19.399999999999999</v>
      </c>
      <c r="N921" s="734"/>
      <c r="O921" s="735"/>
      <c r="P921" s="736">
        <v>19.7</v>
      </c>
      <c r="Q921" s="734"/>
      <c r="R921" s="735"/>
      <c r="S921" s="736">
        <v>18</v>
      </c>
      <c r="T921" s="734"/>
      <c r="U921" s="735"/>
      <c r="V921" s="736">
        <v>16.3</v>
      </c>
      <c r="W921" s="734"/>
      <c r="X921" s="735"/>
      <c r="Y921" s="736">
        <v>13.6</v>
      </c>
      <c r="Z921" s="734"/>
      <c r="AA921" s="735"/>
      <c r="AB921" s="736">
        <v>12.6</v>
      </c>
      <c r="AC921" s="734"/>
      <c r="AD921" s="735"/>
      <c r="AE921" s="736">
        <v>14.1</v>
      </c>
      <c r="AF921" s="734"/>
      <c r="AG921" s="735"/>
      <c r="AH921" s="736">
        <v>15.1</v>
      </c>
      <c r="AI921" s="734"/>
      <c r="AJ921" s="735"/>
      <c r="AK921" s="736">
        <v>19.3</v>
      </c>
      <c r="AL921" s="734"/>
      <c r="AM921" s="735"/>
      <c r="AN921" s="736">
        <v>20.100000000000001</v>
      </c>
      <c r="AO921" s="734"/>
      <c r="AP921" s="735"/>
      <c r="AQ921" s="736">
        <v>20.8</v>
      </c>
      <c r="AR921" s="288"/>
      <c r="AS921" s="289"/>
      <c r="AT921" s="294">
        <f t="shared" si="32"/>
        <v>209.5</v>
      </c>
      <c r="AU921" s="288"/>
      <c r="AV921" s="290"/>
      <c r="AW921" s="285"/>
      <c r="AX921" s="296"/>
      <c r="AY921" s="295"/>
      <c r="AZ921" s="374"/>
      <c r="BA921" s="374"/>
      <c r="BB921" s="374"/>
      <c r="BC921" s="374"/>
    </row>
    <row r="922" spans="1:55" s="116" customFormat="1">
      <c r="A922" s="179"/>
      <c r="B922" s="179"/>
      <c r="C922" s="179"/>
      <c r="D922" s="181">
        <v>345941</v>
      </c>
      <c r="E922" s="181"/>
      <c r="F922" s="181"/>
      <c r="G922" s="1110">
        <v>345941</v>
      </c>
      <c r="H922" s="135" t="s">
        <v>1413</v>
      </c>
      <c r="I922" s="518" t="s">
        <v>365</v>
      </c>
      <c r="J922" s="736">
        <v>58.8</v>
      </c>
      <c r="K922" s="734"/>
      <c r="L922" s="735"/>
      <c r="M922" s="736">
        <v>55</v>
      </c>
      <c r="N922" s="734"/>
      <c r="O922" s="735"/>
      <c r="P922" s="736">
        <v>57.3</v>
      </c>
      <c r="Q922" s="734"/>
      <c r="R922" s="735"/>
      <c r="S922" s="736">
        <v>54</v>
      </c>
      <c r="T922" s="734"/>
      <c r="U922" s="735"/>
      <c r="V922" s="736">
        <v>49.1</v>
      </c>
      <c r="W922" s="734"/>
      <c r="X922" s="735"/>
      <c r="Y922" s="736">
        <v>25.9</v>
      </c>
      <c r="Z922" s="734"/>
      <c r="AA922" s="735"/>
      <c r="AB922" s="736">
        <v>33</v>
      </c>
      <c r="AC922" s="734"/>
      <c r="AD922" s="735"/>
      <c r="AE922" s="736">
        <v>46.9</v>
      </c>
      <c r="AF922" s="734"/>
      <c r="AG922" s="735"/>
      <c r="AH922" s="736">
        <v>46.8</v>
      </c>
      <c r="AI922" s="734"/>
      <c r="AJ922" s="735"/>
      <c r="AK922" s="736">
        <v>52</v>
      </c>
      <c r="AL922" s="734"/>
      <c r="AM922" s="735"/>
      <c r="AN922" s="736">
        <v>55.4</v>
      </c>
      <c r="AO922" s="734"/>
      <c r="AP922" s="735"/>
      <c r="AQ922" s="736">
        <v>58.8</v>
      </c>
      <c r="AR922" s="288"/>
      <c r="AS922" s="289"/>
      <c r="AT922" s="294">
        <f t="shared" si="32"/>
        <v>592.99999999999989</v>
      </c>
      <c r="AU922" s="288"/>
      <c r="AV922" s="290"/>
      <c r="AW922" s="285"/>
      <c r="AX922" s="296"/>
      <c r="AY922" s="295"/>
      <c r="AZ922" s="374"/>
      <c r="BA922" s="374"/>
      <c r="BB922" s="374"/>
      <c r="BC922" s="374"/>
    </row>
    <row r="923" spans="1:55" s="116" customFormat="1">
      <c r="A923" s="179"/>
      <c r="B923" s="179"/>
      <c r="C923" s="179"/>
      <c r="D923" s="181">
        <v>345942</v>
      </c>
      <c r="E923" s="181"/>
      <c r="F923" s="181"/>
      <c r="G923" s="1110">
        <v>345942</v>
      </c>
      <c r="H923" s="135" t="s">
        <v>865</v>
      </c>
      <c r="I923" s="518" t="s">
        <v>365</v>
      </c>
      <c r="J923" s="733">
        <v>6.2</v>
      </c>
      <c r="K923" s="734"/>
      <c r="L923" s="735"/>
      <c r="M923" s="736">
        <v>5.6</v>
      </c>
      <c r="N923" s="734"/>
      <c r="O923" s="735"/>
      <c r="P923" s="733">
        <v>6.2</v>
      </c>
      <c r="Q923" s="734"/>
      <c r="R923" s="735"/>
      <c r="S923" s="736">
        <v>5.6</v>
      </c>
      <c r="T923" s="734"/>
      <c r="U923" s="735"/>
      <c r="V923" s="733">
        <v>2.5</v>
      </c>
      <c r="W923" s="734"/>
      <c r="X923" s="735"/>
      <c r="Y923" s="736">
        <v>3.4</v>
      </c>
      <c r="Z923" s="734"/>
      <c r="AA923" s="735"/>
      <c r="AB923" s="736">
        <v>3.7</v>
      </c>
      <c r="AC923" s="734"/>
      <c r="AD923" s="735"/>
      <c r="AE923" s="736">
        <v>3.4</v>
      </c>
      <c r="AF923" s="734"/>
      <c r="AG923" s="735"/>
      <c r="AH923" s="733">
        <v>3.5</v>
      </c>
      <c r="AI923" s="734"/>
      <c r="AJ923" s="735"/>
      <c r="AK923" s="736">
        <v>5.3</v>
      </c>
      <c r="AL923" s="734"/>
      <c r="AM923" s="735"/>
      <c r="AN923" s="736">
        <v>5.4</v>
      </c>
      <c r="AO923" s="734"/>
      <c r="AP923" s="735"/>
      <c r="AQ923" s="736">
        <v>5.5</v>
      </c>
      <c r="AR923" s="288"/>
      <c r="AS923" s="289"/>
      <c r="AT923" s="294">
        <f t="shared" si="32"/>
        <v>56.3</v>
      </c>
      <c r="AU923" s="288"/>
      <c r="AV923" s="289"/>
      <c r="AW923" s="285"/>
      <c r="AX923" s="296"/>
      <c r="AY923" s="295"/>
      <c r="AZ923" s="374"/>
      <c r="BA923" s="374"/>
      <c r="BB923" s="374"/>
      <c r="BC923" s="374"/>
    </row>
    <row r="924" spans="1:55" s="117" customFormat="1" ht="18.75">
      <c r="A924" s="179"/>
      <c r="B924" s="179"/>
      <c r="C924" s="179"/>
      <c r="D924" s="181">
        <v>689400</v>
      </c>
      <c r="E924" s="181"/>
      <c r="F924" s="181"/>
      <c r="G924" s="181">
        <v>689400</v>
      </c>
      <c r="H924" s="475" t="s">
        <v>1607</v>
      </c>
      <c r="I924" s="475"/>
      <c r="J924" s="277">
        <f>SUM(J925:J926)</f>
        <v>986.03351700000007</v>
      </c>
      <c r="K924" s="275">
        <f>L924-J924</f>
        <v>-103.37823234255393</v>
      </c>
      <c r="L924" s="276">
        <f>Потребление!D56</f>
        <v>882.65528465744615</v>
      </c>
      <c r="M924" s="274">
        <f>SUM(M925:M926)</f>
        <v>945.19161299999996</v>
      </c>
      <c r="N924" s="275">
        <f>O924-M924</f>
        <v>-127.13905590768729</v>
      </c>
      <c r="O924" s="276">
        <f>Потребление!E56</f>
        <v>818.05255709231267</v>
      </c>
      <c r="P924" s="274">
        <f>SUM(P925:P926)</f>
        <v>980.78551699999991</v>
      </c>
      <c r="Q924" s="275">
        <f>R924-P924</f>
        <v>-152.05549448472163</v>
      </c>
      <c r="R924" s="276">
        <f>Потребление!F56</f>
        <v>828.73002251527828</v>
      </c>
      <c r="S924" s="274">
        <f>SUM(S925:S926)</f>
        <v>917.94256500000006</v>
      </c>
      <c r="T924" s="275">
        <f>U924-S924</f>
        <v>-152.96527326632372</v>
      </c>
      <c r="U924" s="276">
        <f>Потребление!G56</f>
        <v>764.97729173367634</v>
      </c>
      <c r="V924" s="274">
        <f>SUM(V925:V926)</f>
        <v>825.88851700000009</v>
      </c>
      <c r="W924" s="275">
        <f>X924-V924</f>
        <v>-108.13359901994215</v>
      </c>
      <c r="X924" s="276">
        <f>Потребление!H56</f>
        <v>717.75491798005794</v>
      </c>
      <c r="Y924" s="274">
        <f>SUM(Y925:Y926)</f>
        <v>824.94256500000006</v>
      </c>
      <c r="Z924" s="275">
        <f>AA924-Y924</f>
        <v>-174.71582971534258</v>
      </c>
      <c r="AA924" s="276">
        <f>Потребление!I56</f>
        <v>650.22673528465748</v>
      </c>
      <c r="AB924" s="274">
        <f>SUM(AB925:AB926)</f>
        <v>691.43451700000003</v>
      </c>
      <c r="AC924" s="275">
        <f>AD924-AB924</f>
        <v>-26.213957334512656</v>
      </c>
      <c r="AD924" s="276">
        <f>Потребление!J56</f>
        <v>665.22055966548737</v>
      </c>
      <c r="AE924" s="274">
        <f>SUM(AE925:AE926)</f>
        <v>833.10551699999996</v>
      </c>
      <c r="AF924" s="275">
        <f>AG924-AE924</f>
        <v>-145.83952793599235</v>
      </c>
      <c r="AG924" s="276">
        <f>Потребление!K56</f>
        <v>687.26598906400761</v>
      </c>
      <c r="AH924" s="274">
        <f>SUM(AH925:AH926)</f>
        <v>858.03956500000004</v>
      </c>
      <c r="AI924" s="275">
        <f>AJ924-AH924</f>
        <v>-137.58803717754904</v>
      </c>
      <c r="AJ924" s="276">
        <f>Потребление!L56</f>
        <v>720.451527822451</v>
      </c>
      <c r="AK924" s="274">
        <f>SUM(AK925:AK926)</f>
        <v>943.84151700000007</v>
      </c>
      <c r="AL924" s="275">
        <f>AM924-AK924</f>
        <v>-152.73029152557103</v>
      </c>
      <c r="AM924" s="276">
        <f>Потребление!M56</f>
        <v>791.11122547442903</v>
      </c>
      <c r="AN924" s="274">
        <f>SUM(AN925:AN926)</f>
        <v>960.72456499999998</v>
      </c>
      <c r="AO924" s="275">
        <f>AP924-AN924</f>
        <v>-135.68875927468639</v>
      </c>
      <c r="AP924" s="276">
        <f>Потребление!N56</f>
        <v>825.03580572531359</v>
      </c>
      <c r="AQ924" s="274">
        <f>SUM(AQ925:AQ926)</f>
        <v>1029.1095169999999</v>
      </c>
      <c r="AR924" s="275">
        <f>AS924-AQ924</f>
        <v>-140.59143401511722</v>
      </c>
      <c r="AS924" s="276">
        <f>Потребление!O56</f>
        <v>888.51808298488265</v>
      </c>
      <c r="AT924" s="274">
        <f>SUM(AT925:AT926)</f>
        <v>10797.039492</v>
      </c>
      <c r="AU924" s="275">
        <f>AV924-AT924</f>
        <v>-1557.0394919999981</v>
      </c>
      <c r="AV924" s="278">
        <f>L924+O924+R924+U924+X924+AA924+AD924+AG924+AJ924+AM924+AP924+AS924</f>
        <v>9240.0000000000018</v>
      </c>
      <c r="AW924" s="279"/>
      <c r="AX924" s="1067">
        <v>9110.7593379999998</v>
      </c>
      <c r="AY924" s="280">
        <f>AY925+AY926</f>
        <v>10190.479476</v>
      </c>
      <c r="AZ924" s="375"/>
      <c r="BA924" s="375"/>
      <c r="BB924" s="375"/>
      <c r="BC924" s="375"/>
    </row>
    <row r="925" spans="1:55" s="117" customFormat="1">
      <c r="A925" s="179"/>
      <c r="B925" s="179"/>
      <c r="C925" s="179"/>
      <c r="D925" s="181"/>
      <c r="E925" s="181"/>
      <c r="F925" s="181"/>
      <c r="G925" s="181"/>
      <c r="H925" s="10" t="s">
        <v>56</v>
      </c>
      <c r="I925" s="10"/>
      <c r="J925" s="223">
        <f>SUM(J927:J932)</f>
        <v>578.00200000000007</v>
      </c>
      <c r="K925" s="271"/>
      <c r="L925" s="224"/>
      <c r="M925" s="223">
        <f>SUM(M927:M932)</f>
        <v>562.4849999999999</v>
      </c>
      <c r="N925" s="271"/>
      <c r="O925" s="224"/>
      <c r="P925" s="223">
        <f>SUM(P927:P932)</f>
        <v>581.00199999999995</v>
      </c>
      <c r="Q925" s="271"/>
      <c r="R925" s="224"/>
      <c r="S925" s="223">
        <f>SUM(S927:S932)</f>
        <v>544.15600000000006</v>
      </c>
      <c r="T925" s="271"/>
      <c r="U925" s="224"/>
      <c r="V925" s="223">
        <f>SUM(V927:V932)</f>
        <v>531.22300000000007</v>
      </c>
      <c r="W925" s="271"/>
      <c r="X925" s="224"/>
      <c r="Y925" s="223">
        <f>SUM(Y927:Y932)</f>
        <v>501.00599999999997</v>
      </c>
      <c r="Z925" s="271"/>
      <c r="AA925" s="224"/>
      <c r="AB925" s="223">
        <f>SUM(AB927:AB932)</f>
        <v>380.209</v>
      </c>
      <c r="AC925" s="271"/>
      <c r="AD925" s="224"/>
      <c r="AE925" s="223">
        <f>SUM(AE927:AE932)</f>
        <v>513.67899999999997</v>
      </c>
      <c r="AF925" s="271"/>
      <c r="AG925" s="224"/>
      <c r="AH925" s="223">
        <f>SUM(AH927:AH932)</f>
        <v>535.17399999999998</v>
      </c>
      <c r="AI925" s="271"/>
      <c r="AJ925" s="224"/>
      <c r="AK925" s="223">
        <f>SUM(AK927:AK932)</f>
        <v>572.84900000000005</v>
      </c>
      <c r="AL925" s="271"/>
      <c r="AM925" s="224"/>
      <c r="AN925" s="223">
        <f>SUM(AN927:AN932)</f>
        <v>579.70000000000005</v>
      </c>
      <c r="AO925" s="271"/>
      <c r="AP925" s="224"/>
      <c r="AQ925" s="223">
        <f>SUM(AQ927:AQ932)</f>
        <v>623.92700000000002</v>
      </c>
      <c r="AR925" s="271"/>
      <c r="AS925" s="224"/>
      <c r="AT925" s="223">
        <f>SUM(AT927:AT932)</f>
        <v>6503.4119999999994</v>
      </c>
      <c r="AU925" s="271"/>
      <c r="AV925" s="229"/>
      <c r="AW925" s="226"/>
      <c r="AX925" s="230"/>
      <c r="AY925" s="223">
        <f>SUM(AY927:AY932)</f>
        <v>6424.2158479999998</v>
      </c>
      <c r="AZ925" s="375"/>
      <c r="BA925" s="375"/>
      <c r="BB925" s="375"/>
      <c r="BC925" s="375"/>
    </row>
    <row r="926" spans="1:55" s="116" customFormat="1">
      <c r="A926" s="179"/>
      <c r="B926" s="179"/>
      <c r="C926" s="179"/>
      <c r="D926" s="181"/>
      <c r="E926" s="181"/>
      <c r="F926" s="181"/>
      <c r="G926" s="181"/>
      <c r="H926" s="10" t="s">
        <v>99</v>
      </c>
      <c r="I926" s="10"/>
      <c r="J926" s="223">
        <f>J933</f>
        <v>408.03151700000001</v>
      </c>
      <c r="K926" s="271"/>
      <c r="L926" s="224"/>
      <c r="M926" s="223">
        <f>M933</f>
        <v>382.706613</v>
      </c>
      <c r="N926" s="271"/>
      <c r="O926" s="224"/>
      <c r="P926" s="223">
        <f>P933</f>
        <v>399.78351699999996</v>
      </c>
      <c r="Q926" s="271"/>
      <c r="R926" s="224"/>
      <c r="S926" s="223">
        <f>S933</f>
        <v>373.78656499999994</v>
      </c>
      <c r="T926" s="271"/>
      <c r="U926" s="224"/>
      <c r="V926" s="223">
        <f>V933</f>
        <v>294.66551700000002</v>
      </c>
      <c r="W926" s="271"/>
      <c r="X926" s="224"/>
      <c r="Y926" s="223">
        <f>Y933</f>
        <v>323.93656500000003</v>
      </c>
      <c r="Z926" s="271"/>
      <c r="AA926" s="224"/>
      <c r="AB926" s="223">
        <f>AB933</f>
        <v>311.22551700000002</v>
      </c>
      <c r="AC926" s="271"/>
      <c r="AD926" s="224"/>
      <c r="AE926" s="223">
        <f>AE933</f>
        <v>319.42651700000005</v>
      </c>
      <c r="AF926" s="271"/>
      <c r="AG926" s="224"/>
      <c r="AH926" s="223">
        <f>AH933</f>
        <v>322.86556500000006</v>
      </c>
      <c r="AI926" s="271"/>
      <c r="AJ926" s="224"/>
      <c r="AK926" s="223">
        <f>AK933</f>
        <v>370.99251700000002</v>
      </c>
      <c r="AL926" s="271"/>
      <c r="AM926" s="224"/>
      <c r="AN926" s="223">
        <f>AN933</f>
        <v>381.024565</v>
      </c>
      <c r="AO926" s="271"/>
      <c r="AP926" s="224"/>
      <c r="AQ926" s="223">
        <f>AQ933</f>
        <v>405.18251699999996</v>
      </c>
      <c r="AR926" s="271"/>
      <c r="AS926" s="224"/>
      <c r="AT926" s="223">
        <f>AT933</f>
        <v>4293.6274919999996</v>
      </c>
      <c r="AU926" s="271"/>
      <c r="AV926" s="229"/>
      <c r="AW926" s="226"/>
      <c r="AX926" s="230"/>
      <c r="AY926" s="223">
        <f>AY933</f>
        <v>3766.2636280000002</v>
      </c>
      <c r="AZ926" s="374"/>
      <c r="BA926" s="374"/>
      <c r="BB926" s="374"/>
      <c r="BC926" s="374"/>
    </row>
    <row r="927" spans="1:55" s="116" customFormat="1">
      <c r="A927" s="179"/>
      <c r="B927" s="179"/>
      <c r="C927" s="179"/>
      <c r="D927" s="181">
        <v>689410</v>
      </c>
      <c r="E927" s="181"/>
      <c r="F927" s="181"/>
      <c r="G927" s="1110">
        <v>689410</v>
      </c>
      <c r="H927" s="127" t="s">
        <v>446</v>
      </c>
      <c r="I927" s="516" t="s">
        <v>364</v>
      </c>
      <c r="J927" s="708">
        <v>14.297000000000001</v>
      </c>
      <c r="K927" s="545"/>
      <c r="L927" s="546"/>
      <c r="M927" s="547">
        <v>12.621</v>
      </c>
      <c r="N927" s="545"/>
      <c r="O927" s="546"/>
      <c r="P927" s="547">
        <v>13.528</v>
      </c>
      <c r="Q927" s="545"/>
      <c r="R927" s="546"/>
      <c r="S927" s="547">
        <v>11.965999999999999</v>
      </c>
      <c r="T927" s="545"/>
      <c r="U927" s="546"/>
      <c r="V927" s="547">
        <v>10.221</v>
      </c>
      <c r="W927" s="545"/>
      <c r="X927" s="546"/>
      <c r="Y927" s="547">
        <v>7.9420000000000002</v>
      </c>
      <c r="Z927" s="545"/>
      <c r="AA927" s="546"/>
      <c r="AB927" s="547">
        <v>0</v>
      </c>
      <c r="AC927" s="545"/>
      <c r="AD927" s="546"/>
      <c r="AE927" s="547">
        <v>1.008</v>
      </c>
      <c r="AF927" s="545"/>
      <c r="AG927" s="546"/>
      <c r="AH927" s="547">
        <v>9.4339999999999993</v>
      </c>
      <c r="AI927" s="545"/>
      <c r="AJ927" s="546"/>
      <c r="AK927" s="547">
        <v>13.532999999999999</v>
      </c>
      <c r="AL927" s="545"/>
      <c r="AM927" s="546"/>
      <c r="AN927" s="547">
        <v>13.695</v>
      </c>
      <c r="AO927" s="545"/>
      <c r="AP927" s="546"/>
      <c r="AQ927" s="547">
        <v>14.324</v>
      </c>
      <c r="AR927" s="246"/>
      <c r="AS927" s="282"/>
      <c r="AT927" s="244">
        <f t="shared" ref="AT927:AT943" si="33">J927+M927+P927+S927+V927+Y927+AB927+AE927+AH927+AK927+AN927+AQ927</f>
        <v>122.56899999999997</v>
      </c>
      <c r="AU927" s="246"/>
      <c r="AV927" s="336"/>
      <c r="AW927" s="285"/>
      <c r="AX927" s="337"/>
      <c r="AY927" s="441">
        <v>107.52448800000001</v>
      </c>
      <c r="AZ927" s="374"/>
      <c r="BA927" s="374"/>
      <c r="BB927" s="374"/>
      <c r="BC927" s="374"/>
    </row>
    <row r="928" spans="1:55" s="116" customFormat="1">
      <c r="A928" s="179"/>
      <c r="B928" s="179"/>
      <c r="C928" s="179"/>
      <c r="D928" s="181">
        <v>689427</v>
      </c>
      <c r="E928" s="181"/>
      <c r="F928" s="181"/>
      <c r="G928" s="1110">
        <v>689427</v>
      </c>
      <c r="H928" s="127" t="s">
        <v>447</v>
      </c>
      <c r="I928" s="516" t="s">
        <v>364</v>
      </c>
      <c r="J928" s="1166">
        <f>98.595-8</f>
        <v>90.594999999999999</v>
      </c>
      <c r="K928" s="545"/>
      <c r="L928" s="546"/>
      <c r="M928" s="547">
        <v>86.965000000000003</v>
      </c>
      <c r="N928" s="545"/>
      <c r="O928" s="546"/>
      <c r="P928" s="547">
        <v>91.941999999999993</v>
      </c>
      <c r="Q928" s="545"/>
      <c r="R928" s="546"/>
      <c r="S928" s="547">
        <v>85.63</v>
      </c>
      <c r="T928" s="545"/>
      <c r="U928" s="546"/>
      <c r="V928" s="547">
        <v>84.263000000000005</v>
      </c>
      <c r="W928" s="545"/>
      <c r="X928" s="546"/>
      <c r="Y928" s="547">
        <v>72.396000000000001</v>
      </c>
      <c r="Z928" s="545"/>
      <c r="AA928" s="546"/>
      <c r="AB928" s="547">
        <v>79.3</v>
      </c>
      <c r="AC928" s="545"/>
      <c r="AD928" s="546"/>
      <c r="AE928" s="547">
        <v>82.962000000000003</v>
      </c>
      <c r="AF928" s="545"/>
      <c r="AG928" s="546"/>
      <c r="AH928" s="547">
        <v>81.524000000000001</v>
      </c>
      <c r="AI928" s="545"/>
      <c r="AJ928" s="546"/>
      <c r="AK928" s="547">
        <v>86.887</v>
      </c>
      <c r="AL928" s="545"/>
      <c r="AM928" s="546"/>
      <c r="AN928" s="547">
        <v>93.728999999999999</v>
      </c>
      <c r="AO928" s="545"/>
      <c r="AP928" s="546"/>
      <c r="AQ928" s="836">
        <v>101.40600000000001</v>
      </c>
      <c r="AR928" s="246"/>
      <c r="AS928" s="282"/>
      <c r="AT928" s="244">
        <f t="shared" si="33"/>
        <v>1037.5989999999999</v>
      </c>
      <c r="AU928" s="246"/>
      <c r="AV928" s="336"/>
      <c r="AW928" s="285"/>
      <c r="AX928" s="337"/>
      <c r="AY928" s="441">
        <v>1048.833813</v>
      </c>
      <c r="AZ928" s="374"/>
      <c r="BA928" s="374"/>
      <c r="BB928" s="374"/>
      <c r="BC928" s="374"/>
    </row>
    <row r="929" spans="1:55" s="116" customFormat="1">
      <c r="A929" s="179"/>
      <c r="B929" s="179"/>
      <c r="C929" s="179"/>
      <c r="D929" s="181">
        <v>689429</v>
      </c>
      <c r="E929" s="181"/>
      <c r="F929" s="181"/>
      <c r="G929" s="1110">
        <v>689429</v>
      </c>
      <c r="H929" s="127" t="s">
        <v>656</v>
      </c>
      <c r="I929" s="516" t="s">
        <v>364</v>
      </c>
      <c r="J929" s="548">
        <v>11</v>
      </c>
      <c r="K929" s="545"/>
      <c r="L929" s="546"/>
      <c r="M929" s="547">
        <v>10</v>
      </c>
      <c r="N929" s="545"/>
      <c r="O929" s="546"/>
      <c r="P929" s="547">
        <v>10</v>
      </c>
      <c r="Q929" s="545"/>
      <c r="R929" s="546"/>
      <c r="S929" s="547">
        <v>8</v>
      </c>
      <c r="T929" s="545"/>
      <c r="U929" s="546"/>
      <c r="V929" s="547">
        <v>7</v>
      </c>
      <c r="W929" s="545"/>
      <c r="X929" s="546"/>
      <c r="Y929" s="547">
        <v>1.2</v>
      </c>
      <c r="Z929" s="545"/>
      <c r="AA929" s="546"/>
      <c r="AB929" s="547">
        <v>0</v>
      </c>
      <c r="AC929" s="545"/>
      <c r="AD929" s="546"/>
      <c r="AE929" s="547">
        <v>0</v>
      </c>
      <c r="AF929" s="545"/>
      <c r="AG929" s="546"/>
      <c r="AH929" s="547">
        <v>4</v>
      </c>
      <c r="AI929" s="545"/>
      <c r="AJ929" s="546"/>
      <c r="AK929" s="547">
        <v>7</v>
      </c>
      <c r="AL929" s="545"/>
      <c r="AM929" s="546"/>
      <c r="AN929" s="547">
        <v>8.5</v>
      </c>
      <c r="AO929" s="545"/>
      <c r="AP929" s="546"/>
      <c r="AQ929" s="547">
        <v>9.5</v>
      </c>
      <c r="AR929" s="246"/>
      <c r="AS929" s="282"/>
      <c r="AT929" s="244">
        <f t="shared" si="33"/>
        <v>76.2</v>
      </c>
      <c r="AU929" s="246"/>
      <c r="AV929" s="336"/>
      <c r="AW929" s="285"/>
      <c r="AX929" s="337"/>
      <c r="AY929" s="441">
        <v>68.604589000000004</v>
      </c>
      <c r="AZ929" s="374"/>
      <c r="BA929" s="374"/>
      <c r="BB929" s="374"/>
      <c r="BC929" s="374"/>
    </row>
    <row r="930" spans="1:55" s="116" customFormat="1">
      <c r="A930" s="179"/>
      <c r="B930" s="179"/>
      <c r="C930" s="179"/>
      <c r="D930" s="181">
        <v>689426</v>
      </c>
      <c r="E930" s="181"/>
      <c r="F930" s="181"/>
      <c r="G930" s="1110">
        <v>689426</v>
      </c>
      <c r="H930" s="127" t="s">
        <v>657</v>
      </c>
      <c r="I930" s="516" t="s">
        <v>364</v>
      </c>
      <c r="J930" s="1167">
        <f>168.015-20</f>
        <v>148.01499999999999</v>
      </c>
      <c r="K930" s="545"/>
      <c r="L930" s="546"/>
      <c r="M930" s="547">
        <v>151.333</v>
      </c>
      <c r="N930" s="545"/>
      <c r="O930" s="546"/>
      <c r="P930" s="547">
        <v>155.80099999999999</v>
      </c>
      <c r="Q930" s="545"/>
      <c r="R930" s="546"/>
      <c r="S930" s="547">
        <v>125.872</v>
      </c>
      <c r="T930" s="545"/>
      <c r="U930" s="546"/>
      <c r="V930" s="547">
        <v>124.395</v>
      </c>
      <c r="W930" s="545"/>
      <c r="X930" s="546"/>
      <c r="Y930" s="547">
        <v>120.321</v>
      </c>
      <c r="Z930" s="545"/>
      <c r="AA930" s="546"/>
      <c r="AB930" s="547">
        <v>127.065</v>
      </c>
      <c r="AC930" s="545"/>
      <c r="AD930" s="546"/>
      <c r="AE930" s="547">
        <v>128.251</v>
      </c>
      <c r="AF930" s="545"/>
      <c r="AG930" s="546"/>
      <c r="AH930" s="547">
        <v>134.624</v>
      </c>
      <c r="AI930" s="545"/>
      <c r="AJ930" s="546"/>
      <c r="AK930" s="547">
        <v>150.82900000000001</v>
      </c>
      <c r="AL930" s="545"/>
      <c r="AM930" s="546"/>
      <c r="AN930" s="547">
        <v>148.78299999999999</v>
      </c>
      <c r="AO930" s="545"/>
      <c r="AP930" s="546"/>
      <c r="AQ930" s="836">
        <v>165.22200000000001</v>
      </c>
      <c r="AR930" s="246"/>
      <c r="AS930" s="282"/>
      <c r="AT930" s="244">
        <f t="shared" si="33"/>
        <v>1680.5109999999997</v>
      </c>
      <c r="AU930" s="246"/>
      <c r="AV930" s="336"/>
      <c r="AW930" s="285"/>
      <c r="AX930" s="337"/>
      <c r="AY930" s="441">
        <v>1608.619463</v>
      </c>
      <c r="AZ930" s="374"/>
      <c r="BA930" s="374"/>
      <c r="BB930" s="374"/>
      <c r="BC930" s="374"/>
    </row>
    <row r="931" spans="1:55" s="116" customFormat="1">
      <c r="A931" s="179"/>
      <c r="B931" s="179"/>
      <c r="C931" s="179"/>
      <c r="D931" s="181">
        <v>689401</v>
      </c>
      <c r="E931" s="181"/>
      <c r="F931" s="181"/>
      <c r="G931" s="1110">
        <v>689401</v>
      </c>
      <c r="H931" s="127" t="s">
        <v>658</v>
      </c>
      <c r="I931" s="516" t="s">
        <v>364</v>
      </c>
      <c r="J931" s="1166">
        <f>331.179-20</f>
        <v>311.17899999999997</v>
      </c>
      <c r="K931" s="545"/>
      <c r="L931" s="546"/>
      <c r="M931" s="547">
        <v>298.75799999999998</v>
      </c>
      <c r="N931" s="545"/>
      <c r="O931" s="546"/>
      <c r="P931" s="547">
        <v>307.24200000000002</v>
      </c>
      <c r="Q931" s="545"/>
      <c r="R931" s="546"/>
      <c r="S931" s="547">
        <v>309.767</v>
      </c>
      <c r="T931" s="545"/>
      <c r="U931" s="546"/>
      <c r="V931" s="547">
        <v>302.495</v>
      </c>
      <c r="W931" s="545"/>
      <c r="X931" s="546"/>
      <c r="Y931" s="547">
        <v>296.334</v>
      </c>
      <c r="Z931" s="545"/>
      <c r="AA931" s="546"/>
      <c r="AB931" s="547">
        <v>170.892</v>
      </c>
      <c r="AC931" s="545"/>
      <c r="AD931" s="546"/>
      <c r="AE931" s="547">
        <v>298.75799999999998</v>
      </c>
      <c r="AF931" s="545"/>
      <c r="AG931" s="546"/>
      <c r="AH931" s="547">
        <v>303</v>
      </c>
      <c r="AI931" s="545"/>
      <c r="AJ931" s="546"/>
      <c r="AK931" s="547">
        <v>311.78699999999998</v>
      </c>
      <c r="AL931" s="545"/>
      <c r="AM931" s="546"/>
      <c r="AN931" s="547">
        <v>311.88799999999998</v>
      </c>
      <c r="AO931" s="545"/>
      <c r="AP931" s="546"/>
      <c r="AQ931" s="547">
        <v>330.77499999999998</v>
      </c>
      <c r="AR931" s="246"/>
      <c r="AS931" s="282"/>
      <c r="AT931" s="244">
        <f t="shared" si="33"/>
        <v>3552.8749999999995</v>
      </c>
      <c r="AU931" s="246"/>
      <c r="AV931" s="336"/>
      <c r="AW931" s="285"/>
      <c r="AX931" s="337"/>
      <c r="AY931" s="441">
        <v>3558.2992469999999</v>
      </c>
      <c r="AZ931" s="374"/>
      <c r="BA931" s="374"/>
      <c r="BB931" s="374"/>
      <c r="BC931" s="374"/>
    </row>
    <row r="932" spans="1:55" s="116" customFormat="1">
      <c r="A932" s="179"/>
      <c r="B932" s="179"/>
      <c r="C932" s="179"/>
      <c r="D932" s="181">
        <v>777250</v>
      </c>
      <c r="E932" s="181"/>
      <c r="F932" s="181"/>
      <c r="G932" s="1110">
        <v>777250</v>
      </c>
      <c r="H932" s="127" t="s">
        <v>1145</v>
      </c>
      <c r="I932" s="516" t="s">
        <v>365</v>
      </c>
      <c r="J932" s="548">
        <v>2.9159999999999999</v>
      </c>
      <c r="K932" s="545"/>
      <c r="L932" s="546"/>
      <c r="M932" s="547">
        <v>2.8079999999999998</v>
      </c>
      <c r="N932" s="545"/>
      <c r="O932" s="546"/>
      <c r="P932" s="547">
        <v>2.4889999999999999</v>
      </c>
      <c r="Q932" s="545"/>
      <c r="R932" s="546"/>
      <c r="S932" s="547">
        <v>2.9209999999999998</v>
      </c>
      <c r="T932" s="545"/>
      <c r="U932" s="546"/>
      <c r="V932" s="547">
        <v>2.8490000000000002</v>
      </c>
      <c r="W932" s="545"/>
      <c r="X932" s="546"/>
      <c r="Y932" s="547">
        <v>2.8130000000000002</v>
      </c>
      <c r="Z932" s="545"/>
      <c r="AA932" s="546"/>
      <c r="AB932" s="547">
        <v>2.952</v>
      </c>
      <c r="AC932" s="545"/>
      <c r="AD932" s="546"/>
      <c r="AE932" s="547">
        <v>2.7</v>
      </c>
      <c r="AF932" s="545"/>
      <c r="AG932" s="546"/>
      <c r="AH932" s="547">
        <v>2.5920000000000001</v>
      </c>
      <c r="AI932" s="545"/>
      <c r="AJ932" s="546"/>
      <c r="AK932" s="547">
        <v>2.8130000000000002</v>
      </c>
      <c r="AL932" s="545"/>
      <c r="AM932" s="546"/>
      <c r="AN932" s="547">
        <v>3.105</v>
      </c>
      <c r="AO932" s="545"/>
      <c r="AP932" s="546"/>
      <c r="AQ932" s="547">
        <v>2.7</v>
      </c>
      <c r="AR932" s="246"/>
      <c r="AS932" s="282"/>
      <c r="AT932" s="244">
        <f>J932+M932+P932+S932+V932+Y932+AB932+AE932+AH932+AK932+AN932+AQ932</f>
        <v>33.657999999999994</v>
      </c>
      <c r="AU932" s="246"/>
      <c r="AV932" s="336"/>
      <c r="AW932" s="285"/>
      <c r="AX932" s="337"/>
      <c r="AY932" s="441">
        <v>32.334248000000002</v>
      </c>
      <c r="AZ932" s="374"/>
      <c r="BA932" s="374"/>
      <c r="BB932" s="374"/>
      <c r="BC932" s="374"/>
    </row>
    <row r="933" spans="1:55" s="116" customFormat="1">
      <c r="A933" s="179"/>
      <c r="B933" s="179"/>
      <c r="C933" s="179"/>
      <c r="D933" s="181"/>
      <c r="E933" s="181"/>
      <c r="F933" s="181"/>
      <c r="G933" s="1110"/>
      <c r="H933" s="138" t="s">
        <v>174</v>
      </c>
      <c r="I933" s="139"/>
      <c r="J933" s="319">
        <f>SUM(J934:J943)</f>
        <v>408.03151700000001</v>
      </c>
      <c r="K933" s="288"/>
      <c r="L933" s="289"/>
      <c r="M933" s="319">
        <f>SUM(M934:M943)</f>
        <v>382.706613</v>
      </c>
      <c r="N933" s="288"/>
      <c r="O933" s="289"/>
      <c r="P933" s="319">
        <f>SUM(P934:P943)</f>
        <v>399.78351699999996</v>
      </c>
      <c r="Q933" s="288"/>
      <c r="R933" s="289"/>
      <c r="S933" s="319">
        <f>SUM(S934:S943)</f>
        <v>373.78656499999994</v>
      </c>
      <c r="T933" s="288"/>
      <c r="U933" s="289"/>
      <c r="V933" s="319">
        <f>SUM(V934:V943)</f>
        <v>294.66551700000002</v>
      </c>
      <c r="W933" s="288"/>
      <c r="X933" s="289"/>
      <c r="Y933" s="319">
        <f>SUM(Y934:Y943)</f>
        <v>323.93656500000003</v>
      </c>
      <c r="Z933" s="288"/>
      <c r="AA933" s="289"/>
      <c r="AB933" s="319">
        <f>SUM(AB934:AB943)</f>
        <v>311.22551700000002</v>
      </c>
      <c r="AC933" s="288"/>
      <c r="AD933" s="289"/>
      <c r="AE933" s="319">
        <f>SUM(AE934:AE943)</f>
        <v>319.42651700000005</v>
      </c>
      <c r="AF933" s="288"/>
      <c r="AG933" s="289"/>
      <c r="AH933" s="319">
        <f>SUM(AH934:AH943)</f>
        <v>322.86556500000006</v>
      </c>
      <c r="AI933" s="288"/>
      <c r="AJ933" s="289"/>
      <c r="AK933" s="319">
        <f>SUM(AK934:AK943)</f>
        <v>370.99251700000002</v>
      </c>
      <c r="AL933" s="288"/>
      <c r="AM933" s="289"/>
      <c r="AN933" s="319">
        <f>SUM(AN934:AN943)</f>
        <v>381.024565</v>
      </c>
      <c r="AO933" s="288"/>
      <c r="AP933" s="289"/>
      <c r="AQ933" s="319">
        <f>SUM(AQ934:AQ943)</f>
        <v>405.18251699999996</v>
      </c>
      <c r="AR933" s="288"/>
      <c r="AS933" s="289"/>
      <c r="AT933" s="319">
        <f>SUM(AT934:AT943)</f>
        <v>4293.6274919999996</v>
      </c>
      <c r="AU933" s="288"/>
      <c r="AV933" s="290"/>
      <c r="AW933" s="285"/>
      <c r="AX933" s="296"/>
      <c r="AY933" s="1066">
        <v>3766.2636280000002</v>
      </c>
      <c r="AZ933" s="374"/>
      <c r="BA933" s="374"/>
      <c r="BB933" s="374"/>
      <c r="BC933" s="374"/>
    </row>
    <row r="934" spans="1:55" s="116" customFormat="1">
      <c r="A934" s="179"/>
      <c r="B934" s="179"/>
      <c r="C934" s="179"/>
      <c r="D934" s="181">
        <v>689440</v>
      </c>
      <c r="E934" s="181"/>
      <c r="F934" s="181"/>
      <c r="G934" s="1110">
        <v>689440</v>
      </c>
      <c r="H934" s="135" t="s">
        <v>1719</v>
      </c>
      <c r="I934" s="518" t="s">
        <v>365</v>
      </c>
      <c r="J934" s="736">
        <v>322.26</v>
      </c>
      <c r="K934" s="734"/>
      <c r="L934" s="735"/>
      <c r="M934" s="736">
        <v>301.47000000000003</v>
      </c>
      <c r="N934" s="734"/>
      <c r="O934" s="735"/>
      <c r="P934" s="736">
        <v>313.73</v>
      </c>
      <c r="Q934" s="734"/>
      <c r="R934" s="735"/>
      <c r="S934" s="736">
        <v>295.36</v>
      </c>
      <c r="T934" s="734"/>
      <c r="U934" s="735"/>
      <c r="V934" s="736">
        <v>219.92</v>
      </c>
      <c r="W934" s="734"/>
      <c r="X934" s="735"/>
      <c r="Y934" s="734">
        <v>245.83</v>
      </c>
      <c r="Z934" s="734"/>
      <c r="AA934" s="735"/>
      <c r="AB934" s="736">
        <v>228.44</v>
      </c>
      <c r="AC934" s="734"/>
      <c r="AD934" s="735"/>
      <c r="AE934" s="736">
        <v>236.97</v>
      </c>
      <c r="AF934" s="734"/>
      <c r="AG934" s="735"/>
      <c r="AH934" s="736">
        <v>245.83</v>
      </c>
      <c r="AI934" s="734"/>
      <c r="AJ934" s="735"/>
      <c r="AK934" s="736">
        <v>288.16000000000003</v>
      </c>
      <c r="AL934" s="734"/>
      <c r="AM934" s="735"/>
      <c r="AN934" s="736">
        <v>299.48</v>
      </c>
      <c r="AO934" s="734"/>
      <c r="AP934" s="735"/>
      <c r="AQ934" s="736">
        <v>319.99</v>
      </c>
      <c r="AR934" s="288"/>
      <c r="AS934" s="289"/>
      <c r="AT934" s="382">
        <f t="shared" si="33"/>
        <v>3317.4399999999996</v>
      </c>
      <c r="AU934" s="288"/>
      <c r="AV934" s="290"/>
      <c r="AW934" s="285"/>
      <c r="AX934" s="296"/>
      <c r="AY934" s="295"/>
      <c r="AZ934" s="374"/>
      <c r="BA934" s="374"/>
      <c r="BB934" s="374"/>
      <c r="BC934" s="374"/>
    </row>
    <row r="935" spans="1:55" s="116" customFormat="1">
      <c r="A935" s="179"/>
      <c r="B935" s="179"/>
      <c r="C935" s="179"/>
      <c r="D935" s="181">
        <v>777038</v>
      </c>
      <c r="E935" s="181"/>
      <c r="F935" s="181"/>
      <c r="G935" s="1110">
        <v>777038</v>
      </c>
      <c r="H935" s="135" t="s">
        <v>1720</v>
      </c>
      <c r="I935" s="518" t="s">
        <v>365</v>
      </c>
      <c r="J935" s="736">
        <v>3.177</v>
      </c>
      <c r="K935" s="734"/>
      <c r="L935" s="735"/>
      <c r="M935" s="736">
        <v>2.8319999999999999</v>
      </c>
      <c r="N935" s="734"/>
      <c r="O935" s="735"/>
      <c r="P935" s="736">
        <v>3.1349999999999998</v>
      </c>
      <c r="Q935" s="734"/>
      <c r="R935" s="735"/>
      <c r="S935" s="736">
        <v>3.0339999999999998</v>
      </c>
      <c r="T935" s="734"/>
      <c r="U935" s="735"/>
      <c r="V935" s="736">
        <v>2.4550000000000001</v>
      </c>
      <c r="W935" s="734"/>
      <c r="X935" s="735"/>
      <c r="Y935" s="736">
        <v>2.419</v>
      </c>
      <c r="Z935" s="734"/>
      <c r="AA935" s="735"/>
      <c r="AB935" s="736">
        <v>2.4550000000000001</v>
      </c>
      <c r="AC935" s="734"/>
      <c r="AD935" s="735"/>
      <c r="AE935" s="736">
        <v>2.4550000000000001</v>
      </c>
      <c r="AF935" s="734"/>
      <c r="AG935" s="735"/>
      <c r="AH935" s="736">
        <v>2.4550000000000001</v>
      </c>
      <c r="AI935" s="734"/>
      <c r="AJ935" s="735"/>
      <c r="AK935" s="736">
        <v>3.1349999999999998</v>
      </c>
      <c r="AL935" s="734"/>
      <c r="AM935" s="735"/>
      <c r="AN935" s="736">
        <v>2.98</v>
      </c>
      <c r="AO935" s="734"/>
      <c r="AP935" s="735"/>
      <c r="AQ935" s="736">
        <v>3.1349999999999998</v>
      </c>
      <c r="AR935" s="288"/>
      <c r="AS935" s="289"/>
      <c r="AT935" s="382">
        <f t="shared" si="33"/>
        <v>33.666999999999994</v>
      </c>
      <c r="AU935" s="288"/>
      <c r="AV935" s="290"/>
      <c r="AW935" s="285"/>
      <c r="AX935" s="296"/>
      <c r="AY935" s="295"/>
      <c r="AZ935" s="374"/>
      <c r="BA935" s="374"/>
      <c r="BB935" s="374"/>
      <c r="BC935" s="374"/>
    </row>
    <row r="936" spans="1:55" s="116" customFormat="1">
      <c r="A936" s="179"/>
      <c r="B936" s="179"/>
      <c r="C936" s="179"/>
      <c r="D936" s="181">
        <v>777171</v>
      </c>
      <c r="E936" s="181"/>
      <c r="F936" s="181"/>
      <c r="G936" s="1110">
        <v>777171</v>
      </c>
      <c r="H936" s="135" t="s">
        <v>1721</v>
      </c>
      <c r="I936" s="518" t="s">
        <v>365</v>
      </c>
      <c r="J936" s="736">
        <v>0</v>
      </c>
      <c r="K936" s="734"/>
      <c r="L936" s="735"/>
      <c r="M936" s="736">
        <v>0</v>
      </c>
      <c r="N936" s="734"/>
      <c r="O936" s="735"/>
      <c r="P936" s="736">
        <v>0</v>
      </c>
      <c r="Q936" s="734"/>
      <c r="R936" s="735"/>
      <c r="S936" s="736">
        <v>0</v>
      </c>
      <c r="T936" s="734"/>
      <c r="U936" s="735"/>
      <c r="V936" s="736">
        <v>0</v>
      </c>
      <c r="W936" s="734"/>
      <c r="X936" s="735"/>
      <c r="Y936" s="736">
        <v>0</v>
      </c>
      <c r="Z936" s="734"/>
      <c r="AA936" s="735"/>
      <c r="AB936" s="736">
        <v>0</v>
      </c>
      <c r="AC936" s="734"/>
      <c r="AD936" s="735"/>
      <c r="AE936" s="736">
        <v>0</v>
      </c>
      <c r="AF936" s="734"/>
      <c r="AG936" s="735"/>
      <c r="AH936" s="736">
        <v>0</v>
      </c>
      <c r="AI936" s="734"/>
      <c r="AJ936" s="735"/>
      <c r="AK936" s="736">
        <v>0</v>
      </c>
      <c r="AL936" s="734"/>
      <c r="AM936" s="735"/>
      <c r="AN936" s="736">
        <v>0</v>
      </c>
      <c r="AO936" s="734"/>
      <c r="AP936" s="735"/>
      <c r="AQ936" s="736">
        <v>0</v>
      </c>
      <c r="AR936" s="288"/>
      <c r="AS936" s="289"/>
      <c r="AT936" s="382">
        <f t="shared" si="33"/>
        <v>0</v>
      </c>
      <c r="AU936" s="288"/>
      <c r="AV936" s="290"/>
      <c r="AW936" s="285"/>
      <c r="AX936" s="296"/>
      <c r="AY936" s="295"/>
      <c r="AZ936" s="374"/>
      <c r="BA936" s="374"/>
      <c r="BB936" s="374"/>
      <c r="BC936" s="374"/>
    </row>
    <row r="937" spans="1:55" s="116" customFormat="1">
      <c r="A937" s="179"/>
      <c r="B937" s="179"/>
      <c r="C937" s="179"/>
      <c r="D937" s="181">
        <v>777169</v>
      </c>
      <c r="E937" s="181"/>
      <c r="F937" s="181"/>
      <c r="G937" s="1110">
        <v>777169</v>
      </c>
      <c r="H937" s="135" t="s">
        <v>1722</v>
      </c>
      <c r="I937" s="518" t="s">
        <v>365</v>
      </c>
      <c r="J937" s="736">
        <v>0</v>
      </c>
      <c r="K937" s="734"/>
      <c r="L937" s="735"/>
      <c r="M937" s="736">
        <v>0</v>
      </c>
      <c r="N937" s="734"/>
      <c r="O937" s="735"/>
      <c r="P937" s="736">
        <v>0</v>
      </c>
      <c r="Q937" s="734"/>
      <c r="R937" s="735"/>
      <c r="S937" s="736">
        <v>0</v>
      </c>
      <c r="T937" s="734"/>
      <c r="U937" s="735"/>
      <c r="V937" s="736">
        <v>0</v>
      </c>
      <c r="W937" s="734"/>
      <c r="X937" s="735"/>
      <c r="Y937" s="736">
        <v>0</v>
      </c>
      <c r="Z937" s="734"/>
      <c r="AA937" s="735"/>
      <c r="AB937" s="736">
        <v>0</v>
      </c>
      <c r="AC937" s="734"/>
      <c r="AD937" s="735"/>
      <c r="AE937" s="736">
        <v>0</v>
      </c>
      <c r="AF937" s="734"/>
      <c r="AG937" s="735"/>
      <c r="AH937" s="736">
        <v>0</v>
      </c>
      <c r="AI937" s="734"/>
      <c r="AJ937" s="735"/>
      <c r="AK937" s="736">
        <v>0</v>
      </c>
      <c r="AL937" s="734"/>
      <c r="AM937" s="735"/>
      <c r="AN937" s="736">
        <v>0</v>
      </c>
      <c r="AO937" s="734"/>
      <c r="AP937" s="735"/>
      <c r="AQ937" s="736">
        <v>0</v>
      </c>
      <c r="AR937" s="288"/>
      <c r="AS937" s="289"/>
      <c r="AT937" s="382">
        <f t="shared" si="33"/>
        <v>0</v>
      </c>
      <c r="AU937" s="288"/>
      <c r="AV937" s="290"/>
      <c r="AW937" s="285"/>
      <c r="AX937" s="296"/>
      <c r="AY937" s="295"/>
      <c r="AZ937" s="374"/>
      <c r="BA937" s="374"/>
      <c r="BB937" s="374"/>
      <c r="BC937" s="374"/>
    </row>
    <row r="938" spans="1:55" s="116" customFormat="1">
      <c r="A938" s="179"/>
      <c r="B938" s="179"/>
      <c r="C938" s="179"/>
      <c r="D938" s="181"/>
      <c r="E938" s="181"/>
      <c r="F938" s="181"/>
      <c r="G938" s="1110">
        <v>342501</v>
      </c>
      <c r="H938" s="135" t="s">
        <v>1723</v>
      </c>
      <c r="I938" s="518" t="s">
        <v>365</v>
      </c>
      <c r="J938" s="740">
        <v>0.38200000000000001</v>
      </c>
      <c r="K938" s="738"/>
      <c r="L938" s="739"/>
      <c r="M938" s="740">
        <v>0.38400000000000001</v>
      </c>
      <c r="N938" s="738"/>
      <c r="O938" s="739"/>
      <c r="P938" s="740">
        <v>0.34799999999999998</v>
      </c>
      <c r="Q938" s="738"/>
      <c r="R938" s="739"/>
      <c r="S938" s="740">
        <v>0.34</v>
      </c>
      <c r="T938" s="738"/>
      <c r="U938" s="739"/>
      <c r="V938" s="740">
        <v>0.27200000000000002</v>
      </c>
      <c r="W938" s="738"/>
      <c r="X938" s="739"/>
      <c r="Y938" s="740">
        <v>0.21</v>
      </c>
      <c r="Z938" s="738"/>
      <c r="AA938" s="739"/>
      <c r="AB938" s="740">
        <v>9.2999999999999999E-2</v>
      </c>
      <c r="AC938" s="738"/>
      <c r="AD938" s="739"/>
      <c r="AE938" s="740">
        <v>0.13900000000000001</v>
      </c>
      <c r="AF938" s="738"/>
      <c r="AG938" s="739"/>
      <c r="AH938" s="740">
        <v>0.18099999999999999</v>
      </c>
      <c r="AI938" s="738"/>
      <c r="AJ938" s="739"/>
      <c r="AK938" s="740">
        <v>0.23699999999999999</v>
      </c>
      <c r="AL938" s="738"/>
      <c r="AM938" s="739"/>
      <c r="AN938" s="740">
        <v>0.36799999999999999</v>
      </c>
      <c r="AO938" s="738"/>
      <c r="AP938" s="739"/>
      <c r="AQ938" s="740">
        <v>0.53900000000000003</v>
      </c>
      <c r="AR938" s="288"/>
      <c r="AS938" s="289"/>
      <c r="AT938" s="382">
        <f t="shared" si="33"/>
        <v>3.4930000000000003</v>
      </c>
      <c r="AU938" s="288"/>
      <c r="AV938" s="290"/>
      <c r="AW938" s="285"/>
      <c r="AX938" s="296"/>
      <c r="AY938" s="295"/>
      <c r="AZ938" s="374"/>
      <c r="BA938" s="374"/>
      <c r="BB938" s="374"/>
      <c r="BC938" s="374"/>
    </row>
    <row r="939" spans="1:55" s="116" customFormat="1">
      <c r="A939" s="179"/>
      <c r="B939" s="179"/>
      <c r="C939" s="179"/>
      <c r="D939" s="181"/>
      <c r="E939" s="181"/>
      <c r="F939" s="181"/>
      <c r="G939" s="1145">
        <v>777131</v>
      </c>
      <c r="H939" s="135" t="s">
        <v>1724</v>
      </c>
      <c r="I939" s="525" t="s">
        <v>365</v>
      </c>
      <c r="J939" s="736">
        <v>0.9</v>
      </c>
      <c r="K939" s="734"/>
      <c r="L939" s="735"/>
      <c r="M939" s="736">
        <v>0.9</v>
      </c>
      <c r="N939" s="734"/>
      <c r="O939" s="735"/>
      <c r="P939" s="736">
        <v>0.9</v>
      </c>
      <c r="Q939" s="734"/>
      <c r="R939" s="735"/>
      <c r="S939" s="736">
        <v>0.9</v>
      </c>
      <c r="T939" s="734"/>
      <c r="U939" s="735"/>
      <c r="V939" s="736">
        <v>0.9</v>
      </c>
      <c r="W939" s="734"/>
      <c r="X939" s="735"/>
      <c r="Y939" s="736">
        <v>0.9</v>
      </c>
      <c r="Z939" s="734"/>
      <c r="AA939" s="735"/>
      <c r="AB939" s="736">
        <v>0.9</v>
      </c>
      <c r="AC939" s="734"/>
      <c r="AD939" s="735"/>
      <c r="AE939" s="736">
        <v>0.9</v>
      </c>
      <c r="AF939" s="734"/>
      <c r="AG939" s="735"/>
      <c r="AH939" s="736">
        <v>0.9</v>
      </c>
      <c r="AI939" s="734"/>
      <c r="AJ939" s="735"/>
      <c r="AK939" s="736">
        <v>0.9</v>
      </c>
      <c r="AL939" s="734"/>
      <c r="AM939" s="735"/>
      <c r="AN939" s="736">
        <v>0.9</v>
      </c>
      <c r="AO939" s="734"/>
      <c r="AP939" s="735"/>
      <c r="AQ939" s="736">
        <v>0.9</v>
      </c>
      <c r="AR939" s="383"/>
      <c r="AS939" s="384"/>
      <c r="AT939" s="382">
        <f t="shared" si="33"/>
        <v>10.800000000000002</v>
      </c>
      <c r="AU939" s="383"/>
      <c r="AV939" s="385"/>
      <c r="AW939" s="386"/>
      <c r="AX939" s="387"/>
      <c r="AY939" s="387"/>
      <c r="AZ939" s="374"/>
      <c r="BA939" s="374"/>
      <c r="BB939" s="374"/>
      <c r="BC939" s="374"/>
    </row>
    <row r="940" spans="1:55" s="116" customFormat="1">
      <c r="A940" s="179"/>
      <c r="B940" s="179"/>
      <c r="C940" s="179"/>
      <c r="D940" s="181">
        <v>777131</v>
      </c>
      <c r="E940" s="181"/>
      <c r="F940" s="181"/>
      <c r="G940" s="1110">
        <v>777177</v>
      </c>
      <c r="H940" s="135" t="s">
        <v>1725</v>
      </c>
      <c r="I940" s="518" t="s">
        <v>365</v>
      </c>
      <c r="J940" s="736">
        <v>0</v>
      </c>
      <c r="K940" s="734"/>
      <c r="L940" s="735"/>
      <c r="M940" s="736">
        <v>0</v>
      </c>
      <c r="N940" s="734"/>
      <c r="O940" s="735"/>
      <c r="P940" s="736">
        <v>0</v>
      </c>
      <c r="Q940" s="734"/>
      <c r="R940" s="735"/>
      <c r="S940" s="736">
        <v>0</v>
      </c>
      <c r="T940" s="734"/>
      <c r="U940" s="735"/>
      <c r="V940" s="736">
        <v>0</v>
      </c>
      <c r="W940" s="734"/>
      <c r="X940" s="735"/>
      <c r="Y940" s="736">
        <v>0</v>
      </c>
      <c r="Z940" s="734"/>
      <c r="AA940" s="735"/>
      <c r="AB940" s="736">
        <v>0</v>
      </c>
      <c r="AC940" s="734"/>
      <c r="AD940" s="735"/>
      <c r="AE940" s="736">
        <v>0</v>
      </c>
      <c r="AF940" s="734"/>
      <c r="AG940" s="735"/>
      <c r="AH940" s="736">
        <v>0</v>
      </c>
      <c r="AI940" s="734"/>
      <c r="AJ940" s="735"/>
      <c r="AK940" s="736">
        <v>0</v>
      </c>
      <c r="AL940" s="734"/>
      <c r="AM940" s="735"/>
      <c r="AN940" s="736">
        <v>0</v>
      </c>
      <c r="AO940" s="734"/>
      <c r="AP940" s="735"/>
      <c r="AQ940" s="736">
        <v>0</v>
      </c>
      <c r="AR940" s="288"/>
      <c r="AS940" s="289"/>
      <c r="AT940" s="382">
        <f t="shared" si="33"/>
        <v>0</v>
      </c>
      <c r="AU940" s="383"/>
      <c r="AV940" s="385"/>
      <c r="AW940" s="386"/>
      <c r="AX940" s="387"/>
      <c r="AY940" s="387"/>
      <c r="AZ940" s="374"/>
      <c r="BA940" s="374"/>
      <c r="BB940" s="374"/>
      <c r="BC940" s="374"/>
    </row>
    <row r="941" spans="1:55" s="116" customFormat="1">
      <c r="A941" s="179"/>
      <c r="B941" s="179"/>
      <c r="C941" s="179"/>
      <c r="D941" s="181">
        <v>777177</v>
      </c>
      <c r="E941" s="181"/>
      <c r="F941" s="181"/>
      <c r="G941" s="1110">
        <v>777309</v>
      </c>
      <c r="H941" s="135" t="s">
        <v>1726</v>
      </c>
      <c r="I941" s="518" t="s">
        <v>365</v>
      </c>
      <c r="J941" s="736">
        <v>47.645516999999998</v>
      </c>
      <c r="K941" s="734"/>
      <c r="L941" s="735"/>
      <c r="M941" s="736">
        <v>44.571612999999999</v>
      </c>
      <c r="N941" s="734"/>
      <c r="O941" s="735"/>
      <c r="P941" s="736">
        <v>47.645516999999998</v>
      </c>
      <c r="Q941" s="734"/>
      <c r="R941" s="735"/>
      <c r="S941" s="736">
        <v>46.108564999999999</v>
      </c>
      <c r="T941" s="734"/>
      <c r="U941" s="735"/>
      <c r="V941" s="736">
        <v>47.645516999999998</v>
      </c>
      <c r="W941" s="734"/>
      <c r="X941" s="735"/>
      <c r="Y941" s="736">
        <v>46.108564999999999</v>
      </c>
      <c r="Z941" s="734"/>
      <c r="AA941" s="735"/>
      <c r="AB941" s="736">
        <v>47.645516999999998</v>
      </c>
      <c r="AC941" s="734"/>
      <c r="AD941" s="735"/>
      <c r="AE941" s="736">
        <v>47.645516999999998</v>
      </c>
      <c r="AF941" s="734"/>
      <c r="AG941" s="735"/>
      <c r="AH941" s="736">
        <v>46.108564999999999</v>
      </c>
      <c r="AI941" s="734"/>
      <c r="AJ941" s="735"/>
      <c r="AK941" s="736">
        <v>47.645516999999998</v>
      </c>
      <c r="AL941" s="734"/>
      <c r="AM941" s="735"/>
      <c r="AN941" s="736">
        <v>46.108564999999999</v>
      </c>
      <c r="AO941" s="734"/>
      <c r="AP941" s="735"/>
      <c r="AQ941" s="736">
        <v>47.645516999999998</v>
      </c>
      <c r="AR941" s="288"/>
      <c r="AS941" s="289"/>
      <c r="AT941" s="382">
        <f t="shared" si="33"/>
        <v>562.5244919999999</v>
      </c>
      <c r="AU941" s="383"/>
      <c r="AV941" s="385"/>
      <c r="AW941" s="386"/>
      <c r="AX941" s="387"/>
      <c r="AY941" s="387"/>
      <c r="AZ941" s="374"/>
      <c r="BA941" s="374"/>
      <c r="BB941" s="374"/>
      <c r="BC941" s="374"/>
    </row>
    <row r="942" spans="1:55" s="116" customFormat="1">
      <c r="A942" s="179"/>
      <c r="B942" s="179"/>
      <c r="C942" s="179"/>
      <c r="D942" s="181"/>
      <c r="E942" s="181"/>
      <c r="F942" s="181"/>
      <c r="G942" s="1110">
        <v>777155</v>
      </c>
      <c r="H942" s="135" t="s">
        <v>1727</v>
      </c>
      <c r="I942" s="518" t="s">
        <v>365</v>
      </c>
      <c r="J942" s="736">
        <v>33.667000000000002</v>
      </c>
      <c r="K942" s="734"/>
      <c r="L942" s="735"/>
      <c r="M942" s="736">
        <v>32.548999999999999</v>
      </c>
      <c r="N942" s="734"/>
      <c r="O942" s="735"/>
      <c r="P942" s="736">
        <v>34.024999999999999</v>
      </c>
      <c r="Q942" s="734"/>
      <c r="R942" s="735"/>
      <c r="S942" s="736">
        <v>28.044</v>
      </c>
      <c r="T942" s="734"/>
      <c r="U942" s="735"/>
      <c r="V942" s="736">
        <v>23.472999999999999</v>
      </c>
      <c r="W942" s="734"/>
      <c r="X942" s="735"/>
      <c r="Y942" s="736">
        <v>28.469000000000001</v>
      </c>
      <c r="Z942" s="734"/>
      <c r="AA942" s="735"/>
      <c r="AB942" s="736">
        <v>31.692</v>
      </c>
      <c r="AC942" s="734"/>
      <c r="AD942" s="735"/>
      <c r="AE942" s="736">
        <v>31.317</v>
      </c>
      <c r="AF942" s="734"/>
      <c r="AG942" s="735"/>
      <c r="AH942" s="736">
        <v>27.390999999999998</v>
      </c>
      <c r="AI942" s="734"/>
      <c r="AJ942" s="735"/>
      <c r="AK942" s="736">
        <v>30.914999999999999</v>
      </c>
      <c r="AL942" s="734"/>
      <c r="AM942" s="735"/>
      <c r="AN942" s="736">
        <v>31.187999999999999</v>
      </c>
      <c r="AO942" s="734"/>
      <c r="AP942" s="735"/>
      <c r="AQ942" s="736">
        <v>32.972999999999999</v>
      </c>
      <c r="AR942" s="288"/>
      <c r="AS942" s="289"/>
      <c r="AT942" s="382">
        <f t="shared" si="33"/>
        <v>365.70300000000009</v>
      </c>
      <c r="AU942" s="383"/>
      <c r="AV942" s="385"/>
      <c r="AW942" s="386"/>
      <c r="AX942" s="387"/>
      <c r="AY942" s="387"/>
      <c r="AZ942" s="374"/>
      <c r="BA942" s="374"/>
      <c r="BB942" s="374"/>
      <c r="BC942" s="374"/>
    </row>
    <row r="943" spans="1:55" s="116" customFormat="1">
      <c r="A943" s="179"/>
      <c r="B943" s="179"/>
      <c r="C943" s="179"/>
      <c r="D943" s="181"/>
      <c r="E943" s="181"/>
      <c r="F943" s="181"/>
      <c r="G943" s="1110">
        <v>342579</v>
      </c>
      <c r="H943" s="135" t="s">
        <v>1728</v>
      </c>
      <c r="I943" s="518" t="s">
        <v>365</v>
      </c>
      <c r="J943" s="736">
        <v>0</v>
      </c>
      <c r="K943" s="734"/>
      <c r="L943" s="735"/>
      <c r="M943" s="736">
        <v>0</v>
      </c>
      <c r="N943" s="734"/>
      <c r="O943" s="735"/>
      <c r="P943" s="736">
        <v>0</v>
      </c>
      <c r="Q943" s="734"/>
      <c r="R943" s="735"/>
      <c r="S943" s="736">
        <v>0</v>
      </c>
      <c r="T943" s="734"/>
      <c r="U943" s="735"/>
      <c r="V943" s="736">
        <v>0</v>
      </c>
      <c r="W943" s="734"/>
      <c r="X943" s="735"/>
      <c r="Y943" s="736">
        <v>0</v>
      </c>
      <c r="Z943" s="734"/>
      <c r="AA943" s="735"/>
      <c r="AB943" s="736">
        <v>0</v>
      </c>
      <c r="AC943" s="734"/>
      <c r="AD943" s="735"/>
      <c r="AE943" s="736">
        <v>0</v>
      </c>
      <c r="AF943" s="734"/>
      <c r="AG943" s="735"/>
      <c r="AH943" s="736">
        <v>0</v>
      </c>
      <c r="AI943" s="734"/>
      <c r="AJ943" s="735"/>
      <c r="AK943" s="736">
        <v>0</v>
      </c>
      <c r="AL943" s="734"/>
      <c r="AM943" s="735"/>
      <c r="AN943" s="736">
        <v>0</v>
      </c>
      <c r="AO943" s="734"/>
      <c r="AP943" s="735"/>
      <c r="AQ943" s="736">
        <v>0</v>
      </c>
      <c r="AR943" s="288"/>
      <c r="AS943" s="289"/>
      <c r="AT943" s="382">
        <f t="shared" si="33"/>
        <v>0</v>
      </c>
      <c r="AU943" s="383"/>
      <c r="AV943" s="385"/>
      <c r="AW943" s="386"/>
      <c r="AX943" s="387"/>
      <c r="AY943" s="387"/>
      <c r="AZ943" s="374"/>
      <c r="BA943" s="374"/>
      <c r="BB943" s="374"/>
      <c r="BC943" s="374"/>
    </row>
    <row r="944" spans="1:55" s="116" customFormat="1" ht="18.75">
      <c r="A944" s="179"/>
      <c r="B944" s="179"/>
      <c r="C944" s="179"/>
      <c r="D944" s="181">
        <v>349300</v>
      </c>
      <c r="E944" s="181"/>
      <c r="F944" s="181"/>
      <c r="G944" s="181">
        <v>349300</v>
      </c>
      <c r="H944" s="475" t="s">
        <v>1608</v>
      </c>
      <c r="I944" s="475"/>
      <c r="J944" s="277">
        <f>SUM(J945:J949)</f>
        <v>1660.97</v>
      </c>
      <c r="K944" s="275">
        <f>L944-J944</f>
        <v>-384.58500000000004</v>
      </c>
      <c r="L944" s="276">
        <f>Потребление!D57</f>
        <v>1276.385</v>
      </c>
      <c r="M944" s="274">
        <f>SUM(M945:M949)</f>
        <v>1562.37</v>
      </c>
      <c r="N944" s="275">
        <f>O944-M944</f>
        <v>-389.84799999999996</v>
      </c>
      <c r="O944" s="276">
        <f>Потребление!E57</f>
        <v>1172.5219999999999</v>
      </c>
      <c r="P944" s="274">
        <f>SUM(P945:P949)</f>
        <v>1607.78</v>
      </c>
      <c r="Q944" s="275">
        <f>R944-P944</f>
        <v>-423.58699999999999</v>
      </c>
      <c r="R944" s="276">
        <f>Потребление!F57</f>
        <v>1184.193</v>
      </c>
      <c r="S944" s="274">
        <f>SUM(S945:S949)</f>
        <v>1397.6399999999999</v>
      </c>
      <c r="T944" s="275">
        <f>U944-S944</f>
        <v>-324.23099999999977</v>
      </c>
      <c r="U944" s="276">
        <f>Потребление!G57</f>
        <v>1073.4090000000001</v>
      </c>
      <c r="V944" s="274">
        <f>SUM(V945:V949)</f>
        <v>1333.28</v>
      </c>
      <c r="W944" s="275">
        <f>X944-V944</f>
        <v>-326.69299999999998</v>
      </c>
      <c r="X944" s="276">
        <f>Потребление!H57</f>
        <v>1006.587</v>
      </c>
      <c r="Y944" s="274">
        <f>SUM(Y945:Y949)</f>
        <v>1276.24</v>
      </c>
      <c r="Z944" s="275">
        <f>AA944-Y944</f>
        <v>-358.04499999999996</v>
      </c>
      <c r="AA944" s="276">
        <f>Потребление!I57</f>
        <v>918.19500000000005</v>
      </c>
      <c r="AB944" s="274">
        <f>SUM(AB945:AB949)</f>
        <v>1251.9000000000001</v>
      </c>
      <c r="AC944" s="275">
        <f>AD944-AB944</f>
        <v>-358.75600000000009</v>
      </c>
      <c r="AD944" s="276">
        <f>Потребление!J57</f>
        <v>893.14400000000001</v>
      </c>
      <c r="AE944" s="274">
        <f>SUM(AE945:AE949)</f>
        <v>1227.6500000000001</v>
      </c>
      <c r="AF944" s="275">
        <f>AG944-AE944</f>
        <v>-299.98400000000015</v>
      </c>
      <c r="AG944" s="276">
        <f>Потребление!K57</f>
        <v>927.66599999999994</v>
      </c>
      <c r="AH944" s="274">
        <f>SUM(AH945:AH949)</f>
        <v>1305.8</v>
      </c>
      <c r="AI944" s="275">
        <f>AJ944-AH944</f>
        <v>-322.34899999999982</v>
      </c>
      <c r="AJ944" s="276">
        <f>Потребление!L57</f>
        <v>983.45100000000014</v>
      </c>
      <c r="AK944" s="274">
        <f>SUM(AK945:AK949)</f>
        <v>1387.71</v>
      </c>
      <c r="AL944" s="275">
        <f>AM944-AK944</f>
        <v>-284.97600000000011</v>
      </c>
      <c r="AM944" s="276">
        <f>Потребление!M57</f>
        <v>1102.7339999999999</v>
      </c>
      <c r="AN944" s="274">
        <f>SUM(AN945:AN949)</f>
        <v>1585.24</v>
      </c>
      <c r="AO944" s="275">
        <f>AP944-AN944</f>
        <v>-423.53500000000008</v>
      </c>
      <c r="AP944" s="276">
        <f>Потребление!N57</f>
        <v>1161.7049999999999</v>
      </c>
      <c r="AQ944" s="274">
        <f>SUM(AQ945:AQ949)</f>
        <v>1674.48</v>
      </c>
      <c r="AR944" s="275">
        <f>AS944-AQ944</f>
        <v>-411.471</v>
      </c>
      <c r="AS944" s="276">
        <f>Потребление!O57</f>
        <v>1263.009</v>
      </c>
      <c r="AT944" s="274">
        <f>SUM(AT945:AT949)</f>
        <v>17271.060000000001</v>
      </c>
      <c r="AU944" s="275">
        <f>AV944-AT944</f>
        <v>-4308.0600000000013</v>
      </c>
      <c r="AV944" s="278">
        <f>L944+O944+R944+U944+X944+AA944+AD944+AG944+AJ944+AM944+AP944+AS944</f>
        <v>12963</v>
      </c>
      <c r="AW944" s="279"/>
      <c r="AX944" s="1067">
        <v>12534.116833</v>
      </c>
      <c r="AY944" s="280">
        <f>AY945+AY946+AY947+AY949</f>
        <v>17285.702707</v>
      </c>
      <c r="AZ944" s="374"/>
      <c r="BA944" s="374"/>
      <c r="BB944" s="374"/>
      <c r="BC944" s="374"/>
    </row>
    <row r="945" spans="1:55" s="116" customFormat="1">
      <c r="A945" s="179"/>
      <c r="B945" s="179"/>
      <c r="C945" s="179"/>
      <c r="D945" s="181"/>
      <c r="E945" s="181"/>
      <c r="F945" s="181"/>
      <c r="G945" s="181"/>
      <c r="H945" s="10" t="s">
        <v>56</v>
      </c>
      <c r="I945" s="10"/>
      <c r="J945" s="223">
        <f>SUM(J951:J952)</f>
        <v>59.97</v>
      </c>
      <c r="K945" s="381">
        <f>-(600/1000*744)+K25+K26</f>
        <v>-503.4</v>
      </c>
      <c r="L945" s="224"/>
      <c r="M945" s="270">
        <f>SUM(M951:M952)</f>
        <v>56.37</v>
      </c>
      <c r="N945" s="381">
        <f>-(600/1000*672)+N25+N26</f>
        <v>-455.2</v>
      </c>
      <c r="O945" s="224"/>
      <c r="P945" s="270">
        <f>SUM(P951:P952)</f>
        <v>65.78</v>
      </c>
      <c r="Q945" s="381">
        <f>-(600/1000*744)+Q25+Q26</f>
        <v>-502.9</v>
      </c>
      <c r="R945" s="224"/>
      <c r="S945" s="270">
        <f>SUM(S951:S952)</f>
        <v>45.64</v>
      </c>
      <c r="T945" s="381">
        <f>-(600/1000*720)+T25+T26</f>
        <v>-478.5</v>
      </c>
      <c r="U945" s="224"/>
      <c r="V945" s="270">
        <f>SUM(V951:V952)</f>
        <v>28.28</v>
      </c>
      <c r="W945" s="381">
        <f>-(600/1000*744)+W25+W26</f>
        <v>-487.9</v>
      </c>
      <c r="X945" s="224"/>
      <c r="Y945" s="270">
        <f>SUM(Y951:Y952)</f>
        <v>12.24</v>
      </c>
      <c r="Z945" s="381">
        <f>-(600/1000*720)+Z25+Z26</f>
        <v>-468.5</v>
      </c>
      <c r="AA945" s="224"/>
      <c r="AB945" s="270">
        <f>SUM(AB951:AB952)</f>
        <v>11.9</v>
      </c>
      <c r="AC945" s="381">
        <f>-(600/1000*744)+AC25+AC26</f>
        <v>-492.9</v>
      </c>
      <c r="AD945" s="224"/>
      <c r="AE945" s="270">
        <f>SUM(AE951:AE952)</f>
        <v>12.65</v>
      </c>
      <c r="AF945" s="381">
        <f>-(600/1000*744)+AF25+AF26</f>
        <v>-492.9</v>
      </c>
      <c r="AG945" s="224"/>
      <c r="AH945" s="270">
        <f>SUM(AH951:AH952)</f>
        <v>19.8</v>
      </c>
      <c r="AI945" s="381">
        <f>-(600/1000*720)+AI25+AI26</f>
        <v>-478.5</v>
      </c>
      <c r="AJ945" s="224"/>
      <c r="AK945" s="270">
        <f>SUM(AK951:AK952)</f>
        <v>39.710000000000008</v>
      </c>
      <c r="AL945" s="381">
        <f>-(600/1000*744)+AL25+AL26</f>
        <v>-492.9</v>
      </c>
      <c r="AM945" s="224"/>
      <c r="AN945" s="270">
        <f>SUM(AN951:AN952)</f>
        <v>58.24</v>
      </c>
      <c r="AO945" s="381">
        <f>-(600/1000*720)+AO25+AO26</f>
        <v>-479</v>
      </c>
      <c r="AP945" s="224"/>
      <c r="AQ945" s="270">
        <f>SUM(AQ951:AQ952)</f>
        <v>58.48</v>
      </c>
      <c r="AR945" s="381">
        <f>-(600/1000*744)+AR25+AR26</f>
        <v>-503.4</v>
      </c>
      <c r="AS945" s="224"/>
      <c r="AT945" s="270">
        <f>SUM(AT951:AT952)</f>
        <v>469.05999999999995</v>
      </c>
      <c r="AU945" s="271"/>
      <c r="AV945" s="229"/>
      <c r="AW945" s="226"/>
      <c r="AX945" s="230"/>
      <c r="AY945" s="231">
        <f>AY951+AY952</f>
        <v>456.191396</v>
      </c>
      <c r="AZ945" s="374"/>
      <c r="BA945" s="374"/>
      <c r="BB945" s="374"/>
      <c r="BC945" s="374"/>
    </row>
    <row r="946" spans="1:55" s="116" customFormat="1">
      <c r="A946" s="179"/>
      <c r="B946" s="179"/>
      <c r="C946" s="179"/>
      <c r="D946" s="181"/>
      <c r="E946" s="181"/>
      <c r="F946" s="181"/>
      <c r="G946" s="181"/>
      <c r="H946" s="10" t="s">
        <v>55</v>
      </c>
      <c r="I946" s="10"/>
      <c r="J946" s="223">
        <f>J953+J960+J966+J969+J974</f>
        <v>530</v>
      </c>
      <c r="K946" s="271"/>
      <c r="L946" s="224"/>
      <c r="M946" s="270">
        <f>M953+M960+M966+M969+M974</f>
        <v>490</v>
      </c>
      <c r="N946" s="271"/>
      <c r="O946" s="224"/>
      <c r="P946" s="270">
        <f>P953+P960+P966+P969+P974</f>
        <v>560</v>
      </c>
      <c r="Q946" s="271"/>
      <c r="R946" s="224"/>
      <c r="S946" s="270">
        <f>S953+S960+S966+S969+S974</f>
        <v>560</v>
      </c>
      <c r="T946" s="271"/>
      <c r="U946" s="224"/>
      <c r="V946" s="270">
        <f>V953+V960+V966+V969+V974</f>
        <v>550</v>
      </c>
      <c r="W946" s="271"/>
      <c r="X946" s="224"/>
      <c r="Y946" s="270">
        <f>Y953+Y960+Y966+Y969+Y974</f>
        <v>630</v>
      </c>
      <c r="Z946" s="271"/>
      <c r="AA946" s="224"/>
      <c r="AB946" s="270">
        <f>AB953+AB960+AB966+AB969+AB974</f>
        <v>600</v>
      </c>
      <c r="AC946" s="271"/>
      <c r="AD946" s="224"/>
      <c r="AE946" s="270">
        <f>AE953+AE960+AE966+AE969+AE974</f>
        <v>560</v>
      </c>
      <c r="AF946" s="271"/>
      <c r="AG946" s="224"/>
      <c r="AH946" s="270">
        <f>AH953+AH960+AH966+AH969+AH974</f>
        <v>520</v>
      </c>
      <c r="AI946" s="271"/>
      <c r="AJ946" s="224"/>
      <c r="AK946" s="270">
        <f>AK953+AK960+AK966+AK969+AK974</f>
        <v>530</v>
      </c>
      <c r="AL946" s="271"/>
      <c r="AM946" s="224"/>
      <c r="AN946" s="270">
        <f>AN953+AN960+AN966+AN969+AN974</f>
        <v>540</v>
      </c>
      <c r="AO946" s="271"/>
      <c r="AP946" s="224"/>
      <c r="AQ946" s="270">
        <f>AQ953+AQ960+AQ966+AQ969+AQ974</f>
        <v>530</v>
      </c>
      <c r="AR946" s="271"/>
      <c r="AS946" s="224"/>
      <c r="AT946" s="270">
        <f>AT953+AT960+AT966+AT969+AT974</f>
        <v>6600.0000000000009</v>
      </c>
      <c r="AU946" s="271"/>
      <c r="AV946" s="229"/>
      <c r="AW946" s="226"/>
      <c r="AX946" s="230"/>
      <c r="AY946" s="231">
        <f>AY953+AY960+AY966+AY969+AY974</f>
        <v>6595.3471810000001</v>
      </c>
      <c r="AZ946" s="374"/>
      <c r="BA946" s="374"/>
      <c r="BB946" s="374"/>
      <c r="BC946" s="374"/>
    </row>
    <row r="947" spans="1:55" s="116" customFormat="1">
      <c r="A947" s="179"/>
      <c r="B947" s="179"/>
      <c r="C947" s="179"/>
      <c r="D947" s="181"/>
      <c r="E947" s="181"/>
      <c r="F947" s="181"/>
      <c r="G947" s="181"/>
      <c r="H947" s="10" t="s">
        <v>98</v>
      </c>
      <c r="I947" s="10"/>
      <c r="J947" s="223">
        <f>J950</f>
        <v>1071</v>
      </c>
      <c r="K947" s="271"/>
      <c r="L947" s="224"/>
      <c r="M947" s="270">
        <f>M950</f>
        <v>1016</v>
      </c>
      <c r="N947" s="271"/>
      <c r="O947" s="224"/>
      <c r="P947" s="270">
        <f>P950</f>
        <v>982</v>
      </c>
      <c r="Q947" s="271"/>
      <c r="R947" s="224"/>
      <c r="S947" s="270">
        <f>S950</f>
        <v>792</v>
      </c>
      <c r="T947" s="271"/>
      <c r="U947" s="224"/>
      <c r="V947" s="270">
        <f>V950</f>
        <v>755</v>
      </c>
      <c r="W947" s="271"/>
      <c r="X947" s="224"/>
      <c r="Y947" s="270">
        <f>Y950</f>
        <v>634</v>
      </c>
      <c r="Z947" s="271"/>
      <c r="AA947" s="224"/>
      <c r="AB947" s="270">
        <f>AB950</f>
        <v>640</v>
      </c>
      <c r="AC947" s="271"/>
      <c r="AD947" s="224"/>
      <c r="AE947" s="270">
        <f>AE950</f>
        <v>655</v>
      </c>
      <c r="AF947" s="271"/>
      <c r="AG947" s="224"/>
      <c r="AH947" s="270">
        <f>AH950</f>
        <v>766</v>
      </c>
      <c r="AI947" s="271"/>
      <c r="AJ947" s="224"/>
      <c r="AK947" s="270">
        <f>AK950</f>
        <v>818</v>
      </c>
      <c r="AL947" s="271"/>
      <c r="AM947" s="224"/>
      <c r="AN947" s="270">
        <f>AN950</f>
        <v>987</v>
      </c>
      <c r="AO947" s="271"/>
      <c r="AP947" s="224"/>
      <c r="AQ947" s="270">
        <f>AQ950</f>
        <v>1086</v>
      </c>
      <c r="AR947" s="271"/>
      <c r="AS947" s="224"/>
      <c r="AT947" s="270">
        <f>AT950</f>
        <v>10202</v>
      </c>
      <c r="AU947" s="271"/>
      <c r="AV947" s="229"/>
      <c r="AW947" s="226"/>
      <c r="AX947" s="230"/>
      <c r="AY947" s="231">
        <f>AY950</f>
        <v>10234.164129999999</v>
      </c>
      <c r="AZ947" s="374"/>
      <c r="BA947" s="374"/>
      <c r="BB947" s="374"/>
      <c r="BC947" s="374"/>
    </row>
    <row r="948" spans="1:55" s="116" customFormat="1">
      <c r="A948" s="179"/>
      <c r="B948" s="179"/>
      <c r="C948" s="179"/>
      <c r="D948" s="181"/>
      <c r="E948" s="181"/>
      <c r="F948" s="181"/>
      <c r="G948" s="181"/>
      <c r="H948" s="10" t="s">
        <v>346</v>
      </c>
      <c r="I948" s="10"/>
      <c r="J948" s="223">
        <f>J975</f>
        <v>0</v>
      </c>
      <c r="K948" s="271"/>
      <c r="L948" s="224"/>
      <c r="M948" s="270">
        <f>M975</f>
        <v>0</v>
      </c>
      <c r="N948" s="271"/>
      <c r="O948" s="224"/>
      <c r="P948" s="270">
        <f>P975</f>
        <v>0</v>
      </c>
      <c r="Q948" s="271"/>
      <c r="R948" s="224"/>
      <c r="S948" s="270">
        <f>S975</f>
        <v>0</v>
      </c>
      <c r="T948" s="271"/>
      <c r="U948" s="224"/>
      <c r="V948" s="270">
        <f>V975</f>
        <v>0</v>
      </c>
      <c r="W948" s="271"/>
      <c r="X948" s="224"/>
      <c r="Y948" s="270">
        <f>Y975</f>
        <v>0</v>
      </c>
      <c r="Z948" s="271"/>
      <c r="AA948" s="224"/>
      <c r="AB948" s="270">
        <f>AB975</f>
        <v>0</v>
      </c>
      <c r="AC948" s="271"/>
      <c r="AD948" s="224"/>
      <c r="AE948" s="270">
        <f>AE975</f>
        <v>0</v>
      </c>
      <c r="AF948" s="271"/>
      <c r="AG948" s="224"/>
      <c r="AH948" s="270">
        <f>AH975</f>
        <v>0</v>
      </c>
      <c r="AI948" s="271"/>
      <c r="AJ948" s="224"/>
      <c r="AK948" s="270">
        <f>AK975</f>
        <v>0</v>
      </c>
      <c r="AL948" s="271"/>
      <c r="AM948" s="224"/>
      <c r="AN948" s="270">
        <f>AN975</f>
        <v>0</v>
      </c>
      <c r="AO948" s="271"/>
      <c r="AP948" s="224"/>
      <c r="AQ948" s="270">
        <f>AQ975</f>
        <v>0</v>
      </c>
      <c r="AR948" s="271"/>
      <c r="AS948" s="224"/>
      <c r="AT948" s="270">
        <f>AT975</f>
        <v>0</v>
      </c>
      <c r="AU948" s="271"/>
      <c r="AV948" s="229"/>
      <c r="AW948" s="226"/>
      <c r="AX948" s="230"/>
      <c r="AY948" s="231">
        <f>AY975</f>
        <v>0</v>
      </c>
      <c r="AZ948" s="374"/>
      <c r="BA948" s="374"/>
      <c r="BB948" s="374"/>
      <c r="BC948" s="374"/>
    </row>
    <row r="949" spans="1:55" s="116" customFormat="1">
      <c r="A949" s="179"/>
      <c r="B949" s="179"/>
      <c r="C949" s="179"/>
      <c r="D949" s="181"/>
      <c r="E949" s="181"/>
      <c r="F949" s="181"/>
      <c r="G949" s="181"/>
      <c r="H949" s="10" t="s">
        <v>99</v>
      </c>
      <c r="I949" s="10"/>
      <c r="J949" s="223">
        <f>J976</f>
        <v>0</v>
      </c>
      <c r="K949" s="271"/>
      <c r="L949" s="224"/>
      <c r="M949" s="270">
        <f>M976</f>
        <v>0</v>
      </c>
      <c r="N949" s="271"/>
      <c r="O949" s="224"/>
      <c r="P949" s="270">
        <f>P976</f>
        <v>0</v>
      </c>
      <c r="Q949" s="271"/>
      <c r="R949" s="224"/>
      <c r="S949" s="270">
        <f>S976</f>
        <v>0</v>
      </c>
      <c r="T949" s="271"/>
      <c r="U949" s="224"/>
      <c r="V949" s="270">
        <f>V976</f>
        <v>0</v>
      </c>
      <c r="W949" s="271"/>
      <c r="X949" s="224"/>
      <c r="Y949" s="270">
        <f>Y976</f>
        <v>0</v>
      </c>
      <c r="Z949" s="271"/>
      <c r="AA949" s="224"/>
      <c r="AB949" s="270">
        <f>AB976</f>
        <v>0</v>
      </c>
      <c r="AC949" s="271"/>
      <c r="AD949" s="224"/>
      <c r="AE949" s="270">
        <f>AE976</f>
        <v>0</v>
      </c>
      <c r="AF949" s="271"/>
      <c r="AG949" s="224"/>
      <c r="AH949" s="270">
        <f>AH976</f>
        <v>0</v>
      </c>
      <c r="AI949" s="271"/>
      <c r="AJ949" s="224"/>
      <c r="AK949" s="270">
        <f>AK976</f>
        <v>0</v>
      </c>
      <c r="AL949" s="271"/>
      <c r="AM949" s="224"/>
      <c r="AN949" s="270">
        <f>AN976</f>
        <v>0</v>
      </c>
      <c r="AO949" s="271"/>
      <c r="AP949" s="224"/>
      <c r="AQ949" s="270">
        <f>AQ976</f>
        <v>0</v>
      </c>
      <c r="AR949" s="271"/>
      <c r="AS949" s="224"/>
      <c r="AT949" s="270">
        <f>AT976</f>
        <v>0</v>
      </c>
      <c r="AU949" s="271"/>
      <c r="AV949" s="229"/>
      <c r="AW949" s="226"/>
      <c r="AX949" s="230"/>
      <c r="AY949" s="231">
        <f>AY976</f>
        <v>0</v>
      </c>
      <c r="AZ949" s="374"/>
      <c r="BA949" s="374"/>
      <c r="BB949" s="374"/>
      <c r="BC949" s="374"/>
    </row>
    <row r="950" spans="1:55" s="116" customFormat="1">
      <c r="A950" s="179"/>
      <c r="B950" s="179"/>
      <c r="C950" s="179"/>
      <c r="D950" s="181">
        <v>370080</v>
      </c>
      <c r="E950" s="181"/>
      <c r="F950" s="181"/>
      <c r="G950" s="1110">
        <v>370080</v>
      </c>
      <c r="H950" s="122" t="s">
        <v>949</v>
      </c>
      <c r="I950" s="516" t="s">
        <v>364</v>
      </c>
      <c r="J950" s="320">
        <f>АЭС!C29</f>
        <v>1071</v>
      </c>
      <c r="K950" s="246"/>
      <c r="L950" s="282"/>
      <c r="M950" s="320">
        <f>АЭС!D29</f>
        <v>1016</v>
      </c>
      <c r="N950" s="246"/>
      <c r="O950" s="282"/>
      <c r="P950" s="320">
        <f>АЭС!E29</f>
        <v>982</v>
      </c>
      <c r="Q950" s="246"/>
      <c r="R950" s="282"/>
      <c r="S950" s="320">
        <f>АЭС!F29</f>
        <v>792</v>
      </c>
      <c r="T950" s="246"/>
      <c r="U950" s="282"/>
      <c r="V950" s="320">
        <f>АЭС!G29</f>
        <v>755</v>
      </c>
      <c r="W950" s="246"/>
      <c r="X950" s="282"/>
      <c r="Y950" s="320">
        <f>АЭС!H29</f>
        <v>634</v>
      </c>
      <c r="Z950" s="246"/>
      <c r="AA950" s="282"/>
      <c r="AB950" s="320">
        <f>АЭС!I29</f>
        <v>640</v>
      </c>
      <c r="AC950" s="246"/>
      <c r="AD950" s="282"/>
      <c r="AE950" s="320">
        <f>АЭС!J29</f>
        <v>655</v>
      </c>
      <c r="AF950" s="246"/>
      <c r="AG950" s="282"/>
      <c r="AH950" s="320">
        <f>АЭС!K29</f>
        <v>766</v>
      </c>
      <c r="AI950" s="246"/>
      <c r="AJ950" s="282"/>
      <c r="AK950" s="320">
        <f>АЭС!L29</f>
        <v>818</v>
      </c>
      <c r="AL950" s="246"/>
      <c r="AM950" s="282"/>
      <c r="AN950" s="320">
        <f>АЭС!M29</f>
        <v>987</v>
      </c>
      <c r="AO950" s="246"/>
      <c r="AP950" s="282"/>
      <c r="AQ950" s="320">
        <f>АЭС!N29</f>
        <v>1086</v>
      </c>
      <c r="AR950" s="246"/>
      <c r="AS950" s="282"/>
      <c r="AT950" s="320">
        <f>J950+M950+P950+S950+V950+Y950+AB950+AE950+AH950+AK950+AN950+AQ950</f>
        <v>10202</v>
      </c>
      <c r="AU950" s="246"/>
      <c r="AV950" s="336"/>
      <c r="AW950" s="285"/>
      <c r="AX950" s="337"/>
      <c r="AY950" s="438">
        <v>10234.164129999999</v>
      </c>
      <c r="AZ950" s="374"/>
      <c r="BA950" s="374"/>
      <c r="BB950" s="374"/>
      <c r="BC950" s="374"/>
    </row>
    <row r="951" spans="1:55" s="116" customFormat="1">
      <c r="A951" s="179"/>
      <c r="B951" s="179"/>
      <c r="C951" s="179"/>
      <c r="D951" s="181">
        <v>349312</v>
      </c>
      <c r="E951" s="181"/>
      <c r="F951" s="181"/>
      <c r="G951" s="1110">
        <v>349312</v>
      </c>
      <c r="H951" s="127" t="s">
        <v>950</v>
      </c>
      <c r="I951" s="516" t="s">
        <v>364</v>
      </c>
      <c r="J951" s="548">
        <v>57.29</v>
      </c>
      <c r="K951" s="545"/>
      <c r="L951" s="546"/>
      <c r="M951" s="547">
        <v>53.949999999999996</v>
      </c>
      <c r="N951" s="545"/>
      <c r="O951" s="546"/>
      <c r="P951" s="547">
        <v>63.24</v>
      </c>
      <c r="Q951" s="545"/>
      <c r="R951" s="546"/>
      <c r="S951" s="547">
        <v>43.2</v>
      </c>
      <c r="T951" s="545"/>
      <c r="U951" s="546"/>
      <c r="V951" s="547">
        <v>28.28</v>
      </c>
      <c r="W951" s="545"/>
      <c r="X951" s="546"/>
      <c r="Y951" s="547">
        <v>12.24</v>
      </c>
      <c r="Z951" s="545"/>
      <c r="AA951" s="546"/>
      <c r="AB951" s="547">
        <v>11.9</v>
      </c>
      <c r="AC951" s="545"/>
      <c r="AD951" s="546"/>
      <c r="AE951" s="547">
        <v>12.65</v>
      </c>
      <c r="AF951" s="545"/>
      <c r="AG951" s="546"/>
      <c r="AH951" s="547">
        <v>19.8</v>
      </c>
      <c r="AI951" s="545"/>
      <c r="AJ951" s="546"/>
      <c r="AK951" s="547">
        <v>37.260000000000005</v>
      </c>
      <c r="AL951" s="545"/>
      <c r="AM951" s="546"/>
      <c r="AN951" s="547">
        <v>55.690000000000005</v>
      </c>
      <c r="AO951" s="545"/>
      <c r="AP951" s="546"/>
      <c r="AQ951" s="547">
        <v>55.8</v>
      </c>
      <c r="AR951" s="246"/>
      <c r="AS951" s="282"/>
      <c r="AT951" s="244">
        <f>J951+M951+P951+S951+V951+Y951+AB951+AE951+AH951+AK951+AN951+AQ951</f>
        <v>451.29999999999995</v>
      </c>
      <c r="AU951" s="246"/>
      <c r="AV951" s="336"/>
      <c r="AW951" s="285"/>
      <c r="AX951" s="337"/>
      <c r="AY951" s="438">
        <v>439.41681699999998</v>
      </c>
      <c r="AZ951" s="374"/>
      <c r="BA951" s="374"/>
      <c r="BB951" s="374"/>
      <c r="BC951" s="374"/>
    </row>
    <row r="952" spans="1:55" s="116" customFormat="1">
      <c r="A952" s="179"/>
      <c r="B952" s="179"/>
      <c r="C952" s="179"/>
      <c r="D952" s="181">
        <v>349310</v>
      </c>
      <c r="E952" s="181"/>
      <c r="F952" s="181"/>
      <c r="G952" s="1110">
        <v>349310</v>
      </c>
      <c r="H952" s="129" t="s">
        <v>951</v>
      </c>
      <c r="I952" s="519" t="s">
        <v>365</v>
      </c>
      <c r="J952" s="548">
        <v>2.68</v>
      </c>
      <c r="K952" s="545"/>
      <c r="L952" s="546"/>
      <c r="M952" s="547">
        <v>2.42</v>
      </c>
      <c r="N952" s="545"/>
      <c r="O952" s="546"/>
      <c r="P952" s="547">
        <v>2.54</v>
      </c>
      <c r="Q952" s="545"/>
      <c r="R952" s="546"/>
      <c r="S952" s="547">
        <v>2.44</v>
      </c>
      <c r="T952" s="545"/>
      <c r="U952" s="546"/>
      <c r="V952" s="547">
        <v>0</v>
      </c>
      <c r="W952" s="545"/>
      <c r="X952" s="546"/>
      <c r="Y952" s="547">
        <v>0</v>
      </c>
      <c r="Z952" s="545"/>
      <c r="AA952" s="546"/>
      <c r="AB952" s="547">
        <v>0</v>
      </c>
      <c r="AC952" s="545"/>
      <c r="AD952" s="546"/>
      <c r="AE952" s="547">
        <v>0</v>
      </c>
      <c r="AF952" s="545"/>
      <c r="AG952" s="546"/>
      <c r="AH952" s="547">
        <v>0</v>
      </c>
      <c r="AI952" s="545"/>
      <c r="AJ952" s="546"/>
      <c r="AK952" s="547">
        <v>2.4500000000000002</v>
      </c>
      <c r="AL952" s="545"/>
      <c r="AM952" s="546"/>
      <c r="AN952" s="547">
        <v>2.5499999999999998</v>
      </c>
      <c r="AO952" s="545"/>
      <c r="AP952" s="546"/>
      <c r="AQ952" s="547">
        <v>2.68</v>
      </c>
      <c r="AR952" s="256"/>
      <c r="AS952" s="299"/>
      <c r="AT952" s="244">
        <f>J952+M952+P952+S952+V952+Y952+AB952+AE952+AH952+AK952+AN952+AQ952</f>
        <v>17.760000000000002</v>
      </c>
      <c r="AU952" s="283"/>
      <c r="AV952" s="284"/>
      <c r="AW952" s="285"/>
      <c r="AX952" s="321"/>
      <c r="AY952" s="435">
        <v>16.774578999999999</v>
      </c>
      <c r="AZ952" s="374"/>
      <c r="BA952" s="374"/>
      <c r="BB952" s="374"/>
      <c r="BC952" s="374"/>
    </row>
    <row r="953" spans="1:55" s="116" customFormat="1">
      <c r="A953" s="179"/>
      <c r="B953" s="179"/>
      <c r="C953" s="179"/>
      <c r="D953" s="181"/>
      <c r="E953" s="181"/>
      <c r="F953" s="181"/>
      <c r="G953" s="1110"/>
      <c r="H953" s="134" t="s">
        <v>952</v>
      </c>
      <c r="I953" s="516" t="s">
        <v>364</v>
      </c>
      <c r="J953" s="262">
        <f>SUM(J954:J959)</f>
        <v>238.62</v>
      </c>
      <c r="K953" s="246"/>
      <c r="L953" s="282"/>
      <c r="M953" s="317">
        <f>SUM(M954:M959)</f>
        <v>225.05</v>
      </c>
      <c r="N953" s="246"/>
      <c r="O953" s="282"/>
      <c r="P953" s="317">
        <f>SUM(P954:P959)</f>
        <v>252.46</v>
      </c>
      <c r="Q953" s="246"/>
      <c r="R953" s="282"/>
      <c r="S953" s="317">
        <f>SUM(S954:S959)</f>
        <v>234.17999999999998</v>
      </c>
      <c r="T953" s="246"/>
      <c r="U953" s="282"/>
      <c r="V953" s="317">
        <f>SUM(V954:V959)</f>
        <v>277.3</v>
      </c>
      <c r="W953" s="246"/>
      <c r="X953" s="324"/>
      <c r="Y953" s="317">
        <f>SUM(Y954:Y959)</f>
        <v>278.01</v>
      </c>
      <c r="Z953" s="246"/>
      <c r="AA953" s="324"/>
      <c r="AB953" s="317">
        <f>SUM(AB954:AB959)</f>
        <v>242.07999999999998</v>
      </c>
      <c r="AC953" s="246"/>
      <c r="AD953" s="324"/>
      <c r="AE953" s="317">
        <f>SUM(AE954:AE959)</f>
        <v>238.64</v>
      </c>
      <c r="AF953" s="246"/>
      <c r="AG953" s="324"/>
      <c r="AH953" s="317">
        <f>SUM(AH954:AH959)</f>
        <v>144.64000000000001</v>
      </c>
      <c r="AI953" s="246"/>
      <c r="AJ953" s="324"/>
      <c r="AK953" s="317">
        <f>SUM(AK954:AK959)</f>
        <v>259.88000000000005</v>
      </c>
      <c r="AL953" s="246"/>
      <c r="AM953" s="324"/>
      <c r="AN953" s="317">
        <f>SUM(AN954:AN959)</f>
        <v>283.3</v>
      </c>
      <c r="AO953" s="246"/>
      <c r="AP953" s="324"/>
      <c r="AQ953" s="317">
        <f>SUM(AQ954:AQ959)</f>
        <v>275.14999999999998</v>
      </c>
      <c r="AR953" s="246"/>
      <c r="AS953" s="324"/>
      <c r="AT953" s="317">
        <f>SUM(AT954:AT959)</f>
        <v>2949.3100000000004</v>
      </c>
      <c r="AU953" s="283"/>
      <c r="AV953" s="284"/>
      <c r="AW953" s="285"/>
      <c r="AX953" s="321"/>
      <c r="AY953" s="243">
        <f>SUM(AY954:AY959)</f>
        <v>2957.4208329999997</v>
      </c>
      <c r="AZ953" s="374"/>
      <c r="BA953" s="374"/>
      <c r="BB953" s="374"/>
      <c r="BC953" s="374"/>
    </row>
    <row r="954" spans="1:55" s="116" customFormat="1">
      <c r="A954" s="179"/>
      <c r="B954" s="179"/>
      <c r="C954" s="179"/>
      <c r="D954" s="181">
        <v>349316</v>
      </c>
      <c r="E954" s="181"/>
      <c r="F954" s="181"/>
      <c r="G954" s="1110">
        <v>349316</v>
      </c>
      <c r="H954" s="122" t="s">
        <v>953</v>
      </c>
      <c r="I954" s="122"/>
      <c r="J954" s="587">
        <v>12.68</v>
      </c>
      <c r="K954" s="521"/>
      <c r="L954" s="522"/>
      <c r="M954" s="587">
        <v>11.52</v>
      </c>
      <c r="N954" s="521"/>
      <c r="O954" s="522"/>
      <c r="P954" s="587">
        <v>11.58</v>
      </c>
      <c r="Q954" s="521"/>
      <c r="R954" s="522"/>
      <c r="S954" s="587">
        <v>11.41</v>
      </c>
      <c r="T954" s="521"/>
      <c r="U954" s="522"/>
      <c r="V954" s="587">
        <v>12.73</v>
      </c>
      <c r="W954" s="521"/>
      <c r="X954" s="522"/>
      <c r="Y954" s="587">
        <v>12.76</v>
      </c>
      <c r="Z954" s="521"/>
      <c r="AA954" s="522"/>
      <c r="AB954" s="587">
        <v>11.32</v>
      </c>
      <c r="AC954" s="521"/>
      <c r="AD954" s="522"/>
      <c r="AE954" s="587">
        <v>7.35</v>
      </c>
      <c r="AF954" s="521"/>
      <c r="AG954" s="522"/>
      <c r="AH954" s="587">
        <v>7.62</v>
      </c>
      <c r="AI954" s="521"/>
      <c r="AJ954" s="522"/>
      <c r="AK954" s="587">
        <v>9.6300000000000008</v>
      </c>
      <c r="AL954" s="521"/>
      <c r="AM954" s="522"/>
      <c r="AN954" s="587">
        <v>12.05</v>
      </c>
      <c r="AO954" s="521"/>
      <c r="AP954" s="522"/>
      <c r="AQ954" s="587">
        <v>12.38</v>
      </c>
      <c r="AR954" s="283"/>
      <c r="AS954" s="299"/>
      <c r="AT954" s="587">
        <f t="shared" ref="AT954:AT959" si="34">J954+M954+P954+S954+V954+Y954+AB954+AE954+AH954+AK954+AN954+AQ954</f>
        <v>133.03</v>
      </c>
      <c r="AU954" s="283"/>
      <c r="AV954" s="284"/>
      <c r="AW954" s="285"/>
      <c r="AX954" s="321"/>
      <c r="AY954" s="435">
        <v>125.07854500000001</v>
      </c>
      <c r="AZ954" s="374"/>
      <c r="BA954" s="374"/>
      <c r="BB954" s="374"/>
      <c r="BC954" s="374"/>
    </row>
    <row r="955" spans="1:55" s="116" customFormat="1">
      <c r="A955" s="179"/>
      <c r="B955" s="179"/>
      <c r="C955" s="179"/>
      <c r="D955" s="181">
        <v>349317</v>
      </c>
      <c r="E955" s="181"/>
      <c r="F955" s="181"/>
      <c r="G955" s="1110">
        <v>349317</v>
      </c>
      <c r="H955" s="122" t="s">
        <v>954</v>
      </c>
      <c r="I955" s="122"/>
      <c r="J955" s="587">
        <v>37.69</v>
      </c>
      <c r="K955" s="521"/>
      <c r="L955" s="522"/>
      <c r="M955" s="587">
        <v>34.549999999999997</v>
      </c>
      <c r="N955" s="521"/>
      <c r="O955" s="522"/>
      <c r="P955" s="587">
        <v>35.700000000000003</v>
      </c>
      <c r="Q955" s="521"/>
      <c r="R955" s="522"/>
      <c r="S955" s="587">
        <v>35.93</v>
      </c>
      <c r="T955" s="521"/>
      <c r="U955" s="522"/>
      <c r="V955" s="587">
        <v>39.81</v>
      </c>
      <c r="W955" s="521"/>
      <c r="X955" s="522"/>
      <c r="Y955" s="587">
        <v>38.39</v>
      </c>
      <c r="Z955" s="521"/>
      <c r="AA955" s="522"/>
      <c r="AB955" s="587">
        <v>33.19</v>
      </c>
      <c r="AC955" s="521"/>
      <c r="AD955" s="522"/>
      <c r="AE955" s="587">
        <v>24.87</v>
      </c>
      <c r="AF955" s="521"/>
      <c r="AG955" s="522"/>
      <c r="AH955" s="587">
        <v>22.22</v>
      </c>
      <c r="AI955" s="521"/>
      <c r="AJ955" s="522"/>
      <c r="AK955" s="587">
        <v>37.99</v>
      </c>
      <c r="AL955" s="521"/>
      <c r="AM955" s="522"/>
      <c r="AN955" s="587">
        <v>35.270000000000003</v>
      </c>
      <c r="AO955" s="521"/>
      <c r="AP955" s="522"/>
      <c r="AQ955" s="587">
        <v>36.39</v>
      </c>
      <c r="AR955" s="283"/>
      <c r="AS955" s="299"/>
      <c r="AT955" s="587">
        <f t="shared" si="34"/>
        <v>412</v>
      </c>
      <c r="AU955" s="283"/>
      <c r="AV955" s="284"/>
      <c r="AW955" s="285"/>
      <c r="AX955" s="321"/>
      <c r="AY955" s="435">
        <v>390.59724299999999</v>
      </c>
      <c r="AZ955" s="374"/>
      <c r="BA955" s="374"/>
      <c r="BB955" s="374"/>
      <c r="BC955" s="374"/>
    </row>
    <row r="956" spans="1:55" s="116" customFormat="1">
      <c r="A956" s="179"/>
      <c r="B956" s="179"/>
      <c r="C956" s="179"/>
      <c r="D956" s="181">
        <v>349318</v>
      </c>
      <c r="E956" s="181"/>
      <c r="F956" s="181"/>
      <c r="G956" s="1110">
        <v>349318</v>
      </c>
      <c r="H956" s="122" t="s">
        <v>955</v>
      </c>
      <c r="I956" s="122"/>
      <c r="J956" s="587">
        <v>77.62</v>
      </c>
      <c r="K956" s="521"/>
      <c r="L956" s="522"/>
      <c r="M956" s="587">
        <v>71.97</v>
      </c>
      <c r="N956" s="521"/>
      <c r="O956" s="522"/>
      <c r="P956" s="587">
        <v>73.680000000000007</v>
      </c>
      <c r="Q956" s="521"/>
      <c r="R956" s="522"/>
      <c r="S956" s="587">
        <v>74.36</v>
      </c>
      <c r="T956" s="521"/>
      <c r="U956" s="522"/>
      <c r="V956" s="587">
        <v>83</v>
      </c>
      <c r="W956" s="521"/>
      <c r="X956" s="522"/>
      <c r="Y956" s="587">
        <v>79.97</v>
      </c>
      <c r="Z956" s="521"/>
      <c r="AA956" s="522"/>
      <c r="AB956" s="587">
        <v>69.44</v>
      </c>
      <c r="AC956" s="521"/>
      <c r="AD956" s="522"/>
      <c r="AE956" s="587">
        <v>50.82</v>
      </c>
      <c r="AF956" s="521"/>
      <c r="AG956" s="522"/>
      <c r="AH956" s="587">
        <v>45.36</v>
      </c>
      <c r="AI956" s="521"/>
      <c r="AJ956" s="522"/>
      <c r="AK956" s="587">
        <v>78.48</v>
      </c>
      <c r="AL956" s="521"/>
      <c r="AM956" s="522"/>
      <c r="AN956" s="587">
        <v>72.73</v>
      </c>
      <c r="AO956" s="521"/>
      <c r="AP956" s="522"/>
      <c r="AQ956" s="587">
        <v>75.02</v>
      </c>
      <c r="AR956" s="283"/>
      <c r="AS956" s="299"/>
      <c r="AT956" s="587">
        <f t="shared" si="34"/>
        <v>852.45</v>
      </c>
      <c r="AU956" s="283"/>
      <c r="AV956" s="284"/>
      <c r="AW956" s="285"/>
      <c r="AX956" s="321"/>
      <c r="AY956" s="435">
        <v>851.21246299999996</v>
      </c>
      <c r="AZ956" s="374"/>
      <c r="BA956" s="374"/>
      <c r="BB956" s="374"/>
      <c r="BC956" s="374"/>
    </row>
    <row r="957" spans="1:55" s="116" customFormat="1">
      <c r="A957" s="179"/>
      <c r="B957" s="179"/>
      <c r="C957" s="179"/>
      <c r="D957" s="181">
        <v>349315</v>
      </c>
      <c r="E957" s="181"/>
      <c r="F957" s="181"/>
      <c r="G957" s="1110">
        <v>349315</v>
      </c>
      <c r="H957" s="122" t="s">
        <v>956</v>
      </c>
      <c r="I957" s="122"/>
      <c r="J957" s="587">
        <v>49.03</v>
      </c>
      <c r="K957" s="521"/>
      <c r="L957" s="522"/>
      <c r="M957" s="587">
        <v>48.38</v>
      </c>
      <c r="N957" s="521"/>
      <c r="O957" s="522"/>
      <c r="P957" s="587">
        <v>64.17</v>
      </c>
      <c r="Q957" s="521"/>
      <c r="R957" s="522"/>
      <c r="S957" s="587">
        <v>62.87</v>
      </c>
      <c r="T957" s="521"/>
      <c r="U957" s="522"/>
      <c r="V957" s="587">
        <v>62.75</v>
      </c>
      <c r="W957" s="521"/>
      <c r="X957" s="522"/>
      <c r="Y957" s="587">
        <v>71.760000000000005</v>
      </c>
      <c r="Z957" s="521"/>
      <c r="AA957" s="522"/>
      <c r="AB957" s="587">
        <v>61.39</v>
      </c>
      <c r="AC957" s="521"/>
      <c r="AD957" s="522"/>
      <c r="AE957" s="587">
        <v>89.25</v>
      </c>
      <c r="AF957" s="521"/>
      <c r="AG957" s="522"/>
      <c r="AH957" s="587">
        <v>10.72</v>
      </c>
      <c r="AI957" s="521"/>
      <c r="AJ957" s="522"/>
      <c r="AK957" s="587">
        <v>62.75</v>
      </c>
      <c r="AL957" s="521"/>
      <c r="AM957" s="522"/>
      <c r="AN957" s="587">
        <v>68.19</v>
      </c>
      <c r="AO957" s="521"/>
      <c r="AP957" s="522"/>
      <c r="AQ957" s="587">
        <v>62.91</v>
      </c>
      <c r="AR957" s="283"/>
      <c r="AS957" s="299"/>
      <c r="AT957" s="587">
        <f t="shared" si="34"/>
        <v>714.17</v>
      </c>
      <c r="AU957" s="283"/>
      <c r="AV957" s="284"/>
      <c r="AW957" s="285"/>
      <c r="AX957" s="321"/>
      <c r="AY957" s="435">
        <v>775.80012199999999</v>
      </c>
      <c r="AZ957" s="374"/>
      <c r="BA957" s="374"/>
      <c r="BB957" s="374"/>
      <c r="BC957" s="374"/>
    </row>
    <row r="958" spans="1:55" s="116" customFormat="1">
      <c r="A958" s="179"/>
      <c r="B958" s="179"/>
      <c r="C958" s="179"/>
      <c r="D958" s="181">
        <v>349326</v>
      </c>
      <c r="E958" s="181"/>
      <c r="F958" s="181"/>
      <c r="G958" s="1110">
        <v>349326</v>
      </c>
      <c r="H958" s="122" t="s">
        <v>957</v>
      </c>
      <c r="I958" s="122"/>
      <c r="J958" s="587">
        <v>25.86</v>
      </c>
      <c r="K958" s="521"/>
      <c r="L958" s="522"/>
      <c r="M958" s="587">
        <v>22.55</v>
      </c>
      <c r="N958" s="521"/>
      <c r="O958" s="522"/>
      <c r="P958" s="587">
        <v>24.84</v>
      </c>
      <c r="Q958" s="521"/>
      <c r="R958" s="522"/>
      <c r="S958" s="587">
        <v>19.23</v>
      </c>
      <c r="T958" s="521"/>
      <c r="U958" s="522"/>
      <c r="V958" s="587">
        <v>29.14</v>
      </c>
      <c r="W958" s="521"/>
      <c r="X958" s="522"/>
      <c r="Y958" s="587">
        <v>16.98</v>
      </c>
      <c r="Z958" s="521"/>
      <c r="AA958" s="522"/>
      <c r="AB958" s="587">
        <v>21.59</v>
      </c>
      <c r="AC958" s="521"/>
      <c r="AD958" s="522"/>
      <c r="AE958" s="587">
        <v>27.98</v>
      </c>
      <c r="AF958" s="521"/>
      <c r="AG958" s="522"/>
      <c r="AH958" s="587">
        <v>22.26</v>
      </c>
      <c r="AI958" s="521"/>
      <c r="AJ958" s="522"/>
      <c r="AK958" s="587">
        <v>27.11</v>
      </c>
      <c r="AL958" s="521"/>
      <c r="AM958" s="522"/>
      <c r="AN958" s="587">
        <v>41.03</v>
      </c>
      <c r="AO958" s="521"/>
      <c r="AP958" s="522"/>
      <c r="AQ958" s="587">
        <v>38.6</v>
      </c>
      <c r="AR958" s="283"/>
      <c r="AS958" s="299"/>
      <c r="AT958" s="587">
        <f t="shared" si="34"/>
        <v>317.16999999999996</v>
      </c>
      <c r="AU958" s="283"/>
      <c r="AV958" s="284"/>
      <c r="AW958" s="285"/>
      <c r="AX958" s="321"/>
      <c r="AY958" s="435">
        <v>356.02977600000003</v>
      </c>
      <c r="AZ958" s="374"/>
      <c r="BA958" s="374"/>
      <c r="BB958" s="374"/>
      <c r="BC958" s="374"/>
    </row>
    <row r="959" spans="1:55" s="116" customFormat="1">
      <c r="A959" s="179"/>
      <c r="B959" s="179"/>
      <c r="C959" s="179"/>
      <c r="D959" s="181">
        <v>349327</v>
      </c>
      <c r="E959" s="181"/>
      <c r="F959" s="181"/>
      <c r="G959" s="1110">
        <v>349327</v>
      </c>
      <c r="H959" s="122" t="s">
        <v>958</v>
      </c>
      <c r="I959" s="122"/>
      <c r="J959" s="587">
        <v>35.74</v>
      </c>
      <c r="K959" s="521"/>
      <c r="L959" s="522"/>
      <c r="M959" s="587">
        <v>36.08</v>
      </c>
      <c r="N959" s="521"/>
      <c r="O959" s="522"/>
      <c r="P959" s="587">
        <v>42.49</v>
      </c>
      <c r="Q959" s="521"/>
      <c r="R959" s="522"/>
      <c r="S959" s="587">
        <v>30.38</v>
      </c>
      <c r="T959" s="521"/>
      <c r="U959" s="522"/>
      <c r="V959" s="587">
        <v>49.87</v>
      </c>
      <c r="W959" s="521"/>
      <c r="X959" s="522"/>
      <c r="Y959" s="587">
        <v>58.15</v>
      </c>
      <c r="Z959" s="521"/>
      <c r="AA959" s="522"/>
      <c r="AB959" s="587">
        <v>45.15</v>
      </c>
      <c r="AC959" s="521"/>
      <c r="AD959" s="522"/>
      <c r="AE959" s="587">
        <v>38.369999999999997</v>
      </c>
      <c r="AF959" s="521"/>
      <c r="AG959" s="522"/>
      <c r="AH959" s="587">
        <v>36.46</v>
      </c>
      <c r="AI959" s="521"/>
      <c r="AJ959" s="522"/>
      <c r="AK959" s="587">
        <v>43.92</v>
      </c>
      <c r="AL959" s="521"/>
      <c r="AM959" s="522"/>
      <c r="AN959" s="587">
        <v>54.03</v>
      </c>
      <c r="AO959" s="521"/>
      <c r="AP959" s="522"/>
      <c r="AQ959" s="587">
        <v>49.85</v>
      </c>
      <c r="AR959" s="283"/>
      <c r="AS959" s="299"/>
      <c r="AT959" s="587">
        <f t="shared" si="34"/>
        <v>520.49</v>
      </c>
      <c r="AU959" s="283"/>
      <c r="AV959" s="284"/>
      <c r="AW959" s="285"/>
      <c r="AX959" s="321"/>
      <c r="AY959" s="435">
        <v>458.70268399999998</v>
      </c>
      <c r="AZ959" s="374"/>
      <c r="BA959" s="374"/>
      <c r="BB959" s="374"/>
      <c r="BC959" s="374"/>
    </row>
    <row r="960" spans="1:55" s="116" customFormat="1">
      <c r="A960" s="179"/>
      <c r="B960" s="179"/>
      <c r="C960" s="179"/>
      <c r="D960" s="181"/>
      <c r="E960" s="181"/>
      <c r="F960" s="181"/>
      <c r="G960" s="1110"/>
      <c r="H960" s="134" t="s">
        <v>959</v>
      </c>
      <c r="I960" s="516" t="s">
        <v>364</v>
      </c>
      <c r="J960" s="262">
        <f>SUM(J961:J965)</f>
        <v>95.57</v>
      </c>
      <c r="K960" s="246"/>
      <c r="L960" s="282"/>
      <c r="M960" s="317">
        <f>SUM(M961:M965)</f>
        <v>83.710000000000008</v>
      </c>
      <c r="N960" s="246"/>
      <c r="O960" s="282"/>
      <c r="P960" s="317">
        <f>SUM(P961:P965)</f>
        <v>80.61</v>
      </c>
      <c r="Q960" s="246"/>
      <c r="R960" s="282"/>
      <c r="S960" s="317">
        <f>SUM(S961:S965)</f>
        <v>62.79</v>
      </c>
      <c r="T960" s="246"/>
      <c r="U960" s="282"/>
      <c r="V960" s="317">
        <f>SUM(V961:V965)</f>
        <v>88.85</v>
      </c>
      <c r="W960" s="246"/>
      <c r="X960" s="324"/>
      <c r="Y960" s="317">
        <f>SUM(Y961:Y965)</f>
        <v>58.849999999999994</v>
      </c>
      <c r="Z960" s="246"/>
      <c r="AA960" s="324"/>
      <c r="AB960" s="317">
        <f>SUM(AB961:AB965)</f>
        <v>52.4</v>
      </c>
      <c r="AC960" s="246"/>
      <c r="AD960" s="324"/>
      <c r="AE960" s="317">
        <f>SUM(AE961:AE965)</f>
        <v>85.35</v>
      </c>
      <c r="AF960" s="246"/>
      <c r="AG960" s="324"/>
      <c r="AH960" s="317">
        <f>SUM(AH961:AH965)</f>
        <v>64.62</v>
      </c>
      <c r="AI960" s="246"/>
      <c r="AJ960" s="324"/>
      <c r="AK960" s="317">
        <f>SUM(AK961:AK965)</f>
        <v>80.009999999999991</v>
      </c>
      <c r="AL960" s="246"/>
      <c r="AM960" s="324"/>
      <c r="AN960" s="317">
        <f>SUM(AN961:AN965)</f>
        <v>66.75</v>
      </c>
      <c r="AO960" s="246"/>
      <c r="AP960" s="324"/>
      <c r="AQ960" s="317">
        <f>SUM(AQ961:AQ965)</f>
        <v>93.41</v>
      </c>
      <c r="AR960" s="246"/>
      <c r="AS960" s="324"/>
      <c r="AT960" s="317">
        <f>SUM(AT961:AT965)</f>
        <v>912.92000000000007</v>
      </c>
      <c r="AU960" s="283"/>
      <c r="AV960" s="284"/>
      <c r="AW960" s="285"/>
      <c r="AX960" s="321"/>
      <c r="AY960" s="243">
        <f>SUM(AY961:AY965)</f>
        <v>1110.478494</v>
      </c>
      <c r="AZ960" s="374"/>
      <c r="BA960" s="374"/>
      <c r="BB960" s="374"/>
      <c r="BC960" s="374"/>
    </row>
    <row r="961" spans="1:55" s="116" customFormat="1">
      <c r="A961" s="179"/>
      <c r="B961" s="179"/>
      <c r="C961" s="179"/>
      <c r="D961" s="181">
        <v>349321</v>
      </c>
      <c r="E961" s="181"/>
      <c r="F961" s="181"/>
      <c r="G961" s="1110">
        <v>349321</v>
      </c>
      <c r="H961" s="122" t="s">
        <v>960</v>
      </c>
      <c r="I961" s="122"/>
      <c r="J961" s="587">
        <v>7.24</v>
      </c>
      <c r="K961" s="521"/>
      <c r="L961" s="522"/>
      <c r="M961" s="587">
        <v>6.02</v>
      </c>
      <c r="N961" s="521"/>
      <c r="O961" s="522"/>
      <c r="P961" s="587">
        <v>5.51</v>
      </c>
      <c r="Q961" s="521"/>
      <c r="R961" s="522"/>
      <c r="S961" s="587">
        <v>4.04</v>
      </c>
      <c r="T961" s="521"/>
      <c r="U961" s="522"/>
      <c r="V961" s="587">
        <v>5.5</v>
      </c>
      <c r="W961" s="521"/>
      <c r="X961" s="522"/>
      <c r="Y961" s="587">
        <v>3.75</v>
      </c>
      <c r="Z961" s="521"/>
      <c r="AA961" s="522"/>
      <c r="AB961" s="587">
        <v>3.91</v>
      </c>
      <c r="AC961" s="521"/>
      <c r="AD961" s="522"/>
      <c r="AE961" s="587">
        <v>7.54</v>
      </c>
      <c r="AF961" s="521"/>
      <c r="AG961" s="522"/>
      <c r="AH961" s="587">
        <v>5.58</v>
      </c>
      <c r="AI961" s="521"/>
      <c r="AJ961" s="522"/>
      <c r="AK961" s="587">
        <v>7.04</v>
      </c>
      <c r="AL961" s="521"/>
      <c r="AM961" s="522"/>
      <c r="AN961" s="587">
        <v>5.69</v>
      </c>
      <c r="AO961" s="521"/>
      <c r="AP961" s="522"/>
      <c r="AQ961" s="587">
        <v>7.36</v>
      </c>
      <c r="AR961" s="283"/>
      <c r="AS961" s="299"/>
      <c r="AT961" s="587">
        <f>J961+M961+P961+S961+V961+Y961+AB961+AE961+AH961+AK961+AN961+AQ961</f>
        <v>69.179999999999993</v>
      </c>
      <c r="AU961" s="283"/>
      <c r="AV961" s="284"/>
      <c r="AW961" s="285"/>
      <c r="AX961" s="321"/>
      <c r="AY961" s="435">
        <v>80.49239</v>
      </c>
      <c r="AZ961" s="374"/>
      <c r="BA961" s="374"/>
      <c r="BB961" s="374"/>
      <c r="BC961" s="374"/>
    </row>
    <row r="962" spans="1:55" s="116" customFormat="1">
      <c r="A962" s="179"/>
      <c r="B962" s="179"/>
      <c r="C962" s="179"/>
      <c r="D962" s="181">
        <v>349322</v>
      </c>
      <c r="E962" s="181"/>
      <c r="F962" s="181"/>
      <c r="G962" s="1110">
        <v>349322</v>
      </c>
      <c r="H962" s="122" t="s">
        <v>961</v>
      </c>
      <c r="I962" s="122"/>
      <c r="J962" s="587">
        <v>21.19</v>
      </c>
      <c r="K962" s="521"/>
      <c r="L962" s="522"/>
      <c r="M962" s="587">
        <v>18.7</v>
      </c>
      <c r="N962" s="521"/>
      <c r="O962" s="522"/>
      <c r="P962" s="587">
        <v>18.48</v>
      </c>
      <c r="Q962" s="521"/>
      <c r="R962" s="522"/>
      <c r="S962" s="587">
        <v>14.12</v>
      </c>
      <c r="T962" s="521"/>
      <c r="U962" s="522"/>
      <c r="V962" s="587">
        <v>18.27</v>
      </c>
      <c r="W962" s="521"/>
      <c r="X962" s="522"/>
      <c r="Y962" s="587">
        <v>10.5</v>
      </c>
      <c r="Z962" s="521"/>
      <c r="AA962" s="522"/>
      <c r="AB962" s="587">
        <v>10.39</v>
      </c>
      <c r="AC962" s="521"/>
      <c r="AD962" s="522"/>
      <c r="AE962" s="587">
        <v>10.87</v>
      </c>
      <c r="AF962" s="521"/>
      <c r="AG962" s="522"/>
      <c r="AH962" s="587">
        <v>9.25</v>
      </c>
      <c r="AI962" s="521"/>
      <c r="AJ962" s="522"/>
      <c r="AK962" s="587">
        <v>11.23</v>
      </c>
      <c r="AL962" s="521"/>
      <c r="AM962" s="522"/>
      <c r="AN962" s="587">
        <v>10.87</v>
      </c>
      <c r="AO962" s="521"/>
      <c r="AP962" s="522"/>
      <c r="AQ962" s="587">
        <v>20.29</v>
      </c>
      <c r="AR962" s="283"/>
      <c r="AS962" s="299"/>
      <c r="AT962" s="587">
        <f>J962+M962+P962+S962+V962+Y962+AB962+AE962+AH962+AK962+AN962+AQ962</f>
        <v>174.16</v>
      </c>
      <c r="AU962" s="283"/>
      <c r="AV962" s="284"/>
      <c r="AW962" s="285"/>
      <c r="AX962" s="321"/>
      <c r="AY962" s="435">
        <v>232.01303200000001</v>
      </c>
      <c r="AZ962" s="374"/>
      <c r="BA962" s="374"/>
      <c r="BB962" s="374"/>
      <c r="BC962" s="374"/>
    </row>
    <row r="963" spans="1:55" s="117" customFormat="1">
      <c r="A963" s="179"/>
      <c r="B963" s="179"/>
      <c r="C963" s="179"/>
      <c r="D963" s="181">
        <v>349323</v>
      </c>
      <c r="E963" s="181"/>
      <c r="F963" s="181"/>
      <c r="G963" s="1110">
        <v>349323</v>
      </c>
      <c r="H963" s="122" t="s">
        <v>962</v>
      </c>
      <c r="I963" s="122"/>
      <c r="J963" s="587">
        <v>22.57</v>
      </c>
      <c r="K963" s="521"/>
      <c r="L963" s="522"/>
      <c r="M963" s="587">
        <v>19.809999999999999</v>
      </c>
      <c r="N963" s="521"/>
      <c r="O963" s="522"/>
      <c r="P963" s="587">
        <v>19.09</v>
      </c>
      <c r="Q963" s="521"/>
      <c r="R963" s="522"/>
      <c r="S963" s="587">
        <v>14.51</v>
      </c>
      <c r="T963" s="521"/>
      <c r="U963" s="522"/>
      <c r="V963" s="587">
        <v>19.09</v>
      </c>
      <c r="W963" s="521"/>
      <c r="X963" s="522"/>
      <c r="Y963" s="587">
        <v>11.51</v>
      </c>
      <c r="Z963" s="521"/>
      <c r="AA963" s="522"/>
      <c r="AB963" s="587">
        <v>11.18</v>
      </c>
      <c r="AC963" s="521"/>
      <c r="AD963" s="522"/>
      <c r="AE963" s="587">
        <v>21.56</v>
      </c>
      <c r="AF963" s="521"/>
      <c r="AG963" s="522"/>
      <c r="AH963" s="587">
        <v>15.59</v>
      </c>
      <c r="AI963" s="521"/>
      <c r="AJ963" s="522"/>
      <c r="AK963" s="587">
        <v>20</v>
      </c>
      <c r="AL963" s="521"/>
      <c r="AM963" s="522"/>
      <c r="AN963" s="587">
        <v>16.25</v>
      </c>
      <c r="AO963" s="521"/>
      <c r="AP963" s="522"/>
      <c r="AQ963" s="587">
        <v>21.92</v>
      </c>
      <c r="AR963" s="283"/>
      <c r="AS963" s="299"/>
      <c r="AT963" s="587">
        <f>J963+M963+P963+S963+V963+Y963+AB963+AE963+AH963+AK963+AN963+AQ963</f>
        <v>213.08000000000004</v>
      </c>
      <c r="AU963" s="283"/>
      <c r="AV963" s="284"/>
      <c r="AW963" s="285"/>
      <c r="AX963" s="321"/>
      <c r="AY963" s="435">
        <v>264.89013999999997</v>
      </c>
      <c r="AZ963" s="375"/>
      <c r="BA963" s="375"/>
      <c r="BB963" s="375"/>
      <c r="BC963" s="375"/>
    </row>
    <row r="964" spans="1:55" s="117" customFormat="1">
      <c r="A964" s="179"/>
      <c r="B964" s="179"/>
      <c r="C964" s="179"/>
      <c r="D964" s="181">
        <v>349324</v>
      </c>
      <c r="E964" s="181"/>
      <c r="F964" s="181"/>
      <c r="G964" s="1110">
        <v>349324</v>
      </c>
      <c r="H964" s="122" t="s">
        <v>963</v>
      </c>
      <c r="I964" s="122"/>
      <c r="J964" s="587">
        <v>20.58</v>
      </c>
      <c r="K964" s="521"/>
      <c r="L964" s="522"/>
      <c r="M964" s="587">
        <v>18.04</v>
      </c>
      <c r="N964" s="521"/>
      <c r="O964" s="522"/>
      <c r="P964" s="587">
        <v>17.260000000000002</v>
      </c>
      <c r="Q964" s="521"/>
      <c r="R964" s="522"/>
      <c r="S964" s="587">
        <v>13.19</v>
      </c>
      <c r="T964" s="521"/>
      <c r="U964" s="522"/>
      <c r="V964" s="587">
        <v>19.41</v>
      </c>
      <c r="W964" s="521"/>
      <c r="X964" s="522"/>
      <c r="Y964" s="587">
        <v>12.46</v>
      </c>
      <c r="Z964" s="521"/>
      <c r="AA964" s="522"/>
      <c r="AB964" s="587">
        <v>11.05</v>
      </c>
      <c r="AC964" s="521"/>
      <c r="AD964" s="522"/>
      <c r="AE964" s="587">
        <v>20.32</v>
      </c>
      <c r="AF964" s="521"/>
      <c r="AG964" s="522"/>
      <c r="AH964" s="587">
        <v>14.94</v>
      </c>
      <c r="AI964" s="521"/>
      <c r="AJ964" s="522"/>
      <c r="AK964" s="587">
        <v>18.690000000000001</v>
      </c>
      <c r="AL964" s="521"/>
      <c r="AM964" s="522"/>
      <c r="AN964" s="587">
        <v>15.11</v>
      </c>
      <c r="AO964" s="521"/>
      <c r="AP964" s="522"/>
      <c r="AQ964" s="587">
        <v>20.100000000000001</v>
      </c>
      <c r="AR964" s="283"/>
      <c r="AS964" s="299"/>
      <c r="AT964" s="587">
        <f>J964+M964+P964+S964+V964+Y964+AB964+AE964+AH964+AK964+AN964+AQ964</f>
        <v>201.15</v>
      </c>
      <c r="AU964" s="283"/>
      <c r="AV964" s="284"/>
      <c r="AW964" s="285"/>
      <c r="AX964" s="321"/>
      <c r="AY964" s="435">
        <v>246.63548599999999</v>
      </c>
      <c r="AZ964" s="375"/>
      <c r="BA964" s="375"/>
      <c r="BB964" s="375"/>
      <c r="BC964" s="375"/>
    </row>
    <row r="965" spans="1:55" s="117" customFormat="1">
      <c r="A965" s="179"/>
      <c r="B965" s="179"/>
      <c r="C965" s="179"/>
      <c r="D965" s="181">
        <v>349325</v>
      </c>
      <c r="E965" s="181"/>
      <c r="F965" s="181"/>
      <c r="G965" s="1110">
        <v>349325</v>
      </c>
      <c r="H965" s="122" t="s">
        <v>964</v>
      </c>
      <c r="I965" s="122"/>
      <c r="J965" s="587">
        <v>23.99</v>
      </c>
      <c r="K965" s="521"/>
      <c r="L965" s="522"/>
      <c r="M965" s="587">
        <v>21.14</v>
      </c>
      <c r="N965" s="521"/>
      <c r="O965" s="522"/>
      <c r="P965" s="587">
        <v>20.27</v>
      </c>
      <c r="Q965" s="521"/>
      <c r="R965" s="522"/>
      <c r="S965" s="587">
        <v>16.93</v>
      </c>
      <c r="T965" s="521"/>
      <c r="U965" s="522"/>
      <c r="V965" s="587">
        <v>26.58</v>
      </c>
      <c r="W965" s="521"/>
      <c r="X965" s="522"/>
      <c r="Y965" s="587">
        <v>20.63</v>
      </c>
      <c r="Z965" s="521"/>
      <c r="AA965" s="522"/>
      <c r="AB965" s="587">
        <v>15.87</v>
      </c>
      <c r="AC965" s="521"/>
      <c r="AD965" s="522"/>
      <c r="AE965" s="587">
        <v>25.06</v>
      </c>
      <c r="AF965" s="521"/>
      <c r="AG965" s="522"/>
      <c r="AH965" s="587">
        <v>19.260000000000002</v>
      </c>
      <c r="AI965" s="521"/>
      <c r="AJ965" s="522"/>
      <c r="AK965" s="587">
        <v>23.05</v>
      </c>
      <c r="AL965" s="521"/>
      <c r="AM965" s="522"/>
      <c r="AN965" s="587">
        <v>18.829999999999998</v>
      </c>
      <c r="AO965" s="521"/>
      <c r="AP965" s="522"/>
      <c r="AQ965" s="587">
        <v>23.74</v>
      </c>
      <c r="AR965" s="283"/>
      <c r="AS965" s="299"/>
      <c r="AT965" s="587">
        <f>J965+M965+P965+S965+V965+Y965+AB965+AE965+AH965+AK965+AN965+AQ965</f>
        <v>255.35000000000002</v>
      </c>
      <c r="AU965" s="283"/>
      <c r="AV965" s="284"/>
      <c r="AW965" s="285"/>
      <c r="AX965" s="321"/>
      <c r="AY965" s="435">
        <v>286.44744600000001</v>
      </c>
      <c r="AZ965" s="375"/>
      <c r="BA965" s="375"/>
      <c r="BB965" s="375"/>
      <c r="BC965" s="375"/>
    </row>
    <row r="966" spans="1:55" s="117" customFormat="1">
      <c r="A966" s="179"/>
      <c r="B966" s="179"/>
      <c r="C966" s="179"/>
      <c r="D966" s="181"/>
      <c r="E966" s="181"/>
      <c r="F966" s="181"/>
      <c r="G966" s="1110"/>
      <c r="H966" s="134" t="s">
        <v>965</v>
      </c>
      <c r="I966" s="516" t="s">
        <v>364</v>
      </c>
      <c r="J966" s="314">
        <f>SUM(J967:J968)</f>
        <v>88.16</v>
      </c>
      <c r="K966" s="283"/>
      <c r="L966" s="299"/>
      <c r="M966" s="314">
        <f>SUM(M967:M968)</f>
        <v>77.47999999999999</v>
      </c>
      <c r="N966" s="283"/>
      <c r="O966" s="299"/>
      <c r="P966" s="314">
        <f>SUM(P967:P968)</f>
        <v>112.64</v>
      </c>
      <c r="Q966" s="246"/>
      <c r="R966" s="282"/>
      <c r="S966" s="314">
        <f>SUM(S967:S968)</f>
        <v>111.49</v>
      </c>
      <c r="T966" s="246"/>
      <c r="U966" s="282"/>
      <c r="V966" s="314">
        <f>SUM(V967:V968)</f>
        <v>109.84</v>
      </c>
      <c r="W966" s="246"/>
      <c r="X966" s="324"/>
      <c r="Y966" s="314">
        <f>SUM(Y967:Y968)</f>
        <v>96.34</v>
      </c>
      <c r="Z966" s="246"/>
      <c r="AA966" s="324"/>
      <c r="AB966" s="314">
        <f>SUM(AB967:AB968)</f>
        <v>86.289999999999992</v>
      </c>
      <c r="AC966" s="246"/>
      <c r="AD966" s="324"/>
      <c r="AE966" s="314">
        <f>SUM(AE967:AE968)</f>
        <v>109.36</v>
      </c>
      <c r="AF966" s="246"/>
      <c r="AG966" s="324"/>
      <c r="AH966" s="314">
        <f>SUM(AH967:AH968)</f>
        <v>144.98000000000002</v>
      </c>
      <c r="AI966" s="246"/>
      <c r="AJ966" s="324"/>
      <c r="AK966" s="314">
        <f>SUM(AK967:AK968)</f>
        <v>94.79</v>
      </c>
      <c r="AL966" s="246"/>
      <c r="AM966" s="324"/>
      <c r="AN966" s="314">
        <f>SUM(AN967:AN968)</f>
        <v>97.57</v>
      </c>
      <c r="AO966" s="246"/>
      <c r="AP966" s="324"/>
      <c r="AQ966" s="314">
        <f>SUM(AQ967:AQ968)</f>
        <v>84.210000000000008</v>
      </c>
      <c r="AR966" s="246"/>
      <c r="AS966" s="324"/>
      <c r="AT966" s="314">
        <f>SUM(AT967:AT968)</f>
        <v>1213.1500000000001</v>
      </c>
      <c r="AU966" s="283"/>
      <c r="AV966" s="284"/>
      <c r="AW966" s="285"/>
      <c r="AX966" s="321"/>
      <c r="AY966" s="243">
        <f>SUM(AY967:AY968)</f>
        <v>1173.7547730000001</v>
      </c>
      <c r="AZ966" s="375"/>
      <c r="BA966" s="375"/>
      <c r="BB966" s="375"/>
      <c r="BC966" s="375"/>
    </row>
    <row r="967" spans="1:55" s="117" customFormat="1">
      <c r="A967" s="179"/>
      <c r="B967" s="179"/>
      <c r="C967" s="179"/>
      <c r="D967" s="181">
        <v>349319</v>
      </c>
      <c r="E967" s="181"/>
      <c r="F967" s="181"/>
      <c r="G967" s="1110">
        <v>349319</v>
      </c>
      <c r="H967" s="122" t="s">
        <v>966</v>
      </c>
      <c r="I967" s="122"/>
      <c r="J967" s="595">
        <v>67.260000000000005</v>
      </c>
      <c r="K967" s="523"/>
      <c r="L967" s="524"/>
      <c r="M967" s="595">
        <v>59.12</v>
      </c>
      <c r="N967" s="523"/>
      <c r="O967" s="524"/>
      <c r="P967" s="587">
        <v>86.14</v>
      </c>
      <c r="Q967" s="521"/>
      <c r="R967" s="522"/>
      <c r="S967" s="587">
        <v>83.96</v>
      </c>
      <c r="T967" s="521"/>
      <c r="U967" s="522"/>
      <c r="V967" s="587">
        <v>75.22</v>
      </c>
      <c r="W967" s="521"/>
      <c r="X967" s="522"/>
      <c r="Y967" s="587">
        <v>63.96</v>
      </c>
      <c r="Z967" s="521"/>
      <c r="AA967" s="522"/>
      <c r="AB967" s="587">
        <v>62.19</v>
      </c>
      <c r="AC967" s="521"/>
      <c r="AD967" s="522"/>
      <c r="AE967" s="587">
        <v>81.739999999999995</v>
      </c>
      <c r="AF967" s="521"/>
      <c r="AG967" s="522"/>
      <c r="AH967" s="587">
        <v>108.48</v>
      </c>
      <c r="AI967" s="521"/>
      <c r="AJ967" s="522"/>
      <c r="AK967" s="587">
        <v>69.430000000000007</v>
      </c>
      <c r="AL967" s="521"/>
      <c r="AM967" s="522"/>
      <c r="AN967" s="587">
        <v>73.33</v>
      </c>
      <c r="AO967" s="521"/>
      <c r="AP967" s="522"/>
      <c r="AQ967" s="587">
        <v>63.53</v>
      </c>
      <c r="AR967" s="246"/>
      <c r="AS967" s="282"/>
      <c r="AT967" s="587">
        <f>J967+M967+P967+S967+V967+Y967+AB967+AE967+AH967+AK967+AN967+AQ967</f>
        <v>894.36</v>
      </c>
      <c r="AU967" s="283"/>
      <c r="AV967" s="284"/>
      <c r="AW967" s="285"/>
      <c r="AX967" s="321"/>
      <c r="AY967" s="435">
        <v>881.68756800000006</v>
      </c>
      <c r="AZ967" s="375"/>
      <c r="BA967" s="375"/>
      <c r="BB967" s="375"/>
      <c r="BC967" s="375"/>
    </row>
    <row r="968" spans="1:55" s="117" customFormat="1">
      <c r="A968" s="179"/>
      <c r="B968" s="179"/>
      <c r="C968" s="179"/>
      <c r="D968" s="181">
        <v>349320</v>
      </c>
      <c r="E968" s="181"/>
      <c r="F968" s="181"/>
      <c r="G968" s="1110">
        <v>349320</v>
      </c>
      <c r="H968" s="122" t="s">
        <v>967</v>
      </c>
      <c r="I968" s="122"/>
      <c r="J968" s="595">
        <v>20.9</v>
      </c>
      <c r="K968" s="523"/>
      <c r="L968" s="524"/>
      <c r="M968" s="595">
        <v>18.36</v>
      </c>
      <c r="N968" s="523"/>
      <c r="O968" s="524"/>
      <c r="P968" s="587">
        <v>26.5</v>
      </c>
      <c r="Q968" s="521"/>
      <c r="R968" s="522"/>
      <c r="S968" s="587">
        <v>27.53</v>
      </c>
      <c r="T968" s="521"/>
      <c r="U968" s="522"/>
      <c r="V968" s="587">
        <v>34.619999999999997</v>
      </c>
      <c r="W968" s="521"/>
      <c r="X968" s="522"/>
      <c r="Y968" s="587">
        <v>32.380000000000003</v>
      </c>
      <c r="Z968" s="521"/>
      <c r="AA968" s="522"/>
      <c r="AB968" s="587">
        <v>24.1</v>
      </c>
      <c r="AC968" s="521"/>
      <c r="AD968" s="522"/>
      <c r="AE968" s="587">
        <v>27.62</v>
      </c>
      <c r="AF968" s="521"/>
      <c r="AG968" s="522"/>
      <c r="AH968" s="587">
        <v>36.5</v>
      </c>
      <c r="AI968" s="521"/>
      <c r="AJ968" s="522"/>
      <c r="AK968" s="587">
        <v>25.36</v>
      </c>
      <c r="AL968" s="521"/>
      <c r="AM968" s="522"/>
      <c r="AN968" s="587">
        <v>24.24</v>
      </c>
      <c r="AO968" s="521"/>
      <c r="AP968" s="522"/>
      <c r="AQ968" s="587">
        <v>20.68</v>
      </c>
      <c r="AR968" s="246"/>
      <c r="AS968" s="282"/>
      <c r="AT968" s="587">
        <f>J968+M968+P968+S968+V968+Y968+AB968+AE968+AH968+AK968+AN968+AQ968</f>
        <v>318.79000000000002</v>
      </c>
      <c r="AU968" s="283"/>
      <c r="AV968" s="284"/>
      <c r="AW968" s="285"/>
      <c r="AX968" s="321"/>
      <c r="AY968" s="435">
        <v>292.067205</v>
      </c>
      <c r="AZ968" s="375"/>
      <c r="BA968" s="375"/>
      <c r="BB968" s="375"/>
      <c r="BC968" s="375"/>
    </row>
    <row r="969" spans="1:55" s="117" customFormat="1">
      <c r="A969" s="179"/>
      <c r="B969" s="179"/>
      <c r="C969" s="179"/>
      <c r="D969" s="181"/>
      <c r="E969" s="181"/>
      <c r="F969" s="181"/>
      <c r="G969" s="1110"/>
      <c r="H969" s="134" t="s">
        <v>968</v>
      </c>
      <c r="I969" s="516" t="s">
        <v>364</v>
      </c>
      <c r="J969" s="238">
        <f>SUM(J970:J973)</f>
        <v>107.65</v>
      </c>
      <c r="K969" s="283"/>
      <c r="L969" s="299"/>
      <c r="M969" s="314">
        <f>SUM(M970:M973)</f>
        <v>103.75999999999999</v>
      </c>
      <c r="N969" s="283"/>
      <c r="O969" s="299"/>
      <c r="P969" s="317">
        <f>SUM(P970:P973)</f>
        <v>114.28999999999998</v>
      </c>
      <c r="Q969" s="246"/>
      <c r="R969" s="282"/>
      <c r="S969" s="317">
        <f>SUM(S970:S973)</f>
        <v>151.54</v>
      </c>
      <c r="T969" s="246"/>
      <c r="U969" s="282"/>
      <c r="V969" s="317">
        <f>SUM(V970:V973)</f>
        <v>74.009999999999991</v>
      </c>
      <c r="W969" s="246"/>
      <c r="X969" s="324"/>
      <c r="Y969" s="317">
        <f>SUM(Y970:Y973)</f>
        <v>196.79999999999998</v>
      </c>
      <c r="Z969" s="246"/>
      <c r="AA969" s="324"/>
      <c r="AB969" s="317">
        <f>SUM(AB970:AB973)</f>
        <v>219.23000000000002</v>
      </c>
      <c r="AC969" s="246"/>
      <c r="AD969" s="324"/>
      <c r="AE969" s="317">
        <f>SUM(AE970:AE973)</f>
        <v>126.65</v>
      </c>
      <c r="AF969" s="246"/>
      <c r="AG969" s="324"/>
      <c r="AH969" s="317">
        <f>SUM(AH970:AH973)</f>
        <v>165.76</v>
      </c>
      <c r="AI969" s="246"/>
      <c r="AJ969" s="324"/>
      <c r="AK969" s="317">
        <f>SUM(AK970:AK973)</f>
        <v>95.32</v>
      </c>
      <c r="AL969" s="246"/>
      <c r="AM969" s="324"/>
      <c r="AN969" s="317">
        <f>SUM(AN970:AN973)</f>
        <v>92.38000000000001</v>
      </c>
      <c r="AO969" s="246"/>
      <c r="AP969" s="324"/>
      <c r="AQ969" s="317">
        <f>SUM(AQ970:AQ973)</f>
        <v>77.23</v>
      </c>
      <c r="AR969" s="246"/>
      <c r="AS969" s="324"/>
      <c r="AT969" s="317">
        <f>SUM(AT970:AT973)</f>
        <v>1524.62</v>
      </c>
      <c r="AU969" s="283"/>
      <c r="AV969" s="284"/>
      <c r="AW969" s="285"/>
      <c r="AX969" s="321"/>
      <c r="AY969" s="243">
        <f>SUM(AY970:AY973)</f>
        <v>1353.6930810000001</v>
      </c>
      <c r="AZ969" s="375"/>
      <c r="BA969" s="375"/>
      <c r="BB969" s="375"/>
      <c r="BC969" s="375"/>
    </row>
    <row r="970" spans="1:55" s="117" customFormat="1">
      <c r="A970" s="179"/>
      <c r="B970" s="179"/>
      <c r="C970" s="179"/>
      <c r="D970" s="181">
        <v>349335</v>
      </c>
      <c r="E970" s="181"/>
      <c r="F970" s="181"/>
      <c r="G970" s="1110">
        <v>349335</v>
      </c>
      <c r="H970" s="122" t="s">
        <v>969</v>
      </c>
      <c r="I970" s="122"/>
      <c r="J970" s="595">
        <v>56.64</v>
      </c>
      <c r="K970" s="523"/>
      <c r="L970" s="524"/>
      <c r="M970" s="595">
        <v>54.09</v>
      </c>
      <c r="N970" s="523"/>
      <c r="O970" s="524"/>
      <c r="P970" s="587">
        <v>57.65</v>
      </c>
      <c r="Q970" s="521"/>
      <c r="R970" s="522"/>
      <c r="S970" s="587">
        <v>43.73</v>
      </c>
      <c r="T970" s="521"/>
      <c r="U970" s="522"/>
      <c r="V970" s="587">
        <v>30.65</v>
      </c>
      <c r="W970" s="521"/>
      <c r="X970" s="522"/>
      <c r="Y970" s="587">
        <v>51.78</v>
      </c>
      <c r="Z970" s="521"/>
      <c r="AA970" s="522"/>
      <c r="AB970" s="587">
        <v>66.77</v>
      </c>
      <c r="AC970" s="521"/>
      <c r="AD970" s="522"/>
      <c r="AE970" s="587">
        <v>68.41</v>
      </c>
      <c r="AF970" s="521"/>
      <c r="AG970" s="522"/>
      <c r="AH970" s="587">
        <v>89.53</v>
      </c>
      <c r="AI970" s="521"/>
      <c r="AJ970" s="522"/>
      <c r="AK970" s="587">
        <v>49.43</v>
      </c>
      <c r="AL970" s="521"/>
      <c r="AM970" s="522"/>
      <c r="AN970" s="587">
        <v>42.5</v>
      </c>
      <c r="AO970" s="521"/>
      <c r="AP970" s="522"/>
      <c r="AQ970" s="587">
        <v>39.06</v>
      </c>
      <c r="AR970" s="246"/>
      <c r="AS970" s="282"/>
      <c r="AT970" s="587">
        <f t="shared" ref="AT970:AT975" si="35">J970+M970+P970+S970+V970+Y970+AB970+AE970+AH970+AK970+AN970+AQ970</f>
        <v>650.23999999999978</v>
      </c>
      <c r="AU970" s="283"/>
      <c r="AV970" s="284"/>
      <c r="AW970" s="285"/>
      <c r="AX970" s="321"/>
      <c r="AY970" s="435">
        <v>576.95332499999995</v>
      </c>
      <c r="AZ970" s="375"/>
      <c r="BA970" s="375"/>
      <c r="BB970" s="375"/>
      <c r="BC970" s="375"/>
    </row>
    <row r="971" spans="1:55" s="117" customFormat="1">
      <c r="A971" s="179"/>
      <c r="B971" s="179"/>
      <c r="C971" s="179"/>
      <c r="D971" s="181">
        <v>349336</v>
      </c>
      <c r="E971" s="181"/>
      <c r="F971" s="181"/>
      <c r="G971" s="1110">
        <v>349336</v>
      </c>
      <c r="H971" s="122" t="s">
        <v>970</v>
      </c>
      <c r="I971" s="122"/>
      <c r="J971" s="595">
        <v>46.58</v>
      </c>
      <c r="K971" s="523"/>
      <c r="L971" s="524"/>
      <c r="M971" s="595">
        <v>45.48</v>
      </c>
      <c r="N971" s="523"/>
      <c r="O971" s="524"/>
      <c r="P971" s="587">
        <v>49.58</v>
      </c>
      <c r="Q971" s="521"/>
      <c r="R971" s="522"/>
      <c r="S971" s="587">
        <v>39.56</v>
      </c>
      <c r="T971" s="521"/>
      <c r="U971" s="522"/>
      <c r="V971" s="587">
        <v>39.89</v>
      </c>
      <c r="W971" s="521"/>
      <c r="X971" s="522"/>
      <c r="Y971" s="587">
        <v>62.75</v>
      </c>
      <c r="Z971" s="521"/>
      <c r="AA971" s="522"/>
      <c r="AB971" s="587">
        <v>58.26</v>
      </c>
      <c r="AC971" s="521"/>
      <c r="AD971" s="522"/>
      <c r="AE971" s="587">
        <v>58.24</v>
      </c>
      <c r="AF971" s="521"/>
      <c r="AG971" s="522"/>
      <c r="AH971" s="587">
        <v>76.23</v>
      </c>
      <c r="AI971" s="521"/>
      <c r="AJ971" s="522"/>
      <c r="AK971" s="587">
        <v>45.89</v>
      </c>
      <c r="AL971" s="521"/>
      <c r="AM971" s="522"/>
      <c r="AN971" s="587">
        <v>37.08</v>
      </c>
      <c r="AO971" s="521"/>
      <c r="AP971" s="522"/>
      <c r="AQ971" s="587">
        <v>33.590000000000003</v>
      </c>
      <c r="AR971" s="246"/>
      <c r="AS971" s="282"/>
      <c r="AT971" s="587">
        <f t="shared" si="35"/>
        <v>593.13000000000011</v>
      </c>
      <c r="AU971" s="283"/>
      <c r="AV971" s="284"/>
      <c r="AW971" s="285"/>
      <c r="AX971" s="321"/>
      <c r="AY971" s="435">
        <v>531.62135599999999</v>
      </c>
      <c r="AZ971" s="375"/>
      <c r="BA971" s="375"/>
      <c r="BB971" s="375"/>
      <c r="BC971" s="375"/>
    </row>
    <row r="972" spans="1:55" s="117" customFormat="1">
      <c r="A972" s="179"/>
      <c r="B972" s="179"/>
      <c r="C972" s="179"/>
      <c r="D972" s="181">
        <v>349337</v>
      </c>
      <c r="E972" s="181"/>
      <c r="F972" s="181"/>
      <c r="G972" s="1110">
        <v>349337</v>
      </c>
      <c r="H972" s="122" t="s">
        <v>971</v>
      </c>
      <c r="I972" s="122"/>
      <c r="J972" s="595">
        <v>3.95</v>
      </c>
      <c r="K972" s="523"/>
      <c r="L972" s="524"/>
      <c r="M972" s="595">
        <v>3.72</v>
      </c>
      <c r="N972" s="523"/>
      <c r="O972" s="524"/>
      <c r="P972" s="587">
        <v>5.6</v>
      </c>
      <c r="Q972" s="521"/>
      <c r="R972" s="522"/>
      <c r="S972" s="587">
        <v>56.6</v>
      </c>
      <c r="T972" s="521"/>
      <c r="U972" s="522"/>
      <c r="V972" s="587">
        <v>3.19</v>
      </c>
      <c r="W972" s="521"/>
      <c r="X972" s="522"/>
      <c r="Y972" s="587">
        <v>67.98</v>
      </c>
      <c r="Z972" s="521"/>
      <c r="AA972" s="522"/>
      <c r="AB972" s="587">
        <v>77.83</v>
      </c>
      <c r="AC972" s="521"/>
      <c r="AD972" s="522"/>
      <c r="AE972" s="587">
        <v>0</v>
      </c>
      <c r="AF972" s="521"/>
      <c r="AG972" s="522"/>
      <c r="AH972" s="587">
        <v>0</v>
      </c>
      <c r="AI972" s="521"/>
      <c r="AJ972" s="522"/>
      <c r="AK972" s="587">
        <v>0</v>
      </c>
      <c r="AL972" s="521"/>
      <c r="AM972" s="522"/>
      <c r="AN972" s="587">
        <v>10.07</v>
      </c>
      <c r="AO972" s="521"/>
      <c r="AP972" s="522"/>
      <c r="AQ972" s="587">
        <v>4.05</v>
      </c>
      <c r="AR972" s="246"/>
      <c r="AS972" s="282"/>
      <c r="AT972" s="587">
        <f t="shared" si="35"/>
        <v>232.99</v>
      </c>
      <c r="AU972" s="283"/>
      <c r="AV972" s="284"/>
      <c r="AW972" s="285"/>
      <c r="AX972" s="321"/>
      <c r="AY972" s="435">
        <v>206.41082</v>
      </c>
      <c r="AZ972" s="375"/>
      <c r="BA972" s="375"/>
      <c r="BB972" s="375"/>
      <c r="BC972" s="375"/>
    </row>
    <row r="973" spans="1:55" s="117" customFormat="1">
      <c r="A973" s="179"/>
      <c r="B973" s="179"/>
      <c r="C973" s="179"/>
      <c r="D973" s="181">
        <v>349338</v>
      </c>
      <c r="E973" s="181"/>
      <c r="F973" s="181"/>
      <c r="G973" s="1110">
        <v>349338</v>
      </c>
      <c r="H973" s="122" t="s">
        <v>972</v>
      </c>
      <c r="I973" s="122"/>
      <c r="J973" s="595">
        <v>0.48</v>
      </c>
      <c r="K973" s="523"/>
      <c r="L973" s="524"/>
      <c r="M973" s="595">
        <v>0.47</v>
      </c>
      <c r="N973" s="523"/>
      <c r="O973" s="524"/>
      <c r="P973" s="587">
        <v>1.46</v>
      </c>
      <c r="Q973" s="521"/>
      <c r="R973" s="522"/>
      <c r="S973" s="587">
        <v>11.65</v>
      </c>
      <c r="T973" s="521"/>
      <c r="U973" s="522"/>
      <c r="V973" s="587">
        <v>0.28000000000000003</v>
      </c>
      <c r="W973" s="521"/>
      <c r="X973" s="522"/>
      <c r="Y973" s="587">
        <v>14.29</v>
      </c>
      <c r="Z973" s="521"/>
      <c r="AA973" s="522"/>
      <c r="AB973" s="587">
        <v>16.37</v>
      </c>
      <c r="AC973" s="521"/>
      <c r="AD973" s="522"/>
      <c r="AE973" s="587">
        <v>0</v>
      </c>
      <c r="AF973" s="521"/>
      <c r="AG973" s="522"/>
      <c r="AH973" s="587">
        <v>0</v>
      </c>
      <c r="AI973" s="521"/>
      <c r="AJ973" s="522"/>
      <c r="AK973" s="587">
        <v>0</v>
      </c>
      <c r="AL973" s="521"/>
      <c r="AM973" s="522"/>
      <c r="AN973" s="587">
        <v>2.73</v>
      </c>
      <c r="AO973" s="521"/>
      <c r="AP973" s="522"/>
      <c r="AQ973" s="587">
        <v>0.53</v>
      </c>
      <c r="AR973" s="246"/>
      <c r="AS973" s="282"/>
      <c r="AT973" s="587">
        <f t="shared" si="35"/>
        <v>48.26</v>
      </c>
      <c r="AU973" s="283"/>
      <c r="AV973" s="284"/>
      <c r="AW973" s="285"/>
      <c r="AX973" s="321"/>
      <c r="AY973" s="435">
        <v>38.70758</v>
      </c>
      <c r="AZ973" s="375"/>
      <c r="BA973" s="375"/>
      <c r="BB973" s="375"/>
      <c r="BC973" s="375"/>
    </row>
    <row r="974" spans="1:55" s="116" customFormat="1">
      <c r="A974" s="179"/>
      <c r="B974" s="179"/>
      <c r="C974" s="179"/>
      <c r="D974" s="181"/>
      <c r="E974" s="181"/>
      <c r="F974" s="181"/>
      <c r="G974" s="1110">
        <v>349328</v>
      </c>
      <c r="H974" s="129" t="s">
        <v>48</v>
      </c>
      <c r="I974" s="519" t="s">
        <v>365</v>
      </c>
      <c r="J974" s="244">
        <v>0</v>
      </c>
      <c r="K974" s="246"/>
      <c r="L974" s="282"/>
      <c r="M974" s="244">
        <v>0</v>
      </c>
      <c r="N974" s="246"/>
      <c r="O974" s="282"/>
      <c r="P974" s="244">
        <v>0</v>
      </c>
      <c r="Q974" s="246"/>
      <c r="R974" s="282"/>
      <c r="S974" s="244">
        <v>0</v>
      </c>
      <c r="T974" s="246"/>
      <c r="U974" s="282"/>
      <c r="V974" s="244">
        <v>0</v>
      </c>
      <c r="W974" s="246"/>
      <c r="X974" s="282"/>
      <c r="Y974" s="244">
        <v>0</v>
      </c>
      <c r="Z974" s="246"/>
      <c r="AA974" s="282"/>
      <c r="AB974" s="244">
        <v>0</v>
      </c>
      <c r="AC974" s="246"/>
      <c r="AD974" s="282"/>
      <c r="AE974" s="244">
        <v>0</v>
      </c>
      <c r="AF974" s="246"/>
      <c r="AG974" s="282"/>
      <c r="AH974" s="244">
        <v>0</v>
      </c>
      <c r="AI974" s="246"/>
      <c r="AJ974" s="282"/>
      <c r="AK974" s="244">
        <v>0</v>
      </c>
      <c r="AL974" s="246"/>
      <c r="AM974" s="282"/>
      <c r="AN974" s="244">
        <v>0</v>
      </c>
      <c r="AO974" s="246"/>
      <c r="AP974" s="282"/>
      <c r="AQ974" s="244">
        <v>0</v>
      </c>
      <c r="AR974" s="246"/>
      <c r="AS974" s="282"/>
      <c r="AT974" s="244">
        <f t="shared" si="35"/>
        <v>0</v>
      </c>
      <c r="AU974" s="246"/>
      <c r="AV974" s="336"/>
      <c r="AW974" s="285"/>
      <c r="AX974" s="337"/>
      <c r="AY974" s="441">
        <v>0</v>
      </c>
      <c r="AZ974" s="374"/>
      <c r="BA974" s="374"/>
      <c r="BB974" s="374"/>
      <c r="BC974" s="374"/>
    </row>
    <row r="975" spans="1:55" s="116" customFormat="1">
      <c r="A975" s="179"/>
      <c r="B975" s="179"/>
      <c r="C975" s="179"/>
      <c r="D975" s="181"/>
      <c r="E975" s="181"/>
      <c r="F975" s="181"/>
      <c r="G975" s="1110">
        <v>349348</v>
      </c>
      <c r="H975" s="129" t="s">
        <v>171</v>
      </c>
      <c r="I975" s="519" t="s">
        <v>365</v>
      </c>
      <c r="J975" s="244">
        <v>0</v>
      </c>
      <c r="K975" s="246"/>
      <c r="L975" s="282"/>
      <c r="M975" s="244">
        <v>0</v>
      </c>
      <c r="N975" s="246"/>
      <c r="O975" s="282"/>
      <c r="P975" s="244">
        <v>0</v>
      </c>
      <c r="Q975" s="246"/>
      <c r="R975" s="282"/>
      <c r="S975" s="244">
        <v>0</v>
      </c>
      <c r="T975" s="246"/>
      <c r="U975" s="282"/>
      <c r="V975" s="244">
        <v>0</v>
      </c>
      <c r="W975" s="246"/>
      <c r="X975" s="282"/>
      <c r="Y975" s="244">
        <v>0</v>
      </c>
      <c r="Z975" s="246"/>
      <c r="AA975" s="282"/>
      <c r="AB975" s="244">
        <v>0</v>
      </c>
      <c r="AC975" s="246"/>
      <c r="AD975" s="282"/>
      <c r="AE975" s="244">
        <v>0</v>
      </c>
      <c r="AF975" s="246"/>
      <c r="AG975" s="282"/>
      <c r="AH975" s="244">
        <v>0</v>
      </c>
      <c r="AI975" s="246"/>
      <c r="AJ975" s="282"/>
      <c r="AK975" s="244">
        <v>0</v>
      </c>
      <c r="AL975" s="246"/>
      <c r="AM975" s="282"/>
      <c r="AN975" s="244">
        <v>0</v>
      </c>
      <c r="AO975" s="246"/>
      <c r="AP975" s="282"/>
      <c r="AQ975" s="244">
        <v>0</v>
      </c>
      <c r="AR975" s="246"/>
      <c r="AS975" s="282"/>
      <c r="AT975" s="244">
        <f t="shared" si="35"/>
        <v>0</v>
      </c>
      <c r="AU975" s="246"/>
      <c r="AV975" s="336"/>
      <c r="AW975" s="285"/>
      <c r="AX975" s="337"/>
      <c r="AY975" s="441">
        <v>0</v>
      </c>
      <c r="AZ975" s="374"/>
      <c r="BA975" s="374"/>
      <c r="BB975" s="374"/>
      <c r="BC975" s="374"/>
    </row>
    <row r="976" spans="1:55" s="116" customFormat="1">
      <c r="A976" s="179"/>
      <c r="B976" s="179"/>
      <c r="C976" s="179"/>
      <c r="D976" s="181"/>
      <c r="E976" s="181"/>
      <c r="F976" s="181"/>
      <c r="G976" s="1110"/>
      <c r="H976" s="138" t="s">
        <v>174</v>
      </c>
      <c r="I976" s="518"/>
      <c r="J976" s="319">
        <f>J977</f>
        <v>0</v>
      </c>
      <c r="K976" s="288"/>
      <c r="L976" s="289"/>
      <c r="M976" s="319">
        <f>M977</f>
        <v>0</v>
      </c>
      <c r="N976" s="288"/>
      <c r="O976" s="289"/>
      <c r="P976" s="319">
        <f>P977</f>
        <v>0</v>
      </c>
      <c r="Q976" s="288"/>
      <c r="R976" s="289"/>
      <c r="S976" s="319">
        <f>S977</f>
        <v>0</v>
      </c>
      <c r="T976" s="288"/>
      <c r="U976" s="289"/>
      <c r="V976" s="319">
        <f>V977</f>
        <v>0</v>
      </c>
      <c r="W976" s="288"/>
      <c r="X976" s="289"/>
      <c r="Y976" s="319">
        <f>Y977</f>
        <v>0</v>
      </c>
      <c r="Z976" s="288"/>
      <c r="AA976" s="289"/>
      <c r="AB976" s="319">
        <f>AB977</f>
        <v>0</v>
      </c>
      <c r="AC976" s="288"/>
      <c r="AD976" s="289"/>
      <c r="AE976" s="319">
        <f>AE977</f>
        <v>0</v>
      </c>
      <c r="AF976" s="288"/>
      <c r="AG976" s="289"/>
      <c r="AH976" s="319">
        <f>AH977</f>
        <v>0</v>
      </c>
      <c r="AI976" s="288"/>
      <c r="AJ976" s="289"/>
      <c r="AK976" s="319">
        <f>AK977</f>
        <v>0</v>
      </c>
      <c r="AL976" s="288"/>
      <c r="AM976" s="289"/>
      <c r="AN976" s="319">
        <f>AN977</f>
        <v>0</v>
      </c>
      <c r="AO976" s="288"/>
      <c r="AP976" s="289"/>
      <c r="AQ976" s="319">
        <f>AQ977</f>
        <v>0</v>
      </c>
      <c r="AR976" s="288"/>
      <c r="AS976" s="289"/>
      <c r="AT976" s="319">
        <f>AT977</f>
        <v>0</v>
      </c>
      <c r="AU976" s="288"/>
      <c r="AV976" s="290"/>
      <c r="AW976" s="285"/>
      <c r="AX976" s="296"/>
      <c r="AY976" s="1066">
        <v>0</v>
      </c>
      <c r="AZ976" s="374"/>
      <c r="BA976" s="374"/>
      <c r="BB976" s="374"/>
      <c r="BC976" s="374"/>
    </row>
    <row r="977" spans="1:55" s="116" customFormat="1">
      <c r="A977" s="179"/>
      <c r="B977" s="179"/>
      <c r="C977" s="179"/>
      <c r="D977" s="181"/>
      <c r="E977" s="181"/>
      <c r="F977" s="181"/>
      <c r="G977" s="1110">
        <v>349343</v>
      </c>
      <c r="H977" s="135" t="s">
        <v>1414</v>
      </c>
      <c r="I977" s="518" t="s">
        <v>365</v>
      </c>
      <c r="J977" s="294">
        <v>0</v>
      </c>
      <c r="K977" s="288"/>
      <c r="L977" s="289"/>
      <c r="M977" s="294">
        <v>0</v>
      </c>
      <c r="N977" s="288"/>
      <c r="O977" s="289"/>
      <c r="P977" s="294">
        <v>0</v>
      </c>
      <c r="Q977" s="288"/>
      <c r="R977" s="289"/>
      <c r="S977" s="294">
        <v>0</v>
      </c>
      <c r="T977" s="288"/>
      <c r="U977" s="289"/>
      <c r="V977" s="294">
        <v>0</v>
      </c>
      <c r="W977" s="288"/>
      <c r="X977" s="289"/>
      <c r="Y977" s="294">
        <v>0</v>
      </c>
      <c r="Z977" s="288"/>
      <c r="AA977" s="289"/>
      <c r="AB977" s="294">
        <v>0</v>
      </c>
      <c r="AC977" s="288"/>
      <c r="AD977" s="289"/>
      <c r="AE977" s="294">
        <v>0</v>
      </c>
      <c r="AF977" s="288"/>
      <c r="AG977" s="289"/>
      <c r="AH977" s="294">
        <v>0</v>
      </c>
      <c r="AI977" s="288"/>
      <c r="AJ977" s="289"/>
      <c r="AK977" s="294">
        <v>0</v>
      </c>
      <c r="AL977" s="288"/>
      <c r="AM977" s="289"/>
      <c r="AN977" s="294">
        <v>0</v>
      </c>
      <c r="AO977" s="288"/>
      <c r="AP977" s="289"/>
      <c r="AQ977" s="294">
        <v>0</v>
      </c>
      <c r="AR977" s="288"/>
      <c r="AS977" s="289"/>
      <c r="AT977" s="294">
        <f>J977+M977+P977+S977+V977+Y977+AB977+AE977+AH977+AK977+AN977+AQ977</f>
        <v>0</v>
      </c>
      <c r="AU977" s="288"/>
      <c r="AV977" s="290"/>
      <c r="AW977" s="285"/>
      <c r="AX977" s="296"/>
      <c r="AY977" s="965"/>
      <c r="AZ977" s="374"/>
      <c r="BA977" s="374"/>
      <c r="BB977" s="374"/>
      <c r="BC977" s="374"/>
    </row>
    <row r="978" spans="1:55" s="116" customFormat="1" ht="18.75">
      <c r="A978" s="179"/>
      <c r="B978" s="179"/>
      <c r="C978" s="179"/>
      <c r="D978" s="181">
        <v>341000</v>
      </c>
      <c r="E978" s="181"/>
      <c r="F978" s="181"/>
      <c r="G978" s="181">
        <v>341000</v>
      </c>
      <c r="H978" s="475" t="s">
        <v>1609</v>
      </c>
      <c r="I978" s="475"/>
      <c r="J978" s="277">
        <f>SUM(J979:J980)</f>
        <v>126.52559100000001</v>
      </c>
      <c r="K978" s="275">
        <f>L978-J978</f>
        <v>313.76640899999995</v>
      </c>
      <c r="L978" s="276">
        <f>Потребление!D58</f>
        <v>440.29199999999997</v>
      </c>
      <c r="M978" s="277">
        <f>SUM(M979:M980)</f>
        <v>118.146964</v>
      </c>
      <c r="N978" s="275">
        <f>O978-M978</f>
        <v>290.847036</v>
      </c>
      <c r="O978" s="276">
        <f>Потребление!E58</f>
        <v>408.99400000000003</v>
      </c>
      <c r="P978" s="277">
        <f>SUM(P979:P980)</f>
        <v>126.03071</v>
      </c>
      <c r="Q978" s="275">
        <f>R978-P978</f>
        <v>290.37729000000002</v>
      </c>
      <c r="R978" s="276">
        <f>Потребление!F58</f>
        <v>416.40800000000002</v>
      </c>
      <c r="S978" s="277">
        <f>SUM(S979:S980)</f>
        <v>121.212012</v>
      </c>
      <c r="T978" s="275">
        <f>U978-S978</f>
        <v>251.21298800000005</v>
      </c>
      <c r="U978" s="276">
        <f>Потребление!G58</f>
        <v>372.42500000000007</v>
      </c>
      <c r="V978" s="277">
        <f>SUM(V979:V980)</f>
        <v>121.48797900000001</v>
      </c>
      <c r="W978" s="275">
        <f>X978-V978</f>
        <v>213.06402100000003</v>
      </c>
      <c r="X978" s="276">
        <f>Потребление!H58</f>
        <v>334.55200000000002</v>
      </c>
      <c r="Y978" s="277">
        <f>SUM(Y979:Y980)</f>
        <v>50.529066</v>
      </c>
      <c r="Z978" s="275">
        <f>AA978-Y978</f>
        <v>256.43093399999998</v>
      </c>
      <c r="AA978" s="276">
        <f>Потребление!I58</f>
        <v>306.95999999999998</v>
      </c>
      <c r="AB978" s="277">
        <f>SUM(AB979:AB980)</f>
        <v>143.797946</v>
      </c>
      <c r="AC978" s="275">
        <f>AD978-AB978</f>
        <v>180.445054</v>
      </c>
      <c r="AD978" s="276">
        <f>Потребление!J58</f>
        <v>324.24299999999999</v>
      </c>
      <c r="AE978" s="277">
        <f>SUM(AE979:AE980)</f>
        <v>144.13021900000001</v>
      </c>
      <c r="AF978" s="275">
        <f>AG978-AE978</f>
        <v>181.82478099999997</v>
      </c>
      <c r="AG978" s="276">
        <f>Потребление!K58</f>
        <v>325.95499999999998</v>
      </c>
      <c r="AH978" s="277">
        <f>SUM(AH979:AH980)</f>
        <v>171.225154</v>
      </c>
      <c r="AI978" s="275">
        <f>AJ978-AH978</f>
        <v>169.76784600000005</v>
      </c>
      <c r="AJ978" s="276">
        <f>Потребление!L58</f>
        <v>340.99300000000005</v>
      </c>
      <c r="AK978" s="277">
        <f>SUM(AK979:AK980)</f>
        <v>120.82930900000001</v>
      </c>
      <c r="AL978" s="275">
        <f>AM978-AK978</f>
        <v>270.46269099999995</v>
      </c>
      <c r="AM978" s="276">
        <f>Потребление!M58</f>
        <v>391.29199999999997</v>
      </c>
      <c r="AN978" s="277">
        <f>SUM(AN979:AN980)</f>
        <v>168.62971000000005</v>
      </c>
      <c r="AO978" s="275">
        <f>AP978-AN978</f>
        <v>235.48328999999995</v>
      </c>
      <c r="AP978" s="276">
        <f>Потребление!N58</f>
        <v>404.113</v>
      </c>
      <c r="AQ978" s="277">
        <f>SUM(AQ979:AQ980)</f>
        <v>179.19864200000001</v>
      </c>
      <c r="AR978" s="275">
        <f>AS978-AQ978</f>
        <v>260.57435800000002</v>
      </c>
      <c r="AS978" s="276">
        <f>Потребление!O58</f>
        <v>439.77300000000002</v>
      </c>
      <c r="AT978" s="277">
        <f>SUM(AT979:AT980)</f>
        <v>1591.7433020000001</v>
      </c>
      <c r="AU978" s="275">
        <f>AV978-AT978</f>
        <v>2914.2566980000001</v>
      </c>
      <c r="AV978" s="278">
        <f>L978+O978+R978+U978+X978+AA978+AD978+AG978+AJ978+AM978+AP978+AS978</f>
        <v>4506</v>
      </c>
      <c r="AW978" s="279"/>
      <c r="AX978" s="1067">
        <v>4382.1994290000002</v>
      </c>
      <c r="AY978" s="280">
        <f>AY979+AY980</f>
        <v>1910.292189</v>
      </c>
      <c r="AZ978" s="374"/>
      <c r="BA978" s="374"/>
      <c r="BB978" s="374"/>
      <c r="BC978" s="374"/>
    </row>
    <row r="979" spans="1:55" s="116" customFormat="1">
      <c r="A979" s="179"/>
      <c r="B979" s="179"/>
      <c r="C979" s="179"/>
      <c r="D979" s="181"/>
      <c r="E979" s="181"/>
      <c r="F979" s="181"/>
      <c r="G979" s="181"/>
      <c r="H979" s="10" t="s">
        <v>56</v>
      </c>
      <c r="I979" s="10"/>
      <c r="J979" s="223">
        <f>J981+J984</f>
        <v>105.69521</v>
      </c>
      <c r="K979" s="271"/>
      <c r="L979" s="224"/>
      <c r="M979" s="270">
        <f>M981+M984</f>
        <v>98.576009999999997</v>
      </c>
      <c r="N979" s="271"/>
      <c r="O979" s="224"/>
      <c r="P979" s="270">
        <f>P981+P984</f>
        <v>105.19881000000001</v>
      </c>
      <c r="Q979" s="271"/>
      <c r="R979" s="224"/>
      <c r="S979" s="270">
        <f>S981+S984</f>
        <v>101.90241</v>
      </c>
      <c r="T979" s="271"/>
      <c r="U979" s="224"/>
      <c r="V979" s="270">
        <f>V981+V984</f>
        <v>103.97141000000001</v>
      </c>
      <c r="W979" s="271"/>
      <c r="X979" s="224"/>
      <c r="Y979" s="270">
        <f>Y981+Y984</f>
        <v>34.191600000000001</v>
      </c>
      <c r="Z979" s="271"/>
      <c r="AA979" s="224"/>
      <c r="AB979" s="270">
        <f>AB981+AB984</f>
        <v>126.18899999999999</v>
      </c>
      <c r="AC979" s="271"/>
      <c r="AD979" s="224"/>
      <c r="AE979" s="270">
        <f>AE981+AE984</f>
        <v>124.95321</v>
      </c>
      <c r="AF979" s="271"/>
      <c r="AG979" s="224"/>
      <c r="AH979" s="270">
        <f>AH981+AH984</f>
        <v>152.37081000000001</v>
      </c>
      <c r="AI979" s="271"/>
      <c r="AJ979" s="224"/>
      <c r="AK979" s="270">
        <f>AK981+AK984</f>
        <v>106.82371000000001</v>
      </c>
      <c r="AL979" s="271"/>
      <c r="AM979" s="224"/>
      <c r="AN979" s="270">
        <f>AN981+AN984</f>
        <v>148.34681000000003</v>
      </c>
      <c r="AO979" s="271"/>
      <c r="AP979" s="224"/>
      <c r="AQ979" s="270">
        <f>AQ981+AQ984</f>
        <v>157.35121000000001</v>
      </c>
      <c r="AR979" s="271"/>
      <c r="AS979" s="224"/>
      <c r="AT979" s="270">
        <f>AT981+AT984</f>
        <v>1365.5702000000001</v>
      </c>
      <c r="AU979" s="271"/>
      <c r="AV979" s="229"/>
      <c r="AW979" s="226"/>
      <c r="AX979" s="230"/>
      <c r="AY979" s="230">
        <f>SUM(AY981:AY984)</f>
        <v>1691.3528140000001</v>
      </c>
      <c r="AZ979" s="374"/>
      <c r="BA979" s="374"/>
      <c r="BB979" s="374"/>
      <c r="BC979" s="374"/>
    </row>
    <row r="980" spans="1:55" s="116" customFormat="1">
      <c r="A980" s="179"/>
      <c r="B980" s="179"/>
      <c r="C980" s="179"/>
      <c r="D980" s="181"/>
      <c r="E980" s="181"/>
      <c r="F980" s="181"/>
      <c r="G980" s="181"/>
      <c r="H980" s="10" t="s">
        <v>99</v>
      </c>
      <c r="I980" s="10"/>
      <c r="J980" s="223">
        <f>J985</f>
        <v>20.830380999999999</v>
      </c>
      <c r="K980" s="271"/>
      <c r="L980" s="224"/>
      <c r="M980" s="223">
        <f>M985</f>
        <v>19.570954</v>
      </c>
      <c r="N980" s="271"/>
      <c r="O980" s="224"/>
      <c r="P980" s="223">
        <f>P985</f>
        <v>20.831899999999997</v>
      </c>
      <c r="Q980" s="271"/>
      <c r="R980" s="224"/>
      <c r="S980" s="223">
        <f>S985</f>
        <v>19.309601999999998</v>
      </c>
      <c r="T980" s="271"/>
      <c r="U980" s="224"/>
      <c r="V980" s="223">
        <f>V985</f>
        <v>17.516569</v>
      </c>
      <c r="W980" s="271"/>
      <c r="X980" s="224"/>
      <c r="Y980" s="223">
        <f>Y985</f>
        <v>16.337465999999999</v>
      </c>
      <c r="Z980" s="271"/>
      <c r="AA980" s="224"/>
      <c r="AB980" s="223">
        <f>AB985</f>
        <v>17.608946000000003</v>
      </c>
      <c r="AC980" s="271"/>
      <c r="AD980" s="224"/>
      <c r="AE980" s="223">
        <f>AE985</f>
        <v>19.177008999999998</v>
      </c>
      <c r="AF980" s="271"/>
      <c r="AG980" s="224"/>
      <c r="AH980" s="223">
        <f>AH985</f>
        <v>18.854343999999998</v>
      </c>
      <c r="AI980" s="271"/>
      <c r="AJ980" s="224"/>
      <c r="AK980" s="223">
        <f>AK985</f>
        <v>14.005599</v>
      </c>
      <c r="AL980" s="271"/>
      <c r="AM980" s="224"/>
      <c r="AN980" s="223">
        <f>AN985</f>
        <v>20.282900000000001</v>
      </c>
      <c r="AO980" s="271"/>
      <c r="AP980" s="224"/>
      <c r="AQ980" s="223">
        <f>AQ985</f>
        <v>21.847431999999998</v>
      </c>
      <c r="AR980" s="271"/>
      <c r="AS980" s="224"/>
      <c r="AT980" s="223">
        <f>AT985</f>
        <v>226.173102</v>
      </c>
      <c r="AU980" s="271"/>
      <c r="AV980" s="229"/>
      <c r="AW980" s="226"/>
      <c r="AX980" s="230"/>
      <c r="AY980" s="230">
        <f>AY985</f>
        <v>218.93937500000001</v>
      </c>
      <c r="AZ980" s="374"/>
      <c r="BA980" s="374"/>
      <c r="BB980" s="374"/>
      <c r="BC980" s="374"/>
    </row>
    <row r="981" spans="1:55" s="117" customFormat="1">
      <c r="A981" s="179"/>
      <c r="B981" s="179"/>
      <c r="C981" s="179"/>
      <c r="D981" s="181">
        <v>341010</v>
      </c>
      <c r="E981" s="181"/>
      <c r="F981" s="181"/>
      <c r="G981" s="1110">
        <v>341010</v>
      </c>
      <c r="H981" s="134" t="s">
        <v>193</v>
      </c>
      <c r="I981" s="516" t="s">
        <v>364</v>
      </c>
      <c r="J981" s="262">
        <f>SUM(J982:J983)</f>
        <v>104.40801</v>
      </c>
      <c r="K981" s="323"/>
      <c r="L981" s="324"/>
      <c r="M981" s="317">
        <f>SUM(M982:M983)</f>
        <v>97.67201</v>
      </c>
      <c r="N981" s="323"/>
      <c r="O981" s="324"/>
      <c r="P981" s="317">
        <f>SUM(P982:P983)</f>
        <v>104.40801</v>
      </c>
      <c r="Q981" s="323"/>
      <c r="R981" s="324"/>
      <c r="S981" s="317">
        <f>SUM(S982:S983)</f>
        <v>101.04001000000001</v>
      </c>
      <c r="T981" s="323"/>
      <c r="U981" s="324"/>
      <c r="V981" s="317">
        <f>SUM(V982:V983)</f>
        <v>102.54801</v>
      </c>
      <c r="W981" s="323"/>
      <c r="X981" s="324"/>
      <c r="Y981" s="317">
        <f>SUM(Y982:Y983)</f>
        <v>32.4</v>
      </c>
      <c r="Z981" s="323"/>
      <c r="AA981" s="324"/>
      <c r="AB981" s="317">
        <f>SUM(AB982:AB983)</f>
        <v>124.07599999999999</v>
      </c>
      <c r="AC981" s="323"/>
      <c r="AD981" s="324"/>
      <c r="AE981" s="317">
        <f>SUM(AE982:AE983)</f>
        <v>122.54801</v>
      </c>
      <c r="AF981" s="323"/>
      <c r="AG981" s="324"/>
      <c r="AH981" s="317">
        <f>SUM(AH982:AH983)</f>
        <v>149.24001000000001</v>
      </c>
      <c r="AI981" s="323"/>
      <c r="AJ981" s="324"/>
      <c r="AK981" s="317">
        <f>SUM(AK982:AK983)</f>
        <v>104.40801</v>
      </c>
      <c r="AL981" s="323"/>
      <c r="AM981" s="324"/>
      <c r="AN981" s="317">
        <f>SUM(AN982:AN983)</f>
        <v>146.04001000000002</v>
      </c>
      <c r="AO981" s="323"/>
      <c r="AP981" s="324"/>
      <c r="AQ981" s="317">
        <f>SUM(AQ982:AQ983)</f>
        <v>154.40801000000002</v>
      </c>
      <c r="AR981" s="323"/>
      <c r="AS981" s="324"/>
      <c r="AT981" s="317">
        <f>SUM(AT982:AT983)</f>
        <v>1343.1961000000001</v>
      </c>
      <c r="AU981" s="323"/>
      <c r="AV981" s="325"/>
      <c r="AW981" s="226"/>
      <c r="AX981" s="328"/>
      <c r="AY981" s="440">
        <v>1673.447165</v>
      </c>
      <c r="AZ981" s="375"/>
      <c r="BA981" s="375"/>
      <c r="BB981" s="375"/>
      <c r="BC981" s="375"/>
    </row>
    <row r="982" spans="1:55" s="117" customFormat="1">
      <c r="A982" s="179"/>
      <c r="B982" s="179"/>
      <c r="C982" s="179"/>
      <c r="D982" s="181"/>
      <c r="E982" s="181"/>
      <c r="F982" s="181"/>
      <c r="G982" s="1110"/>
      <c r="H982" s="122" t="s">
        <v>1146</v>
      </c>
      <c r="I982" s="122"/>
      <c r="J982" s="548">
        <v>1.0000000000000001E-5</v>
      </c>
      <c r="K982" s="545"/>
      <c r="L982" s="546"/>
      <c r="M982" s="547">
        <v>1.0000000000000001E-5</v>
      </c>
      <c r="N982" s="545"/>
      <c r="O982" s="546"/>
      <c r="P982" s="547">
        <v>1.0000000000000001E-5</v>
      </c>
      <c r="Q982" s="545"/>
      <c r="R982" s="546"/>
      <c r="S982" s="547">
        <v>1.0000000000000001E-5</v>
      </c>
      <c r="T982" s="545"/>
      <c r="U982" s="546"/>
      <c r="V982" s="547">
        <v>1.0000000000000001E-5</v>
      </c>
      <c r="W982" s="545"/>
      <c r="X982" s="546"/>
      <c r="Y982" s="547">
        <v>32.4</v>
      </c>
      <c r="Z982" s="545"/>
      <c r="AA982" s="546"/>
      <c r="AB982" s="737">
        <f>25.92+70</f>
        <v>95.92</v>
      </c>
      <c r="AC982" s="545"/>
      <c r="AD982" s="546"/>
      <c r="AE982" s="244">
        <v>1.0000000000000001E-5</v>
      </c>
      <c r="AF982" s="545"/>
      <c r="AG982" s="546"/>
      <c r="AH982" s="244">
        <v>1.0000000000000001E-5</v>
      </c>
      <c r="AI982" s="545"/>
      <c r="AJ982" s="546"/>
      <c r="AK982" s="547">
        <v>1.0000000000000001E-5</v>
      </c>
      <c r="AL982" s="545"/>
      <c r="AM982" s="546"/>
      <c r="AN982" s="547">
        <v>1.0000000000000001E-5</v>
      </c>
      <c r="AO982" s="545"/>
      <c r="AP982" s="546"/>
      <c r="AQ982" s="547">
        <v>1.0000000000000001E-5</v>
      </c>
      <c r="AR982" s="246"/>
      <c r="AS982" s="282"/>
      <c r="AT982" s="244">
        <f>J982+M982+P982+S982+V982+Y982+AB982+AE982+AH982+AK982+AN982+AQ982</f>
        <v>128.32010000000002</v>
      </c>
      <c r="AU982" s="246"/>
      <c r="AV982" s="336"/>
      <c r="AW982" s="285"/>
      <c r="AX982" s="337"/>
      <c r="AY982" s="249"/>
      <c r="AZ982" s="375"/>
      <c r="BA982" s="375"/>
      <c r="BB982" s="375"/>
      <c r="BC982" s="375"/>
    </row>
    <row r="983" spans="1:55" s="117" customFormat="1">
      <c r="A983" s="179"/>
      <c r="B983" s="179"/>
      <c r="C983" s="179"/>
      <c r="D983" s="181"/>
      <c r="E983" s="181"/>
      <c r="F983" s="181"/>
      <c r="G983" s="1110"/>
      <c r="H983" s="122" t="s">
        <v>1147</v>
      </c>
      <c r="I983" s="122"/>
      <c r="J983" s="548">
        <v>104.408</v>
      </c>
      <c r="K983" s="545"/>
      <c r="L983" s="546"/>
      <c r="M983" s="547">
        <v>97.671999999999997</v>
      </c>
      <c r="N983" s="545"/>
      <c r="O983" s="546"/>
      <c r="P983" s="547">
        <v>104.408</v>
      </c>
      <c r="Q983" s="545"/>
      <c r="R983" s="546"/>
      <c r="S983" s="547">
        <v>101.04</v>
      </c>
      <c r="T983" s="545"/>
      <c r="U983" s="546"/>
      <c r="V983" s="547">
        <v>102.548</v>
      </c>
      <c r="W983" s="545"/>
      <c r="X983" s="546"/>
      <c r="Y983" s="547">
        <v>0</v>
      </c>
      <c r="Z983" s="545"/>
      <c r="AA983" s="546"/>
      <c r="AB983" s="737">
        <f>23.156+5</f>
        <v>28.155999999999999</v>
      </c>
      <c r="AC983" s="545"/>
      <c r="AD983" s="546"/>
      <c r="AE983" s="345">
        <f>102.548+20</f>
        <v>122.548</v>
      </c>
      <c r="AF983" s="545"/>
      <c r="AG983" s="546"/>
      <c r="AH983" s="345">
        <f>99.24+50</f>
        <v>149.24</v>
      </c>
      <c r="AI983" s="545"/>
      <c r="AJ983" s="546"/>
      <c r="AK983" s="547">
        <v>104.408</v>
      </c>
      <c r="AL983" s="545"/>
      <c r="AM983" s="546"/>
      <c r="AN983" s="737">
        <f>101.04+45</f>
        <v>146.04000000000002</v>
      </c>
      <c r="AO983" s="545"/>
      <c r="AP983" s="546"/>
      <c r="AQ983" s="737">
        <f>104.408+50</f>
        <v>154.40800000000002</v>
      </c>
      <c r="AR983" s="246"/>
      <c r="AS983" s="282"/>
      <c r="AT983" s="244">
        <f>J983+M983+P983+S983+V983+Y983+AB983+AE983+AH983+AK983+AN983+AQ983</f>
        <v>1214.8760000000002</v>
      </c>
      <c r="AU983" s="246"/>
      <c r="AV983" s="336"/>
      <c r="AW983" s="285"/>
      <c r="AX983" s="337"/>
      <c r="AY983" s="249"/>
      <c r="AZ983" s="375"/>
      <c r="BA983" s="375"/>
      <c r="BB983" s="375"/>
      <c r="BC983" s="375"/>
    </row>
    <row r="984" spans="1:55" s="117" customFormat="1">
      <c r="A984" s="179"/>
      <c r="B984" s="179"/>
      <c r="C984" s="179"/>
      <c r="D984" s="181">
        <v>341040</v>
      </c>
      <c r="E984" s="181"/>
      <c r="F984" s="181"/>
      <c r="G984" s="1110">
        <v>341040</v>
      </c>
      <c r="H984" s="122" t="s">
        <v>1415</v>
      </c>
      <c r="I984" s="516" t="s">
        <v>364</v>
      </c>
      <c r="J984" s="548">
        <v>1.2871999999999999</v>
      </c>
      <c r="K984" s="545"/>
      <c r="L984" s="546"/>
      <c r="M984" s="547">
        <v>0.90400000000000003</v>
      </c>
      <c r="N984" s="545"/>
      <c r="O984" s="546"/>
      <c r="P984" s="547">
        <v>0.79079999999999995</v>
      </c>
      <c r="Q984" s="545"/>
      <c r="R984" s="546"/>
      <c r="S984" s="547">
        <v>0.86240000000000006</v>
      </c>
      <c r="T984" s="545"/>
      <c r="U984" s="546"/>
      <c r="V984" s="547">
        <v>1.4234</v>
      </c>
      <c r="W984" s="545"/>
      <c r="X984" s="546"/>
      <c r="Y984" s="547">
        <v>1.7916000000000001</v>
      </c>
      <c r="Z984" s="545"/>
      <c r="AA984" s="546"/>
      <c r="AB984" s="547">
        <v>2.113</v>
      </c>
      <c r="AC984" s="545"/>
      <c r="AD984" s="546"/>
      <c r="AE984" s="547">
        <v>2.4051999999999998</v>
      </c>
      <c r="AF984" s="545"/>
      <c r="AG984" s="546"/>
      <c r="AH984" s="547">
        <v>3.1307999999999998</v>
      </c>
      <c r="AI984" s="545"/>
      <c r="AJ984" s="546"/>
      <c r="AK984" s="547">
        <v>2.4157000000000002</v>
      </c>
      <c r="AL984" s="545"/>
      <c r="AM984" s="546"/>
      <c r="AN984" s="547">
        <v>2.3068</v>
      </c>
      <c r="AO984" s="545"/>
      <c r="AP984" s="546"/>
      <c r="AQ984" s="547">
        <v>2.9432</v>
      </c>
      <c r="AR984" s="246"/>
      <c r="AS984" s="282"/>
      <c r="AT984" s="244">
        <f>J984+M984+P984+S984+V984+Y984+AB984+AE984+AH984+AK984+AN984+AQ984</f>
        <v>22.374100000000002</v>
      </c>
      <c r="AU984" s="246"/>
      <c r="AV984" s="336"/>
      <c r="AW984" s="285"/>
      <c r="AX984" s="337"/>
      <c r="AY984" s="441">
        <v>17.905649</v>
      </c>
      <c r="AZ984" s="375"/>
      <c r="BA984" s="375"/>
      <c r="BB984" s="375"/>
      <c r="BC984" s="375"/>
    </row>
    <row r="985" spans="1:55" s="117" customFormat="1">
      <c r="A985" s="179"/>
      <c r="B985" s="179"/>
      <c r="C985" s="179"/>
      <c r="D985" s="181"/>
      <c r="E985" s="181"/>
      <c r="F985" s="181"/>
      <c r="G985" s="1110"/>
      <c r="H985" s="138" t="s">
        <v>174</v>
      </c>
      <c r="I985" s="138"/>
      <c r="J985" s="319">
        <f>SUM(J986:J988)</f>
        <v>20.830380999999999</v>
      </c>
      <c r="K985" s="288"/>
      <c r="L985" s="289"/>
      <c r="M985" s="319">
        <f>SUM(M986:M988)</f>
        <v>19.570954</v>
      </c>
      <c r="N985" s="288"/>
      <c r="O985" s="289"/>
      <c r="P985" s="319">
        <f>SUM(P986:P988)</f>
        <v>20.831899999999997</v>
      </c>
      <c r="Q985" s="288"/>
      <c r="R985" s="289"/>
      <c r="S985" s="319">
        <f>SUM(S986:S988)</f>
        <v>19.309601999999998</v>
      </c>
      <c r="T985" s="288"/>
      <c r="U985" s="289"/>
      <c r="V985" s="319">
        <f>SUM(V986:V988)</f>
        <v>17.516569</v>
      </c>
      <c r="W985" s="288"/>
      <c r="X985" s="289"/>
      <c r="Y985" s="319">
        <f>SUM(Y986:Y988)</f>
        <v>16.337465999999999</v>
      </c>
      <c r="Z985" s="288"/>
      <c r="AA985" s="289"/>
      <c r="AB985" s="319">
        <f>SUM(AB986:AB988)</f>
        <v>17.608946000000003</v>
      </c>
      <c r="AC985" s="288"/>
      <c r="AD985" s="289"/>
      <c r="AE985" s="319">
        <f>SUM(AE986:AE988)</f>
        <v>19.177008999999998</v>
      </c>
      <c r="AF985" s="288"/>
      <c r="AG985" s="289"/>
      <c r="AH985" s="319">
        <f>SUM(AH986:AH988)</f>
        <v>18.854343999999998</v>
      </c>
      <c r="AI985" s="288"/>
      <c r="AJ985" s="289"/>
      <c r="AK985" s="319">
        <f>SUM(AK986:AK988)</f>
        <v>14.005599</v>
      </c>
      <c r="AL985" s="288"/>
      <c r="AM985" s="289"/>
      <c r="AN985" s="319">
        <f>SUM(AN986:AN988)</f>
        <v>20.282900000000001</v>
      </c>
      <c r="AO985" s="288"/>
      <c r="AP985" s="289"/>
      <c r="AQ985" s="319">
        <f>SUM(AQ986:AQ988)</f>
        <v>21.847431999999998</v>
      </c>
      <c r="AR985" s="288"/>
      <c r="AS985" s="289"/>
      <c r="AT985" s="319">
        <f>SUM(AT986:AT988)</f>
        <v>226.173102</v>
      </c>
      <c r="AU985" s="288"/>
      <c r="AV985" s="290"/>
      <c r="AW985" s="285"/>
      <c r="AX985" s="296"/>
      <c r="AY985" s="1066">
        <v>218.93937500000001</v>
      </c>
      <c r="AZ985" s="375"/>
      <c r="BA985" s="375"/>
      <c r="BB985" s="375"/>
      <c r="BC985" s="375"/>
    </row>
    <row r="986" spans="1:55" s="117" customFormat="1">
      <c r="A986" s="179"/>
      <c r="B986" s="179"/>
      <c r="C986" s="179"/>
      <c r="D986" s="181">
        <v>341042</v>
      </c>
      <c r="E986" s="181"/>
      <c r="F986" s="181"/>
      <c r="G986" s="1110">
        <v>341042</v>
      </c>
      <c r="H986" s="142" t="s">
        <v>1416</v>
      </c>
      <c r="I986" s="518" t="s">
        <v>365</v>
      </c>
      <c r="J986" s="736">
        <v>13.95</v>
      </c>
      <c r="K986" s="734"/>
      <c r="L986" s="735"/>
      <c r="M986" s="736">
        <v>13.2</v>
      </c>
      <c r="N986" s="734"/>
      <c r="O986" s="735"/>
      <c r="P986" s="736">
        <v>14.25</v>
      </c>
      <c r="Q986" s="734"/>
      <c r="R986" s="735"/>
      <c r="S986" s="736">
        <v>12.96</v>
      </c>
      <c r="T986" s="734"/>
      <c r="U986" s="735"/>
      <c r="V986" s="736">
        <v>11.3</v>
      </c>
      <c r="W986" s="734"/>
      <c r="X986" s="735"/>
      <c r="Y986" s="736">
        <v>10.4</v>
      </c>
      <c r="Z986" s="734"/>
      <c r="AA986" s="735"/>
      <c r="AB986" s="736">
        <v>11.4</v>
      </c>
      <c r="AC986" s="734"/>
      <c r="AD986" s="735"/>
      <c r="AE986" s="736">
        <v>13</v>
      </c>
      <c r="AF986" s="734"/>
      <c r="AG986" s="735"/>
      <c r="AH986" s="736">
        <v>12.6</v>
      </c>
      <c r="AI986" s="734"/>
      <c r="AJ986" s="735"/>
      <c r="AK986" s="736">
        <v>10.8</v>
      </c>
      <c r="AL986" s="734"/>
      <c r="AM986" s="735"/>
      <c r="AN986" s="736">
        <v>14.5</v>
      </c>
      <c r="AO986" s="734"/>
      <c r="AP986" s="735"/>
      <c r="AQ986" s="736">
        <v>15</v>
      </c>
      <c r="AR986" s="288"/>
      <c r="AS986" s="289"/>
      <c r="AT986" s="382">
        <f>J986+M986+P986+S986+V986+Y986+AB986+AE986+AH986+AK986+AN986+AQ986</f>
        <v>153.36000000000001</v>
      </c>
      <c r="AU986" s="288"/>
      <c r="AV986" s="290"/>
      <c r="AW986" s="285"/>
      <c r="AX986" s="296"/>
      <c r="AY986" s="295"/>
      <c r="AZ986" s="375"/>
      <c r="BA986" s="375"/>
      <c r="BB986" s="375"/>
      <c r="BC986" s="375"/>
    </row>
    <row r="987" spans="1:55" s="117" customFormat="1">
      <c r="A987" s="179"/>
      <c r="B987" s="179"/>
      <c r="C987" s="179"/>
      <c r="D987" s="181">
        <v>350</v>
      </c>
      <c r="E987" s="181"/>
      <c r="F987" s="181"/>
      <c r="G987" s="1110">
        <v>341043</v>
      </c>
      <c r="H987" s="142" t="s">
        <v>1417</v>
      </c>
      <c r="I987" s="518" t="s">
        <v>365</v>
      </c>
      <c r="J987" s="736">
        <v>1.99</v>
      </c>
      <c r="K987" s="734"/>
      <c r="L987" s="735"/>
      <c r="M987" s="736">
        <v>1.87</v>
      </c>
      <c r="N987" s="734"/>
      <c r="O987" s="735"/>
      <c r="P987" s="736">
        <v>1.77</v>
      </c>
      <c r="Q987" s="734"/>
      <c r="R987" s="735"/>
      <c r="S987" s="736">
        <v>1.53</v>
      </c>
      <c r="T987" s="734"/>
      <c r="U987" s="735"/>
      <c r="V987" s="736">
        <v>1.22</v>
      </c>
      <c r="W987" s="734"/>
      <c r="X987" s="735"/>
      <c r="Y987" s="736">
        <v>1.1200000000000001</v>
      </c>
      <c r="Z987" s="734"/>
      <c r="AA987" s="735"/>
      <c r="AB987" s="736">
        <v>1.22</v>
      </c>
      <c r="AC987" s="734"/>
      <c r="AD987" s="735"/>
      <c r="AE987" s="736">
        <v>1.32</v>
      </c>
      <c r="AF987" s="734"/>
      <c r="AG987" s="735"/>
      <c r="AH987" s="736">
        <v>1.42</v>
      </c>
      <c r="AI987" s="734"/>
      <c r="AJ987" s="735"/>
      <c r="AK987" s="736">
        <v>1.53</v>
      </c>
      <c r="AL987" s="734"/>
      <c r="AM987" s="735"/>
      <c r="AN987" s="736">
        <v>1.78</v>
      </c>
      <c r="AO987" s="734"/>
      <c r="AP987" s="735"/>
      <c r="AQ987" s="736">
        <v>1.93</v>
      </c>
      <c r="AR987" s="288"/>
      <c r="AS987" s="289"/>
      <c r="AT987" s="382">
        <f>J987+M987+P987+S987+V987+Y987+AB987+AE987+AH987+AK987+AN987+AQ987</f>
        <v>18.7</v>
      </c>
      <c r="AU987" s="288"/>
      <c r="AV987" s="290"/>
      <c r="AW987" s="285"/>
      <c r="AX987" s="296"/>
      <c r="AY987" s="295"/>
      <c r="AZ987" s="375"/>
      <c r="BA987" s="375"/>
      <c r="BB987" s="375"/>
      <c r="BC987" s="375"/>
    </row>
    <row r="988" spans="1:55" s="117" customFormat="1">
      <c r="A988" s="179"/>
      <c r="B988" s="179"/>
      <c r="C988" s="179"/>
      <c r="D988" s="181"/>
      <c r="E988" s="181"/>
      <c r="F988" s="181"/>
      <c r="G988" s="1110">
        <v>777370</v>
      </c>
      <c r="H988" s="142" t="s">
        <v>1418</v>
      </c>
      <c r="I988" s="518" t="s">
        <v>365</v>
      </c>
      <c r="J988" s="736">
        <v>4.8903809999999996</v>
      </c>
      <c r="K988" s="734"/>
      <c r="L988" s="735"/>
      <c r="M988" s="736">
        <v>4.5009540000000001</v>
      </c>
      <c r="N988" s="734"/>
      <c r="O988" s="735"/>
      <c r="P988" s="736">
        <v>4.8118999999999996</v>
      </c>
      <c r="Q988" s="734"/>
      <c r="R988" s="735"/>
      <c r="S988" s="736">
        <v>4.8196019999999997</v>
      </c>
      <c r="T988" s="734"/>
      <c r="U988" s="735"/>
      <c r="V988" s="736">
        <v>4.996569</v>
      </c>
      <c r="W988" s="734"/>
      <c r="X988" s="735"/>
      <c r="Y988" s="736">
        <v>4.8174659999999996</v>
      </c>
      <c r="Z988" s="734"/>
      <c r="AA988" s="735"/>
      <c r="AB988" s="736">
        <v>4.9889460000000003</v>
      </c>
      <c r="AC988" s="734"/>
      <c r="AD988" s="735"/>
      <c r="AE988" s="736">
        <v>4.8570089999999997</v>
      </c>
      <c r="AF988" s="734"/>
      <c r="AG988" s="735"/>
      <c r="AH988" s="736">
        <v>4.8343439999999998</v>
      </c>
      <c r="AI988" s="734"/>
      <c r="AJ988" s="735"/>
      <c r="AK988" s="736">
        <v>1.6755990000000001</v>
      </c>
      <c r="AL988" s="734"/>
      <c r="AM988" s="735"/>
      <c r="AN988" s="736">
        <v>4.0029000000000003</v>
      </c>
      <c r="AO988" s="734"/>
      <c r="AP988" s="735"/>
      <c r="AQ988" s="736">
        <v>4.9174319999999998</v>
      </c>
      <c r="AR988" s="288"/>
      <c r="AS988" s="289"/>
      <c r="AT988" s="382">
        <f>J988+M988+P988+S988+V988+Y988+AB988+AE988+AH988+AK988+AN988+AQ988</f>
        <v>54.113101999999991</v>
      </c>
      <c r="AU988" s="288"/>
      <c r="AV988" s="290"/>
      <c r="AW988" s="285"/>
      <c r="AX988" s="296"/>
      <c r="AY988" s="295"/>
      <c r="AZ988" s="375"/>
      <c r="BA988" s="375"/>
      <c r="BB988" s="375"/>
      <c r="BC988" s="375"/>
    </row>
    <row r="989" spans="1:55" s="117" customFormat="1" ht="18.75">
      <c r="A989" s="179"/>
      <c r="B989" s="179"/>
      <c r="C989" s="179"/>
      <c r="D989" s="181">
        <v>340600</v>
      </c>
      <c r="E989" s="181"/>
      <c r="F989" s="181"/>
      <c r="G989" s="181">
        <v>340600</v>
      </c>
      <c r="H989" s="475" t="s">
        <v>1610</v>
      </c>
      <c r="I989" s="475"/>
      <c r="J989" s="277">
        <f>SUM(J990:J992)</f>
        <v>17.139479999999999</v>
      </c>
      <c r="K989" s="275">
        <f>L989-J989</f>
        <v>213.72052000000002</v>
      </c>
      <c r="L989" s="276">
        <f>Потребление!D59</f>
        <v>230.86</v>
      </c>
      <c r="M989" s="274">
        <f>SUM(M990:M992)</f>
        <v>15.863163</v>
      </c>
      <c r="N989" s="275">
        <f>O989-M989</f>
        <v>195.067837</v>
      </c>
      <c r="O989" s="276">
        <f>Потребление!E59</f>
        <v>210.93100000000001</v>
      </c>
      <c r="P989" s="274">
        <f>SUM(P990:P992)</f>
        <v>17.257859999999997</v>
      </c>
      <c r="Q989" s="275">
        <f>R989-P989</f>
        <v>191.44914</v>
      </c>
      <c r="R989" s="276">
        <f>Потребление!F59</f>
        <v>208.70699999999999</v>
      </c>
      <c r="S989" s="274">
        <f>SUM(S990:S992)</f>
        <v>17.355170000000001</v>
      </c>
      <c r="T989" s="275">
        <f>U989-S989</f>
        <v>164.15983</v>
      </c>
      <c r="U989" s="276">
        <f>Потребление!G59</f>
        <v>181.51499999999999</v>
      </c>
      <c r="V989" s="274">
        <f>SUM(V990:V992)</f>
        <v>17.08239</v>
      </c>
      <c r="W989" s="275">
        <f>X989-V989</f>
        <v>150.45160999999999</v>
      </c>
      <c r="X989" s="276">
        <f>Потребление!H59</f>
        <v>167.53399999999999</v>
      </c>
      <c r="Y989" s="274">
        <f>SUM(Y990:Y992)</f>
        <v>16.154060999999999</v>
      </c>
      <c r="Z989" s="275">
        <f>AA989-Y989</f>
        <v>139.33993900000002</v>
      </c>
      <c r="AA989" s="276">
        <f>Потребление!I59</f>
        <v>155.494</v>
      </c>
      <c r="AB989" s="274">
        <f>SUM(AB990:AB992)</f>
        <v>1.6315900000000001</v>
      </c>
      <c r="AC989" s="275">
        <f>AD989-AB989</f>
        <v>162.16741000000002</v>
      </c>
      <c r="AD989" s="276">
        <f>Потребление!J59</f>
        <v>163.79900000000001</v>
      </c>
      <c r="AE989" s="274">
        <f>SUM(AE990:AE992)</f>
        <v>0.52985299999999991</v>
      </c>
      <c r="AF989" s="275">
        <f>AG989-AE989</f>
        <v>165.233147</v>
      </c>
      <c r="AG989" s="276">
        <f>Потребление!K59</f>
        <v>165.76300000000001</v>
      </c>
      <c r="AH989" s="274">
        <f>SUM(AH990:AH992)</f>
        <v>15.532677999999999</v>
      </c>
      <c r="AI989" s="275">
        <f>AJ989-AH989</f>
        <v>156.104322</v>
      </c>
      <c r="AJ989" s="276">
        <f>Потребление!L59</f>
        <v>171.637</v>
      </c>
      <c r="AK989" s="274">
        <f>SUM(AK990:AK992)</f>
        <v>15.706512</v>
      </c>
      <c r="AL989" s="275">
        <f>AM989-AK989</f>
        <v>183.55248799999998</v>
      </c>
      <c r="AM989" s="276">
        <f>Потребление!M59</f>
        <v>199.25899999999999</v>
      </c>
      <c r="AN989" s="274">
        <f>SUM(AN990:AN992)</f>
        <v>16.53143</v>
      </c>
      <c r="AO989" s="275">
        <f>AP989-AN989</f>
        <v>194.27957000000001</v>
      </c>
      <c r="AP989" s="276">
        <f>Потребление!N59</f>
        <v>210.81100000000001</v>
      </c>
      <c r="AQ989" s="274">
        <f>SUM(AQ990:AQ992)</f>
        <v>17.130392000000001</v>
      </c>
      <c r="AR989" s="275">
        <f>AS989-AQ989</f>
        <v>209.559608</v>
      </c>
      <c r="AS989" s="276">
        <f>Потребление!O59</f>
        <v>226.69</v>
      </c>
      <c r="AT989" s="274">
        <f>SUM(AT990:AT992)</f>
        <v>167.914579</v>
      </c>
      <c r="AU989" s="275">
        <f>AV989-AT989</f>
        <v>2125.0854209999998</v>
      </c>
      <c r="AV989" s="278">
        <f>L989+O989+R989+U989+X989+AA989+AD989+AG989+AJ989+AM989+AP989+AS989</f>
        <v>2293</v>
      </c>
      <c r="AW989" s="279"/>
      <c r="AX989" s="1067">
        <v>2244.9297240000001</v>
      </c>
      <c r="AY989" s="298">
        <f>SUM(AY990:AY992)</f>
        <v>162.34863100000001</v>
      </c>
      <c r="AZ989" s="375"/>
      <c r="BA989" s="375"/>
      <c r="BB989" s="375"/>
      <c r="BC989" s="375"/>
    </row>
    <row r="990" spans="1:55" s="117" customFormat="1">
      <c r="A990" s="179"/>
      <c r="B990" s="179"/>
      <c r="C990" s="179"/>
      <c r="D990" s="181"/>
      <c r="E990" s="181"/>
      <c r="F990" s="181"/>
      <c r="G990" s="181"/>
      <c r="H990" s="10" t="s">
        <v>56</v>
      </c>
      <c r="I990" s="10"/>
      <c r="J990" s="223">
        <f>J993</f>
        <v>15</v>
      </c>
      <c r="K990" s="271"/>
      <c r="L990" s="224"/>
      <c r="M990" s="270">
        <f>M993</f>
        <v>14</v>
      </c>
      <c r="N990" s="271"/>
      <c r="O990" s="224"/>
      <c r="P990" s="270">
        <f>P993</f>
        <v>15</v>
      </c>
      <c r="Q990" s="271"/>
      <c r="R990" s="224"/>
      <c r="S990" s="270">
        <f>S993</f>
        <v>15</v>
      </c>
      <c r="T990" s="271"/>
      <c r="U990" s="224"/>
      <c r="V990" s="270">
        <f>V993</f>
        <v>15</v>
      </c>
      <c r="W990" s="271"/>
      <c r="X990" s="224"/>
      <c r="Y990" s="270">
        <f>Y993</f>
        <v>15</v>
      </c>
      <c r="Z990" s="271"/>
      <c r="AA990" s="224"/>
      <c r="AB990" s="270">
        <f>AB993</f>
        <v>1</v>
      </c>
      <c r="AC990" s="271"/>
      <c r="AD990" s="224"/>
      <c r="AE990" s="270">
        <f>AE993</f>
        <v>0</v>
      </c>
      <c r="AF990" s="271"/>
      <c r="AG990" s="224"/>
      <c r="AH990" s="270">
        <f>AH993</f>
        <v>15</v>
      </c>
      <c r="AI990" s="271"/>
      <c r="AJ990" s="224"/>
      <c r="AK990" s="270">
        <f>AK993</f>
        <v>15</v>
      </c>
      <c r="AL990" s="271"/>
      <c r="AM990" s="224"/>
      <c r="AN990" s="270">
        <f>AN993</f>
        <v>15</v>
      </c>
      <c r="AO990" s="271"/>
      <c r="AP990" s="224"/>
      <c r="AQ990" s="270">
        <f>AQ993</f>
        <v>15</v>
      </c>
      <c r="AR990" s="271"/>
      <c r="AS990" s="224"/>
      <c r="AT990" s="270">
        <f>AT993</f>
        <v>150</v>
      </c>
      <c r="AU990" s="271"/>
      <c r="AV990" s="229"/>
      <c r="AW990" s="226"/>
      <c r="AX990" s="230"/>
      <c r="AY990" s="230">
        <f>AY993</f>
        <v>149.25616600000001</v>
      </c>
      <c r="AZ990" s="375"/>
      <c r="BA990" s="375"/>
      <c r="BB990" s="375"/>
      <c r="BC990" s="375"/>
    </row>
    <row r="991" spans="1:55" s="117" customFormat="1">
      <c r="A991" s="179"/>
      <c r="B991" s="179"/>
      <c r="C991" s="179"/>
      <c r="D991" s="181"/>
      <c r="E991" s="181"/>
      <c r="F991" s="181"/>
      <c r="G991" s="181"/>
      <c r="H991" s="10" t="s">
        <v>55</v>
      </c>
      <c r="I991" s="10"/>
      <c r="J991" s="223">
        <f>J994</f>
        <v>1.0564800000000001</v>
      </c>
      <c r="K991" s="271"/>
      <c r="L991" s="224"/>
      <c r="M991" s="270">
        <f>M994</f>
        <v>0.76560000000000006</v>
      </c>
      <c r="N991" s="271"/>
      <c r="O991" s="224"/>
      <c r="P991" s="270">
        <f>P994</f>
        <v>1.2275999999999998</v>
      </c>
      <c r="Q991" s="271"/>
      <c r="R991" s="224"/>
      <c r="S991" s="270">
        <f>S994</f>
        <v>1.9727999999999997</v>
      </c>
      <c r="T991" s="271"/>
      <c r="U991" s="224"/>
      <c r="V991" s="270">
        <f>V994</f>
        <v>2.0236800000000001</v>
      </c>
      <c r="W991" s="271"/>
      <c r="X991" s="224"/>
      <c r="Y991" s="270">
        <f>Y994</f>
        <v>1.08</v>
      </c>
      <c r="Z991" s="271"/>
      <c r="AA991" s="224"/>
      <c r="AB991" s="270">
        <f>AB994</f>
        <v>0.57287999999999994</v>
      </c>
      <c r="AC991" s="271"/>
      <c r="AD991" s="224"/>
      <c r="AE991" s="270">
        <f>AE994</f>
        <v>0.43895999999999996</v>
      </c>
      <c r="AF991" s="271"/>
      <c r="AG991" s="224"/>
      <c r="AH991" s="270">
        <f>AH994</f>
        <v>0.43920000000000003</v>
      </c>
      <c r="AI991" s="271"/>
      <c r="AJ991" s="224"/>
      <c r="AK991" s="270">
        <f>AK994</f>
        <v>0.5565119999999999</v>
      </c>
      <c r="AL991" s="271"/>
      <c r="AM991" s="224"/>
      <c r="AN991" s="270">
        <f>AN994</f>
        <v>0.77760000000000007</v>
      </c>
      <c r="AO991" s="271"/>
      <c r="AP991" s="224"/>
      <c r="AQ991" s="270">
        <f>AQ994</f>
        <v>1.0401120000000001</v>
      </c>
      <c r="AR991" s="271"/>
      <c r="AS991" s="224"/>
      <c r="AT991" s="270">
        <f>AT994</f>
        <v>11.951423999999999</v>
      </c>
      <c r="AU991" s="271"/>
      <c r="AV991" s="229"/>
      <c r="AW991" s="226"/>
      <c r="AX991" s="230"/>
      <c r="AY991" s="230">
        <f>AY994</f>
        <v>7.8615830000000004</v>
      </c>
      <c r="AZ991" s="375"/>
      <c r="BA991" s="375"/>
      <c r="BB991" s="375"/>
      <c r="BC991" s="375"/>
    </row>
    <row r="992" spans="1:55" s="117" customFormat="1">
      <c r="A992" s="179"/>
      <c r="B992" s="179"/>
      <c r="C992" s="179"/>
      <c r="D992" s="181"/>
      <c r="E992" s="181"/>
      <c r="F992" s="181"/>
      <c r="G992" s="181"/>
      <c r="H992" s="10" t="s">
        <v>99</v>
      </c>
      <c r="I992" s="10"/>
      <c r="J992" s="223">
        <f>J997</f>
        <v>1.083</v>
      </c>
      <c r="K992" s="271"/>
      <c r="L992" s="224"/>
      <c r="M992" s="270">
        <f>M997</f>
        <v>1.0975630000000001</v>
      </c>
      <c r="N992" s="271"/>
      <c r="O992" s="224"/>
      <c r="P992" s="270">
        <f>P997</f>
        <v>1.03026</v>
      </c>
      <c r="Q992" s="271"/>
      <c r="R992" s="224"/>
      <c r="S992" s="270">
        <f>S997</f>
        <v>0.38236999999999999</v>
      </c>
      <c r="T992" s="271"/>
      <c r="U992" s="224"/>
      <c r="V992" s="270">
        <f>V997</f>
        <v>5.8709999999999998E-2</v>
      </c>
      <c r="W992" s="271"/>
      <c r="X992" s="224"/>
      <c r="Y992" s="270">
        <f>Y997</f>
        <v>7.4061000000000002E-2</v>
      </c>
      <c r="Z992" s="271"/>
      <c r="AA992" s="224"/>
      <c r="AB992" s="270">
        <f>AB997</f>
        <v>5.8709999999999998E-2</v>
      </c>
      <c r="AC992" s="271"/>
      <c r="AD992" s="224"/>
      <c r="AE992" s="270">
        <f>AE997</f>
        <v>9.0893000000000002E-2</v>
      </c>
      <c r="AF992" s="271"/>
      <c r="AG992" s="224"/>
      <c r="AH992" s="270">
        <f>AH997</f>
        <v>9.3478000000000006E-2</v>
      </c>
      <c r="AI992" s="271"/>
      <c r="AJ992" s="224"/>
      <c r="AK992" s="270">
        <f>AK997</f>
        <v>0.15</v>
      </c>
      <c r="AL992" s="271"/>
      <c r="AM992" s="224"/>
      <c r="AN992" s="270">
        <f>AN997</f>
        <v>0.75383</v>
      </c>
      <c r="AO992" s="271"/>
      <c r="AP992" s="224"/>
      <c r="AQ992" s="270">
        <f>AQ997</f>
        <v>1.0902799999999999</v>
      </c>
      <c r="AR992" s="271"/>
      <c r="AS992" s="224"/>
      <c r="AT992" s="270">
        <f>AT997</f>
        <v>5.9631550000000004</v>
      </c>
      <c r="AU992" s="271"/>
      <c r="AV992" s="229"/>
      <c r="AW992" s="226"/>
      <c r="AX992" s="230"/>
      <c r="AY992" s="230">
        <f>AY997</f>
        <v>5.2308820000000003</v>
      </c>
      <c r="AZ992" s="375"/>
      <c r="BA992" s="375"/>
      <c r="BB992" s="375"/>
      <c r="BC992" s="375"/>
    </row>
    <row r="993" spans="1:55" s="117" customFormat="1">
      <c r="A993" s="179"/>
      <c r="B993" s="179"/>
      <c r="C993" s="179"/>
      <c r="D993" s="181">
        <v>340601</v>
      </c>
      <c r="E993" s="181"/>
      <c r="F993" s="181"/>
      <c r="G993" s="1110">
        <v>340601</v>
      </c>
      <c r="H993" s="122" t="s">
        <v>659</v>
      </c>
      <c r="I993" s="516" t="s">
        <v>364</v>
      </c>
      <c r="J993" s="281">
        <v>15</v>
      </c>
      <c r="K993" s="545"/>
      <c r="L993" s="546"/>
      <c r="M993" s="547">
        <v>14</v>
      </c>
      <c r="N993" s="545"/>
      <c r="O993" s="546"/>
      <c r="P993" s="547">
        <v>15</v>
      </c>
      <c r="Q993" s="545"/>
      <c r="R993" s="546"/>
      <c r="S993" s="547">
        <v>15</v>
      </c>
      <c r="T993" s="545"/>
      <c r="U993" s="546"/>
      <c r="V993" s="547">
        <v>15</v>
      </c>
      <c r="W993" s="545"/>
      <c r="X993" s="546"/>
      <c r="Y993" s="547">
        <v>15</v>
      </c>
      <c r="Z993" s="545"/>
      <c r="AA993" s="546"/>
      <c r="AB993" s="547">
        <v>1</v>
      </c>
      <c r="AC993" s="545"/>
      <c r="AD993" s="546"/>
      <c r="AE993" s="547">
        <v>0</v>
      </c>
      <c r="AF993" s="545"/>
      <c r="AG993" s="546"/>
      <c r="AH993" s="547">
        <v>15</v>
      </c>
      <c r="AI993" s="545"/>
      <c r="AJ993" s="546"/>
      <c r="AK993" s="547">
        <v>15</v>
      </c>
      <c r="AL993" s="545"/>
      <c r="AM993" s="546"/>
      <c r="AN993" s="836">
        <v>15</v>
      </c>
      <c r="AO993" s="545"/>
      <c r="AP993" s="546"/>
      <c r="AQ993" s="547">
        <v>15</v>
      </c>
      <c r="AR993" s="246"/>
      <c r="AS993" s="282"/>
      <c r="AT993" s="244">
        <f>J993+M993+P993+S993+V993+Y993+AB993+AE993+AH993+AK993+AN993+AQ993</f>
        <v>150</v>
      </c>
      <c r="AU993" s="283"/>
      <c r="AV993" s="284"/>
      <c r="AW993" s="285"/>
      <c r="AX993" s="321"/>
      <c r="AY993" s="435">
        <v>149.25616600000001</v>
      </c>
      <c r="AZ993" s="375"/>
      <c r="BA993" s="375"/>
      <c r="BB993" s="375"/>
      <c r="BC993" s="375"/>
    </row>
    <row r="994" spans="1:55" s="117" customFormat="1">
      <c r="A994" s="179"/>
      <c r="B994" s="179"/>
      <c r="C994" s="179"/>
      <c r="D994" s="181"/>
      <c r="E994" s="181"/>
      <c r="F994" s="181"/>
      <c r="G994" s="1110"/>
      <c r="H994" s="131" t="s">
        <v>973</v>
      </c>
      <c r="I994" s="519" t="s">
        <v>365</v>
      </c>
      <c r="J994" s="262">
        <f>J995+J996</f>
        <v>1.0564800000000001</v>
      </c>
      <c r="K994" s="323"/>
      <c r="L994" s="324"/>
      <c r="M994" s="317">
        <f>M995+M996</f>
        <v>0.76560000000000006</v>
      </c>
      <c r="N994" s="323"/>
      <c r="O994" s="324"/>
      <c r="P994" s="317">
        <f>P995+P996</f>
        <v>1.2275999999999998</v>
      </c>
      <c r="Q994" s="323"/>
      <c r="R994" s="324"/>
      <c r="S994" s="317">
        <f>S995+S996</f>
        <v>1.9727999999999997</v>
      </c>
      <c r="T994" s="323"/>
      <c r="U994" s="324"/>
      <c r="V994" s="317">
        <f>V995+V996</f>
        <v>2.0236800000000001</v>
      </c>
      <c r="W994" s="323"/>
      <c r="X994" s="324"/>
      <c r="Y994" s="317">
        <f>Y995+Y996</f>
        <v>1.08</v>
      </c>
      <c r="Z994" s="323"/>
      <c r="AA994" s="324"/>
      <c r="AB994" s="317">
        <f>AB995+AB996</f>
        <v>0.57287999999999994</v>
      </c>
      <c r="AC994" s="323"/>
      <c r="AD994" s="324"/>
      <c r="AE994" s="317">
        <f>AE995+AE996</f>
        <v>0.43895999999999996</v>
      </c>
      <c r="AF994" s="323"/>
      <c r="AG994" s="324"/>
      <c r="AH994" s="317">
        <f>AH995+AH996</f>
        <v>0.43920000000000003</v>
      </c>
      <c r="AI994" s="323"/>
      <c r="AJ994" s="324"/>
      <c r="AK994" s="317">
        <f>AK995+AK996</f>
        <v>0.5565119999999999</v>
      </c>
      <c r="AL994" s="323"/>
      <c r="AM994" s="324"/>
      <c r="AN994" s="317">
        <f>AN995+AN996</f>
        <v>0.77760000000000007</v>
      </c>
      <c r="AO994" s="323"/>
      <c r="AP994" s="324"/>
      <c r="AQ994" s="317">
        <f>AQ995+AQ996</f>
        <v>1.0401120000000001</v>
      </c>
      <c r="AR994" s="323"/>
      <c r="AS994" s="324"/>
      <c r="AT994" s="317">
        <f>AT995+AT996</f>
        <v>11.951423999999999</v>
      </c>
      <c r="AU994" s="256"/>
      <c r="AV994" s="315"/>
      <c r="AW994" s="226"/>
      <c r="AX994" s="340"/>
      <c r="AY994" s="888">
        <v>7.8615830000000004</v>
      </c>
      <c r="AZ994" s="375"/>
      <c r="BA994" s="375"/>
      <c r="BB994" s="375"/>
      <c r="BC994" s="375"/>
    </row>
    <row r="995" spans="1:55" s="117" customFormat="1">
      <c r="A995" s="179"/>
      <c r="B995" s="179"/>
      <c r="C995" s="179"/>
      <c r="D995" s="181">
        <v>340632</v>
      </c>
      <c r="E995" s="181"/>
      <c r="F995" s="181"/>
      <c r="G995" s="1110">
        <v>340632</v>
      </c>
      <c r="H995" s="127" t="s">
        <v>974</v>
      </c>
      <c r="I995" s="127"/>
      <c r="J995" s="587">
        <v>0.63160000000000005</v>
      </c>
      <c r="K995" s="521"/>
      <c r="L995" s="522"/>
      <c r="M995" s="586">
        <v>0.42920000000000003</v>
      </c>
      <c r="N995" s="521"/>
      <c r="O995" s="522"/>
      <c r="P995" s="586">
        <v>0.71760000000000002</v>
      </c>
      <c r="Q995" s="521"/>
      <c r="R995" s="522"/>
      <c r="S995" s="586">
        <v>1.2383999999999999</v>
      </c>
      <c r="T995" s="521"/>
      <c r="U995" s="522"/>
      <c r="V995" s="586">
        <v>1.32368</v>
      </c>
      <c r="W995" s="521"/>
      <c r="X995" s="522"/>
      <c r="Y995" s="586">
        <v>0.65</v>
      </c>
      <c r="Z995" s="521"/>
      <c r="AA995" s="522"/>
      <c r="AB995" s="586">
        <v>0.34288000000000002</v>
      </c>
      <c r="AC995" s="521"/>
      <c r="AD995" s="522"/>
      <c r="AE995" s="586">
        <v>0.22896</v>
      </c>
      <c r="AF995" s="521"/>
      <c r="AG995" s="522"/>
      <c r="AH995" s="586">
        <v>0.22919999999999999</v>
      </c>
      <c r="AI995" s="521"/>
      <c r="AJ995" s="522"/>
      <c r="AK995" s="586">
        <v>0.35288000000000003</v>
      </c>
      <c r="AL995" s="521"/>
      <c r="AM995" s="522"/>
      <c r="AN995" s="586">
        <v>0.46760000000000002</v>
      </c>
      <c r="AO995" s="521"/>
      <c r="AP995" s="522"/>
      <c r="AQ995" s="586">
        <v>0.66368000000000005</v>
      </c>
      <c r="AR995" s="246"/>
      <c r="AS995" s="282"/>
      <c r="AT995" s="586">
        <f>J995+M995+P995+S995+V995+Y995+AB995+AE995+AH995+AK995+AN995+AQ995</f>
        <v>7.2756799999999995</v>
      </c>
      <c r="AU995" s="283"/>
      <c r="AV995" s="284"/>
      <c r="AW995" s="285"/>
      <c r="AX995" s="321"/>
      <c r="AY995" s="300"/>
      <c r="AZ995" s="375"/>
      <c r="BA995" s="375"/>
      <c r="BB995" s="375"/>
      <c r="BC995" s="375"/>
    </row>
    <row r="996" spans="1:55" s="117" customFormat="1">
      <c r="A996" s="179"/>
      <c r="B996" s="179"/>
      <c r="C996" s="179"/>
      <c r="D996" s="181">
        <v>340631</v>
      </c>
      <c r="E996" s="181"/>
      <c r="F996" s="181"/>
      <c r="G996" s="1110">
        <v>340631</v>
      </c>
      <c r="H996" s="127" t="s">
        <v>975</v>
      </c>
      <c r="I996" s="127"/>
      <c r="J996" s="587">
        <v>0.42488000000000004</v>
      </c>
      <c r="K996" s="521"/>
      <c r="L996" s="522"/>
      <c r="M996" s="586">
        <v>0.33640000000000003</v>
      </c>
      <c r="N996" s="521"/>
      <c r="O996" s="522"/>
      <c r="P996" s="586">
        <v>0.50999999999999979</v>
      </c>
      <c r="Q996" s="521"/>
      <c r="R996" s="522"/>
      <c r="S996" s="586">
        <v>0.73439999999999972</v>
      </c>
      <c r="T996" s="521"/>
      <c r="U996" s="522"/>
      <c r="V996" s="586">
        <v>0.70000000000000018</v>
      </c>
      <c r="W996" s="521"/>
      <c r="X996" s="522"/>
      <c r="Y996" s="586">
        <v>0.43000000000000005</v>
      </c>
      <c r="Z996" s="521"/>
      <c r="AA996" s="522"/>
      <c r="AB996" s="586">
        <v>0.22999999999999993</v>
      </c>
      <c r="AC996" s="521"/>
      <c r="AD996" s="522"/>
      <c r="AE996" s="586">
        <v>0.20999999999999996</v>
      </c>
      <c r="AF996" s="521"/>
      <c r="AG996" s="522"/>
      <c r="AH996" s="586">
        <v>0.21000000000000005</v>
      </c>
      <c r="AI996" s="521"/>
      <c r="AJ996" s="522"/>
      <c r="AK996" s="586">
        <v>0.20363199999999987</v>
      </c>
      <c r="AL996" s="521"/>
      <c r="AM996" s="522"/>
      <c r="AN996" s="586">
        <v>0.31000000000000005</v>
      </c>
      <c r="AO996" s="521"/>
      <c r="AP996" s="522"/>
      <c r="AQ996" s="586">
        <v>0.3764320000000001</v>
      </c>
      <c r="AR996" s="246"/>
      <c r="AS996" s="282"/>
      <c r="AT996" s="586">
        <f>J996+M996+P996+S996+V996+Y996+AB996+AE996+AH996+AK996+AN996+AQ996</f>
        <v>4.6757440000000008</v>
      </c>
      <c r="AU996" s="283"/>
      <c r="AV996" s="284"/>
      <c r="AW996" s="285"/>
      <c r="AX996" s="321"/>
      <c r="AY996" s="300"/>
      <c r="AZ996" s="375"/>
      <c r="BA996" s="375"/>
      <c r="BB996" s="375"/>
      <c r="BC996" s="375"/>
    </row>
    <row r="997" spans="1:55" s="117" customFormat="1">
      <c r="A997" s="179"/>
      <c r="B997" s="179"/>
      <c r="C997" s="179"/>
      <c r="D997" s="181"/>
      <c r="E997" s="181"/>
      <c r="F997" s="181"/>
      <c r="G997" s="1110"/>
      <c r="H997" s="138" t="s">
        <v>174</v>
      </c>
      <c r="I997" s="138"/>
      <c r="J997" s="319">
        <f>J998</f>
        <v>1.083</v>
      </c>
      <c r="K997" s="288"/>
      <c r="L997" s="289"/>
      <c r="M997" s="287">
        <f>M998</f>
        <v>1.0975630000000001</v>
      </c>
      <c r="N997" s="288"/>
      <c r="O997" s="289"/>
      <c r="P997" s="287">
        <f>P998</f>
        <v>1.03026</v>
      </c>
      <c r="Q997" s="288"/>
      <c r="R997" s="289"/>
      <c r="S997" s="287">
        <f>S998</f>
        <v>0.38236999999999999</v>
      </c>
      <c r="T997" s="288"/>
      <c r="U997" s="289"/>
      <c r="V997" s="287">
        <f>V998</f>
        <v>5.8709999999999998E-2</v>
      </c>
      <c r="W997" s="288"/>
      <c r="X997" s="289"/>
      <c r="Y997" s="287">
        <f>Y998</f>
        <v>7.4061000000000002E-2</v>
      </c>
      <c r="Z997" s="288"/>
      <c r="AA997" s="289"/>
      <c r="AB997" s="287">
        <f>AB998</f>
        <v>5.8709999999999998E-2</v>
      </c>
      <c r="AC997" s="288"/>
      <c r="AD997" s="289"/>
      <c r="AE997" s="287">
        <f>AE998</f>
        <v>9.0893000000000002E-2</v>
      </c>
      <c r="AF997" s="288"/>
      <c r="AG997" s="289"/>
      <c r="AH997" s="287">
        <f>AH998</f>
        <v>9.3478000000000006E-2</v>
      </c>
      <c r="AI997" s="288"/>
      <c r="AJ997" s="289"/>
      <c r="AK997" s="287">
        <f>AK998</f>
        <v>0.15</v>
      </c>
      <c r="AL997" s="288"/>
      <c r="AM997" s="289"/>
      <c r="AN997" s="287">
        <f>AN998</f>
        <v>0.75383</v>
      </c>
      <c r="AO997" s="288"/>
      <c r="AP997" s="289"/>
      <c r="AQ997" s="287">
        <f>AQ998</f>
        <v>1.0902799999999999</v>
      </c>
      <c r="AR997" s="288"/>
      <c r="AS997" s="289"/>
      <c r="AT997" s="287">
        <f>AT998</f>
        <v>5.9631550000000004</v>
      </c>
      <c r="AU997" s="288"/>
      <c r="AV997" s="290"/>
      <c r="AW997" s="388"/>
      <c r="AX997" s="389"/>
      <c r="AY997" s="436">
        <v>5.2308820000000003</v>
      </c>
      <c r="AZ997" s="375"/>
      <c r="BA997" s="375"/>
      <c r="BB997" s="375"/>
      <c r="BC997" s="375"/>
    </row>
    <row r="998" spans="1:55" s="117" customFormat="1">
      <c r="A998" s="179"/>
      <c r="B998" s="179"/>
      <c r="C998" s="179"/>
      <c r="D998" s="181">
        <v>777017</v>
      </c>
      <c r="E998" s="181"/>
      <c r="F998" s="181"/>
      <c r="G998" s="1121">
        <v>777017</v>
      </c>
      <c r="H998" s="703" t="s">
        <v>1419</v>
      </c>
      <c r="I998" s="518" t="s">
        <v>365</v>
      </c>
      <c r="J998" s="294">
        <v>1.083</v>
      </c>
      <c r="K998" s="288"/>
      <c r="L998" s="289"/>
      <c r="M998" s="294">
        <v>1.0975630000000001</v>
      </c>
      <c r="N998" s="288"/>
      <c r="O998" s="289"/>
      <c r="P998" s="294">
        <v>1.03026</v>
      </c>
      <c r="Q998" s="288"/>
      <c r="R998" s="289"/>
      <c r="S998" s="294">
        <v>0.38236999999999999</v>
      </c>
      <c r="T998" s="288"/>
      <c r="U998" s="289"/>
      <c r="V998" s="294">
        <v>5.8709999999999998E-2</v>
      </c>
      <c r="W998" s="288"/>
      <c r="X998" s="289"/>
      <c r="Y998" s="294">
        <v>7.4061000000000002E-2</v>
      </c>
      <c r="Z998" s="288"/>
      <c r="AA998" s="289"/>
      <c r="AB998" s="294">
        <v>5.8709999999999998E-2</v>
      </c>
      <c r="AC998" s="288"/>
      <c r="AD998" s="289"/>
      <c r="AE998" s="294">
        <v>9.0893000000000002E-2</v>
      </c>
      <c r="AF998" s="288"/>
      <c r="AG998" s="289"/>
      <c r="AH998" s="294">
        <v>9.3478000000000006E-2</v>
      </c>
      <c r="AI998" s="288"/>
      <c r="AJ998" s="289"/>
      <c r="AK998" s="294">
        <v>0.15</v>
      </c>
      <c r="AL998" s="288"/>
      <c r="AM998" s="289"/>
      <c r="AN998" s="294">
        <v>0.75383</v>
      </c>
      <c r="AO998" s="288"/>
      <c r="AP998" s="289"/>
      <c r="AQ998" s="294">
        <v>1.0902799999999999</v>
      </c>
      <c r="AR998" s="288"/>
      <c r="AS998" s="289"/>
      <c r="AT998" s="382">
        <f>J998+M998+P998+S998+V998+Y998+AB998+AE998+AH998+AK998+AN998+AQ998</f>
        <v>5.9631550000000004</v>
      </c>
      <c r="AU998" s="704"/>
      <c r="AV998" s="974"/>
      <c r="AW998" s="975"/>
      <c r="AX998" s="976"/>
      <c r="AY998" s="977"/>
      <c r="AZ998" s="375"/>
      <c r="BA998" s="375"/>
      <c r="BB998" s="375"/>
      <c r="BC998" s="375"/>
    </row>
    <row r="999" spans="1:55" s="117" customFormat="1" ht="18.75">
      <c r="A999" s="179"/>
      <c r="B999" s="179"/>
      <c r="C999" s="179"/>
      <c r="D999" s="181">
        <v>345700</v>
      </c>
      <c r="E999" s="181"/>
      <c r="F999" s="181"/>
      <c r="G999" s="181">
        <v>345700</v>
      </c>
      <c r="H999" s="475" t="s">
        <v>1621</v>
      </c>
      <c r="I999" s="475"/>
      <c r="J999" s="277">
        <f>SUM(J1000:J1003)</f>
        <v>6670.119239742261</v>
      </c>
      <c r="K999" s="342">
        <f>L999-J999</f>
        <v>-2005.9632397422611</v>
      </c>
      <c r="L999" s="341">
        <f>L1004+L1045</f>
        <v>4664.1559999999999</v>
      </c>
      <c r="M999" s="274">
        <f>SUM(M1000:M1003)</f>
        <v>5788.1002371607119</v>
      </c>
      <c r="N999" s="342">
        <f>O999-M999</f>
        <v>-1400.5072371607121</v>
      </c>
      <c r="O999" s="341">
        <f>O1004+O1045</f>
        <v>4387.5929999999998</v>
      </c>
      <c r="P999" s="274">
        <f>SUM(P1000:P1003)</f>
        <v>5855.2739788032231</v>
      </c>
      <c r="Q999" s="342">
        <f>R999-P999</f>
        <v>-1415.2319788032228</v>
      </c>
      <c r="R999" s="341">
        <f>R1004+R1045</f>
        <v>4440.0420000000004</v>
      </c>
      <c r="S999" s="274">
        <f>SUM(S1000:S1003)</f>
        <v>5008.7047912275393</v>
      </c>
      <c r="T999" s="342">
        <f>U999-S999</f>
        <v>-1112.0607912275395</v>
      </c>
      <c r="U999" s="341">
        <f>U1004+U1045</f>
        <v>3896.6439999999998</v>
      </c>
      <c r="V999" s="274">
        <f>SUM(V1000:V1003)</f>
        <v>4435.9573667416989</v>
      </c>
      <c r="W999" s="342">
        <f>X999-V999</f>
        <v>-886.63636674169902</v>
      </c>
      <c r="X999" s="341">
        <f>X1004+X1045</f>
        <v>3549.3209999999999</v>
      </c>
      <c r="Y999" s="274">
        <f>SUM(Y1000:Y1003)</f>
        <v>4160.0812100432131</v>
      </c>
      <c r="Z999" s="342">
        <f>AA999-Y999</f>
        <v>-919.53421004321308</v>
      </c>
      <c r="AA999" s="341">
        <f>AA1004+AA1045</f>
        <v>3240.547</v>
      </c>
      <c r="AB999" s="274">
        <f>SUM(AB1000:AB1003)</f>
        <v>4461.112778378174</v>
      </c>
      <c r="AC999" s="342">
        <f>AD999-AB999</f>
        <v>-1180.313778378174</v>
      </c>
      <c r="AD999" s="341">
        <f>AD1004+AD1045</f>
        <v>3280.799</v>
      </c>
      <c r="AE999" s="274">
        <f>SUM(AE1000:AE1003)</f>
        <v>4275.562639964478</v>
      </c>
      <c r="AF999" s="342">
        <f>AG999-AE999</f>
        <v>-851.18463996447781</v>
      </c>
      <c r="AG999" s="341">
        <f>AG1004+AG1045</f>
        <v>3424.3780000000002</v>
      </c>
      <c r="AH999" s="274">
        <f>SUM(AH1000:AH1003)</f>
        <v>4414.5763650086665</v>
      </c>
      <c r="AI999" s="342">
        <f>AJ999-AH999</f>
        <v>-854.40436500866645</v>
      </c>
      <c r="AJ999" s="341">
        <f>AJ1004+AJ1045</f>
        <v>3560.172</v>
      </c>
      <c r="AK999" s="274">
        <f>SUM(AK1000:AK1003)</f>
        <v>5402.5581011468748</v>
      </c>
      <c r="AL999" s="342">
        <f>AM999-AK999</f>
        <v>-1254.523101146875</v>
      </c>
      <c r="AM999" s="341">
        <f>AM1004+AM1045</f>
        <v>4148.0349999999999</v>
      </c>
      <c r="AN999" s="274">
        <f>SUM(AN1000:AN1003)</f>
        <v>5358.2740244213874</v>
      </c>
      <c r="AO999" s="342">
        <f>AP999-AN999</f>
        <v>-953.32402442138755</v>
      </c>
      <c r="AP999" s="341">
        <f>AP1004+AP1045</f>
        <v>4404.95</v>
      </c>
      <c r="AQ999" s="274">
        <f>SUM(AQ1000:AQ1003)</f>
        <v>5937.5748630893804</v>
      </c>
      <c r="AR999" s="342">
        <f>AS999-AQ999</f>
        <v>-1155.2118630893801</v>
      </c>
      <c r="AS999" s="341">
        <f>AS1004+AS1045</f>
        <v>4782.3630000000003</v>
      </c>
      <c r="AT999" s="274">
        <f>SUM(AT1000:AT1003)</f>
        <v>61767.895595727612</v>
      </c>
      <c r="AU999" s="342">
        <f>AV999-AT999</f>
        <v>-13988.895595727612</v>
      </c>
      <c r="AV999" s="341">
        <f>AV1004+AV1045</f>
        <v>47779</v>
      </c>
      <c r="AW999" s="226"/>
      <c r="AX999" s="1067">
        <v>47004.467466000002</v>
      </c>
      <c r="AY999" s="298">
        <f>SUM(AY1000:AY1003)</f>
        <v>65140.116107999995</v>
      </c>
      <c r="AZ999" s="375"/>
      <c r="BA999" s="375"/>
      <c r="BB999" s="375"/>
      <c r="BC999" s="375"/>
    </row>
    <row r="1000" spans="1:55" s="117" customFormat="1">
      <c r="A1000" s="179"/>
      <c r="B1000" s="179"/>
      <c r="C1000" s="179"/>
      <c r="D1000" s="181"/>
      <c r="E1000" s="181"/>
      <c r="F1000" s="181"/>
      <c r="G1000" s="181"/>
      <c r="H1000" s="10" t="s">
        <v>56</v>
      </c>
      <c r="I1000" s="10"/>
      <c r="J1000" s="223">
        <f>J1005+J1046</f>
        <v>3113.2229408000003</v>
      </c>
      <c r="K1000" s="271"/>
      <c r="L1000" s="224"/>
      <c r="M1000" s="270">
        <f>M1005+M1046</f>
        <v>3151.5842396799999</v>
      </c>
      <c r="N1000" s="271"/>
      <c r="O1000" s="224"/>
      <c r="P1000" s="270">
        <f>P1005+P1046</f>
        <v>3027.500536</v>
      </c>
      <c r="Q1000" s="271"/>
      <c r="R1000" s="224"/>
      <c r="S1000" s="270">
        <f>S1005+S1046</f>
        <v>2519.7027720000001</v>
      </c>
      <c r="T1000" s="271"/>
      <c r="U1000" s="224"/>
      <c r="V1000" s="270">
        <f>V1005+V1046</f>
        <v>1923.558628</v>
      </c>
      <c r="W1000" s="271"/>
      <c r="X1000" s="224"/>
      <c r="Y1000" s="270">
        <f>Y1005+Y1046</f>
        <v>1535.9593600000003</v>
      </c>
      <c r="Z1000" s="271"/>
      <c r="AA1000" s="224"/>
      <c r="AB1000" s="270">
        <f>AB1005+AB1046</f>
        <v>1775.2093239999999</v>
      </c>
      <c r="AC1000" s="271"/>
      <c r="AD1000" s="224"/>
      <c r="AE1000" s="270">
        <f>AE1005+AE1046</f>
        <v>2053.882924</v>
      </c>
      <c r="AF1000" s="271"/>
      <c r="AG1000" s="224"/>
      <c r="AH1000" s="270">
        <f>AH1005+AH1046</f>
        <v>2114.7635839999998</v>
      </c>
      <c r="AI1000" s="271"/>
      <c r="AJ1000" s="224"/>
      <c r="AK1000" s="270">
        <f>AK1005+AK1046</f>
        <v>2322.4540615999999</v>
      </c>
      <c r="AL1000" s="271"/>
      <c r="AM1000" s="224"/>
      <c r="AN1000" s="270">
        <f>AN1005+AN1046</f>
        <v>3146.1651879999999</v>
      </c>
      <c r="AO1000" s="271"/>
      <c r="AP1000" s="224"/>
      <c r="AQ1000" s="270">
        <f>AQ1005+AQ1046</f>
        <v>3354.4160656000004</v>
      </c>
      <c r="AR1000" s="271"/>
      <c r="AS1000" s="224"/>
      <c r="AT1000" s="270">
        <f>AT1005+AT1046</f>
        <v>30038.419623680002</v>
      </c>
      <c r="AU1000" s="271"/>
      <c r="AV1000" s="224"/>
      <c r="AW1000" s="226"/>
      <c r="AX1000" s="230"/>
      <c r="AY1000" s="231">
        <f>AY1005+AY1046</f>
        <v>30319.237038999996</v>
      </c>
      <c r="AZ1000" s="375"/>
      <c r="BA1000" s="375"/>
      <c r="BB1000" s="375"/>
      <c r="BC1000" s="375"/>
    </row>
    <row r="1001" spans="1:55" s="117" customFormat="1">
      <c r="A1001" s="179"/>
      <c r="B1001" s="179"/>
      <c r="C1001" s="179"/>
      <c r="D1001" s="181"/>
      <c r="E1001" s="181"/>
      <c r="F1001" s="181"/>
      <c r="G1001" s="181"/>
      <c r="H1001" s="10" t="s">
        <v>55</v>
      </c>
      <c r="I1001" s="10"/>
      <c r="J1001" s="223">
        <f>J1047</f>
        <v>259.06136894226074</v>
      </c>
      <c r="K1001" s="271"/>
      <c r="L1001" s="224"/>
      <c r="M1001" s="270">
        <f>M1047</f>
        <v>238.52286148071289</v>
      </c>
      <c r="N1001" s="271"/>
      <c r="O1001" s="224"/>
      <c r="P1001" s="270">
        <f>P1047</f>
        <v>269.02201080322266</v>
      </c>
      <c r="Q1001" s="271"/>
      <c r="R1001" s="224"/>
      <c r="S1001" s="270">
        <f>S1047</f>
        <v>300.76905822753906</v>
      </c>
      <c r="T1001" s="271"/>
      <c r="U1001" s="224"/>
      <c r="V1001" s="270">
        <f>V1047</f>
        <v>325.36174774169922</v>
      </c>
      <c r="W1001" s="271"/>
      <c r="X1001" s="224"/>
      <c r="Y1001" s="270">
        <f>Y1047</f>
        <v>302.57071304321289</v>
      </c>
      <c r="Z1001" s="271"/>
      <c r="AA1001" s="224"/>
      <c r="AB1001" s="270">
        <f>AB1047</f>
        <v>290.83388137817383</v>
      </c>
      <c r="AC1001" s="271"/>
      <c r="AD1001" s="224"/>
      <c r="AE1001" s="270">
        <f>AE1047</f>
        <v>277.23252296447754</v>
      </c>
      <c r="AF1001" s="271"/>
      <c r="AG1001" s="224"/>
      <c r="AH1001" s="270">
        <f>AH1047</f>
        <v>262.07363700866699</v>
      </c>
      <c r="AI1001" s="271"/>
      <c r="AJ1001" s="224"/>
      <c r="AK1001" s="270">
        <f>AK1047</f>
        <v>270.377685546875</v>
      </c>
      <c r="AL1001" s="271"/>
      <c r="AM1001" s="224"/>
      <c r="AN1001" s="270">
        <f>AN1047</f>
        <v>270.71709442138672</v>
      </c>
      <c r="AO1001" s="271"/>
      <c r="AP1001" s="224"/>
      <c r="AQ1001" s="270">
        <f>AQ1047</f>
        <v>263.95587348937988</v>
      </c>
      <c r="AR1001" s="271"/>
      <c r="AS1001" s="224"/>
      <c r="AT1001" s="270">
        <f>AT1047</f>
        <v>3330.4984550476074</v>
      </c>
      <c r="AU1001" s="271"/>
      <c r="AV1001" s="224"/>
      <c r="AW1001" s="226"/>
      <c r="AX1001" s="230"/>
      <c r="AY1001" s="231">
        <f>AY1047</f>
        <v>3734.6167459999997</v>
      </c>
      <c r="AZ1001" s="375"/>
      <c r="BA1001" s="375"/>
      <c r="BB1001" s="375"/>
      <c r="BC1001" s="375"/>
    </row>
    <row r="1002" spans="1:55" s="117" customFormat="1">
      <c r="A1002" s="179"/>
      <c r="B1002" s="179"/>
      <c r="C1002" s="179"/>
      <c r="D1002" s="181"/>
      <c r="E1002" s="181"/>
      <c r="F1002" s="181"/>
      <c r="G1002" s="181"/>
      <c r="H1002" s="10" t="s">
        <v>98</v>
      </c>
      <c r="I1002" s="10"/>
      <c r="J1002" s="223">
        <f>J1048</f>
        <v>3082.4300000000003</v>
      </c>
      <c r="K1002" s="271"/>
      <c r="L1002" s="224"/>
      <c r="M1002" s="270">
        <f>M1048</f>
        <v>2191.06</v>
      </c>
      <c r="N1002" s="271"/>
      <c r="O1002" s="224"/>
      <c r="P1002" s="270">
        <f>P1048</f>
        <v>2337.44</v>
      </c>
      <c r="Q1002" s="271"/>
      <c r="R1002" s="224"/>
      <c r="S1002" s="270">
        <f>S1048</f>
        <v>1988.7</v>
      </c>
      <c r="T1002" s="271"/>
      <c r="U1002" s="224"/>
      <c r="V1002" s="270">
        <f>V1048</f>
        <v>2007.57</v>
      </c>
      <c r="W1002" s="271"/>
      <c r="X1002" s="224"/>
      <c r="Y1002" s="270">
        <f>Y1048</f>
        <v>2175.5699999999997</v>
      </c>
      <c r="Z1002" s="271"/>
      <c r="AA1002" s="224"/>
      <c r="AB1002" s="270">
        <f>AB1048</f>
        <v>2236.19</v>
      </c>
      <c r="AC1002" s="271"/>
      <c r="AD1002" s="224"/>
      <c r="AE1002" s="270">
        <f>AE1048</f>
        <v>1780.8200000000002</v>
      </c>
      <c r="AF1002" s="271"/>
      <c r="AG1002" s="224"/>
      <c r="AH1002" s="270">
        <f>AH1048</f>
        <v>1877.39</v>
      </c>
      <c r="AI1002" s="271"/>
      <c r="AJ1002" s="224"/>
      <c r="AK1002" s="270">
        <f>AK1048</f>
        <v>2607.65</v>
      </c>
      <c r="AL1002" s="271"/>
      <c r="AM1002" s="224"/>
      <c r="AN1002" s="270">
        <f>AN1048</f>
        <v>1728.72</v>
      </c>
      <c r="AO1002" s="271"/>
      <c r="AP1002" s="224"/>
      <c r="AQ1002" s="270">
        <f>AQ1048</f>
        <v>2096.46</v>
      </c>
      <c r="AR1002" s="271"/>
      <c r="AS1002" s="224"/>
      <c r="AT1002" s="270">
        <f>AT1048</f>
        <v>26110</v>
      </c>
      <c r="AU1002" s="271"/>
      <c r="AV1002" s="224"/>
      <c r="AW1002" s="226"/>
      <c r="AX1002" s="230"/>
      <c r="AY1002" s="231">
        <f>AY1048</f>
        <v>28815.430026999999</v>
      </c>
      <c r="AZ1002" s="375"/>
      <c r="BA1002" s="375"/>
      <c r="BB1002" s="375"/>
      <c r="BC1002" s="375"/>
    </row>
    <row r="1003" spans="1:55" s="117" customFormat="1">
      <c r="A1003" s="179"/>
      <c r="B1003" s="179"/>
      <c r="C1003" s="179"/>
      <c r="D1003" s="181"/>
      <c r="E1003" s="181"/>
      <c r="F1003" s="181"/>
      <c r="G1003" s="181"/>
      <c r="H1003" s="10" t="s">
        <v>99</v>
      </c>
      <c r="I1003" s="10"/>
      <c r="J1003" s="223">
        <f>J1006+J1049</f>
        <v>215.40493000000004</v>
      </c>
      <c r="K1003" s="271"/>
      <c r="L1003" s="224"/>
      <c r="M1003" s="270">
        <f>M1006+M1049</f>
        <v>206.93313600000002</v>
      </c>
      <c r="N1003" s="271"/>
      <c r="O1003" s="224"/>
      <c r="P1003" s="270">
        <f>P1006+P1049</f>
        <v>221.31143199999997</v>
      </c>
      <c r="Q1003" s="271"/>
      <c r="R1003" s="224"/>
      <c r="S1003" s="270">
        <f>S1006+S1049</f>
        <v>199.532961</v>
      </c>
      <c r="T1003" s="271"/>
      <c r="U1003" s="224"/>
      <c r="V1003" s="270">
        <f>V1006+V1049</f>
        <v>179.46699100000001</v>
      </c>
      <c r="W1003" s="271"/>
      <c r="X1003" s="224"/>
      <c r="Y1003" s="270">
        <f>Y1006+Y1049</f>
        <v>145.98113699999999</v>
      </c>
      <c r="Z1003" s="271"/>
      <c r="AA1003" s="224"/>
      <c r="AB1003" s="270">
        <f>AB1006+AB1049</f>
        <v>158.87957299999997</v>
      </c>
      <c r="AC1003" s="271"/>
      <c r="AD1003" s="224"/>
      <c r="AE1003" s="270">
        <f>AE1006+AE1049</f>
        <v>163.62719300000001</v>
      </c>
      <c r="AF1003" s="271"/>
      <c r="AG1003" s="224"/>
      <c r="AH1003" s="270">
        <f>AH1006+AH1049</f>
        <v>160.349144</v>
      </c>
      <c r="AI1003" s="271"/>
      <c r="AJ1003" s="224"/>
      <c r="AK1003" s="270">
        <f>AK1006+AK1049</f>
        <v>202.07635400000001</v>
      </c>
      <c r="AL1003" s="271"/>
      <c r="AM1003" s="224"/>
      <c r="AN1003" s="270">
        <f>AN1006+AN1049</f>
        <v>212.67174199999999</v>
      </c>
      <c r="AO1003" s="271"/>
      <c r="AP1003" s="224"/>
      <c r="AQ1003" s="270">
        <f>AQ1006+AQ1049</f>
        <v>222.74292399999999</v>
      </c>
      <c r="AR1003" s="271"/>
      <c r="AS1003" s="224"/>
      <c r="AT1003" s="270">
        <f>AT1006+AT1049</f>
        <v>2288.9775169999998</v>
      </c>
      <c r="AU1003" s="271"/>
      <c r="AV1003" s="224"/>
      <c r="AW1003" s="226"/>
      <c r="AX1003" s="230"/>
      <c r="AY1003" s="231">
        <f>AY1006+AY1049</f>
        <v>2270.832296</v>
      </c>
      <c r="AZ1003" s="375"/>
      <c r="BA1003" s="375"/>
      <c r="BB1003" s="375"/>
      <c r="BC1003" s="375"/>
    </row>
    <row r="1004" spans="1:55" s="117" customFormat="1">
      <c r="A1004" s="179"/>
      <c r="B1004" s="179"/>
      <c r="C1004" s="179"/>
      <c r="D1004" s="181"/>
      <c r="E1004" s="181"/>
      <c r="F1004" s="181"/>
      <c r="G1004" s="181"/>
      <c r="H1004" s="112" t="s">
        <v>52</v>
      </c>
      <c r="I1004" s="112"/>
      <c r="J1004" s="393">
        <f>J1005+J1006</f>
        <v>2459.7245658000002</v>
      </c>
      <c r="K1004" s="391">
        <f>L1004-J1004</f>
        <v>105.11123420000013</v>
      </c>
      <c r="L1004" s="392">
        <f>Потребление!D61</f>
        <v>2564.8358000000003</v>
      </c>
      <c r="M1004" s="393">
        <f>M1005+M1006</f>
        <v>2478.17731968</v>
      </c>
      <c r="N1004" s="391">
        <f>O1004-M1004</f>
        <v>-65.001169679999748</v>
      </c>
      <c r="O1004" s="392">
        <f>Потребление!E61</f>
        <v>2413.1761500000002</v>
      </c>
      <c r="P1004" s="393">
        <f>P1005+P1006</f>
        <v>2320.4381829999998</v>
      </c>
      <c r="Q1004" s="391">
        <f>R1004-P1004</f>
        <v>121.58491700000059</v>
      </c>
      <c r="R1004" s="392">
        <f>Потребление!F61</f>
        <v>2442.0231000000003</v>
      </c>
      <c r="S1004" s="393">
        <f>S1005+S1006</f>
        <v>1988.0940680000001</v>
      </c>
      <c r="T1004" s="391">
        <f>U1004-S1004</f>
        <v>155.06013199999984</v>
      </c>
      <c r="U1004" s="392">
        <f>Потребление!G61</f>
        <v>2143.1541999999999</v>
      </c>
      <c r="V1004" s="393">
        <f>V1005+V1006</f>
        <v>1395.5283139999999</v>
      </c>
      <c r="W1004" s="391">
        <f>X1004-V1004</f>
        <v>556.59823600000027</v>
      </c>
      <c r="X1004" s="392">
        <f>Потребление!H61</f>
        <v>1952.1265500000002</v>
      </c>
      <c r="Y1004" s="393">
        <f>Y1005+Y1006</f>
        <v>1078.6526700000002</v>
      </c>
      <c r="Z1004" s="391">
        <f>AA1004-Y1004</f>
        <v>703.64817999999991</v>
      </c>
      <c r="AA1004" s="392">
        <f>Потребление!I61</f>
        <v>1782.3008500000001</v>
      </c>
      <c r="AB1004" s="393">
        <f>AB1005+AB1006</f>
        <v>1302.738364</v>
      </c>
      <c r="AC1004" s="391">
        <f>AD1004-AB1004</f>
        <v>501.70108600000003</v>
      </c>
      <c r="AD1004" s="392">
        <f>Потребление!J61</f>
        <v>1804.4394500000001</v>
      </c>
      <c r="AE1004" s="393">
        <f>AE1005+AE1006</f>
        <v>1573.0971940000002</v>
      </c>
      <c r="AF1004" s="391">
        <f>AG1004-AE1004</f>
        <v>310.31070599999998</v>
      </c>
      <c r="AG1004" s="392">
        <f>Потребление!K61</f>
        <v>1883.4079000000002</v>
      </c>
      <c r="AH1004" s="393">
        <f>AH1005+AH1006</f>
        <v>1611.1693839999998</v>
      </c>
      <c r="AI1004" s="391">
        <f>AJ1004-AH1004</f>
        <v>346.92521600000032</v>
      </c>
      <c r="AJ1004" s="392">
        <f>Потребление!L61</f>
        <v>1958.0946000000001</v>
      </c>
      <c r="AK1004" s="393">
        <f>AK1005+AK1006</f>
        <v>1965.5095435999999</v>
      </c>
      <c r="AL1004" s="391">
        <f>AM1004-AK1004</f>
        <v>315.9097064</v>
      </c>
      <c r="AM1004" s="392">
        <f>Потребление!M61</f>
        <v>2281.4192499999999</v>
      </c>
      <c r="AN1004" s="393">
        <f>AN1005+AN1006</f>
        <v>2468.3070069999999</v>
      </c>
      <c r="AO1004" s="391">
        <f>AP1004-AN1004</f>
        <v>-45.584506999999576</v>
      </c>
      <c r="AP1004" s="392">
        <f>Потребление!N61</f>
        <v>2422.7225000000003</v>
      </c>
      <c r="AQ1004" s="393">
        <f>AQ1005+AQ1006</f>
        <v>2627.4099986000006</v>
      </c>
      <c r="AR1004" s="391">
        <f>AS1004-AQ1004</f>
        <v>2.8896513999998206</v>
      </c>
      <c r="AS1004" s="392">
        <f>Потребление!O61</f>
        <v>2630.2996500000004</v>
      </c>
      <c r="AT1004" s="393">
        <f>AT1005+AT1006</f>
        <v>23268.846611680001</v>
      </c>
      <c r="AU1004" s="391">
        <f>AV1004-AT1004</f>
        <v>3009.1533883199991</v>
      </c>
      <c r="AV1004" s="394">
        <f>L1004+O1004+R1004+U1004+X1004+AA1004+AD1004+AG1004+AJ1004+AM1004+AP1004+AS1004</f>
        <v>26278</v>
      </c>
      <c r="AW1004" s="395"/>
      <c r="AX1004" s="396"/>
      <c r="AY1004" s="442">
        <f>AY1005+AY1006</f>
        <v>22418.986655999997</v>
      </c>
      <c r="AZ1004" s="375"/>
      <c r="BA1004" s="375"/>
      <c r="BB1004" s="375"/>
      <c r="BC1004" s="375"/>
    </row>
    <row r="1005" spans="1:55" s="117" customFormat="1">
      <c r="A1005" s="179"/>
      <c r="B1005" s="179"/>
      <c r="C1005" s="179"/>
      <c r="D1005" s="181"/>
      <c r="E1005" s="181"/>
      <c r="F1005" s="181"/>
      <c r="G1005" s="181"/>
      <c r="H1005" s="10" t="s">
        <v>56</v>
      </c>
      <c r="I1005" s="10"/>
      <c r="J1005" s="223">
        <f>J1007+SUM(J1010:J1011)+J1014+J1017+J1020+J1024+J1027+J1030+J1031+SUM(J1034:J1035)</f>
        <v>2424.0395808000003</v>
      </c>
      <c r="K1005" s="271"/>
      <c r="L1005" s="224"/>
      <c r="M1005" s="223">
        <f>M1007+SUM(M1010:M1011)+M1014+M1017+M1020+M1024+M1027+M1030+M1031+SUM(M1034:M1035)</f>
        <v>2443.9773596800001</v>
      </c>
      <c r="N1005" s="271"/>
      <c r="O1005" s="224"/>
      <c r="P1005" s="223">
        <f>P1007+SUM(P1010:P1011)+P1014+P1017+P1020+P1024+P1027+P1030+P1031+SUM(P1034:P1035)</f>
        <v>2283.3755759999999</v>
      </c>
      <c r="Q1005" s="271"/>
      <c r="R1005" s="224"/>
      <c r="S1005" s="223">
        <f>S1007+SUM(S1010:S1011)+S1014+S1017+S1020+S1024+S1027+S1030+S1031+SUM(S1034:S1035)</f>
        <v>1956.5759720000001</v>
      </c>
      <c r="T1005" s="271"/>
      <c r="U1005" s="224"/>
      <c r="V1005" s="223">
        <f>V1007+SUM(V1010:V1011)+V1014+V1017+V1020+V1024+V1027+V1030+V1031+SUM(V1034:V1035)</f>
        <v>1370.555468</v>
      </c>
      <c r="W1005" s="271"/>
      <c r="X1005" s="224"/>
      <c r="Y1005" s="223">
        <f>Y1007+SUM(Y1010:Y1011)+Y1014+Y1017+Y1020+Y1024+Y1027+Y1030+Y1031+SUM(Y1034:Y1035)</f>
        <v>1060.4871600000001</v>
      </c>
      <c r="Z1005" s="271"/>
      <c r="AA1005" s="224"/>
      <c r="AB1005" s="223">
        <f>AB1007+SUM(AB1010:AB1011)+AB1014+AB1017+AB1020+AB1024+AB1027+AB1030+AB1031+SUM(AB1034:AB1035)</f>
        <v>1290.801964</v>
      </c>
      <c r="AC1005" s="271"/>
      <c r="AD1005" s="224"/>
      <c r="AE1005" s="223">
        <f>AE1007+SUM(AE1010:AE1011)+AE1014+AE1017+AE1020+AE1024+AE1027+AE1030+AE1031+SUM(AE1034:AE1035)</f>
        <v>1558.3719640000002</v>
      </c>
      <c r="AF1005" s="271"/>
      <c r="AG1005" s="224"/>
      <c r="AH1005" s="223">
        <f>AH1007+SUM(AH1010:AH1011)+AH1014+AH1017+AH1020+AH1024+AH1027+AH1030+AH1031+SUM(AH1034:AH1035)</f>
        <v>1593.7659839999999</v>
      </c>
      <c r="AI1005" s="271"/>
      <c r="AJ1005" s="224"/>
      <c r="AK1005" s="223">
        <f>AK1007+SUM(AK1010:AK1011)+AK1014+AK1017+AK1020+AK1024+AK1027+AK1030+AK1031+SUM(AK1034:AK1035)</f>
        <v>1939.5933015999999</v>
      </c>
      <c r="AL1005" s="271"/>
      <c r="AM1005" s="224"/>
      <c r="AN1005" s="223">
        <f>AN1007+SUM(AN1010:AN1011)+AN1014+AN1017+AN1020+AN1024+AN1027+AN1030+AN1031+SUM(AN1034:AN1035)</f>
        <v>2433.978188</v>
      </c>
      <c r="AO1005" s="271"/>
      <c r="AP1005" s="224"/>
      <c r="AQ1005" s="223">
        <f>AQ1007+SUM(AQ1010:AQ1011)+AQ1014+AQ1017+AQ1020+AQ1024+AQ1027+AQ1030+AQ1031+SUM(AQ1034:AQ1035)</f>
        <v>2589.0607056000003</v>
      </c>
      <c r="AR1005" s="271"/>
      <c r="AS1005" s="224"/>
      <c r="AT1005" s="223">
        <f>AT1007+SUM(AT1010:AT1011)+AT1014+AT1017+AT1020+AT1024+AT1027+AT1030+AT1031+SUM(AT1034:AT1035)</f>
        <v>22944.583223680002</v>
      </c>
      <c r="AU1005" s="271"/>
      <c r="AV1005" s="229"/>
      <c r="AW1005" s="226"/>
      <c r="AX1005" s="230"/>
      <c r="AY1005" s="231">
        <f>SUM(AY1007:AY1011)+AY1014+AY1017+AY1020+AY1024+AY1027+AY1030+AY1031+SUM(AY1034:AY1035)</f>
        <v>22418.986655999997</v>
      </c>
      <c r="AZ1005" s="375"/>
      <c r="BA1005" s="375"/>
      <c r="BB1005" s="375"/>
      <c r="BC1005" s="375"/>
    </row>
    <row r="1006" spans="1:55" s="117" customFormat="1">
      <c r="A1006" s="179"/>
      <c r="B1006" s="179"/>
      <c r="C1006" s="179"/>
      <c r="D1006" s="181"/>
      <c r="E1006" s="181"/>
      <c r="F1006" s="181"/>
      <c r="G1006" s="181"/>
      <c r="H1006" s="10" t="s">
        <v>99</v>
      </c>
      <c r="I1006" s="10"/>
      <c r="J1006" s="223">
        <f>J1036</f>
        <v>35.684984999999998</v>
      </c>
      <c r="K1006" s="271"/>
      <c r="L1006" s="224"/>
      <c r="M1006" s="223">
        <f>M1036</f>
        <v>34.199959999999997</v>
      </c>
      <c r="N1006" s="271"/>
      <c r="O1006" s="224"/>
      <c r="P1006" s="223">
        <f>P1036</f>
        <v>37.062607</v>
      </c>
      <c r="Q1006" s="271"/>
      <c r="R1006" s="224"/>
      <c r="S1006" s="223">
        <f>S1036</f>
        <v>31.518095999999996</v>
      </c>
      <c r="T1006" s="271"/>
      <c r="U1006" s="224"/>
      <c r="V1006" s="223">
        <f>V1036</f>
        <v>24.972845999999997</v>
      </c>
      <c r="W1006" s="271"/>
      <c r="X1006" s="224"/>
      <c r="Y1006" s="223">
        <f>Y1036</f>
        <v>18.165510000000001</v>
      </c>
      <c r="Z1006" s="271"/>
      <c r="AA1006" s="224"/>
      <c r="AB1006" s="223">
        <f>AB1036</f>
        <v>11.936399999999999</v>
      </c>
      <c r="AC1006" s="271"/>
      <c r="AD1006" s="224"/>
      <c r="AE1006" s="223">
        <f>AE1036</f>
        <v>14.725229999999998</v>
      </c>
      <c r="AF1006" s="271"/>
      <c r="AG1006" s="224"/>
      <c r="AH1006" s="223">
        <f>AH1036</f>
        <v>17.403400000000001</v>
      </c>
      <c r="AI1006" s="271"/>
      <c r="AJ1006" s="224"/>
      <c r="AK1006" s="223">
        <f>AK1036</f>
        <v>25.916242</v>
      </c>
      <c r="AL1006" s="271"/>
      <c r="AM1006" s="224"/>
      <c r="AN1006" s="223">
        <f>AN1036</f>
        <v>34.328819000000003</v>
      </c>
      <c r="AO1006" s="271"/>
      <c r="AP1006" s="224"/>
      <c r="AQ1006" s="223">
        <f>AQ1036</f>
        <v>38.349292999999996</v>
      </c>
      <c r="AR1006" s="271"/>
      <c r="AS1006" s="224"/>
      <c r="AT1006" s="223">
        <f>AT1036</f>
        <v>324.26338799999996</v>
      </c>
      <c r="AU1006" s="271"/>
      <c r="AV1006" s="229"/>
      <c r="AW1006" s="226"/>
      <c r="AX1006" s="230"/>
      <c r="AY1006" s="231">
        <f>AY1036</f>
        <v>0</v>
      </c>
      <c r="AZ1006" s="375"/>
      <c r="BA1006" s="375"/>
      <c r="BB1006" s="375"/>
      <c r="BC1006" s="375"/>
    </row>
    <row r="1007" spans="1:55" s="117" customFormat="1">
      <c r="A1007" s="179"/>
      <c r="B1007" s="179"/>
      <c r="C1007" s="179"/>
      <c r="D1007" s="181">
        <v>345716</v>
      </c>
      <c r="E1007" s="181"/>
      <c r="F1007" s="181"/>
      <c r="G1007" s="1110">
        <v>345716</v>
      </c>
      <c r="H1007" s="132" t="s">
        <v>976</v>
      </c>
      <c r="I1007" s="516" t="s">
        <v>364</v>
      </c>
      <c r="J1007" s="927">
        <f>J1008+J1009</f>
        <v>69.599999999999994</v>
      </c>
      <c r="K1007" s="545"/>
      <c r="L1007" s="546"/>
      <c r="M1007" s="927">
        <f>M1008+M1009</f>
        <v>64.8</v>
      </c>
      <c r="N1007" s="545"/>
      <c r="O1007" s="741"/>
      <c r="P1007" s="927">
        <f>P1008+P1009</f>
        <v>50.4</v>
      </c>
      <c r="Q1007" s="545"/>
      <c r="R1007" s="546"/>
      <c r="S1007" s="927">
        <f>S1008+S1009</f>
        <v>66.671999999999997</v>
      </c>
      <c r="T1007" s="545"/>
      <c r="U1007" s="546"/>
      <c r="V1007" s="787">
        <f>V1008+V1009</f>
        <v>22.670999999999999</v>
      </c>
      <c r="W1007" s="545"/>
      <c r="X1007" s="546"/>
      <c r="Y1007" s="927">
        <f>Y1008+Y1009</f>
        <v>12.369</v>
      </c>
      <c r="Z1007" s="545"/>
      <c r="AA1007" s="741"/>
      <c r="AB1007" s="927">
        <f>AB1008+AB1009</f>
        <v>12.81</v>
      </c>
      <c r="AC1007" s="545"/>
      <c r="AD1007" s="546"/>
      <c r="AE1007" s="927">
        <f>AE1008+AE1009</f>
        <v>13.103999999999999</v>
      </c>
      <c r="AF1007" s="545"/>
      <c r="AG1007" s="741"/>
      <c r="AH1007" s="927">
        <f>AH1008+AH1009</f>
        <v>13.398</v>
      </c>
      <c r="AI1007" s="545"/>
      <c r="AJ1007" s="546"/>
      <c r="AK1007" s="927">
        <f>AK1008+AK1009</f>
        <v>59.24</v>
      </c>
      <c r="AL1007" s="545"/>
      <c r="AM1007" s="741"/>
      <c r="AN1007" s="927">
        <f>AN1008+AN1009</f>
        <v>67.2</v>
      </c>
      <c r="AO1007" s="545"/>
      <c r="AP1007" s="546"/>
      <c r="AQ1007" s="927">
        <f>AQ1008+AQ1009</f>
        <v>50.4</v>
      </c>
      <c r="AR1007" s="246"/>
      <c r="AS1007" s="282"/>
      <c r="AT1007" s="927">
        <f>AT1008+AT1009</f>
        <v>502.66399999999999</v>
      </c>
      <c r="AU1007" s="246"/>
      <c r="AV1007" s="336"/>
      <c r="AW1007" s="285"/>
      <c r="AX1007" s="337"/>
      <c r="AY1007" s="1068">
        <v>527.78356499999995</v>
      </c>
      <c r="AZ1007" s="375"/>
      <c r="BA1007" s="375"/>
      <c r="BB1007" s="375"/>
      <c r="BC1007" s="375"/>
    </row>
    <row r="1008" spans="1:55" s="117" customFormat="1">
      <c r="A1008" s="179"/>
      <c r="B1008" s="179"/>
      <c r="C1008" s="179"/>
      <c r="D1008" s="181"/>
      <c r="E1008" s="181"/>
      <c r="F1008" s="181"/>
      <c r="G1008" s="1110"/>
      <c r="H1008" s="127" t="s">
        <v>1148</v>
      </c>
      <c r="I1008" s="516"/>
      <c r="J1008" s="548">
        <v>34.799999999999997</v>
      </c>
      <c r="K1008" s="545"/>
      <c r="L1008" s="546"/>
      <c r="M1008" s="547">
        <v>32.4</v>
      </c>
      <c r="N1008" s="545"/>
      <c r="O1008" s="741"/>
      <c r="P1008" s="548">
        <v>25.2</v>
      </c>
      <c r="Q1008" s="545"/>
      <c r="R1008" s="546"/>
      <c r="S1008" s="547">
        <v>33.072000000000003</v>
      </c>
      <c r="T1008" s="545"/>
      <c r="U1008" s="546"/>
      <c r="V1008" s="547">
        <v>6.1109999999999998</v>
      </c>
      <c r="W1008" s="545"/>
      <c r="X1008" s="546"/>
      <c r="Y1008" s="547">
        <v>6.1109999999999998</v>
      </c>
      <c r="Z1008" s="545"/>
      <c r="AA1008" s="741"/>
      <c r="AB1008" s="548">
        <v>6.4050000000000002</v>
      </c>
      <c r="AC1008" s="545"/>
      <c r="AD1008" s="546"/>
      <c r="AE1008" s="548">
        <v>6.5519999999999996</v>
      </c>
      <c r="AF1008" s="545"/>
      <c r="AG1008" s="546"/>
      <c r="AH1008" s="547">
        <v>6.6989999999999998</v>
      </c>
      <c r="AI1008" s="545"/>
      <c r="AJ1008" s="741"/>
      <c r="AK1008" s="548">
        <v>29.62</v>
      </c>
      <c r="AL1008" s="545"/>
      <c r="AM1008" s="546"/>
      <c r="AN1008" s="547">
        <v>33.6</v>
      </c>
      <c r="AO1008" s="545"/>
      <c r="AP1008" s="741"/>
      <c r="AQ1008" s="548">
        <v>25.2</v>
      </c>
      <c r="AR1008" s="246"/>
      <c r="AS1008" s="282"/>
      <c r="AT1008" s="244">
        <f t="shared" ref="AT1008:AT1009" si="36">J1008+M1008+P1008+S1008+V1008+Y1008+AB1008+AE1008+AH1008+AK1008+AN1008+AQ1008</f>
        <v>245.76999999999998</v>
      </c>
      <c r="AU1008" s="246"/>
      <c r="AV1008" s="336"/>
      <c r="AW1008" s="285"/>
      <c r="AX1008" s="337"/>
      <c r="AY1008" s="438"/>
      <c r="AZ1008" s="375"/>
      <c r="BA1008" s="375"/>
      <c r="BB1008" s="375"/>
      <c r="BC1008" s="375"/>
    </row>
    <row r="1009" spans="1:55" s="117" customFormat="1">
      <c r="A1009" s="179"/>
      <c r="B1009" s="179"/>
      <c r="C1009" s="179"/>
      <c r="D1009" s="181"/>
      <c r="E1009" s="181"/>
      <c r="F1009" s="181"/>
      <c r="G1009" s="1110"/>
      <c r="H1009" s="127" t="s">
        <v>1149</v>
      </c>
      <c r="I1009" s="516"/>
      <c r="J1009" s="548">
        <v>34.799999999999997</v>
      </c>
      <c r="K1009" s="545"/>
      <c r="L1009" s="546"/>
      <c r="M1009" s="547">
        <v>32.4</v>
      </c>
      <c r="N1009" s="545"/>
      <c r="O1009" s="741"/>
      <c r="P1009" s="548">
        <v>25.2</v>
      </c>
      <c r="Q1009" s="545"/>
      <c r="R1009" s="546"/>
      <c r="S1009" s="547">
        <v>33.6</v>
      </c>
      <c r="T1009" s="545"/>
      <c r="U1009" s="546"/>
      <c r="V1009" s="547">
        <v>16.559999999999999</v>
      </c>
      <c r="W1009" s="545"/>
      <c r="X1009" s="546"/>
      <c r="Y1009" s="547">
        <v>6.258</v>
      </c>
      <c r="Z1009" s="545"/>
      <c r="AA1009" s="741"/>
      <c r="AB1009" s="548">
        <v>6.4050000000000002</v>
      </c>
      <c r="AC1009" s="545"/>
      <c r="AD1009" s="546"/>
      <c r="AE1009" s="548">
        <v>6.5519999999999996</v>
      </c>
      <c r="AF1009" s="545"/>
      <c r="AG1009" s="546"/>
      <c r="AH1009" s="547">
        <v>6.6989999999999998</v>
      </c>
      <c r="AI1009" s="545"/>
      <c r="AJ1009" s="741"/>
      <c r="AK1009" s="548">
        <v>29.62</v>
      </c>
      <c r="AL1009" s="545"/>
      <c r="AM1009" s="546"/>
      <c r="AN1009" s="547">
        <v>33.6</v>
      </c>
      <c r="AO1009" s="545"/>
      <c r="AP1009" s="741"/>
      <c r="AQ1009" s="548">
        <v>25.2</v>
      </c>
      <c r="AR1009" s="246"/>
      <c r="AS1009" s="282"/>
      <c r="AT1009" s="244">
        <f t="shared" si="36"/>
        <v>256.89400000000001</v>
      </c>
      <c r="AU1009" s="246"/>
      <c r="AV1009" s="336"/>
      <c r="AW1009" s="285"/>
      <c r="AX1009" s="337"/>
      <c r="AY1009" s="438"/>
      <c r="AZ1009" s="375"/>
      <c r="BA1009" s="375"/>
      <c r="BB1009" s="375"/>
      <c r="BC1009" s="375"/>
    </row>
    <row r="1010" spans="1:55" s="117" customFormat="1">
      <c r="A1010" s="179"/>
      <c r="B1010" s="179"/>
      <c r="C1010" s="179"/>
      <c r="D1010" s="181">
        <v>345712</v>
      </c>
      <c r="E1010" s="181"/>
      <c r="F1010" s="181"/>
      <c r="G1010" s="1110">
        <v>345712</v>
      </c>
      <c r="H1010" s="127" t="s">
        <v>977</v>
      </c>
      <c r="I1010" s="516" t="s">
        <v>364</v>
      </c>
      <c r="J1010" s="548">
        <v>3.36</v>
      </c>
      <c r="K1010" s="545"/>
      <c r="L1010" s="546"/>
      <c r="M1010" s="547">
        <v>3.36</v>
      </c>
      <c r="N1010" s="545"/>
      <c r="O1010" s="741"/>
      <c r="P1010" s="548">
        <v>0</v>
      </c>
      <c r="Q1010" s="545"/>
      <c r="R1010" s="546"/>
      <c r="S1010" s="547">
        <v>5.3760000000000003</v>
      </c>
      <c r="T1010" s="545"/>
      <c r="U1010" s="546"/>
      <c r="V1010" s="547">
        <v>0</v>
      </c>
      <c r="W1010" s="545"/>
      <c r="X1010" s="546"/>
      <c r="Y1010" s="547">
        <v>0</v>
      </c>
      <c r="Z1010" s="545"/>
      <c r="AA1010" s="741"/>
      <c r="AB1010" s="548">
        <v>0</v>
      </c>
      <c r="AC1010" s="545"/>
      <c r="AD1010" s="546"/>
      <c r="AE1010" s="548">
        <v>0</v>
      </c>
      <c r="AF1010" s="545"/>
      <c r="AG1010" s="546"/>
      <c r="AH1010" s="547">
        <v>0</v>
      </c>
      <c r="AI1010" s="545"/>
      <c r="AJ1010" s="741"/>
      <c r="AK1010" s="548">
        <v>0</v>
      </c>
      <c r="AL1010" s="545"/>
      <c r="AM1010" s="546"/>
      <c r="AN1010" s="547">
        <v>0</v>
      </c>
      <c r="AO1010" s="545"/>
      <c r="AP1010" s="741"/>
      <c r="AQ1010" s="548">
        <v>0</v>
      </c>
      <c r="AR1010" s="246"/>
      <c r="AS1010" s="282"/>
      <c r="AT1010" s="244">
        <f>J1010+M1010+P1010+S1010+V1010+Y1010+AB1010+AE1010+AH1010+AK1010+AN1010+AQ1010</f>
        <v>12.096</v>
      </c>
      <c r="AU1010" s="246"/>
      <c r="AV1010" s="336"/>
      <c r="AW1010" s="285"/>
      <c r="AX1010" s="337"/>
      <c r="AY1010" s="438">
        <v>5.3122720000000001</v>
      </c>
      <c r="AZ1010" s="375"/>
      <c r="BA1010" s="375"/>
      <c r="BB1010" s="375"/>
      <c r="BC1010" s="375"/>
    </row>
    <row r="1011" spans="1:55" s="117" customFormat="1">
      <c r="A1011" s="179"/>
      <c r="B1011" s="179"/>
      <c r="C1011" s="179"/>
      <c r="D1011" s="181">
        <v>345728</v>
      </c>
      <c r="E1011" s="181"/>
      <c r="F1011" s="181"/>
      <c r="G1011" s="1110">
        <v>345728</v>
      </c>
      <c r="H1011" s="131" t="s">
        <v>978</v>
      </c>
      <c r="I1011" s="516" t="s">
        <v>364</v>
      </c>
      <c r="J1011" s="1008">
        <f>SUM(J1012:J1013)</f>
        <v>405.63599999999997</v>
      </c>
      <c r="K1011" s="1025"/>
      <c r="L1011" s="1026"/>
      <c r="M1011" s="1027">
        <f>SUM(M1012:M1013)</f>
        <v>362.7</v>
      </c>
      <c r="N1011" s="1025"/>
      <c r="O1011" s="1026"/>
      <c r="P1011" s="1027">
        <f>SUM(P1012:P1013)</f>
        <v>374.79199999999997</v>
      </c>
      <c r="Q1011" s="1025"/>
      <c r="R1011" s="1026"/>
      <c r="S1011" s="1027">
        <f>SUM(S1012:S1013)</f>
        <v>347.48800000000006</v>
      </c>
      <c r="T1011" s="1025"/>
      <c r="U1011" s="1026"/>
      <c r="V1011" s="1027">
        <f>SUM(V1012:V1013)</f>
        <v>169.67999999999998</v>
      </c>
      <c r="W1011" s="1025"/>
      <c r="X1011" s="1026"/>
      <c r="Y1011" s="1027">
        <f>SUM(Y1012:Y1013)</f>
        <v>256.70400000000001</v>
      </c>
      <c r="Z1011" s="1025"/>
      <c r="AA1011" s="1026"/>
      <c r="AB1011" s="1027">
        <f>SUM(AB1012:AB1013)</f>
        <v>247.10599999999999</v>
      </c>
      <c r="AC1011" s="1025"/>
      <c r="AD1011" s="1026"/>
      <c r="AE1011" s="1027">
        <f>SUM(AE1012:AE1013)</f>
        <v>253.86599999999999</v>
      </c>
      <c r="AF1011" s="1025"/>
      <c r="AG1011" s="1026"/>
      <c r="AH1011" s="1027">
        <f>SUM(AH1012:AH1013)</f>
        <v>254.23</v>
      </c>
      <c r="AI1011" s="1025"/>
      <c r="AJ1011" s="1026"/>
      <c r="AK1011" s="1027">
        <f>SUM(AK1012:AK1013)</f>
        <v>261.86400000000003</v>
      </c>
      <c r="AL1011" s="1025"/>
      <c r="AM1011" s="1028"/>
      <c r="AN1011" s="1008">
        <f>SUM(AN1012:AN1013)</f>
        <v>359.44200000000001</v>
      </c>
      <c r="AO1011" s="1025"/>
      <c r="AP1011" s="1026"/>
      <c r="AQ1011" s="1027">
        <f>SUM(AQ1012:AQ1013)</f>
        <v>381.59199999999998</v>
      </c>
      <c r="AR1011" s="1025"/>
      <c r="AS1011" s="1026"/>
      <c r="AT1011" s="262">
        <f>SUM(AT1012:AT1013)</f>
        <v>3675.0999999999995</v>
      </c>
      <c r="AU1011" s="246"/>
      <c r="AV1011" s="336"/>
      <c r="AW1011" s="285"/>
      <c r="AX1011" s="337"/>
      <c r="AY1011" s="440">
        <v>3001.4581400000002</v>
      </c>
      <c r="AZ1011" s="375"/>
      <c r="BA1011" s="375"/>
      <c r="BB1011" s="375"/>
      <c r="BC1011" s="375"/>
    </row>
    <row r="1012" spans="1:55" s="117" customFormat="1">
      <c r="A1012" s="179"/>
      <c r="B1012" s="179"/>
      <c r="C1012" s="179"/>
      <c r="D1012" s="181"/>
      <c r="E1012" s="181"/>
      <c r="F1012" s="181"/>
      <c r="G1012" s="1110"/>
      <c r="H1012" s="127" t="s">
        <v>979</v>
      </c>
      <c r="I1012" s="127"/>
      <c r="J1012" s="1168">
        <f>133.92-30</f>
        <v>103.91999999999999</v>
      </c>
      <c r="K1012" s="1146"/>
      <c r="L1012" s="1147"/>
      <c r="M1012" s="244">
        <v>125.28</v>
      </c>
      <c r="N1012" s="1146"/>
      <c r="O1012" s="1148"/>
      <c r="P1012" s="1171">
        <f>13.76+45</f>
        <v>58.76</v>
      </c>
      <c r="Q1012" s="1146"/>
      <c r="R1012" s="1147"/>
      <c r="S1012" s="345">
        <f>12.48+30.36</f>
        <v>42.84</v>
      </c>
      <c r="T1012" s="1146"/>
      <c r="U1012" s="1026"/>
      <c r="V1012" s="244">
        <v>13.92</v>
      </c>
      <c r="W1012" s="1146"/>
      <c r="X1012" s="1147"/>
      <c r="Y1012" s="244">
        <v>13.44</v>
      </c>
      <c r="Z1012" s="1146"/>
      <c r="AA1012" s="1148"/>
      <c r="AB1012" s="281">
        <v>12.96</v>
      </c>
      <c r="AC1012" s="1146"/>
      <c r="AD1012" s="1147"/>
      <c r="AE1012" s="281">
        <v>14.64</v>
      </c>
      <c r="AF1012" s="1146"/>
      <c r="AG1012" s="1147"/>
      <c r="AH1012" s="244">
        <v>14.88</v>
      </c>
      <c r="AI1012" s="1146"/>
      <c r="AJ1012" s="1148"/>
      <c r="AK1012" s="281">
        <v>31.32</v>
      </c>
      <c r="AL1012" s="1146"/>
      <c r="AM1012" s="1147"/>
      <c r="AN1012" s="345">
        <f>13.68+85</f>
        <v>98.68</v>
      </c>
      <c r="AO1012" s="1146"/>
      <c r="AP1012" s="1148"/>
      <c r="AQ1012" s="1171">
        <f>101.28+10</f>
        <v>111.28</v>
      </c>
      <c r="AR1012" s="1005"/>
      <c r="AS1012" s="1006"/>
      <c r="AT1012" s="244">
        <f>J1012+M1012+P1012+S1012+V1012+Y1012+AB1012+AE1012+AH1012+AK1012+AN1012+AQ1012</f>
        <v>641.91999999999985</v>
      </c>
      <c r="AU1012" s="246"/>
      <c r="AV1012" s="336"/>
      <c r="AW1012" s="285"/>
      <c r="AX1012" s="337"/>
      <c r="AY1012" s="249"/>
      <c r="AZ1012" s="375"/>
      <c r="BA1012" s="375"/>
      <c r="BB1012" s="375"/>
      <c r="BC1012" s="375"/>
    </row>
    <row r="1013" spans="1:55" s="117" customFormat="1">
      <c r="A1013" s="179"/>
      <c r="B1013" s="179"/>
      <c r="C1013" s="179"/>
      <c r="D1013" s="181"/>
      <c r="E1013" s="181"/>
      <c r="F1013" s="181"/>
      <c r="G1013" s="1110"/>
      <c r="H1013" s="129" t="s">
        <v>980</v>
      </c>
      <c r="I1013" s="129"/>
      <c r="J1013" s="281">
        <v>301.71600000000001</v>
      </c>
      <c r="K1013" s="1146"/>
      <c r="L1013" s="1147"/>
      <c r="M1013" s="345">
        <f>222.42+15</f>
        <v>237.42</v>
      </c>
      <c r="N1013" s="1146"/>
      <c r="O1013" s="1148"/>
      <c r="P1013" s="1171">
        <f>296.032+20</f>
        <v>316.03199999999998</v>
      </c>
      <c r="Q1013" s="1146"/>
      <c r="R1013" s="1147"/>
      <c r="S1013" s="345">
        <f>284.648+20</f>
        <v>304.64800000000002</v>
      </c>
      <c r="T1013" s="1146"/>
      <c r="U1013" s="1147"/>
      <c r="V1013" s="244">
        <v>155.76</v>
      </c>
      <c r="W1013" s="1146"/>
      <c r="X1013" s="1147"/>
      <c r="Y1013" s="244">
        <v>243.26400000000001</v>
      </c>
      <c r="Z1013" s="1146"/>
      <c r="AA1013" s="1148"/>
      <c r="AB1013" s="281">
        <v>234.14599999999999</v>
      </c>
      <c r="AC1013" s="1146"/>
      <c r="AD1013" s="1147"/>
      <c r="AE1013" s="1171">
        <f>193.776+45.45</f>
        <v>239.226</v>
      </c>
      <c r="AF1013" s="1146"/>
      <c r="AG1013" s="1147"/>
      <c r="AH1013" s="244">
        <v>239.35</v>
      </c>
      <c r="AI1013" s="1146"/>
      <c r="AJ1013" s="1148"/>
      <c r="AK1013" s="281">
        <v>230.54400000000001</v>
      </c>
      <c r="AL1013" s="1146"/>
      <c r="AM1013" s="1147"/>
      <c r="AN1013" s="244">
        <v>260.762</v>
      </c>
      <c r="AO1013" s="1146"/>
      <c r="AP1013" s="1148"/>
      <c r="AQ1013" s="1171">
        <f>260.312+10</f>
        <v>270.31200000000001</v>
      </c>
      <c r="AR1013" s="1005"/>
      <c r="AS1013" s="1006"/>
      <c r="AT1013" s="244">
        <f>J1013+M1013+P1013+S1013+V1013+Y1013+AB1013+AE1013+AH1013+AK1013+AN1013+AQ1013</f>
        <v>3033.1799999999994</v>
      </c>
      <c r="AU1013" s="246"/>
      <c r="AV1013" s="336"/>
      <c r="AW1013" s="285"/>
      <c r="AX1013" s="337"/>
      <c r="AY1013" s="249"/>
      <c r="AZ1013" s="375"/>
      <c r="BA1013" s="375"/>
      <c r="BB1013" s="375"/>
      <c r="BC1013" s="375"/>
    </row>
    <row r="1014" spans="1:55" s="117" customFormat="1">
      <c r="A1014" s="179"/>
      <c r="B1014" s="179"/>
      <c r="C1014" s="179"/>
      <c r="D1014" s="181">
        <v>345715</v>
      </c>
      <c r="E1014" s="181"/>
      <c r="F1014" s="181"/>
      <c r="G1014" s="1110">
        <v>345715</v>
      </c>
      <c r="H1014" s="132" t="s">
        <v>981</v>
      </c>
      <c r="I1014" s="516" t="s">
        <v>364</v>
      </c>
      <c r="J1014" s="1008">
        <f>J1015+J1016</f>
        <v>100.44</v>
      </c>
      <c r="K1014" s="1005"/>
      <c r="L1014" s="1006"/>
      <c r="M1014" s="1027">
        <f>M1015+M1016</f>
        <v>93.96</v>
      </c>
      <c r="N1014" s="1005"/>
      <c r="O1014" s="1006"/>
      <c r="P1014" s="1027">
        <f>P1015+P1016</f>
        <v>94.92</v>
      </c>
      <c r="Q1014" s="1005"/>
      <c r="R1014" s="1006"/>
      <c r="S1014" s="1027">
        <f>S1015+S1016</f>
        <v>88.300000000000011</v>
      </c>
      <c r="T1014" s="1005"/>
      <c r="U1014" s="1006"/>
      <c r="V1014" s="1027">
        <f>V1015+V1016</f>
        <v>51.841999999999999</v>
      </c>
      <c r="W1014" s="1005"/>
      <c r="X1014" s="1006"/>
      <c r="Y1014" s="1027">
        <f>Y1015+Y1016</f>
        <v>34.14</v>
      </c>
      <c r="Z1014" s="1005"/>
      <c r="AA1014" s="1006"/>
      <c r="AB1014" s="1027">
        <f>AB1015+AB1016</f>
        <v>11.592000000000001</v>
      </c>
      <c r="AC1014" s="1005"/>
      <c r="AD1014" s="1006"/>
      <c r="AE1014" s="1027">
        <f>AE1015+AE1016</f>
        <v>18.600000000000001</v>
      </c>
      <c r="AF1014" s="1005"/>
      <c r="AG1014" s="1006"/>
      <c r="AH1014" s="1027">
        <f>AH1015+AH1016</f>
        <v>47.267000000000003</v>
      </c>
      <c r="AI1014" s="1005"/>
      <c r="AJ1014" s="1006"/>
      <c r="AK1014" s="1027">
        <f>AK1015+AK1016</f>
        <v>93.64</v>
      </c>
      <c r="AL1014" s="1005"/>
      <c r="AM1014" s="1029"/>
      <c r="AN1014" s="1008">
        <f>AN1015+AN1016</f>
        <v>91.44</v>
      </c>
      <c r="AO1014" s="1005"/>
      <c r="AP1014" s="1006"/>
      <c r="AQ1014" s="1027">
        <f>AQ1015+AQ1016</f>
        <v>99.096000000000004</v>
      </c>
      <c r="AR1014" s="1005"/>
      <c r="AS1014" s="1006"/>
      <c r="AT1014" s="262">
        <f>AT1015+AT1016</f>
        <v>825.23700000000008</v>
      </c>
      <c r="AU1014" s="246"/>
      <c r="AV1014" s="336"/>
      <c r="AW1014" s="285"/>
      <c r="AX1014" s="337"/>
      <c r="AY1014" s="440">
        <v>756.44809499999997</v>
      </c>
      <c r="AZ1014" s="375"/>
      <c r="BA1014" s="375"/>
      <c r="BB1014" s="375"/>
      <c r="BC1014" s="375"/>
    </row>
    <row r="1015" spans="1:55" s="117" customFormat="1">
      <c r="A1015" s="179"/>
      <c r="B1015" s="179"/>
      <c r="C1015" s="179"/>
      <c r="D1015" s="181"/>
      <c r="E1015" s="181"/>
      <c r="F1015" s="181"/>
      <c r="G1015" s="1110"/>
      <c r="H1015" s="127" t="s">
        <v>981</v>
      </c>
      <c r="I1015" s="127"/>
      <c r="J1015" s="281">
        <v>63.24</v>
      </c>
      <c r="K1015" s="1146"/>
      <c r="L1015" s="1147"/>
      <c r="M1015" s="244">
        <v>59.16</v>
      </c>
      <c r="N1015" s="1146"/>
      <c r="O1015" s="1148"/>
      <c r="P1015" s="281">
        <v>59.64</v>
      </c>
      <c r="Q1015" s="1146"/>
      <c r="R1015" s="1147"/>
      <c r="S1015" s="244">
        <v>53.1</v>
      </c>
      <c r="T1015" s="1146"/>
      <c r="U1015" s="1147"/>
      <c r="V1015" s="244">
        <v>51.841999999999999</v>
      </c>
      <c r="W1015" s="1146"/>
      <c r="X1015" s="1147"/>
      <c r="Y1015" s="244">
        <v>34.14</v>
      </c>
      <c r="Z1015" s="1146"/>
      <c r="AA1015" s="1148"/>
      <c r="AB1015" s="281">
        <v>11.592000000000001</v>
      </c>
      <c r="AC1015" s="1146"/>
      <c r="AD1015" s="1147"/>
      <c r="AE1015" s="281">
        <v>18.600000000000001</v>
      </c>
      <c r="AF1015" s="1146"/>
      <c r="AG1015" s="1147"/>
      <c r="AH1015" s="244">
        <v>47.267000000000003</v>
      </c>
      <c r="AI1015" s="1146"/>
      <c r="AJ1015" s="1148"/>
      <c r="AK1015" s="281">
        <v>56.44</v>
      </c>
      <c r="AL1015" s="1146"/>
      <c r="AM1015" s="1147"/>
      <c r="AN1015" s="244">
        <v>61.2</v>
      </c>
      <c r="AO1015" s="1146"/>
      <c r="AP1015" s="1148"/>
      <c r="AQ1015" s="281">
        <v>63.24</v>
      </c>
      <c r="AR1015" s="1005"/>
      <c r="AS1015" s="1006"/>
      <c r="AT1015" s="244">
        <f>J1015+M1015+P1015+S1015+V1015+Y1015+AB1015+AE1015+AH1015+AK1015+AN1015+AQ1015</f>
        <v>579.46100000000001</v>
      </c>
      <c r="AU1015" s="246"/>
      <c r="AV1015" s="336"/>
      <c r="AW1015" s="285"/>
      <c r="AX1015" s="337"/>
      <c r="AY1015" s="249"/>
      <c r="AZ1015" s="375"/>
      <c r="BA1015" s="375"/>
      <c r="BB1015" s="375"/>
      <c r="BC1015" s="375"/>
    </row>
    <row r="1016" spans="1:55" s="117" customFormat="1">
      <c r="A1016" s="179"/>
      <c r="B1016" s="179"/>
      <c r="C1016" s="179"/>
      <c r="D1016" s="181"/>
      <c r="E1016" s="181"/>
      <c r="F1016" s="181"/>
      <c r="G1016" s="1110"/>
      <c r="H1016" s="127" t="s">
        <v>982</v>
      </c>
      <c r="I1016" s="127"/>
      <c r="J1016" s="281">
        <v>37.200000000000003</v>
      </c>
      <c r="K1016" s="1146"/>
      <c r="L1016" s="1147"/>
      <c r="M1016" s="244">
        <v>34.799999999999997</v>
      </c>
      <c r="N1016" s="1146"/>
      <c r="O1016" s="1148"/>
      <c r="P1016" s="281">
        <v>35.28</v>
      </c>
      <c r="Q1016" s="1146"/>
      <c r="R1016" s="1147"/>
      <c r="S1016" s="345">
        <f>25.2+10</f>
        <v>35.200000000000003</v>
      </c>
      <c r="T1016" s="1146"/>
      <c r="U1016" s="1147"/>
      <c r="V1016" s="244">
        <v>0</v>
      </c>
      <c r="W1016" s="1146"/>
      <c r="X1016" s="1147"/>
      <c r="Y1016" s="244">
        <v>0</v>
      </c>
      <c r="Z1016" s="1146"/>
      <c r="AA1016" s="1148"/>
      <c r="AB1016" s="281">
        <v>0</v>
      </c>
      <c r="AC1016" s="1146"/>
      <c r="AD1016" s="1147"/>
      <c r="AE1016" s="281">
        <v>0</v>
      </c>
      <c r="AF1016" s="1146"/>
      <c r="AG1016" s="1147"/>
      <c r="AH1016" s="244">
        <v>0</v>
      </c>
      <c r="AI1016" s="1146"/>
      <c r="AJ1016" s="1148"/>
      <c r="AK1016" s="281">
        <v>37.200000000000003</v>
      </c>
      <c r="AL1016" s="1146"/>
      <c r="AM1016" s="1147"/>
      <c r="AN1016" s="244">
        <v>30.24</v>
      </c>
      <c r="AO1016" s="1146"/>
      <c r="AP1016" s="1148"/>
      <c r="AQ1016" s="281">
        <v>35.856000000000002</v>
      </c>
      <c r="AR1016" s="1005"/>
      <c r="AS1016" s="1006"/>
      <c r="AT1016" s="244">
        <f>J1016+M1016+P1016+S1016+V1016+Y1016+AB1016+AE1016+AH1016+AK1016+AN1016+AQ1016</f>
        <v>245.77600000000001</v>
      </c>
      <c r="AU1016" s="246"/>
      <c r="AV1016" s="336"/>
      <c r="AW1016" s="285"/>
      <c r="AX1016" s="337"/>
      <c r="AY1016" s="249"/>
      <c r="AZ1016" s="375"/>
      <c r="BA1016" s="375"/>
      <c r="BB1016" s="375"/>
      <c r="BC1016" s="375"/>
    </row>
    <row r="1017" spans="1:55" s="117" customFormat="1">
      <c r="A1017" s="179"/>
      <c r="B1017" s="179"/>
      <c r="C1017" s="179"/>
      <c r="D1017" s="181">
        <v>345710</v>
      </c>
      <c r="E1017" s="181"/>
      <c r="F1017" s="181"/>
      <c r="G1017" s="1110">
        <v>345710</v>
      </c>
      <c r="H1017" s="132" t="s">
        <v>983</v>
      </c>
      <c r="I1017" s="516" t="s">
        <v>364</v>
      </c>
      <c r="J1017" s="1008">
        <f>SUM(J1018:J1019)</f>
        <v>164.31</v>
      </c>
      <c r="K1017" s="1005"/>
      <c r="L1017" s="1006"/>
      <c r="M1017" s="1008">
        <f>SUM(M1018:M1019)</f>
        <v>179.54000000000002</v>
      </c>
      <c r="N1017" s="1005"/>
      <c r="O1017" s="1006"/>
      <c r="P1017" s="1008">
        <f>SUM(P1018:P1019)</f>
        <v>218.66</v>
      </c>
      <c r="Q1017" s="1005"/>
      <c r="R1017" s="1006"/>
      <c r="S1017" s="1008">
        <f>SUM(S1018:S1019)</f>
        <v>168.8</v>
      </c>
      <c r="T1017" s="1005"/>
      <c r="U1017" s="1006"/>
      <c r="V1017" s="1027">
        <f>SUM(V1018:V1019)</f>
        <v>134.53</v>
      </c>
      <c r="W1017" s="1005"/>
      <c r="X1017" s="1006"/>
      <c r="Y1017" s="1027">
        <f>SUM(Y1018:Y1019)</f>
        <v>106.05</v>
      </c>
      <c r="Z1017" s="1005"/>
      <c r="AA1017" s="1006"/>
      <c r="AB1017" s="1027">
        <f>SUM(AB1018:AB1019)</f>
        <v>128.41</v>
      </c>
      <c r="AC1017" s="1005"/>
      <c r="AD1017" s="1006"/>
      <c r="AE1017" s="1008">
        <f>SUM(AE1018:AE1019)</f>
        <v>129.98000000000002</v>
      </c>
      <c r="AF1017" s="1005"/>
      <c r="AG1017" s="1006"/>
      <c r="AH1017" s="1008">
        <f>SUM(AH1018:AH1019)</f>
        <v>121.2</v>
      </c>
      <c r="AI1017" s="1005"/>
      <c r="AJ1017" s="1006"/>
      <c r="AK1017" s="1008">
        <f>SUM(AK1018:AK1019)</f>
        <v>234.32</v>
      </c>
      <c r="AL1017" s="1005"/>
      <c r="AM1017" s="1006"/>
      <c r="AN1017" s="1008">
        <f>SUM(AN1018:AN1019)</f>
        <v>205.01999999999998</v>
      </c>
      <c r="AO1017" s="1005"/>
      <c r="AP1017" s="1006"/>
      <c r="AQ1017" s="1008">
        <f>SUM(AQ1018:AQ1019)</f>
        <v>230.41</v>
      </c>
      <c r="AR1017" s="1005"/>
      <c r="AS1017" s="1006"/>
      <c r="AT1017" s="317">
        <f>SUM(AT1018:AT1019)</f>
        <v>2021.23</v>
      </c>
      <c r="AU1017" s="246"/>
      <c r="AV1017" s="336"/>
      <c r="AW1017" s="285"/>
      <c r="AX1017" s="337"/>
      <c r="AY1017" s="440">
        <v>1922.3030020000001</v>
      </c>
      <c r="AZ1017" s="375"/>
      <c r="BA1017" s="375"/>
      <c r="BB1017" s="375"/>
      <c r="BC1017" s="375"/>
    </row>
    <row r="1018" spans="1:55" s="117" customFormat="1">
      <c r="A1018" s="179"/>
      <c r="B1018" s="179"/>
      <c r="C1018" s="179"/>
      <c r="D1018" s="181"/>
      <c r="E1018" s="181"/>
      <c r="F1018" s="181"/>
      <c r="G1018" s="1110"/>
      <c r="H1018" s="127" t="s">
        <v>984</v>
      </c>
      <c r="I1018" s="127"/>
      <c r="J1018" s="1168">
        <f>112.23-38</f>
        <v>74.23</v>
      </c>
      <c r="K1018" s="1146"/>
      <c r="L1018" s="1147"/>
      <c r="M1018" s="244">
        <v>76.400000000000006</v>
      </c>
      <c r="N1018" s="1146"/>
      <c r="O1018" s="1148"/>
      <c r="P1018" s="281">
        <v>109.33</v>
      </c>
      <c r="Q1018" s="1146"/>
      <c r="R1018" s="1147"/>
      <c r="S1018" s="345">
        <f>111.16+10</f>
        <v>121.16</v>
      </c>
      <c r="T1018" s="1146"/>
      <c r="U1018" s="1147"/>
      <c r="V1018" s="244">
        <v>51.12</v>
      </c>
      <c r="W1018" s="1146"/>
      <c r="X1018" s="1147"/>
      <c r="Y1018" s="244">
        <v>0</v>
      </c>
      <c r="Z1018" s="1146"/>
      <c r="AA1018" s="1148"/>
      <c r="AB1018" s="1171">
        <f>14.76+43.54</f>
        <v>58.3</v>
      </c>
      <c r="AC1018" s="1146"/>
      <c r="AD1018" s="1147"/>
      <c r="AE1018" s="281">
        <v>10.86</v>
      </c>
      <c r="AF1018" s="1146"/>
      <c r="AG1018" s="1147"/>
      <c r="AH1018" s="244">
        <v>84.84</v>
      </c>
      <c r="AI1018" s="1146"/>
      <c r="AJ1018" s="1148"/>
      <c r="AK1018" s="281">
        <v>117.16</v>
      </c>
      <c r="AL1018" s="1146"/>
      <c r="AM1018" s="1147"/>
      <c r="AN1018" s="244">
        <v>112.56</v>
      </c>
      <c r="AO1018" s="1146"/>
      <c r="AP1018" s="1148"/>
      <c r="AQ1018" s="1171">
        <f>95.28+5</f>
        <v>100.28</v>
      </c>
      <c r="AR1018" s="1005"/>
      <c r="AS1018" s="1006"/>
      <c r="AT1018" s="244">
        <f>J1018+M1018+P1018+S1018+V1018+Y1018+AB1018+AE1018+AH1018+AK1018+AN1018+AQ1018</f>
        <v>916.24</v>
      </c>
      <c r="AU1018" s="246"/>
      <c r="AV1018" s="336"/>
      <c r="AW1018" s="285"/>
      <c r="AX1018" s="337"/>
      <c r="AY1018" s="249"/>
      <c r="AZ1018" s="375"/>
      <c r="BA1018" s="375"/>
      <c r="BB1018" s="375"/>
      <c r="BC1018" s="375"/>
    </row>
    <row r="1019" spans="1:55" s="117" customFormat="1">
      <c r="A1019" s="179"/>
      <c r="B1019" s="179"/>
      <c r="C1019" s="179"/>
      <c r="D1019" s="181"/>
      <c r="E1019" s="181"/>
      <c r="F1019" s="181"/>
      <c r="G1019" s="1110"/>
      <c r="H1019" s="127" t="s">
        <v>985</v>
      </c>
      <c r="I1019" s="127"/>
      <c r="J1019" s="1168">
        <f>94.08-4</f>
        <v>90.08</v>
      </c>
      <c r="K1019" s="1146"/>
      <c r="L1019" s="1147"/>
      <c r="M1019" s="244">
        <v>103.14</v>
      </c>
      <c r="N1019" s="1146"/>
      <c r="O1019" s="1148"/>
      <c r="P1019" s="281">
        <v>109.33</v>
      </c>
      <c r="Q1019" s="1146"/>
      <c r="R1019" s="1147"/>
      <c r="S1019" s="244">
        <v>47.64</v>
      </c>
      <c r="T1019" s="1146"/>
      <c r="U1019" s="1147"/>
      <c r="V1019" s="320">
        <f>107.91-24.5</f>
        <v>83.41</v>
      </c>
      <c r="W1019" s="1146"/>
      <c r="X1019" s="1147"/>
      <c r="Y1019" s="345">
        <f>101.36+4.69</f>
        <v>106.05</v>
      </c>
      <c r="Z1019" s="1146"/>
      <c r="AA1019" s="1148"/>
      <c r="AB1019" s="281">
        <v>70.11</v>
      </c>
      <c r="AC1019" s="1146"/>
      <c r="AD1019" s="1147"/>
      <c r="AE1019" s="1171">
        <f>94.12+25</f>
        <v>119.12</v>
      </c>
      <c r="AF1019" s="1146"/>
      <c r="AG1019" s="1147"/>
      <c r="AH1019" s="244">
        <v>36.36</v>
      </c>
      <c r="AI1019" s="1146"/>
      <c r="AJ1019" s="1148"/>
      <c r="AK1019" s="281">
        <v>117.16</v>
      </c>
      <c r="AL1019" s="1146"/>
      <c r="AM1019" s="1147"/>
      <c r="AN1019" s="244">
        <v>92.46</v>
      </c>
      <c r="AO1019" s="1146"/>
      <c r="AP1019" s="1148"/>
      <c r="AQ1019" s="1171">
        <f>115.13+15</f>
        <v>130.13</v>
      </c>
      <c r="AR1019" s="1005"/>
      <c r="AS1019" s="1006"/>
      <c r="AT1019" s="244">
        <f>J1019+M1019+P1019+S1019+V1019+Y1019+AB1019+AE1019+AH1019+AK1019+AN1019+AQ1019</f>
        <v>1104.99</v>
      </c>
      <c r="AU1019" s="246"/>
      <c r="AV1019" s="336"/>
      <c r="AW1019" s="285"/>
      <c r="AX1019" s="337"/>
      <c r="AY1019" s="249"/>
      <c r="AZ1019" s="375"/>
      <c r="BA1019" s="375"/>
      <c r="BB1019" s="375"/>
      <c r="BC1019" s="375"/>
    </row>
    <row r="1020" spans="1:55" s="116" customFormat="1">
      <c r="A1020" s="179"/>
      <c r="B1020" s="179"/>
      <c r="C1020" s="179"/>
      <c r="D1020" s="181">
        <v>345713</v>
      </c>
      <c r="E1020" s="181"/>
      <c r="F1020" s="181"/>
      <c r="G1020" s="1110">
        <v>345713</v>
      </c>
      <c r="H1020" s="132" t="s">
        <v>986</v>
      </c>
      <c r="I1020" s="516" t="s">
        <v>364</v>
      </c>
      <c r="J1020" s="1008">
        <f>SUM(J1021:J1023)</f>
        <v>160.13600000000002</v>
      </c>
      <c r="K1020" s="1005"/>
      <c r="L1020" s="1006"/>
      <c r="M1020" s="1027">
        <f>SUM(M1021:M1023)</f>
        <v>187.22399999999999</v>
      </c>
      <c r="N1020" s="1005"/>
      <c r="O1020" s="1006"/>
      <c r="P1020" s="1027">
        <f>SUM(P1021:P1023)</f>
        <v>155.99</v>
      </c>
      <c r="Q1020" s="1005"/>
      <c r="R1020" s="1006"/>
      <c r="S1020" s="1027">
        <f>SUM(S1021:S1023)</f>
        <v>135.32300000000001</v>
      </c>
      <c r="T1020" s="1005"/>
      <c r="U1020" s="1006"/>
      <c r="V1020" s="1027">
        <f>SUM(V1021:V1023)</f>
        <v>64.123000000000005</v>
      </c>
      <c r="W1020" s="1005"/>
      <c r="X1020" s="1006"/>
      <c r="Y1020" s="1027">
        <f>SUM(Y1021:Y1023)</f>
        <v>22.271999999999998</v>
      </c>
      <c r="Z1020" s="1005"/>
      <c r="AA1020" s="1006"/>
      <c r="AB1020" s="1027">
        <f>SUM(AB1021:AB1023)</f>
        <v>31.248000000000001</v>
      </c>
      <c r="AC1020" s="1005"/>
      <c r="AD1020" s="1006"/>
      <c r="AE1020" s="1027">
        <f>SUM(AE1021:AE1023)</f>
        <v>29.76</v>
      </c>
      <c r="AF1020" s="1005"/>
      <c r="AG1020" s="1006"/>
      <c r="AH1020" s="1027">
        <f>SUM(AH1021:AH1023)</f>
        <v>30.24</v>
      </c>
      <c r="AI1020" s="1005"/>
      <c r="AJ1020" s="1006"/>
      <c r="AK1020" s="1027">
        <f>SUM(AK1021:AK1023)</f>
        <v>34.56</v>
      </c>
      <c r="AL1020" s="1005"/>
      <c r="AM1020" s="1006"/>
      <c r="AN1020" s="1027">
        <f>SUM(AN1021:AN1023)</f>
        <v>117.24000000000001</v>
      </c>
      <c r="AO1020" s="1005"/>
      <c r="AP1020" s="1006"/>
      <c r="AQ1020" s="1027">
        <f>SUM(AQ1021:AQ1023)</f>
        <v>150.28800000000001</v>
      </c>
      <c r="AR1020" s="1005"/>
      <c r="AS1020" s="1006"/>
      <c r="AT1020" s="262">
        <f>SUM(AT1021:AT1023)</f>
        <v>1118.404</v>
      </c>
      <c r="AU1020" s="246"/>
      <c r="AV1020" s="336"/>
      <c r="AW1020" s="285"/>
      <c r="AX1020" s="337"/>
      <c r="AY1020" s="440">
        <v>1098.0997890000001</v>
      </c>
      <c r="AZ1020" s="374"/>
      <c r="BA1020" s="374"/>
      <c r="BB1020" s="374"/>
      <c r="BC1020" s="374"/>
    </row>
    <row r="1021" spans="1:55" s="116" customFormat="1">
      <c r="A1021" s="179"/>
      <c r="B1021" s="179"/>
      <c r="C1021" s="179"/>
      <c r="D1021" s="181"/>
      <c r="E1021" s="181"/>
      <c r="F1021" s="181"/>
      <c r="G1021" s="1110"/>
      <c r="H1021" s="127" t="s">
        <v>987</v>
      </c>
      <c r="I1021" s="516"/>
      <c r="J1021" s="708">
        <v>8.9280000000000008</v>
      </c>
      <c r="K1021" s="545"/>
      <c r="L1021" s="546"/>
      <c r="M1021" s="547">
        <v>8.3520000000000003</v>
      </c>
      <c r="N1021" s="545"/>
      <c r="O1021" s="741"/>
      <c r="P1021" s="548">
        <v>0</v>
      </c>
      <c r="Q1021" s="545"/>
      <c r="R1021" s="546"/>
      <c r="S1021" s="547">
        <v>0</v>
      </c>
      <c r="T1021" s="545"/>
      <c r="U1021" s="546"/>
      <c r="V1021" s="547">
        <v>0</v>
      </c>
      <c r="W1021" s="545"/>
      <c r="X1021" s="546"/>
      <c r="Y1021" s="547">
        <v>0</v>
      </c>
      <c r="Z1021" s="545"/>
      <c r="AA1021" s="741"/>
      <c r="AB1021" s="548">
        <v>0</v>
      </c>
      <c r="AC1021" s="545"/>
      <c r="AD1021" s="546"/>
      <c r="AE1021" s="548">
        <v>0</v>
      </c>
      <c r="AF1021" s="545"/>
      <c r="AG1021" s="546"/>
      <c r="AH1021" s="547">
        <v>0</v>
      </c>
      <c r="AI1021" s="545"/>
      <c r="AJ1021" s="741"/>
      <c r="AK1021" s="548">
        <v>0</v>
      </c>
      <c r="AL1021" s="545"/>
      <c r="AM1021" s="546"/>
      <c r="AN1021" s="737">
        <f>15.84+15</f>
        <v>30.84</v>
      </c>
      <c r="AO1021" s="545"/>
      <c r="AP1021" s="741"/>
      <c r="AQ1021" s="548">
        <v>31.248000000000001</v>
      </c>
      <c r="AR1021" s="1005"/>
      <c r="AS1021" s="1006"/>
      <c r="AT1021" s="244">
        <f t="shared" ref="AT1021:AT1026" si="37">J1021+M1021+P1021+S1021+V1021+Y1021+AB1021+AE1021+AH1021+AK1021+AN1021+AQ1021</f>
        <v>79.368000000000009</v>
      </c>
      <c r="AU1021" s="246"/>
      <c r="AV1021" s="336"/>
      <c r="AW1021" s="285"/>
      <c r="AX1021" s="337"/>
      <c r="AY1021" s="441"/>
      <c r="AZ1021" s="374"/>
      <c r="BA1021" s="374"/>
      <c r="BB1021" s="374"/>
      <c r="BC1021" s="374"/>
    </row>
    <row r="1022" spans="1:55" s="116" customFormat="1">
      <c r="A1022" s="179"/>
      <c r="B1022" s="179"/>
      <c r="C1022" s="179"/>
      <c r="D1022" s="181"/>
      <c r="E1022" s="181"/>
      <c r="F1022" s="181"/>
      <c r="G1022" s="1110"/>
      <c r="H1022" s="127" t="s">
        <v>988</v>
      </c>
      <c r="I1022" s="516"/>
      <c r="J1022" s="1166">
        <f>116.808-40</f>
        <v>76.808000000000007</v>
      </c>
      <c r="K1022" s="545"/>
      <c r="L1022" s="546"/>
      <c r="M1022" s="547">
        <v>109.27200000000001</v>
      </c>
      <c r="N1022" s="545"/>
      <c r="O1022" s="741"/>
      <c r="P1022" s="548">
        <v>81.59</v>
      </c>
      <c r="Q1022" s="545"/>
      <c r="R1022" s="546"/>
      <c r="S1022" s="547">
        <v>94.498000000000005</v>
      </c>
      <c r="T1022" s="545"/>
      <c r="U1022" s="546"/>
      <c r="V1022" s="547">
        <v>14.101000000000001</v>
      </c>
      <c r="W1022" s="545"/>
      <c r="X1022" s="546"/>
      <c r="Y1022" s="547">
        <v>22.271999999999998</v>
      </c>
      <c r="Z1022" s="545"/>
      <c r="AA1022" s="741"/>
      <c r="AB1022" s="548">
        <v>31.248000000000001</v>
      </c>
      <c r="AC1022" s="545"/>
      <c r="AD1022" s="546"/>
      <c r="AE1022" s="548">
        <v>29.76</v>
      </c>
      <c r="AF1022" s="545"/>
      <c r="AG1022" s="546"/>
      <c r="AH1022" s="547">
        <v>30.24</v>
      </c>
      <c r="AI1022" s="545"/>
      <c r="AJ1022" s="741"/>
      <c r="AK1022" s="548">
        <v>34.56</v>
      </c>
      <c r="AL1022" s="545"/>
      <c r="AM1022" s="546"/>
      <c r="AN1022" s="547">
        <v>43.2</v>
      </c>
      <c r="AO1022" s="545"/>
      <c r="AP1022" s="741"/>
      <c r="AQ1022" s="548">
        <v>44.64</v>
      </c>
      <c r="AR1022" s="246"/>
      <c r="AS1022" s="282"/>
      <c r="AT1022" s="244">
        <f t="shared" si="37"/>
        <v>612.18899999999996</v>
      </c>
      <c r="AU1022" s="246"/>
      <c r="AV1022" s="336"/>
      <c r="AW1022" s="285"/>
      <c r="AX1022" s="337"/>
      <c r="AY1022" s="441"/>
      <c r="AZ1022" s="374"/>
      <c r="BA1022" s="374"/>
      <c r="BB1022" s="374"/>
      <c r="BC1022" s="374"/>
    </row>
    <row r="1023" spans="1:55" s="116" customFormat="1">
      <c r="A1023" s="179"/>
      <c r="B1023" s="179"/>
      <c r="C1023" s="179"/>
      <c r="D1023" s="181"/>
      <c r="E1023" s="181"/>
      <c r="F1023" s="181"/>
      <c r="G1023" s="1110"/>
      <c r="H1023" s="127" t="s">
        <v>989</v>
      </c>
      <c r="I1023" s="516"/>
      <c r="J1023" s="708">
        <v>74.400000000000006</v>
      </c>
      <c r="K1023" s="545"/>
      <c r="L1023" s="546"/>
      <c r="M1023" s="547">
        <v>69.599999999999994</v>
      </c>
      <c r="N1023" s="545"/>
      <c r="O1023" s="741"/>
      <c r="P1023" s="548">
        <v>74.400000000000006</v>
      </c>
      <c r="Q1023" s="545"/>
      <c r="R1023" s="546"/>
      <c r="S1023" s="547">
        <v>40.825000000000003</v>
      </c>
      <c r="T1023" s="545"/>
      <c r="U1023" s="546"/>
      <c r="V1023" s="547">
        <v>50.021999999999998</v>
      </c>
      <c r="W1023" s="545"/>
      <c r="X1023" s="546"/>
      <c r="Y1023" s="547">
        <v>0</v>
      </c>
      <c r="Z1023" s="545"/>
      <c r="AA1023" s="741"/>
      <c r="AB1023" s="548">
        <v>0</v>
      </c>
      <c r="AC1023" s="545"/>
      <c r="AD1023" s="546"/>
      <c r="AE1023" s="548">
        <v>0</v>
      </c>
      <c r="AF1023" s="545"/>
      <c r="AG1023" s="546"/>
      <c r="AH1023" s="547">
        <v>0</v>
      </c>
      <c r="AI1023" s="545"/>
      <c r="AJ1023" s="741"/>
      <c r="AK1023" s="548">
        <v>0</v>
      </c>
      <c r="AL1023" s="545"/>
      <c r="AM1023" s="546"/>
      <c r="AN1023" s="547">
        <v>43.2</v>
      </c>
      <c r="AO1023" s="545"/>
      <c r="AP1023" s="741"/>
      <c r="AQ1023" s="548">
        <v>74.400000000000006</v>
      </c>
      <c r="AR1023" s="246"/>
      <c r="AS1023" s="282"/>
      <c r="AT1023" s="244">
        <f t="shared" si="37"/>
        <v>426.84699999999998</v>
      </c>
      <c r="AU1023" s="246"/>
      <c r="AV1023" s="336"/>
      <c r="AW1023" s="285"/>
      <c r="AX1023" s="337"/>
      <c r="AY1023" s="441"/>
      <c r="AZ1023" s="374"/>
      <c r="BA1023" s="374"/>
      <c r="BB1023" s="374"/>
      <c r="BC1023" s="374"/>
    </row>
    <row r="1024" spans="1:55" s="116" customFormat="1">
      <c r="A1024" s="179"/>
      <c r="B1024" s="179"/>
      <c r="C1024" s="179"/>
      <c r="D1024" s="181">
        <v>345711</v>
      </c>
      <c r="E1024" s="181"/>
      <c r="F1024" s="181"/>
      <c r="G1024" s="1110">
        <v>345711</v>
      </c>
      <c r="H1024" s="132" t="s">
        <v>990</v>
      </c>
      <c r="I1024" s="516" t="s">
        <v>364</v>
      </c>
      <c r="J1024" s="262">
        <f>SUM(J1025:J1026)</f>
        <v>100.21299999999999</v>
      </c>
      <c r="K1024" s="246"/>
      <c r="L1024" s="282"/>
      <c r="M1024" s="262">
        <f>SUM(M1025:M1026)</f>
        <v>105.36000000000001</v>
      </c>
      <c r="N1024" s="246"/>
      <c r="O1024" s="282"/>
      <c r="P1024" s="262">
        <f>SUM(P1025:P1026)</f>
        <v>86.948999999999998</v>
      </c>
      <c r="Q1024" s="246"/>
      <c r="R1024" s="282"/>
      <c r="S1024" s="262">
        <f>SUM(S1025:S1026)</f>
        <v>84.35</v>
      </c>
      <c r="T1024" s="246"/>
      <c r="U1024" s="282"/>
      <c r="V1024" s="262">
        <f>SUM(V1025:V1026)</f>
        <v>39.731999999999999</v>
      </c>
      <c r="W1024" s="246"/>
      <c r="X1024" s="282"/>
      <c r="Y1024" s="262">
        <f>SUM(Y1025:Y1026)</f>
        <v>14.61</v>
      </c>
      <c r="Z1024" s="246"/>
      <c r="AA1024" s="282"/>
      <c r="AB1024" s="262">
        <f>SUM(AB1025:AB1026)</f>
        <v>17.856000000000002</v>
      </c>
      <c r="AC1024" s="246"/>
      <c r="AD1024" s="282"/>
      <c r="AE1024" s="262">
        <f>SUM(AE1025:AE1026)</f>
        <v>69.13</v>
      </c>
      <c r="AF1024" s="246"/>
      <c r="AG1024" s="282"/>
      <c r="AH1024" s="262">
        <f>SUM(AH1025:AH1026)</f>
        <v>70.367999999999995</v>
      </c>
      <c r="AI1024" s="246"/>
      <c r="AJ1024" s="282"/>
      <c r="AK1024" s="262">
        <f>SUM(AK1025:AK1026)</f>
        <v>69.701999999999998</v>
      </c>
      <c r="AL1024" s="246"/>
      <c r="AM1024" s="282"/>
      <c r="AN1024" s="262">
        <f>SUM(AN1025:AN1026)</f>
        <v>101.825</v>
      </c>
      <c r="AO1024" s="246"/>
      <c r="AP1024" s="282"/>
      <c r="AQ1024" s="262">
        <f>SUM(AQ1025:AQ1026)</f>
        <v>120.79900000000001</v>
      </c>
      <c r="AR1024" s="246"/>
      <c r="AS1024" s="282"/>
      <c r="AT1024" s="262">
        <f>SUM(AT1025:AT1026)</f>
        <v>880.89400000000001</v>
      </c>
      <c r="AU1024" s="246"/>
      <c r="AV1024" s="336"/>
      <c r="AW1024" s="285"/>
      <c r="AX1024" s="337"/>
      <c r="AY1024" s="440">
        <v>864.78616299999999</v>
      </c>
      <c r="AZ1024" s="374"/>
      <c r="BA1024" s="374"/>
      <c r="BB1024" s="374"/>
      <c r="BC1024" s="374"/>
    </row>
    <row r="1025" spans="1:55" s="116" customFormat="1">
      <c r="A1025" s="179"/>
      <c r="B1025" s="179"/>
      <c r="C1025" s="179"/>
      <c r="D1025" s="181"/>
      <c r="E1025" s="181"/>
      <c r="F1025" s="181"/>
      <c r="G1025" s="1110"/>
      <c r="H1025" s="127" t="s">
        <v>991</v>
      </c>
      <c r="I1025" s="516"/>
      <c r="J1025" s="708">
        <v>29.151</v>
      </c>
      <c r="K1025" s="545"/>
      <c r="L1025" s="546"/>
      <c r="M1025" s="547">
        <v>38.052</v>
      </c>
      <c r="N1025" s="545"/>
      <c r="O1025" s="741"/>
      <c r="P1025" s="548">
        <v>86.948999999999998</v>
      </c>
      <c r="Q1025" s="545"/>
      <c r="R1025" s="546"/>
      <c r="S1025" s="547">
        <v>0</v>
      </c>
      <c r="T1025" s="545"/>
      <c r="U1025" s="546"/>
      <c r="V1025" s="547">
        <v>8.3520000000000003</v>
      </c>
      <c r="W1025" s="545"/>
      <c r="X1025" s="546"/>
      <c r="Y1025" s="547">
        <v>14.61</v>
      </c>
      <c r="Z1025" s="545"/>
      <c r="AA1025" s="741"/>
      <c r="AB1025" s="548">
        <v>0</v>
      </c>
      <c r="AC1025" s="545"/>
      <c r="AD1025" s="546"/>
      <c r="AE1025" s="548">
        <v>0</v>
      </c>
      <c r="AF1025" s="545"/>
      <c r="AG1025" s="546"/>
      <c r="AH1025" s="547">
        <v>31.718</v>
      </c>
      <c r="AI1025" s="545"/>
      <c r="AJ1025" s="741"/>
      <c r="AK1025" s="548">
        <v>43.5</v>
      </c>
      <c r="AL1025" s="545"/>
      <c r="AM1025" s="546"/>
      <c r="AN1025" s="737">
        <f>81.825+20</f>
        <v>101.825</v>
      </c>
      <c r="AO1025" s="545"/>
      <c r="AP1025" s="741"/>
      <c r="AQ1025" s="548">
        <v>90.799000000000007</v>
      </c>
      <c r="AR1025" s="246"/>
      <c r="AS1025" s="282"/>
      <c r="AT1025" s="244">
        <f t="shared" si="37"/>
        <v>444.95600000000002</v>
      </c>
      <c r="AU1025" s="246"/>
      <c r="AV1025" s="336"/>
      <c r="AW1025" s="285"/>
      <c r="AX1025" s="337"/>
      <c r="AY1025" s="441"/>
      <c r="AZ1025" s="374"/>
      <c r="BA1025" s="374"/>
      <c r="BB1025" s="374"/>
      <c r="BC1025" s="374"/>
    </row>
    <row r="1026" spans="1:55" s="116" customFormat="1">
      <c r="A1026" s="179"/>
      <c r="B1026" s="179"/>
      <c r="C1026" s="179"/>
      <c r="D1026" s="181"/>
      <c r="E1026" s="181"/>
      <c r="F1026" s="181"/>
      <c r="G1026" s="1110"/>
      <c r="H1026" s="127" t="s">
        <v>992</v>
      </c>
      <c r="I1026" s="516"/>
      <c r="J1026" s="1166">
        <f>81.062-10</f>
        <v>71.061999999999998</v>
      </c>
      <c r="K1026" s="545"/>
      <c r="L1026" s="546"/>
      <c r="M1026" s="547">
        <v>67.308000000000007</v>
      </c>
      <c r="N1026" s="545"/>
      <c r="O1026" s="741"/>
      <c r="P1026" s="548">
        <v>0</v>
      </c>
      <c r="Q1026" s="545"/>
      <c r="R1026" s="546"/>
      <c r="S1026" s="737">
        <f>74.35+10</f>
        <v>84.35</v>
      </c>
      <c r="T1026" s="545"/>
      <c r="U1026" s="546"/>
      <c r="V1026" s="547">
        <v>31.38</v>
      </c>
      <c r="W1026" s="545"/>
      <c r="X1026" s="546"/>
      <c r="Y1026" s="547">
        <v>0</v>
      </c>
      <c r="Z1026" s="545"/>
      <c r="AA1026" s="741"/>
      <c r="AB1026" s="548">
        <v>17.856000000000002</v>
      </c>
      <c r="AC1026" s="545"/>
      <c r="AD1026" s="546"/>
      <c r="AE1026" s="548">
        <v>69.13</v>
      </c>
      <c r="AF1026" s="545"/>
      <c r="AG1026" s="546"/>
      <c r="AH1026" s="737">
        <f>23.5+15.15</f>
        <v>38.65</v>
      </c>
      <c r="AI1026" s="545"/>
      <c r="AJ1026" s="741"/>
      <c r="AK1026" s="548">
        <v>26.202000000000002</v>
      </c>
      <c r="AL1026" s="545"/>
      <c r="AM1026" s="546"/>
      <c r="AN1026" s="547">
        <v>0</v>
      </c>
      <c r="AO1026" s="545"/>
      <c r="AP1026" s="741"/>
      <c r="AQ1026" s="802">
        <f>0+30</f>
        <v>30</v>
      </c>
      <c r="AR1026" s="246"/>
      <c r="AS1026" s="282"/>
      <c r="AT1026" s="244">
        <f t="shared" si="37"/>
        <v>435.93799999999999</v>
      </c>
      <c r="AU1026" s="246"/>
      <c r="AV1026" s="336"/>
      <c r="AW1026" s="285"/>
      <c r="AX1026" s="337"/>
      <c r="AY1026" s="441"/>
      <c r="AZ1026" s="374"/>
      <c r="BA1026" s="374"/>
      <c r="BB1026" s="374"/>
      <c r="BC1026" s="374"/>
    </row>
    <row r="1027" spans="1:55" s="116" customFormat="1">
      <c r="A1027" s="179"/>
      <c r="B1027" s="179"/>
      <c r="C1027" s="179"/>
      <c r="D1027" s="181">
        <v>345718</v>
      </c>
      <c r="E1027" s="181"/>
      <c r="F1027" s="181"/>
      <c r="G1027" s="1110">
        <v>345718</v>
      </c>
      <c r="H1027" s="132" t="s">
        <v>993</v>
      </c>
      <c r="I1027" s="516" t="s">
        <v>364</v>
      </c>
      <c r="J1027" s="262">
        <f>SUM(J1028:J1029)</f>
        <v>573.89300000000003</v>
      </c>
      <c r="K1027" s="246"/>
      <c r="L1027" s="282"/>
      <c r="M1027" s="262">
        <f>SUM(M1028:M1029)</f>
        <v>582.12800000000004</v>
      </c>
      <c r="N1027" s="246"/>
      <c r="O1027" s="282"/>
      <c r="P1027" s="262">
        <f>SUM(P1028:P1029)</f>
        <v>538.33100000000002</v>
      </c>
      <c r="Q1027" s="246"/>
      <c r="R1027" s="282"/>
      <c r="S1027" s="262">
        <f>SUM(S1028:S1029)</f>
        <v>404.58100000000002</v>
      </c>
      <c r="T1027" s="246"/>
      <c r="U1027" s="282"/>
      <c r="V1027" s="262">
        <f>SUM(V1028:V1029)</f>
        <v>276.64800000000002</v>
      </c>
      <c r="W1027" s="246"/>
      <c r="X1027" s="282"/>
      <c r="Y1027" s="262">
        <f>SUM(Y1028:Y1029)</f>
        <v>193.18200000000002</v>
      </c>
      <c r="Z1027" s="246"/>
      <c r="AA1027" s="282"/>
      <c r="AB1027" s="262">
        <f>SUM(AB1028:AB1029)</f>
        <v>260.2</v>
      </c>
      <c r="AC1027" s="246"/>
      <c r="AD1027" s="282"/>
      <c r="AE1027" s="262">
        <f>SUM(AE1028:AE1029)</f>
        <v>361.98</v>
      </c>
      <c r="AF1027" s="246"/>
      <c r="AG1027" s="282"/>
      <c r="AH1027" s="262">
        <f>SUM(AH1028:AH1029)</f>
        <v>367.18299999999999</v>
      </c>
      <c r="AI1027" s="246"/>
      <c r="AJ1027" s="282"/>
      <c r="AK1027" s="262">
        <f>SUM(AK1028:AK1029)</f>
        <v>456.28300000000002</v>
      </c>
      <c r="AL1027" s="246"/>
      <c r="AM1027" s="282"/>
      <c r="AN1027" s="262">
        <f>SUM(AN1028:AN1029)</f>
        <v>580.29300000000001</v>
      </c>
      <c r="AO1027" s="246"/>
      <c r="AP1027" s="282"/>
      <c r="AQ1027" s="262">
        <f>SUM(AQ1028:AQ1029)</f>
        <v>532.89700000000005</v>
      </c>
      <c r="AR1027" s="246"/>
      <c r="AS1027" s="282"/>
      <c r="AT1027" s="262">
        <f>SUM(AT1028:AT1029)</f>
        <v>5127.5990000000002</v>
      </c>
      <c r="AU1027" s="246"/>
      <c r="AV1027" s="336"/>
      <c r="AW1027" s="285"/>
      <c r="AX1027" s="337"/>
      <c r="AY1027" s="440">
        <v>4613.3739420000002</v>
      </c>
      <c r="AZ1027" s="374"/>
      <c r="BA1027" s="374"/>
      <c r="BB1027" s="374"/>
      <c r="BC1027" s="374"/>
    </row>
    <row r="1028" spans="1:55" s="116" customFormat="1">
      <c r="A1028" s="179"/>
      <c r="B1028" s="179"/>
      <c r="C1028" s="179"/>
      <c r="D1028" s="181"/>
      <c r="E1028" s="181"/>
      <c r="F1028" s="181"/>
      <c r="G1028" s="1110"/>
      <c r="H1028" s="127" t="s">
        <v>993</v>
      </c>
      <c r="I1028" s="127"/>
      <c r="J1028" s="1166">
        <f>325.515-49.51</f>
        <v>276.005</v>
      </c>
      <c r="K1028" s="545"/>
      <c r="L1028" s="546"/>
      <c r="M1028" s="737">
        <f>294.663+80</f>
        <v>374.66300000000001</v>
      </c>
      <c r="N1028" s="545"/>
      <c r="O1028" s="741"/>
      <c r="P1028" s="802">
        <f>330.271+31.82+10</f>
        <v>372.09100000000001</v>
      </c>
      <c r="Q1028" s="545"/>
      <c r="R1028" s="546"/>
      <c r="S1028" s="737">
        <f>228.335+20</f>
        <v>248.33500000000001</v>
      </c>
      <c r="T1028" s="545"/>
      <c r="U1028" s="546"/>
      <c r="V1028" s="547">
        <v>126.36</v>
      </c>
      <c r="W1028" s="545"/>
      <c r="X1028" s="546"/>
      <c r="Y1028" s="547">
        <v>108</v>
      </c>
      <c r="Z1028" s="545"/>
      <c r="AA1028" s="741"/>
      <c r="AB1028" s="802">
        <f>130.2+130</f>
        <v>260.2</v>
      </c>
      <c r="AC1028" s="545"/>
      <c r="AD1028" s="546"/>
      <c r="AE1028" s="802">
        <f>58.8+120</f>
        <v>178.8</v>
      </c>
      <c r="AF1028" s="545"/>
      <c r="AG1028" s="546"/>
      <c r="AH1028" s="737">
        <f>17.568+100</f>
        <v>117.568</v>
      </c>
      <c r="AI1028" s="545"/>
      <c r="AJ1028" s="741"/>
      <c r="AK1028" s="548">
        <v>201.37</v>
      </c>
      <c r="AL1028" s="545"/>
      <c r="AM1028" s="546"/>
      <c r="AN1028" s="737">
        <f>208.221+70</f>
        <v>278.221</v>
      </c>
      <c r="AO1028" s="545"/>
      <c r="AP1028" s="741"/>
      <c r="AQ1028" s="548">
        <v>211.703</v>
      </c>
      <c r="AR1028" s="246"/>
      <c r="AS1028" s="282"/>
      <c r="AT1028" s="244">
        <f>J1028+M1028+P1028+S1028+V1028+Y1028+AB1028+AE1028+AH1028+AK1028+AN1028+AQ1028</f>
        <v>2753.3159999999998</v>
      </c>
      <c r="AU1028" s="246"/>
      <c r="AV1028" s="336"/>
      <c r="AW1028" s="285"/>
      <c r="AX1028" s="337"/>
      <c r="AY1028" s="249"/>
      <c r="AZ1028" s="374"/>
      <c r="BA1028" s="374"/>
      <c r="BB1028" s="374"/>
      <c r="BC1028" s="374"/>
    </row>
    <row r="1029" spans="1:55" s="117" customFormat="1">
      <c r="A1029" s="179"/>
      <c r="B1029" s="179"/>
      <c r="C1029" s="179"/>
      <c r="D1029" s="181"/>
      <c r="E1029" s="181"/>
      <c r="F1029" s="181"/>
      <c r="G1029" s="1110"/>
      <c r="H1029" s="127" t="s">
        <v>994</v>
      </c>
      <c r="I1029" s="127"/>
      <c r="J1029" s="708">
        <v>297.88799999999998</v>
      </c>
      <c r="K1029" s="545"/>
      <c r="L1029" s="546"/>
      <c r="M1029" s="737">
        <f>192.465+15</f>
        <v>207.465</v>
      </c>
      <c r="N1029" s="545"/>
      <c r="O1029" s="741"/>
      <c r="P1029" s="802">
        <f>156.24+10</f>
        <v>166.24</v>
      </c>
      <c r="Q1029" s="545"/>
      <c r="R1029" s="546"/>
      <c r="S1029" s="737">
        <f>146.246+10</f>
        <v>156.24600000000001</v>
      </c>
      <c r="T1029" s="545"/>
      <c r="U1029" s="546"/>
      <c r="V1029" s="547">
        <v>150.28800000000001</v>
      </c>
      <c r="W1029" s="545"/>
      <c r="X1029" s="546"/>
      <c r="Y1029" s="547">
        <v>85.182000000000002</v>
      </c>
      <c r="Z1029" s="545"/>
      <c r="AA1029" s="741"/>
      <c r="AB1029" s="548">
        <v>0</v>
      </c>
      <c r="AC1029" s="545"/>
      <c r="AD1029" s="546"/>
      <c r="AE1029" s="802">
        <f>153.18+30</f>
        <v>183.18</v>
      </c>
      <c r="AF1029" s="545"/>
      <c r="AG1029" s="546"/>
      <c r="AH1029" s="547">
        <v>249.61500000000001</v>
      </c>
      <c r="AI1029" s="545"/>
      <c r="AJ1029" s="741"/>
      <c r="AK1029" s="548">
        <v>254.91300000000001</v>
      </c>
      <c r="AL1029" s="545"/>
      <c r="AM1029" s="546"/>
      <c r="AN1029" s="737">
        <f>282.072+20</f>
        <v>302.072</v>
      </c>
      <c r="AO1029" s="545"/>
      <c r="AP1029" s="741"/>
      <c r="AQ1029" s="802">
        <f>301.194+20</f>
        <v>321.19400000000002</v>
      </c>
      <c r="AR1029" s="246"/>
      <c r="AS1029" s="282"/>
      <c r="AT1029" s="244">
        <f>J1029+M1029+P1029+S1029+V1029+Y1029+AB1029+AE1029+AH1029+AK1029+AN1029+AQ1029</f>
        <v>2374.2829999999999</v>
      </c>
      <c r="AU1029" s="246"/>
      <c r="AV1029" s="336"/>
      <c r="AW1029" s="285"/>
      <c r="AX1029" s="337"/>
      <c r="AY1029" s="249"/>
      <c r="AZ1029" s="375"/>
      <c r="BA1029" s="375"/>
      <c r="BB1029" s="375"/>
      <c r="BC1029" s="375"/>
    </row>
    <row r="1030" spans="1:55" s="117" customFormat="1">
      <c r="A1030" s="179"/>
      <c r="B1030" s="179"/>
      <c r="C1030" s="179"/>
      <c r="D1030" s="181">
        <v>345720</v>
      </c>
      <c r="E1030" s="181"/>
      <c r="F1030" s="181"/>
      <c r="G1030" s="1110">
        <v>345720</v>
      </c>
      <c r="H1030" s="129" t="s">
        <v>995</v>
      </c>
      <c r="I1030" s="516" t="s">
        <v>364</v>
      </c>
      <c r="J1030" s="548">
        <v>499.30000080000002</v>
      </c>
      <c r="K1030" s="545"/>
      <c r="L1030" s="546"/>
      <c r="M1030" s="737">
        <f>477.19999968+20</f>
        <v>497.19999968000002</v>
      </c>
      <c r="N1030" s="545"/>
      <c r="O1030" s="741"/>
      <c r="P1030" s="802">
        <f>358.5+45</f>
        <v>403.5</v>
      </c>
      <c r="Q1030" s="545"/>
      <c r="R1030" s="546"/>
      <c r="S1030" s="737">
        <f>271.39968+20</f>
        <v>291.39967999999999</v>
      </c>
      <c r="T1030" s="545"/>
      <c r="U1030" s="546"/>
      <c r="V1030" s="547">
        <v>364.8</v>
      </c>
      <c r="W1030" s="545"/>
      <c r="X1030" s="546"/>
      <c r="Y1030" s="547">
        <v>269.30016000000001</v>
      </c>
      <c r="Z1030" s="545"/>
      <c r="AA1030" s="741"/>
      <c r="AB1030" s="548">
        <v>278.39996400000001</v>
      </c>
      <c r="AC1030" s="545"/>
      <c r="AD1030" s="546"/>
      <c r="AE1030" s="802">
        <f>278.399964+30</f>
        <v>308.39996400000001</v>
      </c>
      <c r="AF1030" s="545"/>
      <c r="AG1030" s="546"/>
      <c r="AH1030" s="737">
        <f>364.299984+65</f>
        <v>429.29998399999999</v>
      </c>
      <c r="AI1030" s="545"/>
      <c r="AJ1030" s="741"/>
      <c r="AK1030" s="548">
        <v>441.40001760000001</v>
      </c>
      <c r="AL1030" s="545"/>
      <c r="AM1030" s="546"/>
      <c r="AN1030" s="737">
        <f>407.90004+130</f>
        <v>537.90003999999999</v>
      </c>
      <c r="AO1030" s="545"/>
      <c r="AP1030" s="741"/>
      <c r="AQ1030" s="802">
        <f>506.1999696+150</f>
        <v>656.19996960000003</v>
      </c>
      <c r="AR1030" s="246"/>
      <c r="AS1030" s="282"/>
      <c r="AT1030" s="244">
        <f>J1030+M1030+P1030+S1030+V1030+Y1030+AB1030+AE1030+AH1030+AK1030+AN1030+AQ1030</f>
        <v>4977.0997796800002</v>
      </c>
      <c r="AU1030" s="246"/>
      <c r="AV1030" s="336"/>
      <c r="AW1030" s="285"/>
      <c r="AX1030" s="337"/>
      <c r="AY1030" s="441">
        <v>5973.0940799999998</v>
      </c>
      <c r="AZ1030" s="375"/>
      <c r="BA1030" s="375"/>
      <c r="BB1030" s="375"/>
      <c r="BC1030" s="375"/>
    </row>
    <row r="1031" spans="1:55" s="117" customFormat="1">
      <c r="A1031" s="179"/>
      <c r="B1031" s="179"/>
      <c r="C1031" s="179"/>
      <c r="D1031" s="181">
        <v>345721</v>
      </c>
      <c r="E1031" s="181"/>
      <c r="F1031" s="181"/>
      <c r="G1031" s="1110">
        <v>345721</v>
      </c>
      <c r="H1031" s="131" t="s">
        <v>996</v>
      </c>
      <c r="I1031" s="516" t="s">
        <v>364</v>
      </c>
      <c r="J1031" s="262">
        <f>SUM(J1032:J1033)</f>
        <v>258.34000000000003</v>
      </c>
      <c r="K1031" s="246"/>
      <c r="L1031" s="282"/>
      <c r="M1031" s="262">
        <f>SUM(M1032:M1033)</f>
        <v>288.22000000000003</v>
      </c>
      <c r="N1031" s="246"/>
      <c r="O1031" s="282"/>
      <c r="P1031" s="262">
        <f>SUM(P1032:P1033)</f>
        <v>281.90800000000002</v>
      </c>
      <c r="Q1031" s="246"/>
      <c r="R1031" s="282"/>
      <c r="S1031" s="262">
        <f>SUM(S1032:S1033)</f>
        <v>282.3</v>
      </c>
      <c r="T1031" s="246"/>
      <c r="U1031" s="282"/>
      <c r="V1031" s="262">
        <f>SUM(V1032:V1033)</f>
        <v>207.82</v>
      </c>
      <c r="W1031" s="246"/>
      <c r="X1031" s="282"/>
      <c r="Y1031" s="262">
        <f>SUM(Y1032:Y1033)</f>
        <v>151.86000000000001</v>
      </c>
      <c r="Z1031" s="246"/>
      <c r="AA1031" s="282"/>
      <c r="AB1031" s="262">
        <f>SUM(AB1032:AB1033)</f>
        <v>226.92000000000002</v>
      </c>
      <c r="AC1031" s="246"/>
      <c r="AD1031" s="282"/>
      <c r="AE1031" s="262">
        <f>SUM(AE1032:AE1033)</f>
        <v>296.92</v>
      </c>
      <c r="AF1031" s="246"/>
      <c r="AG1031" s="282"/>
      <c r="AH1031" s="262">
        <f>SUM(AH1032:AH1033)</f>
        <v>186.06</v>
      </c>
      <c r="AI1031" s="246"/>
      <c r="AJ1031" s="282"/>
      <c r="AK1031" s="262">
        <f>SUM(AK1032:AK1033)</f>
        <v>212.28</v>
      </c>
      <c r="AL1031" s="246"/>
      <c r="AM1031" s="336"/>
      <c r="AN1031" s="317">
        <f>SUM(AN1032:AN1033)</f>
        <v>289.39999999999998</v>
      </c>
      <c r="AO1031" s="246"/>
      <c r="AP1031" s="282"/>
      <c r="AQ1031" s="262">
        <f>SUM(AQ1032:AQ1033)</f>
        <v>282.11599999999999</v>
      </c>
      <c r="AR1031" s="246"/>
      <c r="AS1031" s="282"/>
      <c r="AT1031" s="262">
        <f>SUM(AT1032:AT1033)</f>
        <v>2964.1440000000002</v>
      </c>
      <c r="AU1031" s="246"/>
      <c r="AV1031" s="336"/>
      <c r="AW1031" s="285"/>
      <c r="AX1031" s="337"/>
      <c r="AY1031" s="440">
        <v>2788.173119</v>
      </c>
      <c r="AZ1031" s="375"/>
      <c r="BA1031" s="375"/>
      <c r="BB1031" s="375"/>
      <c r="BC1031" s="375"/>
    </row>
    <row r="1032" spans="1:55" s="117" customFormat="1">
      <c r="A1032" s="179"/>
      <c r="B1032" s="179"/>
      <c r="C1032" s="179"/>
      <c r="D1032" s="181"/>
      <c r="E1032" s="181"/>
      <c r="F1032" s="181"/>
      <c r="G1032" s="1110"/>
      <c r="H1032" s="127" t="s">
        <v>997</v>
      </c>
      <c r="I1032" s="516"/>
      <c r="J1032" s="1167">
        <f>104.75-8</f>
        <v>96.75</v>
      </c>
      <c r="K1032" s="545"/>
      <c r="L1032" s="546"/>
      <c r="M1032" s="547">
        <v>97.93</v>
      </c>
      <c r="N1032" s="545"/>
      <c r="O1032" s="741"/>
      <c r="P1032" s="548">
        <v>109.3</v>
      </c>
      <c r="Q1032" s="545"/>
      <c r="R1032" s="546"/>
      <c r="S1032" s="547">
        <v>105.51</v>
      </c>
      <c r="T1032" s="545"/>
      <c r="U1032" s="546"/>
      <c r="V1032" s="547">
        <v>101.25</v>
      </c>
      <c r="W1032" s="545"/>
      <c r="X1032" s="546"/>
      <c r="Y1032" s="1020">
        <v>47.46</v>
      </c>
      <c r="Z1032" s="545"/>
      <c r="AA1032" s="741"/>
      <c r="AB1032" s="548">
        <v>107.88</v>
      </c>
      <c r="AC1032" s="545"/>
      <c r="AD1032" s="546"/>
      <c r="AE1032" s="547">
        <v>107.88</v>
      </c>
      <c r="AF1032" s="545"/>
      <c r="AG1032" s="741"/>
      <c r="AH1032" s="802">
        <f>111.5+20</f>
        <v>131.5</v>
      </c>
      <c r="AI1032" s="545"/>
      <c r="AJ1032" s="546"/>
      <c r="AK1032" s="547">
        <v>103.89</v>
      </c>
      <c r="AL1032" s="545"/>
      <c r="AM1032" s="741"/>
      <c r="AN1032" s="802">
        <f>106.42+10</f>
        <v>116.42</v>
      </c>
      <c r="AO1032" s="545"/>
      <c r="AP1032" s="546"/>
      <c r="AQ1032" s="737">
        <v>114.57599999999999</v>
      </c>
      <c r="AR1032" s="246"/>
      <c r="AS1032" s="282"/>
      <c r="AT1032" s="244">
        <f>J1032+M1032+P1032+S1032+V1032+Y1032+AB1032+AE1032+AH1032+AK1032+AN1032+AQ1032</f>
        <v>1240.346</v>
      </c>
      <c r="AU1032" s="246"/>
      <c r="AV1032" s="336"/>
      <c r="AW1032" s="285"/>
      <c r="AX1032" s="337"/>
      <c r="AY1032" s="441"/>
      <c r="AZ1032" s="375"/>
      <c r="BA1032" s="375"/>
      <c r="BB1032" s="375"/>
      <c r="BC1032" s="375"/>
    </row>
    <row r="1033" spans="1:55" s="117" customFormat="1">
      <c r="A1033" s="179"/>
      <c r="B1033" s="179"/>
      <c r="C1033" s="179"/>
      <c r="D1033" s="181"/>
      <c r="E1033" s="181"/>
      <c r="F1033" s="181"/>
      <c r="G1033" s="1110"/>
      <c r="H1033" s="127" t="s">
        <v>998</v>
      </c>
      <c r="I1033" s="516"/>
      <c r="J1033" s="548">
        <v>161.59</v>
      </c>
      <c r="K1033" s="545"/>
      <c r="L1033" s="546"/>
      <c r="M1033" s="737">
        <f>150.29+40</f>
        <v>190.29</v>
      </c>
      <c r="N1033" s="545"/>
      <c r="O1033" s="741"/>
      <c r="P1033" s="548">
        <v>172.608</v>
      </c>
      <c r="Q1033" s="545"/>
      <c r="R1033" s="546"/>
      <c r="S1033" s="737">
        <f>161.79+15</f>
        <v>176.79</v>
      </c>
      <c r="T1033" s="545"/>
      <c r="U1033" s="546"/>
      <c r="V1033" s="547">
        <v>106.57</v>
      </c>
      <c r="W1033" s="545"/>
      <c r="X1033" s="546"/>
      <c r="Y1033" s="547">
        <v>104.4</v>
      </c>
      <c r="Z1033" s="545"/>
      <c r="AA1033" s="741"/>
      <c r="AB1033" s="548">
        <v>119.04</v>
      </c>
      <c r="AC1033" s="545"/>
      <c r="AD1033" s="546"/>
      <c r="AE1033" s="737">
        <f>119.04+70</f>
        <v>189.04000000000002</v>
      </c>
      <c r="AF1033" s="545"/>
      <c r="AG1033" s="741"/>
      <c r="AH1033" s="802">
        <f>34.56+20</f>
        <v>54.56</v>
      </c>
      <c r="AI1033" s="545"/>
      <c r="AJ1033" s="546"/>
      <c r="AK1033" s="547">
        <f>108.39</f>
        <v>108.39</v>
      </c>
      <c r="AL1033" s="545"/>
      <c r="AM1033" s="741"/>
      <c r="AN1033" s="802">
        <f>162.98+10</f>
        <v>172.98</v>
      </c>
      <c r="AO1033" s="545"/>
      <c r="AP1033" s="546"/>
      <c r="AQ1033" s="737">
        <v>167.54</v>
      </c>
      <c r="AR1033" s="246"/>
      <c r="AS1033" s="282"/>
      <c r="AT1033" s="244">
        <f>J1033+M1033+P1033+S1033+V1033+Y1033+AB1033+AE1033+AH1033+AK1033+AN1033+AQ1033</f>
        <v>1723.798</v>
      </c>
      <c r="AU1033" s="246"/>
      <c r="AV1033" s="336"/>
      <c r="AW1033" s="285"/>
      <c r="AX1033" s="337"/>
      <c r="AY1033" s="441"/>
      <c r="AZ1033" s="375"/>
      <c r="BA1033" s="375"/>
      <c r="BB1033" s="375"/>
      <c r="BC1033" s="375"/>
    </row>
    <row r="1034" spans="1:55" s="117" customFormat="1">
      <c r="A1034" s="179"/>
      <c r="B1034" s="179"/>
      <c r="C1034" s="179"/>
      <c r="D1034" s="181">
        <v>345723</v>
      </c>
      <c r="E1034" s="181"/>
      <c r="F1034" s="181"/>
      <c r="G1034" s="1110">
        <v>345723</v>
      </c>
      <c r="H1034" s="129" t="s">
        <v>1420</v>
      </c>
      <c r="I1034" s="516" t="s">
        <v>364</v>
      </c>
      <c r="J1034" s="548">
        <v>77.599199999999996</v>
      </c>
      <c r="K1034" s="545"/>
      <c r="L1034" s="546"/>
      <c r="M1034" s="547">
        <v>72.592799999999997</v>
      </c>
      <c r="N1034" s="545"/>
      <c r="O1034" s="741"/>
      <c r="P1034" s="548">
        <v>70.089600000000004</v>
      </c>
      <c r="Q1034" s="545"/>
      <c r="R1034" s="546"/>
      <c r="S1034" s="547">
        <v>75.096000000000004</v>
      </c>
      <c r="T1034" s="545"/>
      <c r="U1034" s="546"/>
      <c r="V1034" s="547">
        <v>37.548000000000002</v>
      </c>
      <c r="W1034" s="545"/>
      <c r="X1034" s="546"/>
      <c r="Y1034" s="1020">
        <v>0</v>
      </c>
      <c r="Z1034" s="545"/>
      <c r="AA1034" s="741"/>
      <c r="AB1034" s="548">
        <v>76.260000000000005</v>
      </c>
      <c r="AC1034" s="545"/>
      <c r="AD1034" s="546"/>
      <c r="AE1034" s="547">
        <v>76.632000000000005</v>
      </c>
      <c r="AF1034" s="545"/>
      <c r="AG1034" s="741"/>
      <c r="AH1034" s="548">
        <v>74.52</v>
      </c>
      <c r="AI1034" s="545"/>
      <c r="AJ1034" s="546"/>
      <c r="AK1034" s="547">
        <v>70.089600000000004</v>
      </c>
      <c r="AL1034" s="545"/>
      <c r="AM1034" s="741"/>
      <c r="AN1034" s="955">
        <v>75.096000000000004</v>
      </c>
      <c r="AO1034" s="545"/>
      <c r="AP1034" s="546"/>
      <c r="AQ1034" s="547">
        <v>77.599199999999996</v>
      </c>
      <c r="AR1034" s="246"/>
      <c r="AS1034" s="282"/>
      <c r="AT1034" s="244">
        <f>J1034+M1034+P1034+S1034+V1034+Y1034+AB1034+AE1034+AH1034+AK1034+AN1034+AQ1034</f>
        <v>783.12240000000008</v>
      </c>
      <c r="AU1034" s="246"/>
      <c r="AV1034" s="336"/>
      <c r="AW1034" s="285"/>
      <c r="AX1034" s="337"/>
      <c r="AY1034" s="441">
        <v>811.16144499999996</v>
      </c>
      <c r="AZ1034" s="375"/>
      <c r="BA1034" s="375"/>
      <c r="BB1034" s="375"/>
      <c r="BC1034" s="375"/>
    </row>
    <row r="1035" spans="1:55" s="117" customFormat="1">
      <c r="A1035" s="179"/>
      <c r="B1035" s="179"/>
      <c r="C1035" s="179"/>
      <c r="D1035" s="181">
        <v>345746</v>
      </c>
      <c r="E1035" s="181"/>
      <c r="F1035" s="181"/>
      <c r="G1035" s="1110">
        <v>345746</v>
      </c>
      <c r="H1035" s="129" t="s">
        <v>999</v>
      </c>
      <c r="I1035" s="516"/>
      <c r="J1035" s="548">
        <v>11.21238</v>
      </c>
      <c r="K1035" s="545"/>
      <c r="L1035" s="546"/>
      <c r="M1035" s="547">
        <v>6.8925599999999996</v>
      </c>
      <c r="N1035" s="545"/>
      <c r="O1035" s="741"/>
      <c r="P1035" s="548">
        <v>7.8359759999999996</v>
      </c>
      <c r="Q1035" s="545"/>
      <c r="R1035" s="546"/>
      <c r="S1035" s="547">
        <v>6.8902919999999996</v>
      </c>
      <c r="T1035" s="545"/>
      <c r="U1035" s="546"/>
      <c r="V1035" s="547">
        <v>1.1614679999999999</v>
      </c>
      <c r="W1035" s="545"/>
      <c r="X1035" s="546"/>
      <c r="Y1035" s="547">
        <v>0</v>
      </c>
      <c r="Z1035" s="545"/>
      <c r="AA1035" s="741"/>
      <c r="AB1035" s="548">
        <v>0</v>
      </c>
      <c r="AC1035" s="545"/>
      <c r="AD1035" s="546"/>
      <c r="AE1035" s="547">
        <v>0</v>
      </c>
      <c r="AF1035" s="545"/>
      <c r="AG1035" s="741"/>
      <c r="AH1035" s="548">
        <v>0</v>
      </c>
      <c r="AI1035" s="545"/>
      <c r="AJ1035" s="546"/>
      <c r="AK1035" s="547">
        <v>6.2146840000000001</v>
      </c>
      <c r="AL1035" s="545"/>
      <c r="AM1035" s="741"/>
      <c r="AN1035" s="548">
        <v>9.1221479999999993</v>
      </c>
      <c r="AO1035" s="545"/>
      <c r="AP1035" s="546"/>
      <c r="AQ1035" s="547">
        <v>7.6635359999999997</v>
      </c>
      <c r="AR1035" s="246"/>
      <c r="AS1035" s="282"/>
      <c r="AT1035" s="244">
        <f>J1035+M1035+P1035+S1035+V1035+Y1035+AB1035+AE1035+AH1035+AK1035+AN1035+AQ1035</f>
        <v>56.99304399999999</v>
      </c>
      <c r="AU1035" s="246"/>
      <c r="AV1035" s="336"/>
      <c r="AW1035" s="285"/>
      <c r="AX1035" s="337"/>
      <c r="AY1035" s="441">
        <v>56.993043999999998</v>
      </c>
      <c r="AZ1035" s="375"/>
      <c r="BA1035" s="375"/>
      <c r="BB1035" s="375"/>
      <c r="BC1035" s="375"/>
    </row>
    <row r="1036" spans="1:55" s="117" customFormat="1">
      <c r="A1036" s="179"/>
      <c r="B1036" s="179"/>
      <c r="C1036" s="179"/>
      <c r="D1036" s="181"/>
      <c r="E1036" s="181"/>
      <c r="F1036" s="181"/>
      <c r="G1036" s="1110"/>
      <c r="H1036" s="138" t="s">
        <v>174</v>
      </c>
      <c r="I1036" s="138"/>
      <c r="J1036" s="319">
        <f>SUM(J1037:J1044)</f>
        <v>35.684984999999998</v>
      </c>
      <c r="K1036" s="288"/>
      <c r="L1036" s="289"/>
      <c r="M1036" s="287">
        <f>SUM(M1037:M1044)</f>
        <v>34.199959999999997</v>
      </c>
      <c r="N1036" s="288"/>
      <c r="O1036" s="289"/>
      <c r="P1036" s="287">
        <f>SUM(P1037:P1044)</f>
        <v>37.062607</v>
      </c>
      <c r="Q1036" s="288"/>
      <c r="R1036" s="289"/>
      <c r="S1036" s="287">
        <f>SUM(S1037:S1044)</f>
        <v>31.518095999999996</v>
      </c>
      <c r="T1036" s="288"/>
      <c r="U1036" s="289"/>
      <c r="V1036" s="319">
        <f>SUM(V1037:V1044)</f>
        <v>24.972845999999997</v>
      </c>
      <c r="W1036" s="288"/>
      <c r="X1036" s="289"/>
      <c r="Y1036" s="287">
        <f>SUM(Y1037:Y1044)</f>
        <v>18.165510000000001</v>
      </c>
      <c r="Z1036" s="288"/>
      <c r="AA1036" s="289"/>
      <c r="AB1036" s="287">
        <f>SUM(AB1037:AB1044)</f>
        <v>11.936399999999999</v>
      </c>
      <c r="AC1036" s="288"/>
      <c r="AD1036" s="289"/>
      <c r="AE1036" s="287">
        <f>SUM(AE1037:AE1044)</f>
        <v>14.725229999999998</v>
      </c>
      <c r="AF1036" s="288"/>
      <c r="AG1036" s="289"/>
      <c r="AH1036" s="287">
        <f>SUM(AH1037:AH1044)</f>
        <v>17.403400000000001</v>
      </c>
      <c r="AI1036" s="288"/>
      <c r="AJ1036" s="289"/>
      <c r="AK1036" s="287">
        <f>SUM(AK1037:AK1044)</f>
        <v>25.916242</v>
      </c>
      <c r="AL1036" s="288"/>
      <c r="AM1036" s="289"/>
      <c r="AN1036" s="287">
        <f>SUM(AN1037:AN1044)</f>
        <v>34.328819000000003</v>
      </c>
      <c r="AO1036" s="288"/>
      <c r="AP1036" s="289"/>
      <c r="AQ1036" s="287">
        <f>SUM(AQ1037:AQ1044)</f>
        <v>38.349292999999996</v>
      </c>
      <c r="AR1036" s="288"/>
      <c r="AS1036" s="289"/>
      <c r="AT1036" s="287">
        <f>SUM(AT1037:AT1044)</f>
        <v>324.26338799999996</v>
      </c>
      <c r="AU1036" s="288"/>
      <c r="AV1036" s="290"/>
      <c r="AW1036" s="285"/>
      <c r="AX1036" s="296"/>
      <c r="AY1036" s="292"/>
      <c r="AZ1036" s="375"/>
      <c r="BA1036" s="375"/>
      <c r="BB1036" s="375"/>
      <c r="BC1036" s="375"/>
    </row>
    <row r="1037" spans="1:55" s="117" customFormat="1">
      <c r="A1037" s="179"/>
      <c r="B1037" s="179"/>
      <c r="C1037" s="179"/>
      <c r="D1037" s="181">
        <v>345737</v>
      </c>
      <c r="E1037" s="181"/>
      <c r="F1037" s="181"/>
      <c r="G1037" s="1110">
        <v>345737</v>
      </c>
      <c r="H1037" s="142" t="s">
        <v>448</v>
      </c>
      <c r="I1037" s="518" t="s">
        <v>365</v>
      </c>
      <c r="J1037" s="736">
        <v>0.54</v>
      </c>
      <c r="K1037" s="734"/>
      <c r="L1037" s="735"/>
      <c r="M1037" s="736">
        <v>0.56399999999999995</v>
      </c>
      <c r="N1037" s="734"/>
      <c r="O1037" s="742"/>
      <c r="P1037" s="733">
        <v>0.56799999999999995</v>
      </c>
      <c r="Q1037" s="734"/>
      <c r="R1037" s="735"/>
      <c r="S1037" s="736">
        <v>0.59299999999999997</v>
      </c>
      <c r="T1037" s="734"/>
      <c r="U1037" s="735"/>
      <c r="V1037" s="736">
        <v>0.33400000000000002</v>
      </c>
      <c r="W1037" s="734"/>
      <c r="X1037" s="735"/>
      <c r="Y1037" s="736">
        <v>0</v>
      </c>
      <c r="Z1037" s="734"/>
      <c r="AA1037" s="742"/>
      <c r="AB1037" s="733">
        <v>0</v>
      </c>
      <c r="AC1037" s="734"/>
      <c r="AD1037" s="735"/>
      <c r="AE1037" s="736">
        <v>0</v>
      </c>
      <c r="AF1037" s="734"/>
      <c r="AG1037" s="742"/>
      <c r="AH1037" s="733">
        <v>0</v>
      </c>
      <c r="AI1037" s="734"/>
      <c r="AJ1037" s="735"/>
      <c r="AK1037" s="736">
        <v>0</v>
      </c>
      <c r="AL1037" s="734"/>
      <c r="AM1037" s="742"/>
      <c r="AN1037" s="733">
        <v>0.1</v>
      </c>
      <c r="AO1037" s="734"/>
      <c r="AP1037" s="735"/>
      <c r="AQ1037" s="736">
        <v>0.62</v>
      </c>
      <c r="AR1037" s="288"/>
      <c r="AS1037" s="289"/>
      <c r="AT1037" s="294">
        <f t="shared" ref="AT1037:AT1044" si="38">J1037+M1037+P1037+S1037+V1037+Y1037+AB1037+AE1037+AH1037+AK1037+AN1037+AQ1037</f>
        <v>3.3190000000000004</v>
      </c>
      <c r="AU1037" s="288"/>
      <c r="AV1037" s="290"/>
      <c r="AW1037" s="285"/>
      <c r="AX1037" s="296"/>
      <c r="AY1037" s="295"/>
      <c r="AZ1037" s="375"/>
      <c r="BA1037" s="375"/>
      <c r="BB1037" s="375"/>
      <c r="BC1037" s="375"/>
    </row>
    <row r="1038" spans="1:55" s="117" customFormat="1">
      <c r="A1038" s="179"/>
      <c r="B1038" s="179"/>
      <c r="C1038" s="179"/>
      <c r="D1038" s="181">
        <v>345742</v>
      </c>
      <c r="E1038" s="181"/>
      <c r="F1038" s="181"/>
      <c r="G1038" s="1110">
        <v>345742</v>
      </c>
      <c r="H1038" s="142" t="s">
        <v>217</v>
      </c>
      <c r="I1038" s="518" t="s">
        <v>365</v>
      </c>
      <c r="J1038" s="736">
        <v>4.7300000000000004</v>
      </c>
      <c r="K1038" s="734"/>
      <c r="L1038" s="735"/>
      <c r="M1038" s="736">
        <v>4.1139999999999999</v>
      </c>
      <c r="N1038" s="734"/>
      <c r="O1038" s="742"/>
      <c r="P1038" s="733">
        <v>4.492</v>
      </c>
      <c r="Q1038" s="734"/>
      <c r="R1038" s="735"/>
      <c r="S1038" s="736">
        <v>4.3</v>
      </c>
      <c r="T1038" s="734"/>
      <c r="U1038" s="735"/>
      <c r="V1038" s="736">
        <v>3.835</v>
      </c>
      <c r="W1038" s="734"/>
      <c r="X1038" s="735"/>
      <c r="Y1038" s="736">
        <v>2.718</v>
      </c>
      <c r="Z1038" s="734"/>
      <c r="AA1038" s="742"/>
      <c r="AB1038" s="733">
        <v>1.198</v>
      </c>
      <c r="AC1038" s="734"/>
      <c r="AD1038" s="735"/>
      <c r="AE1038" s="736">
        <v>3.05</v>
      </c>
      <c r="AF1038" s="734"/>
      <c r="AG1038" s="742"/>
      <c r="AH1038" s="733">
        <v>3.79</v>
      </c>
      <c r="AI1038" s="734"/>
      <c r="AJ1038" s="735"/>
      <c r="AK1038" s="736">
        <v>4.05</v>
      </c>
      <c r="AL1038" s="734"/>
      <c r="AM1038" s="742"/>
      <c r="AN1038" s="733">
        <v>4.3411999999999997</v>
      </c>
      <c r="AO1038" s="734"/>
      <c r="AP1038" s="735"/>
      <c r="AQ1038" s="736">
        <v>4.5999999999999996</v>
      </c>
      <c r="AR1038" s="288"/>
      <c r="AS1038" s="289"/>
      <c r="AT1038" s="294">
        <f t="shared" si="38"/>
        <v>45.218200000000003</v>
      </c>
      <c r="AU1038" s="288"/>
      <c r="AV1038" s="290"/>
      <c r="AW1038" s="285"/>
      <c r="AX1038" s="296"/>
      <c r="AY1038" s="295"/>
      <c r="AZ1038" s="375"/>
      <c r="BA1038" s="375"/>
      <c r="BB1038" s="375"/>
      <c r="BC1038" s="375"/>
    </row>
    <row r="1039" spans="1:55" s="117" customFormat="1">
      <c r="A1039" s="179"/>
      <c r="B1039" s="179"/>
      <c r="C1039" s="179"/>
      <c r="D1039" s="181">
        <v>345788</v>
      </c>
      <c r="E1039" s="181"/>
      <c r="F1039" s="181"/>
      <c r="G1039" s="1110">
        <v>345788</v>
      </c>
      <c r="H1039" s="142" t="s">
        <v>1421</v>
      </c>
      <c r="I1039" s="518" t="s">
        <v>365</v>
      </c>
      <c r="J1039" s="736">
        <v>0</v>
      </c>
      <c r="K1039" s="734"/>
      <c r="L1039" s="735"/>
      <c r="M1039" s="736">
        <v>0</v>
      </c>
      <c r="N1039" s="734"/>
      <c r="O1039" s="742"/>
      <c r="P1039" s="733">
        <v>0</v>
      </c>
      <c r="Q1039" s="734"/>
      <c r="R1039" s="735"/>
      <c r="S1039" s="736">
        <v>0</v>
      </c>
      <c r="T1039" s="734"/>
      <c r="U1039" s="735"/>
      <c r="V1039" s="736">
        <v>0</v>
      </c>
      <c r="W1039" s="734"/>
      <c r="X1039" s="735"/>
      <c r="Y1039" s="736">
        <v>0</v>
      </c>
      <c r="Z1039" s="734"/>
      <c r="AA1039" s="742"/>
      <c r="AB1039" s="733">
        <v>0</v>
      </c>
      <c r="AC1039" s="734"/>
      <c r="AD1039" s="735"/>
      <c r="AE1039" s="736">
        <v>0</v>
      </c>
      <c r="AF1039" s="734"/>
      <c r="AG1039" s="742"/>
      <c r="AH1039" s="733">
        <v>0</v>
      </c>
      <c r="AI1039" s="734"/>
      <c r="AJ1039" s="735"/>
      <c r="AK1039" s="736">
        <v>0</v>
      </c>
      <c r="AL1039" s="734"/>
      <c r="AM1039" s="742"/>
      <c r="AN1039" s="733">
        <v>0</v>
      </c>
      <c r="AO1039" s="734"/>
      <c r="AP1039" s="735"/>
      <c r="AQ1039" s="736">
        <v>0</v>
      </c>
      <c r="AR1039" s="288"/>
      <c r="AS1039" s="289"/>
      <c r="AT1039" s="294">
        <f t="shared" si="38"/>
        <v>0</v>
      </c>
      <c r="AU1039" s="288"/>
      <c r="AV1039" s="290"/>
      <c r="AW1039" s="285"/>
      <c r="AX1039" s="296"/>
      <c r="AY1039" s="295"/>
      <c r="AZ1039" s="375"/>
      <c r="BA1039" s="375"/>
      <c r="BB1039" s="375"/>
      <c r="BC1039" s="375"/>
    </row>
    <row r="1040" spans="1:55" s="117" customFormat="1">
      <c r="A1040" s="179"/>
      <c r="B1040" s="179"/>
      <c r="C1040" s="179"/>
      <c r="D1040" s="181">
        <v>345739</v>
      </c>
      <c r="E1040" s="181"/>
      <c r="F1040" s="181"/>
      <c r="G1040" s="1110">
        <v>345739</v>
      </c>
      <c r="H1040" s="142" t="s">
        <v>449</v>
      </c>
      <c r="I1040" s="518" t="s">
        <v>365</v>
      </c>
      <c r="J1040" s="736">
        <v>7.6321149999999998</v>
      </c>
      <c r="K1040" s="734"/>
      <c r="L1040" s="735"/>
      <c r="M1040" s="736">
        <v>6.5354549999999998</v>
      </c>
      <c r="N1040" s="734"/>
      <c r="O1040" s="742"/>
      <c r="P1040" s="733">
        <v>6.7337550000000004</v>
      </c>
      <c r="Q1040" s="734"/>
      <c r="R1040" s="735"/>
      <c r="S1040" s="736">
        <v>5.7716229999999999</v>
      </c>
      <c r="T1040" s="734"/>
      <c r="U1040" s="735"/>
      <c r="V1040" s="736">
        <v>4.3600000000000003</v>
      </c>
      <c r="W1040" s="734"/>
      <c r="X1040" s="735"/>
      <c r="Y1040" s="736">
        <v>3.26</v>
      </c>
      <c r="Z1040" s="734"/>
      <c r="AA1040" s="742"/>
      <c r="AB1040" s="733">
        <v>2.76</v>
      </c>
      <c r="AC1040" s="734"/>
      <c r="AD1040" s="735"/>
      <c r="AE1040" s="736">
        <v>2</v>
      </c>
      <c r="AF1040" s="734"/>
      <c r="AG1040" s="742"/>
      <c r="AH1040" s="733">
        <v>3.36</v>
      </c>
      <c r="AI1040" s="734"/>
      <c r="AJ1040" s="735"/>
      <c r="AK1040" s="736">
        <v>5.5158519999999998</v>
      </c>
      <c r="AL1040" s="734"/>
      <c r="AM1040" s="742"/>
      <c r="AN1040" s="733">
        <v>5.7783699999999998</v>
      </c>
      <c r="AO1040" s="734"/>
      <c r="AP1040" s="735"/>
      <c r="AQ1040" s="736">
        <v>6.7203299999999997</v>
      </c>
      <c r="AR1040" s="288"/>
      <c r="AS1040" s="289"/>
      <c r="AT1040" s="294">
        <f t="shared" si="38"/>
        <v>60.427499999999995</v>
      </c>
      <c r="AU1040" s="288"/>
      <c r="AV1040" s="290"/>
      <c r="AW1040" s="285"/>
      <c r="AX1040" s="296"/>
      <c r="AY1040" s="295"/>
      <c r="AZ1040" s="375"/>
      <c r="BA1040" s="375"/>
      <c r="BB1040" s="375"/>
      <c r="BC1040" s="375"/>
    </row>
    <row r="1041" spans="1:55" s="117" customFormat="1">
      <c r="A1041" s="179"/>
      <c r="B1041" s="179"/>
      <c r="C1041" s="179"/>
      <c r="D1041" s="181">
        <v>345743</v>
      </c>
      <c r="E1041" s="181"/>
      <c r="F1041" s="181"/>
      <c r="G1041" s="1110">
        <v>345743</v>
      </c>
      <c r="H1041" s="142" t="s">
        <v>1422</v>
      </c>
      <c r="I1041" s="518" t="s">
        <v>365</v>
      </c>
      <c r="J1041" s="736">
        <v>9.5325000000000006</v>
      </c>
      <c r="K1041" s="734"/>
      <c r="L1041" s="735"/>
      <c r="M1041" s="736">
        <v>11.269</v>
      </c>
      <c r="N1041" s="734"/>
      <c r="O1041" s="742"/>
      <c r="P1041" s="733">
        <v>11.3292</v>
      </c>
      <c r="Q1041" s="734"/>
      <c r="R1041" s="735"/>
      <c r="S1041" s="736">
        <v>7.5915999999999997</v>
      </c>
      <c r="T1041" s="734"/>
      <c r="U1041" s="735"/>
      <c r="V1041" s="736">
        <v>3.4537</v>
      </c>
      <c r="W1041" s="734"/>
      <c r="X1041" s="735"/>
      <c r="Y1041" s="736">
        <v>2.0169999999999999</v>
      </c>
      <c r="Z1041" s="734"/>
      <c r="AA1041" s="742"/>
      <c r="AB1041" s="733">
        <v>1.1275999999999999</v>
      </c>
      <c r="AC1041" s="734"/>
      <c r="AD1041" s="735"/>
      <c r="AE1041" s="736">
        <v>1.4330000000000001</v>
      </c>
      <c r="AF1041" s="734"/>
      <c r="AG1041" s="742"/>
      <c r="AH1041" s="733">
        <v>2.3191999999999999</v>
      </c>
      <c r="AI1041" s="734"/>
      <c r="AJ1041" s="735"/>
      <c r="AK1041" s="736">
        <v>8.1997</v>
      </c>
      <c r="AL1041" s="734"/>
      <c r="AM1041" s="742"/>
      <c r="AN1041" s="733">
        <v>11.5313</v>
      </c>
      <c r="AO1041" s="734"/>
      <c r="AP1041" s="735"/>
      <c r="AQ1041" s="736">
        <v>12.6831</v>
      </c>
      <c r="AR1041" s="288"/>
      <c r="AS1041" s="289"/>
      <c r="AT1041" s="294">
        <f t="shared" si="38"/>
        <v>82.486900000000006</v>
      </c>
      <c r="AU1041" s="288"/>
      <c r="AV1041" s="290"/>
      <c r="AW1041" s="285"/>
      <c r="AX1041" s="296"/>
      <c r="AY1041" s="295"/>
      <c r="AZ1041" s="375"/>
      <c r="BA1041" s="375"/>
      <c r="BB1041" s="375"/>
      <c r="BC1041" s="375"/>
    </row>
    <row r="1042" spans="1:55" s="117" customFormat="1">
      <c r="A1042" s="179"/>
      <c r="B1042" s="179"/>
      <c r="C1042" s="179"/>
      <c r="D1042" s="181">
        <v>345771</v>
      </c>
      <c r="E1042" s="181"/>
      <c r="F1042" s="181"/>
      <c r="G1042" s="1110">
        <v>345771</v>
      </c>
      <c r="H1042" s="142" t="s">
        <v>1424</v>
      </c>
      <c r="I1042" s="518" t="s">
        <v>365</v>
      </c>
      <c r="J1042" s="736">
        <v>5.1455599999999997</v>
      </c>
      <c r="K1042" s="734"/>
      <c r="L1042" s="735"/>
      <c r="M1042" s="736">
        <v>5.0478550000000002</v>
      </c>
      <c r="N1042" s="734"/>
      <c r="O1042" s="742"/>
      <c r="P1042" s="733">
        <v>5.5877020000000002</v>
      </c>
      <c r="Q1042" s="734"/>
      <c r="R1042" s="735"/>
      <c r="S1042" s="736">
        <v>5.1950029999999998</v>
      </c>
      <c r="T1042" s="734"/>
      <c r="U1042" s="735"/>
      <c r="V1042" s="736">
        <v>5.0542959999999999</v>
      </c>
      <c r="W1042" s="734"/>
      <c r="X1042" s="735"/>
      <c r="Y1042" s="736">
        <v>2.7632599999999998</v>
      </c>
      <c r="Z1042" s="734"/>
      <c r="AA1042" s="742"/>
      <c r="AB1042" s="733">
        <v>0</v>
      </c>
      <c r="AC1042" s="734"/>
      <c r="AD1042" s="735"/>
      <c r="AE1042" s="736">
        <v>0</v>
      </c>
      <c r="AF1042" s="734"/>
      <c r="AG1042" s="742"/>
      <c r="AH1042" s="733">
        <v>0</v>
      </c>
      <c r="AI1042" s="734"/>
      <c r="AJ1042" s="735"/>
      <c r="AK1042" s="736">
        <v>0</v>
      </c>
      <c r="AL1042" s="734"/>
      <c r="AM1042" s="742"/>
      <c r="AN1042" s="733">
        <v>4.555199</v>
      </c>
      <c r="AO1042" s="734"/>
      <c r="AP1042" s="735"/>
      <c r="AQ1042" s="736">
        <v>5.3929130000000001</v>
      </c>
      <c r="AR1042" s="288"/>
      <c r="AS1042" s="289"/>
      <c r="AT1042" s="294">
        <f t="shared" si="38"/>
        <v>38.741788</v>
      </c>
      <c r="AU1042" s="288"/>
      <c r="AV1042" s="290"/>
      <c r="AW1042" s="285"/>
      <c r="AX1042" s="296"/>
      <c r="AY1042" s="295"/>
      <c r="AZ1042" s="375"/>
      <c r="BA1042" s="375"/>
      <c r="BB1042" s="375"/>
      <c r="BC1042" s="375"/>
    </row>
    <row r="1043" spans="1:55" s="117" customFormat="1">
      <c r="A1043" s="179"/>
      <c r="B1043" s="179"/>
      <c r="C1043" s="179"/>
      <c r="D1043" s="181">
        <v>777257</v>
      </c>
      <c r="E1043" s="181"/>
      <c r="F1043" s="181"/>
      <c r="G1043" s="1110">
        <v>777257</v>
      </c>
      <c r="H1043" s="142" t="s">
        <v>1423</v>
      </c>
      <c r="I1043" s="518" t="s">
        <v>365</v>
      </c>
      <c r="J1043" s="736">
        <v>4.0999999999999996</v>
      </c>
      <c r="K1043" s="734"/>
      <c r="L1043" s="735"/>
      <c r="M1043" s="736">
        <v>3.09</v>
      </c>
      <c r="N1043" s="734"/>
      <c r="O1043" s="742"/>
      <c r="P1043" s="733">
        <v>3.9</v>
      </c>
      <c r="Q1043" s="734"/>
      <c r="R1043" s="735"/>
      <c r="S1043" s="736">
        <v>3.7</v>
      </c>
      <c r="T1043" s="734"/>
      <c r="U1043" s="735"/>
      <c r="V1043" s="736">
        <v>3.5</v>
      </c>
      <c r="W1043" s="734"/>
      <c r="X1043" s="735"/>
      <c r="Y1043" s="736">
        <v>3.58</v>
      </c>
      <c r="Z1043" s="734"/>
      <c r="AA1043" s="742"/>
      <c r="AB1043" s="733">
        <v>3.6</v>
      </c>
      <c r="AC1043" s="734"/>
      <c r="AD1043" s="735"/>
      <c r="AE1043" s="736">
        <v>4.0999999999999996</v>
      </c>
      <c r="AF1043" s="734"/>
      <c r="AG1043" s="742"/>
      <c r="AH1043" s="733">
        <v>3.6</v>
      </c>
      <c r="AI1043" s="734"/>
      <c r="AJ1043" s="735"/>
      <c r="AK1043" s="736">
        <v>3.8</v>
      </c>
      <c r="AL1043" s="734"/>
      <c r="AM1043" s="742"/>
      <c r="AN1043" s="733">
        <v>3.8</v>
      </c>
      <c r="AO1043" s="734"/>
      <c r="AP1043" s="735"/>
      <c r="AQ1043" s="736">
        <v>3.9</v>
      </c>
      <c r="AR1043" s="288"/>
      <c r="AS1043" s="289"/>
      <c r="AT1043" s="294">
        <f t="shared" si="38"/>
        <v>44.669999999999995</v>
      </c>
      <c r="AU1043" s="288"/>
      <c r="AV1043" s="290"/>
      <c r="AW1043" s="285"/>
      <c r="AX1043" s="296"/>
      <c r="AY1043" s="295"/>
      <c r="AZ1043" s="375"/>
      <c r="BA1043" s="375"/>
      <c r="BB1043" s="375"/>
      <c r="BC1043" s="375"/>
    </row>
    <row r="1044" spans="1:55" s="117" customFormat="1">
      <c r="A1044" s="179"/>
      <c r="B1044" s="179"/>
      <c r="C1044" s="179"/>
      <c r="D1044" s="181">
        <v>345774</v>
      </c>
      <c r="E1044" s="181"/>
      <c r="F1044" s="181"/>
      <c r="G1044" s="1110">
        <v>345774</v>
      </c>
      <c r="H1044" s="142" t="s">
        <v>1425</v>
      </c>
      <c r="I1044" s="518" t="s">
        <v>365</v>
      </c>
      <c r="J1044" s="736">
        <v>4.00481</v>
      </c>
      <c r="K1044" s="734"/>
      <c r="L1044" s="735"/>
      <c r="M1044" s="736">
        <v>3.57965</v>
      </c>
      <c r="N1044" s="734"/>
      <c r="O1044" s="742"/>
      <c r="P1044" s="733">
        <v>4.4519500000000001</v>
      </c>
      <c r="Q1044" s="734"/>
      <c r="R1044" s="735"/>
      <c r="S1044" s="736">
        <v>4.3668699999999996</v>
      </c>
      <c r="T1044" s="734"/>
      <c r="U1044" s="735"/>
      <c r="V1044" s="736">
        <v>4.4358500000000003</v>
      </c>
      <c r="W1044" s="734"/>
      <c r="X1044" s="735"/>
      <c r="Y1044" s="736">
        <v>3.8272499999999998</v>
      </c>
      <c r="Z1044" s="734"/>
      <c r="AA1044" s="742"/>
      <c r="AB1044" s="733">
        <v>3.2507999999999999</v>
      </c>
      <c r="AC1044" s="734"/>
      <c r="AD1044" s="735"/>
      <c r="AE1044" s="736">
        <v>4.1422299999999996</v>
      </c>
      <c r="AF1044" s="734"/>
      <c r="AG1044" s="742"/>
      <c r="AH1044" s="733">
        <v>4.3342000000000001</v>
      </c>
      <c r="AI1044" s="734"/>
      <c r="AJ1044" s="735"/>
      <c r="AK1044" s="736">
        <v>4.3506900000000002</v>
      </c>
      <c r="AL1044" s="734"/>
      <c r="AM1044" s="742"/>
      <c r="AN1044" s="733">
        <v>4.2227499999999996</v>
      </c>
      <c r="AO1044" s="734"/>
      <c r="AP1044" s="735"/>
      <c r="AQ1044" s="736">
        <v>4.4329499999999999</v>
      </c>
      <c r="AR1044" s="288"/>
      <c r="AS1044" s="289"/>
      <c r="AT1044" s="294">
        <f t="shared" si="38"/>
        <v>49.399999999999991</v>
      </c>
      <c r="AU1044" s="288"/>
      <c r="AV1044" s="290"/>
      <c r="AW1044" s="285"/>
      <c r="AX1044" s="296"/>
      <c r="AY1044" s="295"/>
      <c r="AZ1044" s="375"/>
      <c r="BA1044" s="375"/>
      <c r="BB1044" s="375"/>
      <c r="BC1044" s="375"/>
    </row>
    <row r="1045" spans="1:55" s="117" customFormat="1">
      <c r="A1045" s="179"/>
      <c r="B1045" s="179"/>
      <c r="C1045" s="179"/>
      <c r="D1045" s="181"/>
      <c r="E1045" s="181"/>
      <c r="F1045" s="181"/>
      <c r="G1045" s="181"/>
      <c r="H1045" s="477" t="s">
        <v>53</v>
      </c>
      <c r="I1045" s="477"/>
      <c r="J1045" s="393">
        <f>J1046+J1047+J1048+J1049</f>
        <v>4210.3946739422609</v>
      </c>
      <c r="K1045" s="391">
        <f>L1045-J1045</f>
        <v>-2111.0744739422612</v>
      </c>
      <c r="L1045" s="392">
        <f>Потребление!D62</f>
        <v>2099.3201999999997</v>
      </c>
      <c r="M1045" s="393">
        <f>M1046+M1047+M1048+M1049</f>
        <v>3309.9229174807128</v>
      </c>
      <c r="N1045" s="391">
        <f>O1045-M1045</f>
        <v>-1335.5060674807132</v>
      </c>
      <c r="O1045" s="392">
        <f>Потребление!E62</f>
        <v>1974.4168499999996</v>
      </c>
      <c r="P1045" s="393">
        <f>P1046+P1047+P1048+P1049</f>
        <v>3534.8357958032229</v>
      </c>
      <c r="Q1045" s="391">
        <f>R1045-P1045</f>
        <v>-1536.8168958032229</v>
      </c>
      <c r="R1045" s="392">
        <f>Потребление!F62</f>
        <v>1998.0189</v>
      </c>
      <c r="S1045" s="393">
        <f>S1046+S1047+S1048+S1049</f>
        <v>3020.610723227539</v>
      </c>
      <c r="T1045" s="391">
        <f>U1045-S1045</f>
        <v>-1267.1209232275392</v>
      </c>
      <c r="U1045" s="392">
        <f>Потребление!G62</f>
        <v>1753.4897999999998</v>
      </c>
      <c r="V1045" s="393">
        <f>V1046+V1047+V1048+V1049</f>
        <v>3040.4290527416993</v>
      </c>
      <c r="W1045" s="391">
        <f>X1045-V1045</f>
        <v>-1443.2346027416995</v>
      </c>
      <c r="X1045" s="392">
        <f>Потребление!H62</f>
        <v>1597.1944499999997</v>
      </c>
      <c r="Y1045" s="393">
        <f>Y1046+Y1047+Y1048+Y1049</f>
        <v>3081.4285400432127</v>
      </c>
      <c r="Z1045" s="391">
        <f>AA1045-Y1045</f>
        <v>-1623.1823900432128</v>
      </c>
      <c r="AA1045" s="392">
        <f>Потребление!I62</f>
        <v>1458.2461499999999</v>
      </c>
      <c r="AB1045" s="393">
        <f>AB1046+AB1047+AB1048+AB1049</f>
        <v>3158.3744143781737</v>
      </c>
      <c r="AC1045" s="391">
        <f>AD1045-AB1045</f>
        <v>-1682.0148643781738</v>
      </c>
      <c r="AD1045" s="392">
        <f>Потребление!J62</f>
        <v>1476.3595499999999</v>
      </c>
      <c r="AE1045" s="393">
        <f>AE1046+AE1047+AE1048+AE1049</f>
        <v>2702.4654459644776</v>
      </c>
      <c r="AF1045" s="391">
        <f>AG1045-AE1045</f>
        <v>-1161.4953459644776</v>
      </c>
      <c r="AG1045" s="392">
        <f>Потребление!K62</f>
        <v>1540.9701</v>
      </c>
      <c r="AH1045" s="393">
        <f>AH1046+AH1047+AH1048+AH1049</f>
        <v>2803.4069810086671</v>
      </c>
      <c r="AI1045" s="391">
        <f>AJ1045-AH1045</f>
        <v>-1201.3295810086672</v>
      </c>
      <c r="AJ1045" s="392">
        <f>Потребление!L62</f>
        <v>1602.0773999999999</v>
      </c>
      <c r="AK1045" s="393">
        <f>AK1046+AK1047+AK1048+AK1049</f>
        <v>3437.0485575468751</v>
      </c>
      <c r="AL1045" s="391">
        <f>AM1045-AK1045</f>
        <v>-1570.4328075468752</v>
      </c>
      <c r="AM1045" s="392">
        <f>Потребление!M62</f>
        <v>1866.6157499999999</v>
      </c>
      <c r="AN1045" s="393">
        <f>AN1046+AN1047+AN1048+AN1049</f>
        <v>2889.967017421387</v>
      </c>
      <c r="AO1045" s="391">
        <f>AP1045-AN1045</f>
        <v>-907.73951742138752</v>
      </c>
      <c r="AP1045" s="392">
        <f>Потребление!N62</f>
        <v>1982.2274999999995</v>
      </c>
      <c r="AQ1045" s="393">
        <f>AQ1046+AQ1047+AQ1048+AQ1049</f>
        <v>3310.1648644893799</v>
      </c>
      <c r="AR1045" s="391">
        <f>AS1045-AQ1045</f>
        <v>-1158.10151448938</v>
      </c>
      <c r="AS1045" s="392">
        <f>Потребление!O62</f>
        <v>2152.0633499999999</v>
      </c>
      <c r="AT1045" s="393">
        <f>AT1046+AT1047+AT1048+AT1049</f>
        <v>38499.048984047608</v>
      </c>
      <c r="AU1045" s="391">
        <f>AV1045-AT1045</f>
        <v>-16998.048984047611</v>
      </c>
      <c r="AV1045" s="394">
        <f>L1045+O1045+R1045+U1045+X1045+AA1045+AD1045+AG1045+AJ1045+AM1045+AP1045+AS1045</f>
        <v>21500.999999999996</v>
      </c>
      <c r="AW1045" s="395"/>
      <c r="AX1045" s="396"/>
      <c r="AY1045" s="442">
        <f>AY1046+AY1047+AY1048+AY1049</f>
        <v>42721.129452000001</v>
      </c>
      <c r="AZ1045" s="375"/>
      <c r="BA1045" s="375"/>
      <c r="BB1045" s="375"/>
      <c r="BC1045" s="375"/>
    </row>
    <row r="1046" spans="1:55" s="117" customFormat="1">
      <c r="A1046" s="179"/>
      <c r="B1046" s="179"/>
      <c r="C1046" s="179"/>
      <c r="D1046" s="181"/>
      <c r="E1046" s="181"/>
      <c r="F1046" s="181"/>
      <c r="G1046" s="181"/>
      <c r="H1046" s="10" t="s">
        <v>56</v>
      </c>
      <c r="I1046" s="10"/>
      <c r="J1046" s="223">
        <f>J1058+J1062+J1065+J1066+J1070</f>
        <v>689.18335999999999</v>
      </c>
      <c r="K1046" s="271"/>
      <c r="L1046" s="224"/>
      <c r="M1046" s="270">
        <f>M1058+M1062+M1065+M1066+M1070</f>
        <v>707.60687999999993</v>
      </c>
      <c r="N1046" s="271"/>
      <c r="O1046" s="224"/>
      <c r="P1046" s="223">
        <f>P1058+P1062+P1065+P1066+P1070</f>
        <v>744.12495999999999</v>
      </c>
      <c r="Q1046" s="271"/>
      <c r="R1046" s="224"/>
      <c r="S1046" s="270">
        <f>S1058+S1062+S1065+S1066+S1070</f>
        <v>563.1268</v>
      </c>
      <c r="T1046" s="271"/>
      <c r="U1046" s="224"/>
      <c r="V1046" s="270">
        <f>V1058+V1062+V1065+V1066+V1070</f>
        <v>553.00315999999998</v>
      </c>
      <c r="W1046" s="271"/>
      <c r="X1046" s="224"/>
      <c r="Y1046" s="270">
        <f>Y1058+Y1062+Y1065+Y1066+Y1070</f>
        <v>475.47220000000004</v>
      </c>
      <c r="Z1046" s="271"/>
      <c r="AA1046" s="224"/>
      <c r="AB1046" s="270">
        <f>AB1058+AB1062+AB1065+AB1066+AB1070</f>
        <v>484.40735999999998</v>
      </c>
      <c r="AC1046" s="271"/>
      <c r="AD1046" s="224"/>
      <c r="AE1046" s="270">
        <f>AE1058+AE1062+AE1065+AE1066+AE1070</f>
        <v>495.51096000000001</v>
      </c>
      <c r="AF1046" s="271"/>
      <c r="AG1046" s="224"/>
      <c r="AH1046" s="270">
        <f>AH1058+AH1062+AH1065+AH1066+AH1070</f>
        <v>520.99760000000003</v>
      </c>
      <c r="AI1046" s="271"/>
      <c r="AJ1046" s="224"/>
      <c r="AK1046" s="270">
        <f>AK1058+AK1062+AK1065+AK1066+AK1070</f>
        <v>382.86075999999997</v>
      </c>
      <c r="AL1046" s="271"/>
      <c r="AM1046" s="224"/>
      <c r="AN1046" s="270">
        <f>AN1058+AN1062+AN1065+AN1066+AN1070</f>
        <v>712.18700000000001</v>
      </c>
      <c r="AO1046" s="271"/>
      <c r="AP1046" s="224"/>
      <c r="AQ1046" s="270">
        <f>AQ1058+AQ1062+AQ1065+AQ1066+AQ1070</f>
        <v>765.35536000000002</v>
      </c>
      <c r="AR1046" s="271"/>
      <c r="AS1046" s="224"/>
      <c r="AT1046" s="270">
        <f>AT1058+AT1062+AT1065+AT1066+AT1070</f>
        <v>7093.8363999999992</v>
      </c>
      <c r="AU1046" s="271"/>
      <c r="AV1046" s="229"/>
      <c r="AW1046" s="226"/>
      <c r="AX1046" s="230"/>
      <c r="AY1046" s="231">
        <f>AY1058+AY1062+AY1065+AY1066+AY1070</f>
        <v>7900.2503829999996</v>
      </c>
      <c r="AZ1046" s="375"/>
      <c r="BA1046" s="375"/>
      <c r="BB1046" s="375"/>
      <c r="BC1046" s="375"/>
    </row>
    <row r="1047" spans="1:55" s="117" customFormat="1">
      <c r="A1047" s="179"/>
      <c r="B1047" s="179"/>
      <c r="C1047" s="179"/>
      <c r="D1047" s="181"/>
      <c r="E1047" s="181"/>
      <c r="F1047" s="181"/>
      <c r="G1047" s="181"/>
      <c r="H1047" s="10" t="s">
        <v>55</v>
      </c>
      <c r="I1047" s="10"/>
      <c r="J1047" s="223">
        <f>J1050+J1053+J1057</f>
        <v>259.06136894226074</v>
      </c>
      <c r="K1047" s="271"/>
      <c r="L1047" s="224"/>
      <c r="M1047" s="270">
        <f>M1050+M1053+M1057</f>
        <v>238.52286148071289</v>
      </c>
      <c r="N1047" s="271"/>
      <c r="O1047" s="224"/>
      <c r="P1047" s="223">
        <f>P1050+P1053+P1057</f>
        <v>269.02201080322266</v>
      </c>
      <c r="Q1047" s="271"/>
      <c r="R1047" s="224"/>
      <c r="S1047" s="270">
        <f>S1050+S1053+S1057</f>
        <v>300.76905822753906</v>
      </c>
      <c r="T1047" s="271"/>
      <c r="U1047" s="224"/>
      <c r="V1047" s="270">
        <f>V1050+V1053+V1057</f>
        <v>325.36174774169922</v>
      </c>
      <c r="W1047" s="271"/>
      <c r="X1047" s="224"/>
      <c r="Y1047" s="270">
        <f>Y1050+Y1053+Y1057</f>
        <v>302.57071304321289</v>
      </c>
      <c r="Z1047" s="271"/>
      <c r="AA1047" s="224"/>
      <c r="AB1047" s="270">
        <f>AB1050+AB1053+AB1057</f>
        <v>290.83388137817383</v>
      </c>
      <c r="AC1047" s="271"/>
      <c r="AD1047" s="224"/>
      <c r="AE1047" s="270">
        <f>AE1050+AE1053+AE1057</f>
        <v>277.23252296447754</v>
      </c>
      <c r="AF1047" s="271"/>
      <c r="AG1047" s="224"/>
      <c r="AH1047" s="270">
        <f>AH1050+AH1053+AH1057</f>
        <v>262.07363700866699</v>
      </c>
      <c r="AI1047" s="271"/>
      <c r="AJ1047" s="224"/>
      <c r="AK1047" s="270">
        <f>AK1050+AK1053+AK1057</f>
        <v>270.377685546875</v>
      </c>
      <c r="AL1047" s="271"/>
      <c r="AM1047" s="224"/>
      <c r="AN1047" s="270">
        <f>AN1050+AN1053+AN1057</f>
        <v>270.71709442138672</v>
      </c>
      <c r="AO1047" s="271"/>
      <c r="AP1047" s="224"/>
      <c r="AQ1047" s="270">
        <f>AQ1050+AQ1053+AQ1057</f>
        <v>263.95587348937988</v>
      </c>
      <c r="AR1047" s="271"/>
      <c r="AS1047" s="224"/>
      <c r="AT1047" s="270">
        <f>AT1050+AT1053+AT1057</f>
        <v>3330.4984550476074</v>
      </c>
      <c r="AU1047" s="271"/>
      <c r="AV1047" s="229"/>
      <c r="AW1047" s="226"/>
      <c r="AX1047" s="230"/>
      <c r="AY1047" s="231">
        <f>AY1050+AY1053+AY1057</f>
        <v>3734.6167459999997</v>
      </c>
      <c r="AZ1047" s="375"/>
      <c r="BA1047" s="375"/>
      <c r="BB1047" s="375"/>
      <c r="BC1047" s="375"/>
    </row>
    <row r="1048" spans="1:55" s="117" customFormat="1">
      <c r="A1048" s="179"/>
      <c r="B1048" s="179"/>
      <c r="C1048" s="179"/>
      <c r="D1048" s="181"/>
      <c r="E1048" s="181"/>
      <c r="F1048" s="181"/>
      <c r="G1048" s="181">
        <v>370086</v>
      </c>
      <c r="H1048" s="10" t="s">
        <v>98</v>
      </c>
      <c r="I1048" s="10"/>
      <c r="J1048" s="223">
        <f>J1059+J1060+J1061</f>
        <v>3082.4300000000003</v>
      </c>
      <c r="K1048" s="271"/>
      <c r="L1048" s="224"/>
      <c r="M1048" s="223">
        <f>M1059+M1060+M1061</f>
        <v>2191.06</v>
      </c>
      <c r="N1048" s="271"/>
      <c r="O1048" s="224"/>
      <c r="P1048" s="223">
        <f>P1059+P1060+P1061</f>
        <v>2337.44</v>
      </c>
      <c r="Q1048" s="271"/>
      <c r="R1048" s="224"/>
      <c r="S1048" s="223">
        <f>S1059+S1060+S1061</f>
        <v>1988.7</v>
      </c>
      <c r="T1048" s="271"/>
      <c r="U1048" s="224"/>
      <c r="V1048" s="223">
        <f>V1059+V1060+V1061</f>
        <v>2007.57</v>
      </c>
      <c r="W1048" s="271"/>
      <c r="X1048" s="224"/>
      <c r="Y1048" s="223">
        <f>Y1059+Y1060+Y1061</f>
        <v>2175.5699999999997</v>
      </c>
      <c r="Z1048" s="271"/>
      <c r="AA1048" s="224"/>
      <c r="AB1048" s="223">
        <f>AB1059+AB1060+AB1061</f>
        <v>2236.19</v>
      </c>
      <c r="AC1048" s="271"/>
      <c r="AD1048" s="224"/>
      <c r="AE1048" s="223">
        <f>AE1059+AE1060+AE1061</f>
        <v>1780.8200000000002</v>
      </c>
      <c r="AF1048" s="271"/>
      <c r="AG1048" s="224"/>
      <c r="AH1048" s="223">
        <f>AH1059+AH1060+AH1061</f>
        <v>1877.39</v>
      </c>
      <c r="AI1048" s="271"/>
      <c r="AJ1048" s="224"/>
      <c r="AK1048" s="223">
        <f>AK1059+AK1060+AK1061</f>
        <v>2607.65</v>
      </c>
      <c r="AL1048" s="271"/>
      <c r="AM1048" s="224"/>
      <c r="AN1048" s="223">
        <f>AN1059+AN1060+AN1061</f>
        <v>1728.72</v>
      </c>
      <c r="AO1048" s="271"/>
      <c r="AP1048" s="224"/>
      <c r="AQ1048" s="223">
        <f>AQ1059+AQ1060+AQ1061</f>
        <v>2096.46</v>
      </c>
      <c r="AR1048" s="271"/>
      <c r="AS1048" s="224"/>
      <c r="AT1048" s="223">
        <f>AT1059+AT1060+AT1061</f>
        <v>26110</v>
      </c>
      <c r="AU1048" s="271"/>
      <c r="AV1048" s="229"/>
      <c r="AW1048" s="226"/>
      <c r="AX1048" s="230"/>
      <c r="AY1048" s="230">
        <f>AY1059</f>
        <v>28815.430026999999</v>
      </c>
      <c r="AZ1048" s="375"/>
      <c r="BA1048" s="375"/>
      <c r="BB1048" s="375"/>
      <c r="BC1048" s="375"/>
    </row>
    <row r="1049" spans="1:55" s="117" customFormat="1">
      <c r="A1049" s="179"/>
      <c r="B1049" s="179"/>
      <c r="C1049" s="179"/>
      <c r="D1049" s="181"/>
      <c r="E1049" s="181"/>
      <c r="F1049" s="181"/>
      <c r="G1049" s="181"/>
      <c r="H1049" s="10" t="s">
        <v>99</v>
      </c>
      <c r="I1049" s="10"/>
      <c r="J1049" s="223">
        <f>J1071</f>
        <v>179.71994500000002</v>
      </c>
      <c r="K1049" s="271"/>
      <c r="L1049" s="224"/>
      <c r="M1049" s="223">
        <f>M1071</f>
        <v>172.73317600000001</v>
      </c>
      <c r="N1049" s="271"/>
      <c r="O1049" s="224"/>
      <c r="P1049" s="223">
        <f>P1071</f>
        <v>184.24882499999998</v>
      </c>
      <c r="Q1049" s="271"/>
      <c r="R1049" s="224"/>
      <c r="S1049" s="223">
        <f>S1071</f>
        <v>168.01486500000001</v>
      </c>
      <c r="T1049" s="271"/>
      <c r="U1049" s="224"/>
      <c r="V1049" s="223">
        <f>V1071</f>
        <v>154.494145</v>
      </c>
      <c r="W1049" s="271"/>
      <c r="X1049" s="224"/>
      <c r="Y1049" s="223">
        <f>Y1071</f>
        <v>127.81562699999999</v>
      </c>
      <c r="Z1049" s="271"/>
      <c r="AA1049" s="224"/>
      <c r="AB1049" s="223">
        <f>AB1071</f>
        <v>146.94317299999997</v>
      </c>
      <c r="AC1049" s="271"/>
      <c r="AD1049" s="224"/>
      <c r="AE1049" s="223">
        <f>AE1071</f>
        <v>148.90196299999999</v>
      </c>
      <c r="AF1049" s="271"/>
      <c r="AG1049" s="224"/>
      <c r="AH1049" s="223">
        <f>AH1071</f>
        <v>142.94574399999999</v>
      </c>
      <c r="AI1049" s="271"/>
      <c r="AJ1049" s="224"/>
      <c r="AK1049" s="223">
        <f>AK1071</f>
        <v>176.160112</v>
      </c>
      <c r="AL1049" s="271"/>
      <c r="AM1049" s="224"/>
      <c r="AN1049" s="223">
        <f>AN1071</f>
        <v>178.34292299999998</v>
      </c>
      <c r="AO1049" s="271"/>
      <c r="AP1049" s="224"/>
      <c r="AQ1049" s="223">
        <f>AQ1071</f>
        <v>184.393631</v>
      </c>
      <c r="AR1049" s="271"/>
      <c r="AS1049" s="224"/>
      <c r="AT1049" s="223">
        <f>AT1071</f>
        <v>1964.714129</v>
      </c>
      <c r="AU1049" s="271"/>
      <c r="AV1049" s="229"/>
      <c r="AW1049" s="226"/>
      <c r="AX1049" s="230"/>
      <c r="AY1049" s="230">
        <f>AY1071</f>
        <v>2270.832296</v>
      </c>
      <c r="AZ1049" s="375"/>
      <c r="BA1049" s="375"/>
      <c r="BB1049" s="375"/>
      <c r="BC1049" s="375"/>
    </row>
    <row r="1050" spans="1:55" s="117" customFormat="1">
      <c r="A1050" s="1048"/>
      <c r="B1050" s="1048"/>
      <c r="C1050" s="1048"/>
      <c r="D1050" s="1035"/>
      <c r="E1050" s="1035"/>
      <c r="F1050" s="1035"/>
      <c r="G1050" s="1110"/>
      <c r="H1050" s="131" t="s">
        <v>1000</v>
      </c>
      <c r="I1050" s="516" t="s">
        <v>364</v>
      </c>
      <c r="J1050" s="262">
        <f>J1051+J1052</f>
        <v>107.82878112792969</v>
      </c>
      <c r="K1050" s="323"/>
      <c r="L1050" s="324"/>
      <c r="M1050" s="317">
        <f>M1051+M1052</f>
        <v>98.505653381347656</v>
      </c>
      <c r="N1050" s="323"/>
      <c r="O1050" s="324"/>
      <c r="P1050" s="262">
        <f>P1051+P1052</f>
        <v>107.61944580078125</v>
      </c>
      <c r="Q1050" s="323"/>
      <c r="R1050" s="324"/>
      <c r="S1050" s="317">
        <f>S1051+S1052</f>
        <v>102.61341094970703</v>
      </c>
      <c r="T1050" s="323"/>
      <c r="U1050" s="324"/>
      <c r="V1050" s="317">
        <f>V1051+V1052</f>
        <v>105.53364562988281</v>
      </c>
      <c r="W1050" s="323"/>
      <c r="X1050" s="324"/>
      <c r="Y1050" s="317">
        <f>Y1051+Y1052</f>
        <v>101.67379760742188</v>
      </c>
      <c r="Z1050" s="323"/>
      <c r="AA1050" s="324"/>
      <c r="AB1050" s="317">
        <f>AB1051+AB1052</f>
        <v>104.38541412353516</v>
      </c>
      <c r="AC1050" s="323"/>
      <c r="AD1050" s="324"/>
      <c r="AE1050" s="317">
        <f>AE1051+AE1052</f>
        <v>106.31341552734375</v>
      </c>
      <c r="AF1050" s="323"/>
      <c r="AG1050" s="324"/>
      <c r="AH1050" s="317">
        <f>AH1051+AH1052</f>
        <v>103.09709930419922</v>
      </c>
      <c r="AI1050" s="323"/>
      <c r="AJ1050" s="324"/>
      <c r="AK1050" s="317">
        <f>AK1051+AK1052</f>
        <v>103.87771606445313</v>
      </c>
      <c r="AL1050" s="323"/>
      <c r="AM1050" s="324"/>
      <c r="AN1050" s="317">
        <f>AN1051+AN1052</f>
        <v>101.44277191162109</v>
      </c>
      <c r="AO1050" s="323"/>
      <c r="AP1050" s="324"/>
      <c r="AQ1050" s="317">
        <f>AQ1051+AQ1052</f>
        <v>106.39276123046875</v>
      </c>
      <c r="AR1050" s="323"/>
      <c r="AS1050" s="324"/>
      <c r="AT1050" s="317">
        <f>AT1051+AT1052</f>
        <v>1249.2839126586914</v>
      </c>
      <c r="AU1050" s="246"/>
      <c r="AV1050" s="336"/>
      <c r="AW1050" s="285"/>
      <c r="AX1050" s="337"/>
      <c r="AY1050" s="328">
        <f>AY1051+AY1052</f>
        <v>1435.4048769999999</v>
      </c>
      <c r="AZ1050" s="375"/>
      <c r="BA1050" s="375"/>
      <c r="BB1050" s="375"/>
      <c r="BC1050" s="375"/>
    </row>
    <row r="1051" spans="1:55" s="117" customFormat="1">
      <c r="A1051" s="1048"/>
      <c r="B1051" s="1048"/>
      <c r="C1051" s="1048"/>
      <c r="D1051" s="1035">
        <v>345732</v>
      </c>
      <c r="E1051" s="1035"/>
      <c r="F1051" s="1035"/>
      <c r="G1051" s="1110">
        <v>345732</v>
      </c>
      <c r="H1051" s="129" t="s">
        <v>1001</v>
      </c>
      <c r="I1051" s="131"/>
      <c r="J1051" s="587">
        <v>55.35827634974148</v>
      </c>
      <c r="K1051" s="521"/>
      <c r="L1051" s="522"/>
      <c r="M1051" s="587">
        <v>50.75252338073885</v>
      </c>
      <c r="N1051" s="521"/>
      <c r="O1051" s="522"/>
      <c r="P1051" s="587">
        <v>54.861868156258879</v>
      </c>
      <c r="Q1051" s="521"/>
      <c r="R1051" s="522"/>
      <c r="S1051" s="587">
        <v>52.030909094865684</v>
      </c>
      <c r="T1051" s="521"/>
      <c r="U1051" s="522"/>
      <c r="V1051" s="587">
        <v>52.092984335837833</v>
      </c>
      <c r="W1051" s="521"/>
      <c r="X1051" s="522"/>
      <c r="Y1051" s="587">
        <v>50.747120810783095</v>
      </c>
      <c r="Z1051" s="521"/>
      <c r="AA1051" s="522"/>
      <c r="AB1051" s="587">
        <v>50.821101273259984</v>
      </c>
      <c r="AC1051" s="521"/>
      <c r="AD1051" s="522"/>
      <c r="AE1051" s="587">
        <v>54.498246460408843</v>
      </c>
      <c r="AF1051" s="521"/>
      <c r="AG1051" s="522"/>
      <c r="AH1051" s="587">
        <v>54.021592084942647</v>
      </c>
      <c r="AI1051" s="521"/>
      <c r="AJ1051" s="522"/>
      <c r="AK1051" s="587">
        <v>51.088549156109636</v>
      </c>
      <c r="AL1051" s="521"/>
      <c r="AM1051" s="522"/>
      <c r="AN1051" s="587">
        <v>52.048412004488995</v>
      </c>
      <c r="AO1051" s="521"/>
      <c r="AP1051" s="522"/>
      <c r="AQ1051" s="587">
        <v>53.966071146360626</v>
      </c>
      <c r="AR1051" s="323"/>
      <c r="AS1051" s="324"/>
      <c r="AT1051" s="587">
        <f t="shared" ref="AT1051:AT1052" si="39">J1051+M1051+P1051+S1051+V1051+Y1051+AB1051+AE1051+AH1051+AK1051+AN1051+AQ1051</f>
        <v>632.28765425379652</v>
      </c>
      <c r="AU1051" s="246"/>
      <c r="AV1051" s="336"/>
      <c r="AW1051" s="285"/>
      <c r="AX1051" s="337"/>
      <c r="AY1051" s="441">
        <v>760.29824599999995</v>
      </c>
      <c r="AZ1051" s="375"/>
      <c r="BA1051" s="375"/>
      <c r="BB1051" s="375"/>
      <c r="BC1051" s="375"/>
    </row>
    <row r="1052" spans="1:55" s="117" customFormat="1">
      <c r="A1052" s="1048"/>
      <c r="B1052" s="1048"/>
      <c r="C1052" s="1048"/>
      <c r="D1052" s="1035">
        <v>345729</v>
      </c>
      <c r="E1052" s="1035"/>
      <c r="F1052" s="1035"/>
      <c r="G1052" s="1110">
        <v>345729</v>
      </c>
      <c r="H1052" s="129" t="s">
        <v>1002</v>
      </c>
      <c r="I1052" s="131"/>
      <c r="J1052" s="587">
        <v>52.470504778188207</v>
      </c>
      <c r="K1052" s="521"/>
      <c r="L1052" s="522"/>
      <c r="M1052" s="587">
        <v>47.753130000608806</v>
      </c>
      <c r="N1052" s="521"/>
      <c r="O1052" s="522"/>
      <c r="P1052" s="587">
        <v>52.757577644522371</v>
      </c>
      <c r="Q1052" s="521"/>
      <c r="R1052" s="522"/>
      <c r="S1052" s="587">
        <v>50.582501854841347</v>
      </c>
      <c r="T1052" s="521"/>
      <c r="U1052" s="522"/>
      <c r="V1052" s="587">
        <v>53.440661294044979</v>
      </c>
      <c r="W1052" s="521"/>
      <c r="X1052" s="522"/>
      <c r="Y1052" s="587">
        <v>50.92667679663878</v>
      </c>
      <c r="Z1052" s="521"/>
      <c r="AA1052" s="522"/>
      <c r="AB1052" s="587">
        <v>53.564312850275172</v>
      </c>
      <c r="AC1052" s="521"/>
      <c r="AD1052" s="522"/>
      <c r="AE1052" s="587">
        <v>51.815169066934907</v>
      </c>
      <c r="AF1052" s="521"/>
      <c r="AG1052" s="522"/>
      <c r="AH1052" s="587">
        <v>49.075507219256572</v>
      </c>
      <c r="AI1052" s="521"/>
      <c r="AJ1052" s="522"/>
      <c r="AK1052" s="587">
        <v>52.789166908343489</v>
      </c>
      <c r="AL1052" s="521"/>
      <c r="AM1052" s="522"/>
      <c r="AN1052" s="587">
        <v>49.394359907132099</v>
      </c>
      <c r="AO1052" s="521"/>
      <c r="AP1052" s="522"/>
      <c r="AQ1052" s="587">
        <v>52.426690084108124</v>
      </c>
      <c r="AR1052" s="410"/>
      <c r="AS1052" s="411"/>
      <c r="AT1052" s="587">
        <f t="shared" si="39"/>
        <v>616.99625840489489</v>
      </c>
      <c r="AU1052" s="246"/>
      <c r="AV1052" s="336"/>
      <c r="AW1052" s="285"/>
      <c r="AX1052" s="337"/>
      <c r="AY1052" s="441">
        <v>675.10663099999999</v>
      </c>
      <c r="AZ1052" s="375"/>
      <c r="BA1052" s="375"/>
      <c r="BB1052" s="375"/>
      <c r="BC1052" s="375"/>
    </row>
    <row r="1053" spans="1:55" s="117" customFormat="1">
      <c r="A1053" s="1048"/>
      <c r="B1053" s="1048"/>
      <c r="C1053" s="1048"/>
      <c r="D1053" s="1035"/>
      <c r="E1053" s="1035"/>
      <c r="F1053" s="1035"/>
      <c r="G1053" s="1110"/>
      <c r="H1053" s="134" t="s">
        <v>1003</v>
      </c>
      <c r="I1053" s="516" t="s">
        <v>364</v>
      </c>
      <c r="J1053" s="262">
        <f>SUM(J1054:J1056)</f>
        <v>106.1072826385498</v>
      </c>
      <c r="K1053" s="246"/>
      <c r="L1053" s="282"/>
      <c r="M1053" s="317">
        <f>SUM(M1054:M1056)</f>
        <v>96.411823272705078</v>
      </c>
      <c r="N1053" s="246"/>
      <c r="O1053" s="282"/>
      <c r="P1053" s="262">
        <f>SUM(P1054:P1056)</f>
        <v>107.27997970581055</v>
      </c>
      <c r="Q1053" s="246"/>
      <c r="R1053" s="282"/>
      <c r="S1053" s="317">
        <f>SUM(S1054:S1056)</f>
        <v>122.94675445556641</v>
      </c>
      <c r="T1053" s="246"/>
      <c r="U1053" s="282"/>
      <c r="V1053" s="317">
        <f>SUM(V1054:V1056)</f>
        <v>141.80628204345703</v>
      </c>
      <c r="W1053" s="246"/>
      <c r="X1053" s="282"/>
      <c r="Y1053" s="317">
        <f>SUM(Y1054:Y1056)</f>
        <v>138.68622970581055</v>
      </c>
      <c r="Z1053" s="246"/>
      <c r="AA1053" s="282"/>
      <c r="AB1053" s="317">
        <f>SUM(AB1054:AB1056)</f>
        <v>133.18646621704102</v>
      </c>
      <c r="AC1053" s="246"/>
      <c r="AD1053" s="282"/>
      <c r="AE1053" s="317">
        <f>SUM(AE1054:AE1056)</f>
        <v>122.51058006286621</v>
      </c>
      <c r="AF1053" s="246"/>
      <c r="AG1053" s="282"/>
      <c r="AH1053" s="317">
        <f>SUM(AH1054:AH1056)</f>
        <v>112.57949638366699</v>
      </c>
      <c r="AI1053" s="246"/>
      <c r="AJ1053" s="282"/>
      <c r="AK1053" s="317">
        <f>SUM(AK1054:AK1056)</f>
        <v>117.30259704589844</v>
      </c>
      <c r="AL1053" s="246"/>
      <c r="AM1053" s="282"/>
      <c r="AN1053" s="317">
        <f>SUM(AN1054:AN1056)</f>
        <v>118.56576156616211</v>
      </c>
      <c r="AO1053" s="246"/>
      <c r="AP1053" s="282"/>
      <c r="AQ1053" s="317">
        <f>SUM(AQ1054:AQ1056)</f>
        <v>110.38597297668457</v>
      </c>
      <c r="AR1053" s="246"/>
      <c r="AS1053" s="282"/>
      <c r="AT1053" s="317">
        <f>SUM(AT1054:AT1056)</f>
        <v>1427.7692260742188</v>
      </c>
      <c r="AU1053" s="246"/>
      <c r="AV1053" s="336"/>
      <c r="AW1053" s="285"/>
      <c r="AX1053" s="337"/>
      <c r="AY1053" s="327">
        <f>SUM(AY1054:AY1056)</f>
        <v>1585.5842069999999</v>
      </c>
      <c r="AZ1053" s="375"/>
      <c r="BA1053" s="375"/>
      <c r="BB1053" s="375"/>
      <c r="BC1053" s="375"/>
    </row>
    <row r="1054" spans="1:55" s="117" customFormat="1">
      <c r="A1054" s="1048"/>
      <c r="B1054" s="1048"/>
      <c r="C1054" s="1048"/>
      <c r="D1054" s="1035">
        <v>345735</v>
      </c>
      <c r="E1054" s="1035"/>
      <c r="F1054" s="1035"/>
      <c r="G1054" s="1110">
        <v>345735</v>
      </c>
      <c r="H1054" s="122" t="s">
        <v>1098</v>
      </c>
      <c r="I1054" s="122"/>
      <c r="J1054" s="587">
        <v>25.65211296081543</v>
      </c>
      <c r="K1054" s="521"/>
      <c r="L1054" s="522"/>
      <c r="M1054" s="587">
        <v>21.190944671630859</v>
      </c>
      <c r="N1054" s="521"/>
      <c r="O1054" s="522"/>
      <c r="P1054" s="587">
        <v>24.140102386474609</v>
      </c>
      <c r="Q1054" s="521"/>
      <c r="R1054" s="522"/>
      <c r="S1054" s="587">
        <v>40.429084777832031</v>
      </c>
      <c r="T1054" s="521"/>
      <c r="U1054" s="522"/>
      <c r="V1054" s="587">
        <v>49.38079833984375</v>
      </c>
      <c r="W1054" s="521"/>
      <c r="X1054" s="522"/>
      <c r="Y1054" s="587">
        <v>45.065425872802734</v>
      </c>
      <c r="Z1054" s="521"/>
      <c r="AA1054" s="522"/>
      <c r="AB1054" s="587">
        <v>38.024028778076172</v>
      </c>
      <c r="AC1054" s="521"/>
      <c r="AD1054" s="522"/>
      <c r="AE1054" s="587">
        <v>28.039411544799805</v>
      </c>
      <c r="AF1054" s="521"/>
      <c r="AG1054" s="522"/>
      <c r="AH1054" s="587">
        <v>22.222822189331055</v>
      </c>
      <c r="AI1054" s="521"/>
      <c r="AJ1054" s="522"/>
      <c r="AK1054" s="587">
        <v>24.113616943359375</v>
      </c>
      <c r="AL1054" s="521"/>
      <c r="AM1054" s="522"/>
      <c r="AN1054" s="587">
        <v>27.636775970458984</v>
      </c>
      <c r="AO1054" s="521"/>
      <c r="AP1054" s="522"/>
      <c r="AQ1054" s="587">
        <v>27.228914260864258</v>
      </c>
      <c r="AR1054" s="246"/>
      <c r="AS1054" s="282"/>
      <c r="AT1054" s="587">
        <f>J1054+M1054+P1054+S1054+V1054+Y1054+AB1054+AE1054+AH1054+AK1054+AN1054+AQ1054</f>
        <v>373.12403869628906</v>
      </c>
      <c r="AU1054" s="246"/>
      <c r="AV1054" s="336"/>
      <c r="AW1054" s="285"/>
      <c r="AX1054" s="337"/>
      <c r="AY1054" s="441">
        <v>332.21821799999998</v>
      </c>
      <c r="AZ1054" s="375"/>
      <c r="BA1054" s="375"/>
      <c r="BB1054" s="375"/>
      <c r="BC1054" s="375"/>
    </row>
    <row r="1055" spans="1:55" s="117" customFormat="1">
      <c r="A1055" s="1048"/>
      <c r="B1055" s="1048"/>
      <c r="C1055" s="1048"/>
      <c r="D1055" s="1035">
        <v>345736</v>
      </c>
      <c r="E1055" s="1035"/>
      <c r="F1055" s="1035"/>
      <c r="G1055" s="1110">
        <v>345736</v>
      </c>
      <c r="H1055" s="143" t="s">
        <v>1099</v>
      </c>
      <c r="I1055" s="143"/>
      <c r="J1055" s="587">
        <v>34.039366164912735</v>
      </c>
      <c r="K1055" s="521"/>
      <c r="L1055" s="522"/>
      <c r="M1055" s="587">
        <v>31.605535701392711</v>
      </c>
      <c r="N1055" s="521"/>
      <c r="O1055" s="522"/>
      <c r="P1055" s="587">
        <v>35.602747362430648</v>
      </c>
      <c r="Q1055" s="521"/>
      <c r="R1055" s="522"/>
      <c r="S1055" s="587">
        <v>38.680340991800897</v>
      </c>
      <c r="T1055" s="521"/>
      <c r="U1055" s="522"/>
      <c r="V1055" s="587">
        <v>43.013634687721897</v>
      </c>
      <c r="W1055" s="521"/>
      <c r="X1055" s="522"/>
      <c r="Y1055" s="587">
        <v>41.017723742240975</v>
      </c>
      <c r="Z1055" s="521"/>
      <c r="AA1055" s="522"/>
      <c r="AB1055" s="587">
        <v>41.583538614883182</v>
      </c>
      <c r="AC1055" s="521"/>
      <c r="AD1055" s="522"/>
      <c r="AE1055" s="587">
        <v>40.669649731539899</v>
      </c>
      <c r="AF1055" s="521"/>
      <c r="AG1055" s="522"/>
      <c r="AH1055" s="587">
        <v>39.03486580681264</v>
      </c>
      <c r="AI1055" s="521"/>
      <c r="AJ1055" s="522"/>
      <c r="AK1055" s="587">
        <v>40.860572417195428</v>
      </c>
      <c r="AL1055" s="521"/>
      <c r="AM1055" s="522"/>
      <c r="AN1055" s="587">
        <v>40.582598215718093</v>
      </c>
      <c r="AO1055" s="521"/>
      <c r="AP1055" s="522"/>
      <c r="AQ1055" s="587">
        <v>37.270505135304589</v>
      </c>
      <c r="AR1055" s="246"/>
      <c r="AS1055" s="282"/>
      <c r="AT1055" s="587">
        <f>J1055+M1055+P1055+S1055+V1055+Y1055+AB1055+AE1055+AH1055+AK1055+AN1055+AQ1055</f>
        <v>463.96107857195375</v>
      </c>
      <c r="AU1055" s="246"/>
      <c r="AV1055" s="336"/>
      <c r="AW1055" s="285"/>
      <c r="AX1055" s="337"/>
      <c r="AY1055" s="441">
        <v>557.620722</v>
      </c>
      <c r="AZ1055" s="375"/>
      <c r="BA1055" s="375"/>
      <c r="BB1055" s="375"/>
      <c r="BC1055" s="375"/>
    </row>
    <row r="1056" spans="1:55" s="117" customFormat="1">
      <c r="A1056" s="1048"/>
      <c r="B1056" s="1048"/>
      <c r="C1056" s="1048"/>
      <c r="D1056" s="1035">
        <v>345733</v>
      </c>
      <c r="E1056" s="1035"/>
      <c r="F1056" s="1035"/>
      <c r="G1056" s="1110">
        <v>345733</v>
      </c>
      <c r="H1056" s="143" t="s">
        <v>1100</v>
      </c>
      <c r="I1056" s="143"/>
      <c r="J1056" s="587">
        <v>46.41580351282164</v>
      </c>
      <c r="K1056" s="521"/>
      <c r="L1056" s="522"/>
      <c r="M1056" s="587">
        <v>43.615342899681508</v>
      </c>
      <c r="N1056" s="521"/>
      <c r="O1056" s="522"/>
      <c r="P1056" s="587">
        <v>47.537129956905289</v>
      </c>
      <c r="Q1056" s="521"/>
      <c r="R1056" s="522"/>
      <c r="S1056" s="587">
        <v>43.837328685933478</v>
      </c>
      <c r="T1056" s="521"/>
      <c r="U1056" s="522"/>
      <c r="V1056" s="587">
        <v>49.411849015891384</v>
      </c>
      <c r="W1056" s="521"/>
      <c r="X1056" s="522"/>
      <c r="Y1056" s="587">
        <v>52.603080090766838</v>
      </c>
      <c r="Z1056" s="521"/>
      <c r="AA1056" s="522"/>
      <c r="AB1056" s="587">
        <v>53.578898824081662</v>
      </c>
      <c r="AC1056" s="521"/>
      <c r="AD1056" s="522"/>
      <c r="AE1056" s="587">
        <v>53.801518786526508</v>
      </c>
      <c r="AF1056" s="521"/>
      <c r="AG1056" s="522"/>
      <c r="AH1056" s="587">
        <v>51.321808387523298</v>
      </c>
      <c r="AI1056" s="521"/>
      <c r="AJ1056" s="522"/>
      <c r="AK1056" s="587">
        <v>52.328407685343635</v>
      </c>
      <c r="AL1056" s="521"/>
      <c r="AM1056" s="522"/>
      <c r="AN1056" s="587">
        <v>50.346387379985032</v>
      </c>
      <c r="AO1056" s="521"/>
      <c r="AP1056" s="522"/>
      <c r="AQ1056" s="587">
        <v>45.886553580515724</v>
      </c>
      <c r="AR1056" s="246"/>
      <c r="AS1056" s="282"/>
      <c r="AT1056" s="587">
        <f>J1056+M1056+P1056+S1056+V1056+Y1056+AB1056+AE1056+AH1056+AK1056+AN1056+AQ1056</f>
        <v>590.68410880597594</v>
      </c>
      <c r="AU1056" s="246"/>
      <c r="AV1056" s="336"/>
      <c r="AW1056" s="285"/>
      <c r="AX1056" s="337"/>
      <c r="AY1056" s="441">
        <v>695.74526700000001</v>
      </c>
      <c r="AZ1056" s="375"/>
      <c r="BA1056" s="375"/>
      <c r="BB1056" s="375"/>
      <c r="BC1056" s="375"/>
    </row>
    <row r="1057" spans="1:55" s="113" customFormat="1">
      <c r="A1057" s="1048"/>
      <c r="B1057" s="1048"/>
      <c r="C1057" s="1048"/>
      <c r="D1057" s="1035">
        <v>345734</v>
      </c>
      <c r="E1057" s="1035"/>
      <c r="F1057" s="1035"/>
      <c r="G1057" s="1110">
        <v>345734</v>
      </c>
      <c r="H1057" s="122" t="s">
        <v>1004</v>
      </c>
      <c r="I1057" s="516" t="s">
        <v>364</v>
      </c>
      <c r="J1057" s="638">
        <f>ГЭС!C109</f>
        <v>45.12530517578125</v>
      </c>
      <c r="K1057" s="521"/>
      <c r="L1057" s="522"/>
      <c r="M1057" s="638">
        <f>ГЭС!D109</f>
        <v>43.605384826660156</v>
      </c>
      <c r="N1057" s="521"/>
      <c r="O1057" s="522"/>
      <c r="P1057" s="638">
        <f>ГЭС!E109</f>
        <v>54.122585296630859</v>
      </c>
      <c r="Q1057" s="521"/>
      <c r="R1057" s="522"/>
      <c r="S1057" s="638">
        <f>ГЭС!G109</f>
        <v>75.208892822265625</v>
      </c>
      <c r="T1057" s="521"/>
      <c r="U1057" s="522"/>
      <c r="V1057" s="638">
        <f>ГЭС!H109</f>
        <v>78.021820068359375</v>
      </c>
      <c r="W1057" s="521"/>
      <c r="X1057" s="522"/>
      <c r="Y1057" s="638">
        <f>ГЭС!I109</f>
        <v>62.210685729980469</v>
      </c>
      <c r="Z1057" s="521"/>
      <c r="AA1057" s="522"/>
      <c r="AB1057" s="638">
        <f>ГЭС!K109</f>
        <v>53.262001037597656</v>
      </c>
      <c r="AC1057" s="521"/>
      <c r="AD1057" s="522"/>
      <c r="AE1057" s="638">
        <f>ГЭС!L109</f>
        <v>48.408527374267578</v>
      </c>
      <c r="AF1057" s="521"/>
      <c r="AG1057" s="522"/>
      <c r="AH1057" s="638">
        <f>ГЭС!M109</f>
        <v>46.397041320800781</v>
      </c>
      <c r="AI1057" s="521"/>
      <c r="AJ1057" s="522"/>
      <c r="AK1057" s="638">
        <f>ГЭС!O109</f>
        <v>49.197372436523438</v>
      </c>
      <c r="AL1057" s="521"/>
      <c r="AM1057" s="522"/>
      <c r="AN1057" s="638">
        <f>ГЭС!P109</f>
        <v>50.708560943603516</v>
      </c>
      <c r="AO1057" s="521"/>
      <c r="AP1057" s="522"/>
      <c r="AQ1057" s="638">
        <f>ГЭС!Q109</f>
        <v>47.177139282226563</v>
      </c>
      <c r="AR1057" s="246"/>
      <c r="AS1057" s="282"/>
      <c r="AT1057" s="638">
        <f>J1057+M1057+P1057+S1057+V1057+Y1057+AB1057+AE1057+AH1057+AK1057+AN1057+AQ1057</f>
        <v>653.44531631469727</v>
      </c>
      <c r="AU1057" s="246"/>
      <c r="AV1057" s="336"/>
      <c r="AW1057" s="285"/>
      <c r="AX1057" s="337"/>
      <c r="AY1057" s="441">
        <v>713.62766199999999</v>
      </c>
      <c r="AZ1057" s="355"/>
      <c r="BA1057" s="355"/>
      <c r="BB1057" s="355"/>
      <c r="BC1057" s="355"/>
    </row>
    <row r="1058" spans="1:55" s="113" customFormat="1" hidden="1">
      <c r="A1058" s="1048"/>
      <c r="B1058" s="1048"/>
      <c r="C1058" s="1048"/>
      <c r="D1058" s="1035">
        <v>345727</v>
      </c>
      <c r="E1058" s="1035"/>
      <c r="F1058" s="1035"/>
      <c r="G1058" s="1110">
        <v>345727</v>
      </c>
      <c r="H1058" s="127" t="s">
        <v>1435</v>
      </c>
      <c r="I1058" s="516" t="s">
        <v>364</v>
      </c>
      <c r="J1058" s="547">
        <v>0</v>
      </c>
      <c r="K1058" s="545"/>
      <c r="L1058" s="546"/>
      <c r="M1058" s="547">
        <v>0</v>
      </c>
      <c r="N1058" s="545"/>
      <c r="O1058" s="546"/>
      <c r="P1058" s="547">
        <v>0</v>
      </c>
      <c r="Q1058" s="545"/>
      <c r="R1058" s="546"/>
      <c r="S1058" s="547">
        <v>0</v>
      </c>
      <c r="T1058" s="545"/>
      <c r="U1058" s="546"/>
      <c r="V1058" s="548">
        <v>0</v>
      </c>
      <c r="W1058" s="545"/>
      <c r="X1058" s="546"/>
      <c r="Y1058" s="547">
        <v>0</v>
      </c>
      <c r="Z1058" s="545"/>
      <c r="AA1058" s="546"/>
      <c r="AB1058" s="548">
        <v>0</v>
      </c>
      <c r="AC1058" s="545"/>
      <c r="AD1058" s="546"/>
      <c r="AE1058" s="547">
        <v>0</v>
      </c>
      <c r="AF1058" s="545"/>
      <c r="AG1058" s="546"/>
      <c r="AH1058" s="548">
        <v>0</v>
      </c>
      <c r="AI1058" s="545"/>
      <c r="AJ1058" s="546"/>
      <c r="AK1058" s="547">
        <v>0</v>
      </c>
      <c r="AL1058" s="545"/>
      <c r="AM1058" s="546"/>
      <c r="AN1058" s="548">
        <v>0</v>
      </c>
      <c r="AO1058" s="545"/>
      <c r="AP1058" s="546"/>
      <c r="AQ1058" s="548">
        <v>0</v>
      </c>
      <c r="AR1058" s="246"/>
      <c r="AS1058" s="282"/>
      <c r="AT1058" s="244">
        <f t="shared" ref="AT1058:AT1081" si="40">J1058+M1058+P1058+S1058+V1058+Y1058+AB1058+AE1058+AH1058+AK1058+AN1058+AQ1058</f>
        <v>0</v>
      </c>
      <c r="AU1058" s="246"/>
      <c r="AV1058" s="336"/>
      <c r="AW1058" s="285"/>
      <c r="AX1058" s="337"/>
      <c r="AY1058" s="441">
        <v>0</v>
      </c>
      <c r="AZ1058" s="355"/>
      <c r="BA1058" s="355"/>
      <c r="BB1058" s="355"/>
      <c r="BC1058" s="355"/>
    </row>
    <row r="1059" spans="1:55" s="113" customFormat="1">
      <c r="A1059" s="1048"/>
      <c r="B1059" s="1048"/>
      <c r="C1059" s="1048"/>
      <c r="D1059" s="1035">
        <v>370086</v>
      </c>
      <c r="E1059" s="1035"/>
      <c r="F1059" s="1035"/>
      <c r="G1059" s="1213"/>
      <c r="H1059" s="129" t="s">
        <v>1005</v>
      </c>
      <c r="I1059" s="516" t="s">
        <v>364</v>
      </c>
      <c r="J1059" s="320">
        <f>АЭС!C31</f>
        <v>2229.7600000000002</v>
      </c>
      <c r="K1059" s="246"/>
      <c r="L1059" s="282"/>
      <c r="M1059" s="320">
        <f>АЭС!D31</f>
        <v>1393.4</v>
      </c>
      <c r="N1059" s="246"/>
      <c r="O1059" s="282"/>
      <c r="P1059" s="320">
        <f>АЭС!E31</f>
        <v>1489.48</v>
      </c>
      <c r="Q1059" s="246"/>
      <c r="R1059" s="282"/>
      <c r="S1059" s="320">
        <f>АЭС!F31</f>
        <v>1441.44</v>
      </c>
      <c r="T1059" s="246"/>
      <c r="U1059" s="282"/>
      <c r="V1059" s="320">
        <f>АЭС!G31</f>
        <v>1204.53</v>
      </c>
      <c r="W1059" s="246"/>
      <c r="X1059" s="282"/>
      <c r="Y1059" s="320">
        <f>АЭС!H31</f>
        <v>1396.8</v>
      </c>
      <c r="Z1059" s="246"/>
      <c r="AA1059" s="282"/>
      <c r="AB1059" s="320">
        <f>АЭС!I31</f>
        <v>1429.97</v>
      </c>
      <c r="AC1059" s="246"/>
      <c r="AD1059" s="282"/>
      <c r="AE1059" s="320">
        <f>АЭС!J31</f>
        <v>970.18</v>
      </c>
      <c r="AF1059" s="246"/>
      <c r="AG1059" s="282"/>
      <c r="AH1059" s="320">
        <f>АЭС!K31</f>
        <v>1036.8</v>
      </c>
      <c r="AI1059" s="246"/>
      <c r="AJ1059" s="282"/>
      <c r="AK1059" s="320">
        <f>АЭС!L31</f>
        <v>1971.44</v>
      </c>
      <c r="AL1059" s="246"/>
      <c r="AM1059" s="282"/>
      <c r="AN1059" s="320">
        <f>АЭС!M31</f>
        <v>1656.72</v>
      </c>
      <c r="AO1059" s="246"/>
      <c r="AP1059" s="282"/>
      <c r="AQ1059" s="320">
        <f>АЭС!N31</f>
        <v>1489.48</v>
      </c>
      <c r="AR1059" s="246"/>
      <c r="AS1059" s="282"/>
      <c r="AT1059" s="320">
        <f t="shared" si="40"/>
        <v>17710</v>
      </c>
      <c r="AU1059" s="246"/>
      <c r="AV1059" s="336"/>
      <c r="AW1059" s="285"/>
      <c r="AX1059" s="337"/>
      <c r="AY1059" s="440">
        <v>28815.430026999999</v>
      </c>
      <c r="AZ1059" s="355"/>
      <c r="BA1059" s="355"/>
      <c r="BB1059" s="355"/>
      <c r="BC1059" s="355"/>
    </row>
    <row r="1060" spans="1:55" s="113" customFormat="1">
      <c r="A1060" s="1048"/>
      <c r="B1060" s="1048"/>
      <c r="C1060" s="1048"/>
      <c r="D1060" s="1035"/>
      <c r="E1060" s="1035"/>
      <c r="F1060" s="1035"/>
      <c r="G1060" s="1110"/>
      <c r="H1060" s="129" t="s">
        <v>1150</v>
      </c>
      <c r="I1060" s="516" t="s">
        <v>364</v>
      </c>
      <c r="J1060" s="320">
        <f>АЭС!C33</f>
        <v>852.67</v>
      </c>
      <c r="K1060" s="246"/>
      <c r="L1060" s="282"/>
      <c r="M1060" s="320">
        <f>АЭС!D33</f>
        <v>797.66</v>
      </c>
      <c r="N1060" s="246"/>
      <c r="O1060" s="282"/>
      <c r="P1060" s="320">
        <f>АЭС!E33</f>
        <v>847.96</v>
      </c>
      <c r="Q1060" s="246"/>
      <c r="R1060" s="282"/>
      <c r="S1060" s="320">
        <f>АЭС!F33</f>
        <v>547.26</v>
      </c>
      <c r="T1060" s="246"/>
      <c r="U1060" s="282"/>
      <c r="V1060" s="320">
        <f>АЭС!G33</f>
        <v>803.04</v>
      </c>
      <c r="W1060" s="246"/>
      <c r="X1060" s="282"/>
      <c r="Y1060" s="320">
        <f>АЭС!H33</f>
        <v>771.57</v>
      </c>
      <c r="Z1060" s="246"/>
      <c r="AA1060" s="282"/>
      <c r="AB1060" s="320">
        <f>АЭС!I33</f>
        <v>797.29</v>
      </c>
      <c r="AC1060" s="246"/>
      <c r="AD1060" s="282"/>
      <c r="AE1060" s="320">
        <f>АЭС!J33</f>
        <v>798.74</v>
      </c>
      <c r="AF1060" s="246"/>
      <c r="AG1060" s="282"/>
      <c r="AH1060" s="320">
        <f>АЭС!K33</f>
        <v>808.19</v>
      </c>
      <c r="AI1060" s="246"/>
      <c r="AJ1060" s="282"/>
      <c r="AK1060" s="320">
        <f>АЭС!L33</f>
        <v>601.99</v>
      </c>
      <c r="AL1060" s="246"/>
      <c r="AM1060" s="282"/>
      <c r="AN1060" s="320">
        <f>АЭС!M33</f>
        <v>0</v>
      </c>
      <c r="AO1060" s="246"/>
      <c r="AP1060" s="282"/>
      <c r="AQ1060" s="320">
        <f>АЭС!N33</f>
        <v>273.63</v>
      </c>
      <c r="AR1060" s="246"/>
      <c r="AS1060" s="282"/>
      <c r="AT1060" s="320">
        <f t="shared" si="40"/>
        <v>7899.9999999999991</v>
      </c>
      <c r="AU1060" s="246"/>
      <c r="AV1060" s="336"/>
      <c r="AW1060" s="285"/>
      <c r="AX1060" s="337"/>
      <c r="AY1060" s="440"/>
      <c r="AZ1060" s="355"/>
      <c r="BA1060" s="355"/>
      <c r="BB1060" s="355"/>
      <c r="BC1060" s="355"/>
    </row>
    <row r="1061" spans="1:55" s="113" customFormat="1">
      <c r="A1061" s="1048"/>
      <c r="B1061" s="1048"/>
      <c r="C1061" s="1048"/>
      <c r="D1061" s="1035"/>
      <c r="E1061" s="1035"/>
      <c r="F1061" s="1035"/>
      <c r="G1061" s="1110"/>
      <c r="H1061" s="129" t="s">
        <v>1656</v>
      </c>
      <c r="I1061" s="516" t="s">
        <v>364</v>
      </c>
      <c r="J1061" s="320">
        <f>АЭС!C35</f>
        <v>0</v>
      </c>
      <c r="K1061" s="246"/>
      <c r="L1061" s="282"/>
      <c r="M1061" s="320">
        <f>АЭС!D35</f>
        <v>0</v>
      </c>
      <c r="N1061" s="246"/>
      <c r="O1061" s="282"/>
      <c r="P1061" s="320">
        <f>АЭС!E35</f>
        <v>0</v>
      </c>
      <c r="Q1061" s="246"/>
      <c r="R1061" s="282"/>
      <c r="S1061" s="320">
        <f>АЭС!F35</f>
        <v>0</v>
      </c>
      <c r="T1061" s="246"/>
      <c r="U1061" s="282"/>
      <c r="V1061" s="320">
        <f>АЭС!G35</f>
        <v>0</v>
      </c>
      <c r="W1061" s="246"/>
      <c r="X1061" s="282"/>
      <c r="Y1061" s="320">
        <f>АЭС!H35</f>
        <v>7.2</v>
      </c>
      <c r="Z1061" s="246"/>
      <c r="AA1061" s="282"/>
      <c r="AB1061" s="320">
        <f>АЭС!I35</f>
        <v>8.93</v>
      </c>
      <c r="AC1061" s="246"/>
      <c r="AD1061" s="282"/>
      <c r="AE1061" s="320">
        <f>АЭС!J35</f>
        <v>11.9</v>
      </c>
      <c r="AF1061" s="246"/>
      <c r="AG1061" s="282"/>
      <c r="AH1061" s="320">
        <f>'[2]Форма 5'!$R$126</f>
        <v>32.4</v>
      </c>
      <c r="AI1061" s="246"/>
      <c r="AJ1061" s="282"/>
      <c r="AK1061" s="320">
        <f>'[2]Форма 5'!$S$126</f>
        <v>34.22</v>
      </c>
      <c r="AL1061" s="246"/>
      <c r="AM1061" s="282"/>
      <c r="AN1061" s="320">
        <f>'[2]Форма 5'!$T$126</f>
        <v>72</v>
      </c>
      <c r="AO1061" s="246"/>
      <c r="AP1061" s="282"/>
      <c r="AQ1061" s="320">
        <f>'[2]Форма 5'!$U$126</f>
        <v>333.35</v>
      </c>
      <c r="AR1061" s="246"/>
      <c r="AS1061" s="282"/>
      <c r="AT1061" s="320">
        <f t="shared" si="40"/>
        <v>500</v>
      </c>
      <c r="AU1061" s="246"/>
      <c r="AV1061" s="336"/>
      <c r="AW1061" s="285"/>
      <c r="AX1061" s="337"/>
      <c r="AY1061" s="440"/>
      <c r="AZ1061" s="355"/>
      <c r="BA1061" s="355"/>
      <c r="BB1061" s="355"/>
      <c r="BC1061" s="355"/>
    </row>
    <row r="1062" spans="1:55" s="113" customFormat="1">
      <c r="A1062" s="1048"/>
      <c r="B1062" s="1048"/>
      <c r="C1062" s="1048"/>
      <c r="D1062" s="1035">
        <v>345726</v>
      </c>
      <c r="E1062" s="1035"/>
      <c r="F1062" s="1035"/>
      <c r="G1062" s="1110">
        <v>345726</v>
      </c>
      <c r="H1062" s="132" t="s">
        <v>1006</v>
      </c>
      <c r="I1062" s="516" t="s">
        <v>364</v>
      </c>
      <c r="J1062" s="262">
        <f>SUM(J1063:J1064)</f>
        <v>424</v>
      </c>
      <c r="K1062" s="246"/>
      <c r="L1062" s="282"/>
      <c r="M1062" s="317">
        <f>SUM(M1063:M1064)</f>
        <v>432.44</v>
      </c>
      <c r="N1062" s="246"/>
      <c r="O1062" s="282"/>
      <c r="P1062" s="262">
        <f>SUM(P1063:P1064)</f>
        <v>458.36</v>
      </c>
      <c r="Q1062" s="246"/>
      <c r="R1062" s="282"/>
      <c r="S1062" s="317">
        <f>SUM(S1063:S1064)</f>
        <v>365.31</v>
      </c>
      <c r="T1062" s="246"/>
      <c r="U1062" s="282"/>
      <c r="V1062" s="317">
        <f>SUM(V1063:V1064)</f>
        <v>403.12</v>
      </c>
      <c r="W1062" s="246"/>
      <c r="X1062" s="282"/>
      <c r="Y1062" s="317">
        <f>SUM(Y1063:Y1064)</f>
        <v>379.75</v>
      </c>
      <c r="Z1062" s="246"/>
      <c r="AA1062" s="282"/>
      <c r="AB1062" s="317">
        <f>SUM(AB1063:AB1064)</f>
        <v>412.88</v>
      </c>
      <c r="AC1062" s="246"/>
      <c r="AD1062" s="282"/>
      <c r="AE1062" s="317">
        <f>SUM(AE1063:AE1064)</f>
        <v>382.6</v>
      </c>
      <c r="AF1062" s="246"/>
      <c r="AG1062" s="282"/>
      <c r="AH1062" s="317">
        <f>SUM(AH1063:AH1064)</f>
        <v>347.3</v>
      </c>
      <c r="AI1062" s="246"/>
      <c r="AJ1062" s="282"/>
      <c r="AK1062" s="317">
        <f>SUM(AK1063:AK1064)</f>
        <v>203.64</v>
      </c>
      <c r="AL1062" s="246"/>
      <c r="AM1062" s="282"/>
      <c r="AN1062" s="317">
        <f>SUM(AN1063:AN1064)</f>
        <v>442.24</v>
      </c>
      <c r="AO1062" s="246"/>
      <c r="AP1062" s="282"/>
      <c r="AQ1062" s="317">
        <f>SUM(AQ1063:AQ1064)</f>
        <v>480.6</v>
      </c>
      <c r="AR1062" s="246"/>
      <c r="AS1062" s="282"/>
      <c r="AT1062" s="317">
        <f>SUM(AT1063:AT1064)</f>
        <v>4732.24</v>
      </c>
      <c r="AU1062" s="246"/>
      <c r="AV1062" s="336"/>
      <c r="AW1062" s="285"/>
      <c r="AX1062" s="337"/>
      <c r="AY1062" s="440">
        <v>5825.1662239999996</v>
      </c>
      <c r="AZ1062" s="355"/>
      <c r="BA1062" s="355"/>
      <c r="BB1062" s="355"/>
      <c r="BC1062" s="355"/>
    </row>
    <row r="1063" spans="1:55" s="113" customFormat="1">
      <c r="A1063" s="1048"/>
      <c r="B1063" s="1048"/>
      <c r="C1063" s="1048"/>
      <c r="D1063" s="1035"/>
      <c r="E1063" s="1035"/>
      <c r="F1063" s="1035"/>
      <c r="G1063" s="1110"/>
      <c r="H1063" s="127" t="s">
        <v>1006</v>
      </c>
      <c r="I1063" s="127"/>
      <c r="J1063" s="548">
        <v>113</v>
      </c>
      <c r="K1063" s="545"/>
      <c r="L1063" s="546"/>
      <c r="M1063" s="547">
        <v>106</v>
      </c>
      <c r="N1063" s="545"/>
      <c r="O1063" s="546"/>
      <c r="P1063" s="737">
        <f>97+0.36</f>
        <v>97.36</v>
      </c>
      <c r="Q1063" s="545"/>
      <c r="R1063" s="546"/>
      <c r="S1063" s="547">
        <v>92</v>
      </c>
      <c r="T1063" s="545"/>
      <c r="U1063" s="546"/>
      <c r="V1063" s="548">
        <v>89</v>
      </c>
      <c r="W1063" s="545"/>
      <c r="X1063" s="546"/>
      <c r="Y1063" s="547">
        <v>82</v>
      </c>
      <c r="Z1063" s="545"/>
      <c r="AA1063" s="546"/>
      <c r="AB1063" s="548">
        <v>103</v>
      </c>
      <c r="AC1063" s="545"/>
      <c r="AD1063" s="546"/>
      <c r="AE1063" s="737">
        <f>126+20</f>
        <v>146</v>
      </c>
      <c r="AF1063" s="545"/>
      <c r="AG1063" s="546"/>
      <c r="AH1063" s="737">
        <f>170+177.3</f>
        <v>347.3</v>
      </c>
      <c r="AI1063" s="545"/>
      <c r="AJ1063" s="546"/>
      <c r="AK1063" s="802">
        <f>182+21.64</f>
        <v>203.64</v>
      </c>
      <c r="AL1063" s="545"/>
      <c r="AM1063" s="546"/>
      <c r="AN1063" s="802">
        <f>117+14.24</f>
        <v>131.24</v>
      </c>
      <c r="AO1063" s="545"/>
      <c r="AP1063" s="546"/>
      <c r="AQ1063" s="802">
        <f>113+26.6</f>
        <v>139.6</v>
      </c>
      <c r="AR1063" s="246"/>
      <c r="AS1063" s="282"/>
      <c r="AT1063" s="244">
        <f t="shared" si="40"/>
        <v>1650.14</v>
      </c>
      <c r="AU1063" s="246"/>
      <c r="AV1063" s="336"/>
      <c r="AW1063" s="285"/>
      <c r="AX1063" s="337"/>
      <c r="AY1063" s="249"/>
      <c r="AZ1063" s="355"/>
      <c r="BA1063" s="355"/>
      <c r="BB1063" s="355"/>
      <c r="BC1063" s="355"/>
    </row>
    <row r="1064" spans="1:55" s="113" customFormat="1">
      <c r="A1064" s="1048"/>
      <c r="B1064" s="1048"/>
      <c r="C1064" s="1048"/>
      <c r="D1064" s="1035"/>
      <c r="E1064" s="1035"/>
      <c r="F1064" s="1035"/>
      <c r="G1064" s="1110"/>
      <c r="H1064" s="127" t="s">
        <v>1007</v>
      </c>
      <c r="I1064" s="127"/>
      <c r="J1064" s="548">
        <v>311</v>
      </c>
      <c r="K1064" s="545"/>
      <c r="L1064" s="546"/>
      <c r="M1064" s="737">
        <f>291+35.44</f>
        <v>326.44</v>
      </c>
      <c r="N1064" s="545"/>
      <c r="O1064" s="546"/>
      <c r="P1064" s="737">
        <f>311+50</f>
        <v>361</v>
      </c>
      <c r="Q1064" s="545"/>
      <c r="R1064" s="546"/>
      <c r="S1064" s="737">
        <f>220+53.31</f>
        <v>273.31</v>
      </c>
      <c r="T1064" s="545"/>
      <c r="U1064" s="546"/>
      <c r="V1064" s="802">
        <f>308+6.12</f>
        <v>314.12</v>
      </c>
      <c r="W1064" s="545"/>
      <c r="X1064" s="546"/>
      <c r="Y1064" s="737">
        <f>289+8.75</f>
        <v>297.75</v>
      </c>
      <c r="Z1064" s="545"/>
      <c r="AA1064" s="546"/>
      <c r="AB1064" s="802">
        <f>299+10.88</f>
        <v>309.88</v>
      </c>
      <c r="AC1064" s="545"/>
      <c r="AD1064" s="546"/>
      <c r="AE1064" s="737">
        <f>151+85.6</f>
        <v>236.6</v>
      </c>
      <c r="AF1064" s="545"/>
      <c r="AG1064" s="546"/>
      <c r="AH1064" s="548">
        <v>0</v>
      </c>
      <c r="AI1064" s="545"/>
      <c r="AJ1064" s="546"/>
      <c r="AK1064" s="547">
        <v>0</v>
      </c>
      <c r="AL1064" s="545"/>
      <c r="AM1064" s="546"/>
      <c r="AN1064" s="1183">
        <f>261+50</f>
        <v>311</v>
      </c>
      <c r="AO1064" s="545"/>
      <c r="AP1064" s="546"/>
      <c r="AQ1064" s="802">
        <f>311+30</f>
        <v>341</v>
      </c>
      <c r="AR1064" s="246"/>
      <c r="AS1064" s="282"/>
      <c r="AT1064" s="244">
        <f t="shared" si="40"/>
        <v>3082.1</v>
      </c>
      <c r="AU1064" s="246"/>
      <c r="AV1064" s="336"/>
      <c r="AW1064" s="285"/>
      <c r="AX1064" s="337"/>
      <c r="AY1064" s="249"/>
      <c r="AZ1064" s="355"/>
      <c r="BA1064" s="355"/>
      <c r="BB1064" s="355"/>
      <c r="BC1064" s="355"/>
    </row>
    <row r="1065" spans="1:55" s="113" customFormat="1">
      <c r="A1065" s="1048"/>
      <c r="B1065" s="1048"/>
      <c r="C1065" s="1048"/>
      <c r="D1065" s="1035">
        <v>345706</v>
      </c>
      <c r="E1065" s="1035"/>
      <c r="F1065" s="1035"/>
      <c r="G1065" s="1110">
        <v>345706</v>
      </c>
      <c r="H1065" s="127" t="s">
        <v>1436</v>
      </c>
      <c r="I1065" s="516" t="s">
        <v>364</v>
      </c>
      <c r="J1065" s="548">
        <v>6.7183999999999999</v>
      </c>
      <c r="K1065" s="545"/>
      <c r="L1065" s="546"/>
      <c r="M1065" s="547">
        <v>7.5823999999999998</v>
      </c>
      <c r="N1065" s="545"/>
      <c r="O1065" s="546"/>
      <c r="P1065" s="547">
        <v>8.34</v>
      </c>
      <c r="Q1065" s="545"/>
      <c r="R1065" s="546"/>
      <c r="S1065" s="547">
        <v>8.2119999999999997</v>
      </c>
      <c r="T1065" s="545"/>
      <c r="U1065" s="546"/>
      <c r="V1065" s="548">
        <v>6.2031999999999998</v>
      </c>
      <c r="W1065" s="545"/>
      <c r="X1065" s="546"/>
      <c r="Y1065" s="547">
        <v>7.5174000000000003</v>
      </c>
      <c r="Z1065" s="545"/>
      <c r="AA1065" s="546"/>
      <c r="AB1065" s="548">
        <v>8.2423999999999999</v>
      </c>
      <c r="AC1065" s="545"/>
      <c r="AD1065" s="546"/>
      <c r="AE1065" s="547">
        <v>7.4260000000000002</v>
      </c>
      <c r="AF1065" s="545"/>
      <c r="AG1065" s="546"/>
      <c r="AH1065" s="548">
        <v>8.2927999999999997</v>
      </c>
      <c r="AI1065" s="545"/>
      <c r="AJ1065" s="546"/>
      <c r="AK1065" s="547">
        <v>6.5998000000000001</v>
      </c>
      <c r="AL1065" s="545"/>
      <c r="AM1065" s="546"/>
      <c r="AN1065" s="548">
        <v>6.0422000000000002</v>
      </c>
      <c r="AO1065" s="545"/>
      <c r="AP1065" s="546"/>
      <c r="AQ1065" s="548">
        <v>9.3103999999999996</v>
      </c>
      <c r="AR1065" s="246"/>
      <c r="AS1065" s="282"/>
      <c r="AT1065" s="244">
        <f t="shared" si="40"/>
        <v>90.486999999999995</v>
      </c>
      <c r="AU1065" s="246"/>
      <c r="AV1065" s="336"/>
      <c r="AW1065" s="285"/>
      <c r="AX1065" s="337"/>
      <c r="AY1065" s="441">
        <v>32.426758999999997</v>
      </c>
      <c r="AZ1065" s="355"/>
      <c r="BA1065" s="355"/>
      <c r="BB1065" s="355"/>
      <c r="BC1065" s="355"/>
    </row>
    <row r="1066" spans="1:55" s="115" customFormat="1">
      <c r="A1066" s="1048"/>
      <c r="B1066" s="1048"/>
      <c r="C1066" s="1048"/>
      <c r="D1066" s="1035">
        <v>345717</v>
      </c>
      <c r="E1066" s="1035"/>
      <c r="F1066" s="1035"/>
      <c r="G1066" s="1110">
        <v>345717</v>
      </c>
      <c r="H1066" s="132" t="s">
        <v>453</v>
      </c>
      <c r="I1066" s="516" t="s">
        <v>364</v>
      </c>
      <c r="J1066" s="317">
        <f>J1067+J1068+J1069</f>
        <v>255.98000000000002</v>
      </c>
      <c r="K1066" s="246"/>
      <c r="L1066" s="282"/>
      <c r="M1066" s="317">
        <f>M1067+M1068+M1069</f>
        <v>265.33999999999997</v>
      </c>
      <c r="N1066" s="246"/>
      <c r="O1066" s="282"/>
      <c r="P1066" s="317">
        <f>P1067+P1068+P1069</f>
        <v>274.94</v>
      </c>
      <c r="Q1066" s="246"/>
      <c r="R1066" s="282"/>
      <c r="S1066" s="317">
        <f>S1067+S1068+S1069</f>
        <v>187.2</v>
      </c>
      <c r="T1066" s="246"/>
      <c r="U1066" s="282"/>
      <c r="V1066" s="317">
        <f>V1067+V1068+V1069</f>
        <v>141.19499999999999</v>
      </c>
      <c r="W1066" s="246"/>
      <c r="X1066" s="282"/>
      <c r="Y1066" s="317">
        <f>Y1067+Y1068+Y1069</f>
        <v>85.8</v>
      </c>
      <c r="Z1066" s="246"/>
      <c r="AA1066" s="282"/>
      <c r="AB1066" s="317">
        <f>AB1067+AB1068+AB1069</f>
        <v>60.8</v>
      </c>
      <c r="AC1066" s="246"/>
      <c r="AD1066" s="282"/>
      <c r="AE1066" s="317">
        <f>AE1067+AE1068+AE1069</f>
        <v>103</v>
      </c>
      <c r="AF1066" s="246"/>
      <c r="AG1066" s="282"/>
      <c r="AH1066" s="317">
        <f>AH1067+AH1068+AH1069</f>
        <v>163</v>
      </c>
      <c r="AI1066" s="246"/>
      <c r="AJ1066" s="282"/>
      <c r="AK1066" s="317">
        <f>AK1067+AK1068+AK1069</f>
        <v>170.136</v>
      </c>
      <c r="AL1066" s="246"/>
      <c r="AM1066" s="282"/>
      <c r="AN1066" s="317">
        <f>AN1067+AN1068+AN1069</f>
        <v>261.5</v>
      </c>
      <c r="AO1066" s="246"/>
      <c r="AP1066" s="282"/>
      <c r="AQ1066" s="317">
        <f>AQ1067+AQ1068+AQ1069</f>
        <v>272.95999999999998</v>
      </c>
      <c r="AR1066" s="246"/>
      <c r="AS1066" s="282"/>
      <c r="AT1066" s="317">
        <f>AT1067+AT1068+AT1069</f>
        <v>2241.8510000000001</v>
      </c>
      <c r="AU1066" s="246"/>
      <c r="AV1066" s="336"/>
      <c r="AW1066" s="285"/>
      <c r="AX1066" s="337"/>
      <c r="AY1066" s="440">
        <v>2035.476656</v>
      </c>
      <c r="AZ1066" s="375"/>
      <c r="BA1066" s="375"/>
      <c r="BB1066" s="375"/>
      <c r="BC1066" s="375"/>
    </row>
    <row r="1067" spans="1:55" s="115" customFormat="1">
      <c r="A1067" s="1048"/>
      <c r="B1067" s="1048"/>
      <c r="C1067" s="1048"/>
      <c r="D1067" s="1035"/>
      <c r="E1067" s="1035"/>
      <c r="F1067" s="1035"/>
      <c r="G1067" s="1110"/>
      <c r="H1067" s="127" t="s">
        <v>1151</v>
      </c>
      <c r="I1067" s="516"/>
      <c r="J1067" s="1168">
        <f>132.99-10</f>
        <v>122.99000000000001</v>
      </c>
      <c r="K1067" s="246"/>
      <c r="L1067" s="282"/>
      <c r="M1067" s="244">
        <v>122.67</v>
      </c>
      <c r="N1067" s="246"/>
      <c r="O1067" s="282"/>
      <c r="P1067" s="345">
        <f>70.815+30+20</f>
        <v>120.815</v>
      </c>
      <c r="Q1067" s="246"/>
      <c r="R1067" s="282"/>
      <c r="S1067" s="244">
        <v>73.760000000000005</v>
      </c>
      <c r="T1067" s="246"/>
      <c r="U1067" s="282"/>
      <c r="V1067" s="244">
        <v>84.135000000000005</v>
      </c>
      <c r="W1067" s="246"/>
      <c r="X1067" s="282"/>
      <c r="Y1067" s="244">
        <v>34.5</v>
      </c>
      <c r="Z1067" s="246"/>
      <c r="AA1067" s="282"/>
      <c r="AB1067" s="244">
        <v>32.299999999999997</v>
      </c>
      <c r="AC1067" s="246"/>
      <c r="AD1067" s="282"/>
      <c r="AE1067" s="737">
        <f>46.5+5</f>
        <v>51.5</v>
      </c>
      <c r="AF1067" s="246"/>
      <c r="AG1067" s="282"/>
      <c r="AH1067" s="244">
        <v>55.5</v>
      </c>
      <c r="AI1067" s="246"/>
      <c r="AJ1067" s="282"/>
      <c r="AK1067" s="547">
        <v>48.75</v>
      </c>
      <c r="AL1067" s="246"/>
      <c r="AM1067" s="282"/>
      <c r="AN1067" s="548">
        <v>101.86</v>
      </c>
      <c r="AO1067" s="246"/>
      <c r="AP1067" s="282"/>
      <c r="AQ1067" s="1171">
        <f>75.48+20</f>
        <v>95.48</v>
      </c>
      <c r="AR1067" s="246"/>
      <c r="AS1067" s="282"/>
      <c r="AT1067" s="244">
        <f t="shared" si="40"/>
        <v>944.26</v>
      </c>
      <c r="AU1067" s="246"/>
      <c r="AV1067" s="336"/>
      <c r="AW1067" s="285"/>
      <c r="AX1067" s="337"/>
      <c r="AY1067" s="441"/>
      <c r="AZ1067" s="375"/>
      <c r="BA1067" s="375"/>
      <c r="BB1067" s="375"/>
      <c r="BC1067" s="375"/>
    </row>
    <row r="1068" spans="1:55" s="115" customFormat="1">
      <c r="A1068" s="1048"/>
      <c r="B1068" s="1048"/>
      <c r="C1068" s="1048"/>
      <c r="D1068" s="1035"/>
      <c r="E1068" s="1035"/>
      <c r="F1068" s="1035"/>
      <c r="G1068" s="1110"/>
      <c r="H1068" s="127" t="s">
        <v>1152</v>
      </c>
      <c r="I1068" s="516"/>
      <c r="J1068" s="281">
        <v>66.495000000000005</v>
      </c>
      <c r="K1068" s="246"/>
      <c r="L1068" s="282"/>
      <c r="M1068" s="345">
        <f>74.025+20</f>
        <v>94.025000000000006</v>
      </c>
      <c r="N1068" s="246"/>
      <c r="O1068" s="282"/>
      <c r="P1068" s="244">
        <v>110.37</v>
      </c>
      <c r="Q1068" s="246"/>
      <c r="R1068" s="282"/>
      <c r="S1068" s="244">
        <v>113.44</v>
      </c>
      <c r="T1068" s="246"/>
      <c r="U1068" s="282"/>
      <c r="V1068" s="244">
        <v>57.06</v>
      </c>
      <c r="W1068" s="246"/>
      <c r="X1068" s="282"/>
      <c r="Y1068" s="244">
        <v>51.3</v>
      </c>
      <c r="Z1068" s="246"/>
      <c r="AA1068" s="282"/>
      <c r="AB1068" s="244">
        <v>28.5</v>
      </c>
      <c r="AC1068" s="246"/>
      <c r="AD1068" s="282"/>
      <c r="AE1068" s="737">
        <f>46.5+5</f>
        <v>51.5</v>
      </c>
      <c r="AF1068" s="246"/>
      <c r="AG1068" s="282"/>
      <c r="AH1068" s="345">
        <f>55.5+52</f>
        <v>107.5</v>
      </c>
      <c r="AI1068" s="246"/>
      <c r="AJ1068" s="282"/>
      <c r="AK1068" s="547">
        <v>121.386</v>
      </c>
      <c r="AL1068" s="246"/>
      <c r="AM1068" s="282"/>
      <c r="AN1068" s="802">
        <f>64.74+40</f>
        <v>104.74</v>
      </c>
      <c r="AO1068" s="246"/>
      <c r="AP1068" s="282"/>
      <c r="AQ1068" s="281">
        <v>114.24</v>
      </c>
      <c r="AR1068" s="246"/>
      <c r="AS1068" s="282"/>
      <c r="AT1068" s="244">
        <f t="shared" si="40"/>
        <v>1020.556</v>
      </c>
      <c r="AU1068" s="246"/>
      <c r="AV1068" s="336"/>
      <c r="AW1068" s="285"/>
      <c r="AX1068" s="337"/>
      <c r="AY1068" s="441"/>
      <c r="AZ1068" s="375"/>
      <c r="BA1068" s="375"/>
      <c r="BB1068" s="375"/>
      <c r="BC1068" s="375"/>
    </row>
    <row r="1069" spans="1:55" s="115" customFormat="1">
      <c r="A1069" s="1048"/>
      <c r="B1069" s="1048"/>
      <c r="C1069" s="1048"/>
      <c r="D1069" s="1035"/>
      <c r="E1069" s="1035"/>
      <c r="F1069" s="1035"/>
      <c r="G1069" s="1110"/>
      <c r="H1069" s="127" t="s">
        <v>1153</v>
      </c>
      <c r="I1069" s="516"/>
      <c r="J1069" s="281">
        <v>66.495000000000005</v>
      </c>
      <c r="K1069" s="246"/>
      <c r="L1069" s="282"/>
      <c r="M1069" s="244">
        <v>48.645000000000003</v>
      </c>
      <c r="N1069" s="246"/>
      <c r="O1069" s="282"/>
      <c r="P1069" s="244">
        <v>43.755000000000003</v>
      </c>
      <c r="Q1069" s="246"/>
      <c r="R1069" s="282"/>
      <c r="S1069" s="244">
        <v>0</v>
      </c>
      <c r="T1069" s="246"/>
      <c r="U1069" s="282"/>
      <c r="V1069" s="244">
        <v>0</v>
      </c>
      <c r="W1069" s="246"/>
      <c r="X1069" s="282"/>
      <c r="Y1069" s="244">
        <v>0</v>
      </c>
      <c r="Z1069" s="246"/>
      <c r="AA1069" s="282"/>
      <c r="AB1069" s="244">
        <v>0</v>
      </c>
      <c r="AC1069" s="246"/>
      <c r="AD1069" s="282"/>
      <c r="AE1069" s="547">
        <v>0</v>
      </c>
      <c r="AF1069" s="246"/>
      <c r="AG1069" s="282"/>
      <c r="AH1069" s="244">
        <v>0</v>
      </c>
      <c r="AI1069" s="246"/>
      <c r="AJ1069" s="282"/>
      <c r="AK1069" s="547">
        <v>0</v>
      </c>
      <c r="AL1069" s="246"/>
      <c r="AM1069" s="282"/>
      <c r="AN1069" s="548">
        <v>54.9</v>
      </c>
      <c r="AO1069" s="246"/>
      <c r="AP1069" s="282"/>
      <c r="AQ1069" s="281">
        <v>63.24</v>
      </c>
      <c r="AR1069" s="246"/>
      <c r="AS1069" s="282"/>
      <c r="AT1069" s="244">
        <f t="shared" si="40"/>
        <v>277.03500000000003</v>
      </c>
      <c r="AU1069" s="246"/>
      <c r="AV1069" s="336"/>
      <c r="AW1069" s="285"/>
      <c r="AX1069" s="337"/>
      <c r="AY1069" s="441"/>
      <c r="AZ1069" s="375"/>
      <c r="BA1069" s="375"/>
      <c r="BB1069" s="375"/>
      <c r="BC1069" s="375"/>
    </row>
    <row r="1070" spans="1:55" s="115" customFormat="1">
      <c r="A1070" s="1048"/>
      <c r="B1070" s="1048"/>
      <c r="C1070" s="1048"/>
      <c r="D1070" s="1035">
        <v>777173</v>
      </c>
      <c r="E1070" s="1035"/>
      <c r="F1070" s="1035"/>
      <c r="G1070" s="1110">
        <v>777173</v>
      </c>
      <c r="H1070" s="127" t="s">
        <v>1426</v>
      </c>
      <c r="I1070" s="516" t="s">
        <v>365</v>
      </c>
      <c r="J1070" s="548">
        <v>2.4849600000000001</v>
      </c>
      <c r="K1070" s="545"/>
      <c r="L1070" s="546"/>
      <c r="M1070" s="547">
        <v>2.2444799999999998</v>
      </c>
      <c r="N1070" s="545"/>
      <c r="O1070" s="546"/>
      <c r="P1070" s="547">
        <v>2.4849600000000001</v>
      </c>
      <c r="Q1070" s="545"/>
      <c r="R1070" s="546"/>
      <c r="S1070" s="547">
        <v>2.4047999999999998</v>
      </c>
      <c r="T1070" s="545"/>
      <c r="U1070" s="546"/>
      <c r="V1070" s="548">
        <v>2.4849600000000001</v>
      </c>
      <c r="W1070" s="545"/>
      <c r="X1070" s="546"/>
      <c r="Y1070" s="547">
        <v>2.4047999999999998</v>
      </c>
      <c r="Z1070" s="545"/>
      <c r="AA1070" s="546"/>
      <c r="AB1070" s="548">
        <v>2.4849600000000001</v>
      </c>
      <c r="AC1070" s="545"/>
      <c r="AD1070" s="546"/>
      <c r="AE1070" s="547">
        <v>2.4849600000000001</v>
      </c>
      <c r="AF1070" s="545"/>
      <c r="AG1070" s="546"/>
      <c r="AH1070" s="548">
        <v>2.4047999999999998</v>
      </c>
      <c r="AI1070" s="545"/>
      <c r="AJ1070" s="546"/>
      <c r="AK1070" s="547">
        <v>2.4849600000000001</v>
      </c>
      <c r="AL1070" s="545"/>
      <c r="AM1070" s="546"/>
      <c r="AN1070" s="548">
        <v>2.4047999999999998</v>
      </c>
      <c r="AO1070" s="545"/>
      <c r="AP1070" s="546"/>
      <c r="AQ1070" s="548">
        <v>2.4849600000000001</v>
      </c>
      <c r="AR1070" s="246"/>
      <c r="AS1070" s="282"/>
      <c r="AT1070" s="244">
        <f t="shared" si="40"/>
        <v>29.258400000000002</v>
      </c>
      <c r="AU1070" s="246"/>
      <c r="AV1070" s="336"/>
      <c r="AW1070" s="285"/>
      <c r="AX1070" s="337"/>
      <c r="AY1070" s="441">
        <v>7.1807439999999998</v>
      </c>
      <c r="AZ1070" s="375"/>
      <c r="BA1070" s="375"/>
      <c r="BB1070" s="375"/>
      <c r="BC1070" s="375"/>
    </row>
    <row r="1071" spans="1:55" s="115" customFormat="1">
      <c r="A1071" s="1048"/>
      <c r="B1071" s="1048"/>
      <c r="C1071" s="1048"/>
      <c r="D1071" s="1035"/>
      <c r="E1071" s="1035"/>
      <c r="F1071" s="1035"/>
      <c r="G1071" s="1110"/>
      <c r="H1071" s="138" t="s">
        <v>174</v>
      </c>
      <c r="I1071" s="138"/>
      <c r="J1071" s="319">
        <f>SUM(J1072:J1081)</f>
        <v>179.71994500000002</v>
      </c>
      <c r="K1071" s="307"/>
      <c r="L1071" s="308"/>
      <c r="M1071" s="319">
        <f>SUM(M1072:M1081)</f>
        <v>172.73317600000001</v>
      </c>
      <c r="N1071" s="307"/>
      <c r="O1071" s="308"/>
      <c r="P1071" s="319">
        <f>SUM(P1072:P1081)</f>
        <v>184.24882499999998</v>
      </c>
      <c r="Q1071" s="307"/>
      <c r="R1071" s="308"/>
      <c r="S1071" s="319">
        <f>SUM(S1072:S1081)</f>
        <v>168.01486500000001</v>
      </c>
      <c r="T1071" s="307"/>
      <c r="U1071" s="308"/>
      <c r="V1071" s="319">
        <f>SUM(V1072:V1081)</f>
        <v>154.494145</v>
      </c>
      <c r="W1071" s="307"/>
      <c r="X1071" s="308"/>
      <c r="Y1071" s="319">
        <f>SUM(Y1072:Y1081)</f>
        <v>127.81562699999999</v>
      </c>
      <c r="Z1071" s="307"/>
      <c r="AA1071" s="308"/>
      <c r="AB1071" s="319">
        <f>SUM(AB1072:AB1081)</f>
        <v>146.94317299999997</v>
      </c>
      <c r="AC1071" s="307"/>
      <c r="AD1071" s="308"/>
      <c r="AE1071" s="319">
        <f>SUM(AE1072:AE1081)</f>
        <v>148.90196299999999</v>
      </c>
      <c r="AF1071" s="307"/>
      <c r="AG1071" s="308"/>
      <c r="AH1071" s="319">
        <f>SUM(AH1072:AH1081)</f>
        <v>142.94574399999999</v>
      </c>
      <c r="AI1071" s="307"/>
      <c r="AJ1071" s="308"/>
      <c r="AK1071" s="319">
        <f>SUM(AK1072:AK1081)</f>
        <v>176.160112</v>
      </c>
      <c r="AL1071" s="307"/>
      <c r="AM1071" s="308"/>
      <c r="AN1071" s="319">
        <f>SUM(AN1072:AN1081)</f>
        <v>178.34292299999998</v>
      </c>
      <c r="AO1071" s="307"/>
      <c r="AP1071" s="308"/>
      <c r="AQ1071" s="319">
        <f>SUM(AQ1072:AQ1081)</f>
        <v>184.393631</v>
      </c>
      <c r="AR1071" s="307"/>
      <c r="AS1071" s="308"/>
      <c r="AT1071" s="319">
        <f>SUM(AT1072:AT1081)</f>
        <v>1964.714129</v>
      </c>
      <c r="AU1071" s="307"/>
      <c r="AV1071" s="309"/>
      <c r="AW1071" s="226"/>
      <c r="AX1071" s="329"/>
      <c r="AY1071" s="1066">
        <v>2270.832296</v>
      </c>
      <c r="AZ1071" s="375"/>
      <c r="BA1071" s="375"/>
      <c r="BB1071" s="375"/>
      <c r="BC1071" s="375"/>
    </row>
    <row r="1072" spans="1:55" s="115" customFormat="1">
      <c r="A1072" s="1048"/>
      <c r="B1072" s="1048"/>
      <c r="C1072" s="1048"/>
      <c r="D1072" s="1035">
        <v>345748</v>
      </c>
      <c r="E1072" s="1035"/>
      <c r="F1072" s="1035"/>
      <c r="G1072" s="1110">
        <v>345748</v>
      </c>
      <c r="H1072" s="142" t="s">
        <v>1427</v>
      </c>
      <c r="I1072" s="518" t="s">
        <v>365</v>
      </c>
      <c r="J1072" s="733">
        <v>22.32</v>
      </c>
      <c r="K1072" s="734"/>
      <c r="L1072" s="735"/>
      <c r="M1072" s="736">
        <v>20.832000000000001</v>
      </c>
      <c r="N1072" s="734"/>
      <c r="O1072" s="735"/>
      <c r="P1072" s="736">
        <v>22.32</v>
      </c>
      <c r="Q1072" s="734"/>
      <c r="R1072" s="735"/>
      <c r="S1072" s="736">
        <v>21.576000000000001</v>
      </c>
      <c r="T1072" s="734"/>
      <c r="U1072" s="735"/>
      <c r="V1072" s="733">
        <v>22.32</v>
      </c>
      <c r="W1072" s="734"/>
      <c r="X1072" s="735"/>
      <c r="Y1072" s="736">
        <v>21.576000000000001</v>
      </c>
      <c r="Z1072" s="734"/>
      <c r="AA1072" s="735"/>
      <c r="AB1072" s="733">
        <v>22.32</v>
      </c>
      <c r="AC1072" s="734"/>
      <c r="AD1072" s="735"/>
      <c r="AE1072" s="736">
        <v>22.32</v>
      </c>
      <c r="AF1072" s="734"/>
      <c r="AG1072" s="735"/>
      <c r="AH1072" s="733">
        <v>9.6999999999999993</v>
      </c>
      <c r="AI1072" s="734"/>
      <c r="AJ1072" s="735"/>
      <c r="AK1072" s="736">
        <v>22.32</v>
      </c>
      <c r="AL1072" s="734"/>
      <c r="AM1072" s="735"/>
      <c r="AN1072" s="733">
        <v>21.576000000000001</v>
      </c>
      <c r="AO1072" s="734"/>
      <c r="AP1072" s="735"/>
      <c r="AQ1072" s="736">
        <v>22.32</v>
      </c>
      <c r="AR1072" s="288"/>
      <c r="AS1072" s="289"/>
      <c r="AT1072" s="294">
        <f t="shared" si="40"/>
        <v>251.49999999999994</v>
      </c>
      <c r="AU1072" s="288"/>
      <c r="AV1072" s="290"/>
      <c r="AW1072" s="285"/>
      <c r="AX1072" s="296"/>
      <c r="AY1072" s="295"/>
      <c r="AZ1072" s="375"/>
      <c r="BA1072" s="375"/>
      <c r="BB1072" s="375"/>
      <c r="BC1072" s="375"/>
    </row>
    <row r="1073" spans="1:55" s="115" customFormat="1">
      <c r="A1073" s="1048"/>
      <c r="B1073" s="1048"/>
      <c r="C1073" s="1048"/>
      <c r="D1073" s="1035">
        <v>345773</v>
      </c>
      <c r="E1073" s="1035"/>
      <c r="F1073" s="1035"/>
      <c r="G1073" s="1110">
        <v>345702</v>
      </c>
      <c r="H1073" s="142" t="s">
        <v>1428</v>
      </c>
      <c r="I1073" s="518" t="s">
        <v>365</v>
      </c>
      <c r="J1073" s="733">
        <v>8.3800000000000008</v>
      </c>
      <c r="K1073" s="734"/>
      <c r="L1073" s="735"/>
      <c r="M1073" s="736">
        <v>7.63</v>
      </c>
      <c r="N1073" s="734"/>
      <c r="O1073" s="735"/>
      <c r="P1073" s="736">
        <v>8.16</v>
      </c>
      <c r="Q1073" s="734"/>
      <c r="R1073" s="735"/>
      <c r="S1073" s="736">
        <v>7.15</v>
      </c>
      <c r="T1073" s="734"/>
      <c r="U1073" s="735"/>
      <c r="V1073" s="733">
        <v>5.12</v>
      </c>
      <c r="W1073" s="734"/>
      <c r="X1073" s="735"/>
      <c r="Y1073" s="736">
        <v>4.51</v>
      </c>
      <c r="Z1073" s="734"/>
      <c r="AA1073" s="735"/>
      <c r="AB1073" s="733">
        <v>4.5</v>
      </c>
      <c r="AC1073" s="734"/>
      <c r="AD1073" s="735"/>
      <c r="AE1073" s="736">
        <v>4.95</v>
      </c>
      <c r="AF1073" s="734"/>
      <c r="AG1073" s="735"/>
      <c r="AH1073" s="733">
        <v>5.71</v>
      </c>
      <c r="AI1073" s="734"/>
      <c r="AJ1073" s="735"/>
      <c r="AK1073" s="736">
        <v>7.36</v>
      </c>
      <c r="AL1073" s="734"/>
      <c r="AM1073" s="735"/>
      <c r="AN1073" s="733">
        <v>7.79</v>
      </c>
      <c r="AO1073" s="734"/>
      <c r="AP1073" s="735"/>
      <c r="AQ1073" s="736">
        <v>8.3000000000000007</v>
      </c>
      <c r="AR1073" s="288"/>
      <c r="AS1073" s="289"/>
      <c r="AT1073" s="294">
        <f t="shared" si="40"/>
        <v>79.56</v>
      </c>
      <c r="AU1073" s="288"/>
      <c r="AV1073" s="290"/>
      <c r="AW1073" s="285"/>
      <c r="AX1073" s="296"/>
      <c r="AY1073" s="295"/>
      <c r="AZ1073" s="375"/>
      <c r="BA1073" s="375"/>
      <c r="BB1073" s="375"/>
      <c r="BC1073" s="375"/>
    </row>
    <row r="1074" spans="1:55" s="113" customFormat="1">
      <c r="A1074" s="1048"/>
      <c r="B1074" s="1048"/>
      <c r="C1074" s="1048"/>
      <c r="D1074" s="1035">
        <v>345738</v>
      </c>
      <c r="E1074" s="1035"/>
      <c r="F1074" s="1035"/>
      <c r="G1074" s="1110">
        <v>777197</v>
      </c>
      <c r="H1074" s="142" t="s">
        <v>454</v>
      </c>
      <c r="I1074" s="518" t="s">
        <v>365</v>
      </c>
      <c r="J1074" s="733">
        <v>50.25</v>
      </c>
      <c r="K1074" s="734"/>
      <c r="L1074" s="735"/>
      <c r="M1074" s="736">
        <v>45.56</v>
      </c>
      <c r="N1074" s="734"/>
      <c r="O1074" s="735"/>
      <c r="P1074" s="736">
        <v>49.94</v>
      </c>
      <c r="Q1074" s="734"/>
      <c r="R1074" s="735"/>
      <c r="S1074" s="736">
        <v>43.89</v>
      </c>
      <c r="T1074" s="734"/>
      <c r="U1074" s="735"/>
      <c r="V1074" s="733">
        <v>42.05</v>
      </c>
      <c r="W1074" s="734"/>
      <c r="X1074" s="735"/>
      <c r="Y1074" s="736">
        <v>21.13</v>
      </c>
      <c r="Z1074" s="734"/>
      <c r="AA1074" s="735"/>
      <c r="AB1074" s="733">
        <v>37.47</v>
      </c>
      <c r="AC1074" s="734"/>
      <c r="AD1074" s="735"/>
      <c r="AE1074" s="736">
        <v>38.17</v>
      </c>
      <c r="AF1074" s="734"/>
      <c r="AG1074" s="735"/>
      <c r="AH1074" s="733">
        <v>38.57</v>
      </c>
      <c r="AI1074" s="734"/>
      <c r="AJ1074" s="735"/>
      <c r="AK1074" s="736">
        <v>43.18</v>
      </c>
      <c r="AL1074" s="734"/>
      <c r="AM1074" s="735"/>
      <c r="AN1074" s="733">
        <v>45.96</v>
      </c>
      <c r="AO1074" s="734"/>
      <c r="AP1074" s="735"/>
      <c r="AQ1074" s="736">
        <v>47.86</v>
      </c>
      <c r="AR1074" s="288"/>
      <c r="AS1074" s="289"/>
      <c r="AT1074" s="294">
        <f t="shared" si="40"/>
        <v>504.03</v>
      </c>
      <c r="AU1074" s="288"/>
      <c r="AV1074" s="290"/>
      <c r="AW1074" s="285"/>
      <c r="AX1074" s="296"/>
      <c r="AY1074" s="295"/>
      <c r="AZ1074" s="355"/>
      <c r="BA1074" s="355"/>
      <c r="BB1074" s="355"/>
      <c r="BC1074" s="355"/>
    </row>
    <row r="1075" spans="1:55" s="113" customFormat="1">
      <c r="A1075" s="1048"/>
      <c r="B1075" s="1048"/>
      <c r="C1075" s="1048"/>
      <c r="D1075" s="1035">
        <v>345740</v>
      </c>
      <c r="E1075" s="1035"/>
      <c r="F1075" s="1035"/>
      <c r="G1075" s="1110">
        <v>345740</v>
      </c>
      <c r="H1075" s="142" t="s">
        <v>1429</v>
      </c>
      <c r="I1075" s="518" t="s">
        <v>365</v>
      </c>
      <c r="J1075" s="733">
        <v>9.9295019999999994</v>
      </c>
      <c r="K1075" s="734"/>
      <c r="L1075" s="735"/>
      <c r="M1075" s="736">
        <v>10.471302</v>
      </c>
      <c r="N1075" s="734"/>
      <c r="O1075" s="735"/>
      <c r="P1075" s="736">
        <v>11.879994</v>
      </c>
      <c r="Q1075" s="734"/>
      <c r="R1075" s="735"/>
      <c r="S1075" s="736">
        <v>11.496912</v>
      </c>
      <c r="T1075" s="734"/>
      <c r="U1075" s="735"/>
      <c r="V1075" s="733">
        <v>12.648624</v>
      </c>
      <c r="W1075" s="734"/>
      <c r="X1075" s="735"/>
      <c r="Y1075" s="736">
        <v>9.8847360000000002</v>
      </c>
      <c r="Z1075" s="734"/>
      <c r="AA1075" s="735"/>
      <c r="AB1075" s="733">
        <v>12.845136</v>
      </c>
      <c r="AC1075" s="734"/>
      <c r="AD1075" s="735"/>
      <c r="AE1075" s="736">
        <v>12.530112000000001</v>
      </c>
      <c r="AF1075" s="734"/>
      <c r="AG1075" s="735"/>
      <c r="AH1075" s="733">
        <v>11.980368</v>
      </c>
      <c r="AI1075" s="734"/>
      <c r="AJ1075" s="735"/>
      <c r="AK1075" s="736">
        <v>12.985872000000001</v>
      </c>
      <c r="AL1075" s="734"/>
      <c r="AM1075" s="735"/>
      <c r="AN1075" s="733">
        <v>12.477600000000001</v>
      </c>
      <c r="AO1075" s="734"/>
      <c r="AP1075" s="735"/>
      <c r="AQ1075" s="736">
        <v>11.882496</v>
      </c>
      <c r="AR1075" s="288"/>
      <c r="AS1075" s="289"/>
      <c r="AT1075" s="294">
        <f t="shared" si="40"/>
        <v>141.012654</v>
      </c>
      <c r="AU1075" s="288"/>
      <c r="AV1075" s="290"/>
      <c r="AW1075" s="285"/>
      <c r="AX1075" s="296"/>
      <c r="AY1075" s="295"/>
      <c r="AZ1075" s="355"/>
      <c r="BA1075" s="355"/>
      <c r="BB1075" s="355"/>
      <c r="BC1075" s="355"/>
    </row>
    <row r="1076" spans="1:55" s="113" customFormat="1">
      <c r="A1076" s="1048"/>
      <c r="B1076" s="1048"/>
      <c r="C1076" s="1048"/>
      <c r="D1076" s="1035">
        <v>345744</v>
      </c>
      <c r="E1076" s="1035"/>
      <c r="F1076" s="1035"/>
      <c r="G1076" s="1110">
        <v>345744</v>
      </c>
      <c r="H1076" s="142" t="s">
        <v>1430</v>
      </c>
      <c r="I1076" s="518" t="s">
        <v>365</v>
      </c>
      <c r="J1076" s="733">
        <v>7.5</v>
      </c>
      <c r="K1076" s="734"/>
      <c r="L1076" s="735"/>
      <c r="M1076" s="736">
        <v>6.6</v>
      </c>
      <c r="N1076" s="734"/>
      <c r="O1076" s="735"/>
      <c r="P1076" s="736">
        <v>6.8</v>
      </c>
      <c r="Q1076" s="734"/>
      <c r="R1076" s="735"/>
      <c r="S1076" s="736">
        <v>6</v>
      </c>
      <c r="T1076" s="734"/>
      <c r="U1076" s="735"/>
      <c r="V1076" s="733">
        <v>2.9</v>
      </c>
      <c r="W1076" s="734"/>
      <c r="X1076" s="735"/>
      <c r="Y1076" s="736">
        <v>2.2999999999999998</v>
      </c>
      <c r="Z1076" s="734"/>
      <c r="AA1076" s="735"/>
      <c r="AB1076" s="733">
        <v>5.6</v>
      </c>
      <c r="AC1076" s="734"/>
      <c r="AD1076" s="735"/>
      <c r="AE1076" s="736">
        <v>4.5999999999999996</v>
      </c>
      <c r="AF1076" s="734"/>
      <c r="AG1076" s="735"/>
      <c r="AH1076" s="733">
        <v>5.6</v>
      </c>
      <c r="AI1076" s="734"/>
      <c r="AJ1076" s="735"/>
      <c r="AK1076" s="736">
        <v>9.3000000000000007</v>
      </c>
      <c r="AL1076" s="734"/>
      <c r="AM1076" s="735"/>
      <c r="AN1076" s="733">
        <v>9.9</v>
      </c>
      <c r="AO1076" s="734"/>
      <c r="AP1076" s="735"/>
      <c r="AQ1076" s="736">
        <v>10.7</v>
      </c>
      <c r="AR1076" s="288"/>
      <c r="AS1076" s="289"/>
      <c r="AT1076" s="294">
        <f t="shared" si="40"/>
        <v>77.800000000000011</v>
      </c>
      <c r="AU1076" s="288"/>
      <c r="AV1076" s="290"/>
      <c r="AW1076" s="285"/>
      <c r="AX1076" s="296"/>
      <c r="AY1076" s="313"/>
      <c r="AZ1076" s="355"/>
      <c r="BA1076" s="355"/>
      <c r="BB1076" s="355"/>
      <c r="BC1076" s="355"/>
    </row>
    <row r="1077" spans="1:55" s="113" customFormat="1">
      <c r="A1077" s="1048"/>
      <c r="B1077" s="1048"/>
      <c r="C1077" s="1048"/>
      <c r="D1077" s="1035">
        <v>345741</v>
      </c>
      <c r="E1077" s="1035"/>
      <c r="F1077" s="1035"/>
      <c r="G1077" s="1110">
        <v>345741</v>
      </c>
      <c r="H1077" s="142" t="s">
        <v>1431</v>
      </c>
      <c r="I1077" s="518" t="s">
        <v>365</v>
      </c>
      <c r="J1077" s="733">
        <v>35.299999999999997</v>
      </c>
      <c r="K1077" s="734"/>
      <c r="L1077" s="735"/>
      <c r="M1077" s="736">
        <v>33.450000000000003</v>
      </c>
      <c r="N1077" s="734"/>
      <c r="O1077" s="735"/>
      <c r="P1077" s="736">
        <v>34.799999999999997</v>
      </c>
      <c r="Q1077" s="734"/>
      <c r="R1077" s="735"/>
      <c r="S1077" s="736">
        <v>33.4</v>
      </c>
      <c r="T1077" s="734"/>
      <c r="U1077" s="735"/>
      <c r="V1077" s="733">
        <v>30.3</v>
      </c>
      <c r="W1077" s="734"/>
      <c r="X1077" s="735"/>
      <c r="Y1077" s="736">
        <v>29.9</v>
      </c>
      <c r="Z1077" s="734"/>
      <c r="AA1077" s="735"/>
      <c r="AB1077" s="733">
        <v>27.6</v>
      </c>
      <c r="AC1077" s="734"/>
      <c r="AD1077" s="735"/>
      <c r="AE1077" s="736">
        <v>27.7</v>
      </c>
      <c r="AF1077" s="734"/>
      <c r="AG1077" s="735"/>
      <c r="AH1077" s="733">
        <v>31.3</v>
      </c>
      <c r="AI1077" s="734"/>
      <c r="AJ1077" s="735"/>
      <c r="AK1077" s="736">
        <v>34.6</v>
      </c>
      <c r="AL1077" s="734"/>
      <c r="AM1077" s="735"/>
      <c r="AN1077" s="733">
        <v>34</v>
      </c>
      <c r="AO1077" s="734"/>
      <c r="AP1077" s="735"/>
      <c r="AQ1077" s="736">
        <v>35</v>
      </c>
      <c r="AR1077" s="288"/>
      <c r="AS1077" s="289"/>
      <c r="AT1077" s="294">
        <f t="shared" si="40"/>
        <v>387.35</v>
      </c>
      <c r="AU1077" s="288"/>
      <c r="AV1077" s="290"/>
      <c r="AW1077" s="285"/>
      <c r="AX1077" s="296"/>
      <c r="AY1077" s="313"/>
      <c r="AZ1077" s="355"/>
      <c r="BA1077" s="355"/>
      <c r="BB1077" s="355"/>
      <c r="BC1077" s="355"/>
    </row>
    <row r="1078" spans="1:55" s="115" customFormat="1">
      <c r="A1078" s="1048"/>
      <c r="B1078" s="1048"/>
      <c r="C1078" s="1048"/>
      <c r="D1078" s="1035">
        <v>345745</v>
      </c>
      <c r="E1078" s="1035"/>
      <c r="F1078" s="1035"/>
      <c r="G1078" s="1110">
        <v>345745</v>
      </c>
      <c r="H1078" s="142" t="s">
        <v>1432</v>
      </c>
      <c r="I1078" s="518" t="s">
        <v>365</v>
      </c>
      <c r="J1078" s="733">
        <v>13.4</v>
      </c>
      <c r="K1078" s="734"/>
      <c r="L1078" s="735"/>
      <c r="M1078" s="736">
        <v>12.6</v>
      </c>
      <c r="N1078" s="734"/>
      <c r="O1078" s="735"/>
      <c r="P1078" s="736">
        <v>12.7</v>
      </c>
      <c r="Q1078" s="734"/>
      <c r="R1078" s="735"/>
      <c r="S1078" s="736">
        <v>10.4</v>
      </c>
      <c r="T1078" s="734"/>
      <c r="U1078" s="735"/>
      <c r="V1078" s="733">
        <v>8.1999999999999993</v>
      </c>
      <c r="W1078" s="734"/>
      <c r="X1078" s="735"/>
      <c r="Y1078" s="736">
        <v>7.5</v>
      </c>
      <c r="Z1078" s="734"/>
      <c r="AA1078" s="735"/>
      <c r="AB1078" s="733">
        <v>4.4400000000000004</v>
      </c>
      <c r="AC1078" s="734"/>
      <c r="AD1078" s="735"/>
      <c r="AE1078" s="736">
        <v>7.5</v>
      </c>
      <c r="AF1078" s="734"/>
      <c r="AG1078" s="735"/>
      <c r="AH1078" s="733">
        <v>9.5</v>
      </c>
      <c r="AI1078" s="734"/>
      <c r="AJ1078" s="735"/>
      <c r="AK1078" s="736">
        <v>11.18</v>
      </c>
      <c r="AL1078" s="734"/>
      <c r="AM1078" s="735"/>
      <c r="AN1078" s="733">
        <v>12.29</v>
      </c>
      <c r="AO1078" s="734"/>
      <c r="AP1078" s="735"/>
      <c r="AQ1078" s="736">
        <v>12.29</v>
      </c>
      <c r="AR1078" s="288"/>
      <c r="AS1078" s="289"/>
      <c r="AT1078" s="294">
        <f t="shared" si="40"/>
        <v>121.99999999999997</v>
      </c>
      <c r="AU1078" s="288"/>
      <c r="AV1078" s="290"/>
      <c r="AW1078" s="285"/>
      <c r="AX1078" s="296"/>
      <c r="AY1078" s="313"/>
      <c r="AZ1078" s="375"/>
      <c r="BA1078" s="375"/>
      <c r="BB1078" s="375"/>
      <c r="BC1078" s="375"/>
    </row>
    <row r="1079" spans="1:55" s="115" customFormat="1">
      <c r="A1079" s="1048"/>
      <c r="B1079" s="1048"/>
      <c r="C1079" s="1048"/>
      <c r="D1079" s="1035">
        <v>345781</v>
      </c>
      <c r="E1079" s="1035"/>
      <c r="F1079" s="1035"/>
      <c r="G1079" s="1110">
        <v>345781</v>
      </c>
      <c r="H1079" s="142" t="s">
        <v>1433</v>
      </c>
      <c r="I1079" s="518" t="s">
        <v>365</v>
      </c>
      <c r="J1079" s="733">
        <v>4.7431999999999999</v>
      </c>
      <c r="K1079" s="734"/>
      <c r="L1079" s="735"/>
      <c r="M1079" s="736">
        <v>5.2370000000000001</v>
      </c>
      <c r="N1079" s="734"/>
      <c r="O1079" s="735"/>
      <c r="P1079" s="736">
        <v>5.3648999999999996</v>
      </c>
      <c r="Q1079" s="734"/>
      <c r="R1079" s="735"/>
      <c r="S1079" s="736">
        <v>3.5935999999999999</v>
      </c>
      <c r="T1079" s="734"/>
      <c r="U1079" s="735"/>
      <c r="V1079" s="733">
        <v>1.8645</v>
      </c>
      <c r="W1079" s="734"/>
      <c r="X1079" s="735"/>
      <c r="Y1079" s="736">
        <v>1.1899</v>
      </c>
      <c r="Z1079" s="734"/>
      <c r="AA1079" s="735"/>
      <c r="AB1079" s="733">
        <v>1.1348</v>
      </c>
      <c r="AC1079" s="734"/>
      <c r="AD1079" s="735"/>
      <c r="AE1079" s="736">
        <v>0.61890000000000001</v>
      </c>
      <c r="AF1079" s="734"/>
      <c r="AG1079" s="735"/>
      <c r="AH1079" s="733">
        <v>1.3849</v>
      </c>
      <c r="AI1079" s="734"/>
      <c r="AJ1079" s="735"/>
      <c r="AK1079" s="736">
        <v>3.5144000000000002</v>
      </c>
      <c r="AL1079" s="734"/>
      <c r="AM1079" s="735"/>
      <c r="AN1079" s="733">
        <v>2.6303999999999998</v>
      </c>
      <c r="AO1079" s="734"/>
      <c r="AP1079" s="735"/>
      <c r="AQ1079" s="736">
        <v>3.7364999999999999</v>
      </c>
      <c r="AR1079" s="288"/>
      <c r="AS1079" s="289"/>
      <c r="AT1079" s="294">
        <f t="shared" ref="AT1079" si="41">J1079+M1079+P1079+S1079+V1079+Y1079+AB1079+AE1079+AH1079+AK1079+AN1079+AQ1079</f>
        <v>35.012999999999998</v>
      </c>
      <c r="AU1079" s="288"/>
      <c r="AV1079" s="290"/>
      <c r="AW1079" s="285"/>
      <c r="AX1079" s="296"/>
      <c r="AY1079" s="313"/>
      <c r="AZ1079" s="375"/>
      <c r="BA1079" s="375"/>
      <c r="BB1079" s="375"/>
      <c r="BC1079" s="375"/>
    </row>
    <row r="1080" spans="1:55" s="115" customFormat="1">
      <c r="A1080" s="1048"/>
      <c r="B1080" s="1048"/>
      <c r="C1080" s="1048"/>
      <c r="D1080" s="1035">
        <v>345781</v>
      </c>
      <c r="E1080" s="1035"/>
      <c r="F1080" s="1035"/>
      <c r="G1080" s="1110">
        <v>777329</v>
      </c>
      <c r="H1080" s="142" t="s">
        <v>1434</v>
      </c>
      <c r="I1080" s="518" t="s">
        <v>365</v>
      </c>
      <c r="J1080" s="733">
        <v>27.897243</v>
      </c>
      <c r="K1080" s="734"/>
      <c r="L1080" s="735"/>
      <c r="M1080" s="736">
        <v>30.352874</v>
      </c>
      <c r="N1080" s="734"/>
      <c r="O1080" s="735"/>
      <c r="P1080" s="736">
        <v>32.283931000000003</v>
      </c>
      <c r="Q1080" s="734"/>
      <c r="R1080" s="735"/>
      <c r="S1080" s="736">
        <v>30.508353</v>
      </c>
      <c r="T1080" s="734"/>
      <c r="U1080" s="735"/>
      <c r="V1080" s="736">
        <v>29.091021000000001</v>
      </c>
      <c r="W1080" s="734"/>
      <c r="X1080" s="735"/>
      <c r="Y1080" s="736">
        <v>29.824991000000001</v>
      </c>
      <c r="Z1080" s="734"/>
      <c r="AA1080" s="735"/>
      <c r="AB1080" s="736">
        <v>31.033237</v>
      </c>
      <c r="AC1080" s="734"/>
      <c r="AD1080" s="735"/>
      <c r="AE1080" s="736">
        <v>30.512951000000001</v>
      </c>
      <c r="AF1080" s="734"/>
      <c r="AG1080" s="735"/>
      <c r="AH1080" s="736">
        <v>29.200475999999998</v>
      </c>
      <c r="AI1080" s="734"/>
      <c r="AJ1080" s="735"/>
      <c r="AK1080" s="736">
        <v>31.719840000000001</v>
      </c>
      <c r="AL1080" s="734"/>
      <c r="AM1080" s="735"/>
      <c r="AN1080" s="736">
        <v>31.718923</v>
      </c>
      <c r="AO1080" s="734"/>
      <c r="AP1080" s="735"/>
      <c r="AQ1080" s="736">
        <v>32.304634999999998</v>
      </c>
      <c r="AR1080" s="288"/>
      <c r="AS1080" s="289"/>
      <c r="AT1080" s="294">
        <f t="shared" si="40"/>
        <v>366.44847500000003</v>
      </c>
      <c r="AU1080" s="288"/>
      <c r="AV1080" s="290"/>
      <c r="AW1080" s="285"/>
      <c r="AX1080" s="296"/>
      <c r="AY1080" s="313"/>
      <c r="AZ1080" s="375"/>
      <c r="BA1080" s="375"/>
      <c r="BB1080" s="375"/>
      <c r="BC1080" s="375"/>
    </row>
    <row r="1081" spans="1:55" s="115" customFormat="1" ht="16.5" thickBot="1">
      <c r="A1081" s="1048"/>
      <c r="B1081" s="1048"/>
      <c r="C1081" s="1048"/>
      <c r="D1081" s="1035"/>
      <c r="E1081" s="1035"/>
      <c r="F1081" s="1035"/>
      <c r="G1081" s="1110">
        <v>345749</v>
      </c>
      <c r="H1081" s="142" t="s">
        <v>1729</v>
      </c>
      <c r="I1081" s="518" t="s">
        <v>365</v>
      </c>
      <c r="J1081" s="736">
        <v>0</v>
      </c>
      <c r="K1081" s="734"/>
      <c r="L1081" s="735"/>
      <c r="M1081" s="736">
        <v>0</v>
      </c>
      <c r="N1081" s="734"/>
      <c r="O1081" s="735"/>
      <c r="P1081" s="736">
        <v>0</v>
      </c>
      <c r="Q1081" s="734"/>
      <c r="R1081" s="735"/>
      <c r="S1081" s="736">
        <v>0</v>
      </c>
      <c r="T1081" s="734"/>
      <c r="U1081" s="735"/>
      <c r="V1081" s="736">
        <v>0</v>
      </c>
      <c r="W1081" s="734"/>
      <c r="X1081" s="735"/>
      <c r="Y1081" s="736">
        <v>0</v>
      </c>
      <c r="Z1081" s="734"/>
      <c r="AA1081" s="735"/>
      <c r="AB1081" s="736">
        <v>0</v>
      </c>
      <c r="AC1081" s="734"/>
      <c r="AD1081" s="735"/>
      <c r="AE1081" s="736">
        <v>0</v>
      </c>
      <c r="AF1081" s="734"/>
      <c r="AG1081" s="735"/>
      <c r="AH1081" s="736">
        <v>0</v>
      </c>
      <c r="AI1081" s="734"/>
      <c r="AJ1081" s="735"/>
      <c r="AK1081" s="736">
        <v>0</v>
      </c>
      <c r="AL1081" s="734"/>
      <c r="AM1081" s="735"/>
      <c r="AN1081" s="736">
        <v>0</v>
      </c>
      <c r="AO1081" s="734"/>
      <c r="AP1081" s="735"/>
      <c r="AQ1081" s="736">
        <v>0</v>
      </c>
      <c r="AR1081" s="288"/>
      <c r="AS1081" s="289"/>
      <c r="AT1081" s="294">
        <f t="shared" si="40"/>
        <v>0</v>
      </c>
      <c r="AU1081" s="288"/>
      <c r="AV1081" s="290"/>
      <c r="AW1081" s="285"/>
      <c r="AX1081" s="296"/>
      <c r="AY1081" s="313"/>
      <c r="AZ1081" s="375"/>
      <c r="BA1081" s="375"/>
      <c r="BB1081" s="375"/>
      <c r="BC1081" s="375"/>
    </row>
    <row r="1082" spans="1:55" s="115" customFormat="1" ht="18.75">
      <c r="A1082" s="179"/>
      <c r="B1082" s="179"/>
      <c r="C1082" s="179"/>
      <c r="D1082" s="181">
        <v>550000</v>
      </c>
      <c r="E1082" s="181"/>
      <c r="F1082" s="181"/>
      <c r="G1082" s="181">
        <v>550000</v>
      </c>
      <c r="H1082" s="472" t="s">
        <v>85</v>
      </c>
      <c r="I1082" s="472"/>
      <c r="J1082" s="266">
        <f>SUM(J1083:J1088)</f>
        <v>9595.6561611220222</v>
      </c>
      <c r="K1082" s="264">
        <f>L1082-J1082</f>
        <v>491.00550941297479</v>
      </c>
      <c r="L1082" s="265">
        <f>L1089+L1122+L1383+L1150+L1167+L1168+L1182+L1196+L1210+L1288+L1322+L1332+L1390</f>
        <v>10086.661670534997</v>
      </c>
      <c r="M1082" s="266">
        <f>SUM(M1083:M1088)</f>
        <v>8815.4403563382439</v>
      </c>
      <c r="N1082" s="264">
        <f>O1082-M1082</f>
        <v>633.0017536014584</v>
      </c>
      <c r="O1082" s="265">
        <f>O1089+O1122+O1383+O1150+O1167+O1168+O1182+O1196+O1210+O1288+O1322+O1332+O1390</f>
        <v>9448.4421099397023</v>
      </c>
      <c r="P1082" s="266">
        <f>SUM(P1083:P1088)</f>
        <v>9090.9595570050606</v>
      </c>
      <c r="Q1082" s="264">
        <f>R1082-P1082</f>
        <v>304.00634068401087</v>
      </c>
      <c r="R1082" s="265">
        <f>R1089+R1122+R1383+R1150+R1167+R1168+R1182+R1196+R1210+R1288+R1322+R1332+R1390</f>
        <v>9394.9658976890714</v>
      </c>
      <c r="S1082" s="266">
        <f>SUM(S1083:S1088)</f>
        <v>8873.3263203656606</v>
      </c>
      <c r="T1082" s="264">
        <f>U1082-S1082</f>
        <v>-781.00855464582492</v>
      </c>
      <c r="U1082" s="265">
        <f>U1089+U1122+U1383+U1150+U1167+U1168+U1182+U1196+U1210+U1288+U1322+U1332+U1390</f>
        <v>8092.3177657198357</v>
      </c>
      <c r="V1082" s="266">
        <f>SUM(V1083:V1088)</f>
        <v>8520.017109591492</v>
      </c>
      <c r="W1082" s="264">
        <f>X1082-V1082</f>
        <v>-1045.0001312666845</v>
      </c>
      <c r="X1082" s="265">
        <f>X1089+X1122+X1383+X1150+X1167+X1168+X1182+X1196+X1210+X1288+X1322+X1332+X1390</f>
        <v>7475.0169783248075</v>
      </c>
      <c r="Y1082" s="266">
        <f>SUM(Y1083:Y1088)</f>
        <v>8441.8754782246888</v>
      </c>
      <c r="Z1082" s="264">
        <f>AA1082-Y1082</f>
        <v>-732.99465816285192</v>
      </c>
      <c r="AA1082" s="265">
        <f>AA1089+AA1122+AA1383+AA1150+AA1167+AA1168+AA1182+AA1196+AA1210+AA1288+AA1322+AA1332+AA1390</f>
        <v>7708.8808200618369</v>
      </c>
      <c r="AB1082" s="266">
        <f>SUM(AB1083:AB1088)</f>
        <v>9486.4398192939407</v>
      </c>
      <c r="AC1082" s="264">
        <f>AD1082-AB1082</f>
        <v>-756.99597239832292</v>
      </c>
      <c r="AD1082" s="265">
        <f>AD1089+AD1122+AD1383+AD1150+AD1167+AD1168+AD1182+AD1196+AD1210+AD1288+AD1322+AD1332+AD1390</f>
        <v>8729.4438468956178</v>
      </c>
      <c r="AE1082" s="266">
        <f>SUM(AE1083:AE1088)</f>
        <v>9521.4710616601315</v>
      </c>
      <c r="AF1082" s="264">
        <f>AG1082-AE1082</f>
        <v>-850.99969710940786</v>
      </c>
      <c r="AG1082" s="265">
        <f>AG1089+AG1122+AG1383+AG1150+AG1167+AG1168+AG1182+AG1196+AG1210+AG1288+AG1322+AG1332+AG1390</f>
        <v>8670.4713645507236</v>
      </c>
      <c r="AH1082" s="266">
        <f>SUM(AH1083:AH1088)</f>
        <v>8622.6084954952184</v>
      </c>
      <c r="AI1082" s="264">
        <f>AJ1082-AH1082</f>
        <v>-1059.9934027502777</v>
      </c>
      <c r="AJ1082" s="265">
        <f>AJ1089+AJ1122+AJ1383+AJ1150+AJ1167+AJ1168+AJ1182+AJ1196+AJ1210+AJ1288+AJ1322+AJ1332+AJ1390</f>
        <v>7562.6150927449407</v>
      </c>
      <c r="AK1082" s="266">
        <f>SUM(AK1083:AK1088)</f>
        <v>8760.3181394083822</v>
      </c>
      <c r="AL1082" s="264">
        <f>AM1082-AK1082</f>
        <v>-305.99961775665543</v>
      </c>
      <c r="AM1082" s="265">
        <f>AM1089+AM1122+AM1383+AM1150+AM1167+AM1168+AM1182+AM1196+AM1210+AM1288+AM1322+AM1332+AM1390</f>
        <v>8454.3185216517268</v>
      </c>
      <c r="AN1082" s="266">
        <f>SUM(AN1083:AN1088)</f>
        <v>9459.8318932307466</v>
      </c>
      <c r="AO1082" s="264">
        <f>AP1082-AN1082</f>
        <v>-118.99604167370126</v>
      </c>
      <c r="AP1082" s="265">
        <f>AP1089+AP1122+AP1383+AP1150+AP1167+AP1168+AP1182+AP1196+AP1210+AP1288+AP1322+AP1332+AP1390</f>
        <v>9340.8358515570453</v>
      </c>
      <c r="AQ1082" s="266">
        <f>SUM(AQ1083:AQ1088)</f>
        <v>10563.132291992479</v>
      </c>
      <c r="AR1082" s="264">
        <f>AS1082-AQ1082</f>
        <v>-93.002211662782429</v>
      </c>
      <c r="AS1082" s="265">
        <f>AS1089+AS1122+AS1383+AS1150+AS1167+AS1168+AS1182+AS1196+AS1210+AS1288+AS1322+AS1332+AS1390</f>
        <v>10470.130080329696</v>
      </c>
      <c r="AT1082" s="266">
        <f>SUM(AT1083:AT1088)</f>
        <v>109751.07668372808</v>
      </c>
      <c r="AU1082" s="264">
        <f>AV1082-AT1082</f>
        <v>-4316.9766837280913</v>
      </c>
      <c r="AV1082" s="414">
        <f>AV1089+AV1122+AV1383+AV1150+AV1167+AV1168+AV1182+AV1196+AV1210+AV1288+AV1322+AV1332+AV1390</f>
        <v>105434.09999999999</v>
      </c>
      <c r="AW1082" s="268"/>
      <c r="AX1082" s="269">
        <f>AX1089+AX1122+AX1383+AX1150+AX1167+AX1168+AX1182+AX1196+AX1210+AX1288+AX1322+AX1332+AX1390</f>
        <v>102280.99418259998</v>
      </c>
      <c r="AY1082" s="376">
        <f>SUM(AY1083:AY1088)</f>
        <v>104731.134513</v>
      </c>
      <c r="AZ1082" s="375"/>
      <c r="BA1082" s="375"/>
      <c r="BB1082" s="375"/>
      <c r="BC1082" s="375"/>
    </row>
    <row r="1083" spans="1:55" s="115" customFormat="1">
      <c r="A1083" s="179"/>
      <c r="B1083" s="179"/>
      <c r="C1083" s="179"/>
      <c r="D1083" s="181"/>
      <c r="E1083" s="181"/>
      <c r="F1083" s="181"/>
      <c r="G1083" s="181"/>
      <c r="H1083" s="124" t="s">
        <v>56</v>
      </c>
      <c r="I1083" s="124"/>
      <c r="J1083" s="365">
        <f>J1090+J1123+J1151+J1183+J1197+J1211+J1289+J1333+J1384+J1391</f>
        <v>5773.89</v>
      </c>
      <c r="K1083" s="363"/>
      <c r="L1083" s="364"/>
      <c r="M1083" s="365">
        <f>M1090+M1123+M1151+M1183+M1197+M1211+M1289+M1333+M1384+M1391</f>
        <v>5389.8796100000009</v>
      </c>
      <c r="N1083" s="363"/>
      <c r="O1083" s="364"/>
      <c r="P1083" s="365">
        <f>P1090+P1123+P1151+P1183+P1197+P1211+P1289+P1333+P1384+P1391</f>
        <v>5014.7369100000005</v>
      </c>
      <c r="Q1083" s="363"/>
      <c r="R1083" s="364"/>
      <c r="S1083" s="365">
        <f>S1090+S1123+S1151+S1183+S1197+S1211+S1289+S1333+S1384+S1391</f>
        <v>4084.2424456799995</v>
      </c>
      <c r="T1083" s="363"/>
      <c r="U1083" s="364"/>
      <c r="V1083" s="365">
        <f>V1090+V1123+V1151+V1183+V1197+V1211+V1289+V1333+V1384+V1391</f>
        <v>2536.8389438839999</v>
      </c>
      <c r="W1083" s="363"/>
      <c r="X1083" s="364"/>
      <c r="Y1083" s="365">
        <f>Y1090+Y1123+Y1151+Y1183+Y1197+Y1211+Y1289+Y1333+Y1384+Y1391</f>
        <v>2772.2664699999996</v>
      </c>
      <c r="Z1083" s="363"/>
      <c r="AA1083" s="364"/>
      <c r="AB1083" s="365">
        <f>AB1090+AB1123+AB1151+AB1183+AB1197+AB1211+AB1289+AB1333+AB1384+AB1391</f>
        <v>4056.2113400000003</v>
      </c>
      <c r="AC1083" s="363"/>
      <c r="AD1083" s="364"/>
      <c r="AE1083" s="365">
        <f>AE1090+AE1123+AE1151+AE1183+AE1197+AE1211+AE1289+AE1333+AE1384+AE1391</f>
        <v>4317.5655800000004</v>
      </c>
      <c r="AF1083" s="363"/>
      <c r="AG1083" s="364"/>
      <c r="AH1083" s="365">
        <f>AH1090+AH1123+AH1151+AH1183+AH1197+AH1211+AH1289+AH1333+AH1384+AH1391</f>
        <v>3758.7190499999997</v>
      </c>
      <c r="AI1083" s="363"/>
      <c r="AJ1083" s="364"/>
      <c r="AK1083" s="365">
        <f>AK1090+AK1123+AK1151+AK1183+AK1197+AK1211+AK1289+AK1333+AK1384+AK1391</f>
        <v>3782.8783899999999</v>
      </c>
      <c r="AL1083" s="363"/>
      <c r="AM1083" s="364"/>
      <c r="AN1083" s="365">
        <f>AN1090+AN1123+AN1151+AN1183+AN1197+AN1211+AN1289+AN1333+AN1384+AN1391</f>
        <v>5106.1492199999993</v>
      </c>
      <c r="AO1083" s="363"/>
      <c r="AP1083" s="364"/>
      <c r="AQ1083" s="365">
        <f>AQ1090+AQ1123+AQ1151+AQ1183+AQ1197+AQ1211+AQ1289+AQ1333+AQ1384+AQ1391</f>
        <v>5767.1658100000004</v>
      </c>
      <c r="AR1083" s="363"/>
      <c r="AS1083" s="364"/>
      <c r="AT1083" s="365">
        <f>AT1090+AT1123+AT1151+AT1183+AT1197+AT1211+AT1289+AT1333+AT1384+AT1391</f>
        <v>52360.543769564007</v>
      </c>
      <c r="AU1083" s="363"/>
      <c r="AV1083" s="364"/>
      <c r="AW1083" s="226"/>
      <c r="AX1083" s="366"/>
      <c r="AY1083" s="339">
        <f>AY1090+AY1123+AY1151+AY1183+AY1197+AY1211+AY1289+AY1333+AY1384+AY1391</f>
        <v>51355.962831000004</v>
      </c>
      <c r="AZ1083" s="375"/>
      <c r="BA1083" s="375"/>
      <c r="BB1083" s="375"/>
      <c r="BC1083" s="375"/>
    </row>
    <row r="1084" spans="1:55" s="115" customFormat="1">
      <c r="A1084" s="179"/>
      <c r="B1084" s="179"/>
      <c r="C1084" s="179"/>
      <c r="D1084" s="181"/>
      <c r="E1084" s="181"/>
      <c r="F1084" s="181"/>
      <c r="G1084" s="181"/>
      <c r="H1084" s="124" t="s">
        <v>55</v>
      </c>
      <c r="I1084" s="124"/>
      <c r="J1084" s="365">
        <f>J1124+J1385+J1152+J1169+J1198+J1212+J1290+J1323+J1334</f>
        <v>1423.3219925220217</v>
      </c>
      <c r="K1084" s="363"/>
      <c r="L1084" s="364"/>
      <c r="M1084" s="365">
        <f>M1124+M1385+M1152+M1169+M1198+M1212+M1290+M1323+M1334</f>
        <v>1276.2811030049097</v>
      </c>
      <c r="N1084" s="363"/>
      <c r="O1084" s="364"/>
      <c r="P1084" s="365">
        <f>P1124+P1385+P1152+P1169+P1198+P1212+P1290+P1323+P1334</f>
        <v>1434.1290100383931</v>
      </c>
      <c r="Q1084" s="363"/>
      <c r="R1084" s="364"/>
      <c r="S1084" s="365">
        <f>S1124+S1385+S1152+S1169+S1198+S1212+S1290+S1323+S1334</f>
        <v>1768.0436820189939</v>
      </c>
      <c r="T1084" s="363"/>
      <c r="U1084" s="364"/>
      <c r="V1084" s="365">
        <f>V1124+V1385+V1152+V1169+V1198+V1212+V1290+V1323+V1334</f>
        <v>2662.8467741980589</v>
      </c>
      <c r="W1084" s="363"/>
      <c r="X1084" s="364"/>
      <c r="Y1084" s="365">
        <f>Y1124+Y1385+Y1152+Y1169+Y1198+Y1212+Y1290+Y1323+Y1334</f>
        <v>2558.450297268691</v>
      </c>
      <c r="Z1084" s="363"/>
      <c r="AA1084" s="364"/>
      <c r="AB1084" s="365">
        <f>AB1124+AB1385+AB1152+AB1169+AB1198+AB1212+AB1290+AB1323+AB1334</f>
        <v>2294.922635760608</v>
      </c>
      <c r="AC1084" s="363"/>
      <c r="AD1084" s="364"/>
      <c r="AE1084" s="365">
        <f>AE1124+AE1385+AE1152+AE1169+AE1198+AE1212+AE1290+AE1323+AE1334</f>
        <v>1944.6493053697636</v>
      </c>
      <c r="AF1084" s="363"/>
      <c r="AG1084" s="364"/>
      <c r="AH1084" s="365">
        <f>AH1124+AH1385+AH1152+AH1169+AH1198+AH1212+AH1290+AH1323+AH1334</f>
        <v>1607.2730825618846</v>
      </c>
      <c r="AI1084" s="363"/>
      <c r="AJ1084" s="364"/>
      <c r="AK1084" s="365">
        <f>AK1124+AK1385+AK1152+AK1169+AK1198+AK1212+AK1290+AK1323+AK1334</f>
        <v>1458.2407730750465</v>
      </c>
      <c r="AL1084" s="363"/>
      <c r="AM1084" s="364"/>
      <c r="AN1084" s="365">
        <f>AN1124+AN1385+AN1152+AN1169+AN1198+AN1212+AN1290+AN1323+AN1334</f>
        <v>1430.6150353115822</v>
      </c>
      <c r="AO1084" s="363"/>
      <c r="AP1084" s="364"/>
      <c r="AQ1084" s="365">
        <f>AQ1124+AQ1385+AQ1152+AQ1169+AQ1198+AQ1212+AQ1290+AQ1323+AQ1334</f>
        <v>1501.7285058680918</v>
      </c>
      <c r="AR1084" s="363"/>
      <c r="AS1084" s="364"/>
      <c r="AT1084" s="365">
        <f>AT1124+AT1385+AT1152+AT1169+AT1198+AT1212+AT1290+AT1323+AT1334</f>
        <v>21360.502196998044</v>
      </c>
      <c r="AU1084" s="363"/>
      <c r="AV1084" s="364"/>
      <c r="AW1084" s="226"/>
      <c r="AX1084" s="366"/>
      <c r="AY1084" s="339">
        <f>AY1124+AY1385+AY1152+AY1169+AY1198+AY1212+AY1290+AY1323+AY1334</f>
        <v>22025.605483000003</v>
      </c>
      <c r="AZ1084" s="375"/>
      <c r="BA1084" s="375"/>
      <c r="BB1084" s="375"/>
      <c r="BC1084" s="375"/>
    </row>
    <row r="1085" spans="1:55" s="115" customFormat="1">
      <c r="A1085" s="179"/>
      <c r="B1085" s="179"/>
      <c r="C1085" s="179"/>
      <c r="D1085" s="181"/>
      <c r="E1085" s="181"/>
      <c r="F1085" s="181"/>
      <c r="G1085" s="181"/>
      <c r="H1085" s="124" t="s">
        <v>98</v>
      </c>
      <c r="I1085" s="124"/>
      <c r="J1085" s="365">
        <f>J1291</f>
        <v>2067</v>
      </c>
      <c r="K1085" s="363"/>
      <c r="L1085" s="364"/>
      <c r="M1085" s="365">
        <f>M1291</f>
        <v>1836</v>
      </c>
      <c r="N1085" s="363"/>
      <c r="O1085" s="364"/>
      <c r="P1085" s="365">
        <f>P1291</f>
        <v>2258</v>
      </c>
      <c r="Q1085" s="363"/>
      <c r="R1085" s="364"/>
      <c r="S1085" s="365">
        <f>S1291</f>
        <v>2598</v>
      </c>
      <c r="T1085" s="363"/>
      <c r="U1085" s="364"/>
      <c r="V1085" s="365">
        <f>V1291</f>
        <v>2900</v>
      </c>
      <c r="W1085" s="363"/>
      <c r="X1085" s="364"/>
      <c r="Y1085" s="365">
        <f>Y1291</f>
        <v>2702</v>
      </c>
      <c r="Z1085" s="363"/>
      <c r="AA1085" s="364"/>
      <c r="AB1085" s="365">
        <f>AB1291</f>
        <v>2738</v>
      </c>
      <c r="AC1085" s="363"/>
      <c r="AD1085" s="364"/>
      <c r="AE1085" s="365">
        <f>AE1291</f>
        <v>2739</v>
      </c>
      <c r="AF1085" s="363"/>
      <c r="AG1085" s="364"/>
      <c r="AH1085" s="365">
        <f>AH1291</f>
        <v>2746</v>
      </c>
      <c r="AI1085" s="363"/>
      <c r="AJ1085" s="364"/>
      <c r="AK1085" s="365">
        <f>AK1291</f>
        <v>3028</v>
      </c>
      <c r="AL1085" s="363"/>
      <c r="AM1085" s="364"/>
      <c r="AN1085" s="365">
        <f>AN1291</f>
        <v>2452</v>
      </c>
      <c r="AO1085" s="363"/>
      <c r="AP1085" s="364"/>
      <c r="AQ1085" s="365">
        <f>AQ1291</f>
        <v>2786</v>
      </c>
      <c r="AR1085" s="363"/>
      <c r="AS1085" s="364"/>
      <c r="AT1085" s="365">
        <f>AT1291</f>
        <v>30850</v>
      </c>
      <c r="AU1085" s="363"/>
      <c r="AV1085" s="364"/>
      <c r="AW1085" s="226"/>
      <c r="AX1085" s="366"/>
      <c r="AY1085" s="339">
        <f>AY1291</f>
        <v>29369.594080999999</v>
      </c>
      <c r="AZ1085" s="375"/>
      <c r="BA1085" s="375"/>
      <c r="BB1085" s="375"/>
      <c r="BC1085" s="375"/>
    </row>
    <row r="1086" spans="1:55" s="115" customFormat="1">
      <c r="A1086" s="179"/>
      <c r="B1086" s="179"/>
      <c r="C1086" s="179"/>
      <c r="D1086" s="181"/>
      <c r="E1086" s="181"/>
      <c r="F1086" s="181"/>
      <c r="G1086" s="181"/>
      <c r="H1086" s="467" t="s">
        <v>346</v>
      </c>
      <c r="I1086" s="467"/>
      <c r="J1086" s="365">
        <f>J1091+J1184+J1213+J1292+J1335+J1392</f>
        <v>143.68651199999999</v>
      </c>
      <c r="K1086" s="363"/>
      <c r="L1086" s="364"/>
      <c r="M1086" s="365">
        <f>M1091+M1184+M1213+M1292+M1335+M1392</f>
        <v>117.37229099999999</v>
      </c>
      <c r="N1086" s="363"/>
      <c r="O1086" s="364"/>
      <c r="P1086" s="365">
        <f>P1091+P1184+P1213+P1292+P1335+P1392</f>
        <v>152.49316666666667</v>
      </c>
      <c r="Q1086" s="363"/>
      <c r="R1086" s="364"/>
      <c r="S1086" s="365">
        <f>S1091+S1184+S1213+S1292+S1335+S1392</f>
        <v>166.729074</v>
      </c>
      <c r="T1086" s="363"/>
      <c r="U1086" s="364"/>
      <c r="V1086" s="365">
        <f>V1091+V1184+V1213+V1292+V1335+V1392</f>
        <v>156.30858666666666</v>
      </c>
      <c r="W1086" s="363"/>
      <c r="X1086" s="364"/>
      <c r="Y1086" s="365">
        <f>Y1091+Y1184+Y1213+Y1292+Y1335+Y1392</f>
        <v>145.36326933333333</v>
      </c>
      <c r="Z1086" s="363"/>
      <c r="AA1086" s="364"/>
      <c r="AB1086" s="365">
        <f>AB1091+AB1184+AB1213+AB1292+AB1335+AB1392</f>
        <v>125.25944533333333</v>
      </c>
      <c r="AC1086" s="363"/>
      <c r="AD1086" s="364"/>
      <c r="AE1086" s="365">
        <f>AE1091+AE1184+AE1213+AE1292+AE1335+AE1392</f>
        <v>124.55676799999998</v>
      </c>
      <c r="AF1086" s="363"/>
      <c r="AG1086" s="364"/>
      <c r="AH1086" s="365">
        <f>AH1091+AH1184+AH1213+AH1292+AH1335+AH1392</f>
        <v>124.99154933333334</v>
      </c>
      <c r="AI1086" s="363"/>
      <c r="AJ1086" s="364"/>
      <c r="AK1086" s="365">
        <f>AK1091+AK1184+AK1213+AK1292+AK1335+AK1392</f>
        <v>130.11578133333333</v>
      </c>
      <c r="AL1086" s="363"/>
      <c r="AM1086" s="364"/>
      <c r="AN1086" s="365">
        <f>AN1091+AN1184+AN1213+AN1292+AN1335+AN1392</f>
        <v>139.97293199999999</v>
      </c>
      <c r="AO1086" s="363"/>
      <c r="AP1086" s="364"/>
      <c r="AQ1086" s="365">
        <f>AQ1091+AQ1184+AQ1213+AQ1292+AQ1335+AQ1392</f>
        <v>230.97481199999999</v>
      </c>
      <c r="AR1086" s="363"/>
      <c r="AS1086" s="364"/>
      <c r="AT1086" s="365">
        <f>AT1091+AT1184+AT1213+AT1292+AT1335+AT1392</f>
        <v>1757.8241876666661</v>
      </c>
      <c r="AU1086" s="363"/>
      <c r="AV1086" s="364"/>
      <c r="AW1086" s="226"/>
      <c r="AX1086" s="366"/>
      <c r="AY1086" s="339">
        <f>AY1091+AY1184+AY1213+AY1392</f>
        <v>125.467834</v>
      </c>
      <c r="AZ1086" s="375"/>
      <c r="BA1086" s="375"/>
      <c r="BB1086" s="375"/>
      <c r="BC1086" s="375"/>
    </row>
    <row r="1087" spans="1:55" s="115" customFormat="1">
      <c r="A1087" s="179"/>
      <c r="B1087" s="179"/>
      <c r="C1087" s="179"/>
      <c r="D1087" s="181"/>
      <c r="E1087" s="181"/>
      <c r="F1087" s="181"/>
      <c r="G1087" s="181"/>
      <c r="H1087" s="467" t="s">
        <v>347</v>
      </c>
      <c r="I1087" s="467"/>
      <c r="J1087" s="365">
        <f>J1092+J1125+J1153+J1185+J1336+J1393</f>
        <v>34.748746600000004</v>
      </c>
      <c r="K1087" s="363"/>
      <c r="L1087" s="364"/>
      <c r="M1087" s="365">
        <f>M1092+M1125+M1153+M1185+M1336+M1393</f>
        <v>53.081974333333342</v>
      </c>
      <c r="N1087" s="363"/>
      <c r="O1087" s="364"/>
      <c r="P1087" s="365">
        <f>P1092+P1125+P1153+P1185+P1336+P1393</f>
        <v>89.541120299999989</v>
      </c>
      <c r="Q1087" s="363"/>
      <c r="R1087" s="364"/>
      <c r="S1087" s="365">
        <f>S1092+S1125+S1153+S1185+S1336+S1393</f>
        <v>124.19456866666667</v>
      </c>
      <c r="T1087" s="363"/>
      <c r="U1087" s="364"/>
      <c r="V1087" s="365">
        <f>V1092+V1125+V1153+V1185+V1336+V1393</f>
        <v>146.83173484276665</v>
      </c>
      <c r="W1087" s="363"/>
      <c r="X1087" s="364"/>
      <c r="Y1087" s="365">
        <f>Y1092+Y1125+Y1153+Y1185+Y1336+Y1393</f>
        <v>141.97766162266666</v>
      </c>
      <c r="Z1087" s="363"/>
      <c r="AA1087" s="364"/>
      <c r="AB1087" s="365">
        <f>AB1092+AB1125+AB1153+AB1185+AB1336+AB1393</f>
        <v>142.18165820000002</v>
      </c>
      <c r="AC1087" s="363"/>
      <c r="AD1087" s="364"/>
      <c r="AE1087" s="365">
        <f>AE1092+AE1125+AE1153+AE1185+AE1336+AE1393</f>
        <v>142.52072829036666</v>
      </c>
      <c r="AF1087" s="363"/>
      <c r="AG1087" s="364"/>
      <c r="AH1087" s="365">
        <f>AH1092+AH1125+AH1153+AH1185+AH1336+AH1393</f>
        <v>122.56672359999999</v>
      </c>
      <c r="AI1087" s="363"/>
      <c r="AJ1087" s="364"/>
      <c r="AK1087" s="365">
        <f>AK1092+AK1125+AK1153+AK1185+AK1336+AK1393</f>
        <v>73.79633299999999</v>
      </c>
      <c r="AL1087" s="363"/>
      <c r="AM1087" s="364"/>
      <c r="AN1087" s="365">
        <f>AN1092+AN1125+AN1153+AN1185+AN1336+AN1393</f>
        <v>51.874197919163329</v>
      </c>
      <c r="AO1087" s="363"/>
      <c r="AP1087" s="364"/>
      <c r="AQ1087" s="365">
        <f>AQ1092+AQ1125+AQ1153+AQ1185+AQ1336+AQ1393</f>
        <v>31.2752441243871</v>
      </c>
      <c r="AR1087" s="363"/>
      <c r="AS1087" s="364"/>
      <c r="AT1087" s="365">
        <f>AT1092+AT1125+AT1153+AT1185+AT1336+AT1393</f>
        <v>1154.5906914993504</v>
      </c>
      <c r="AU1087" s="363"/>
      <c r="AV1087" s="364"/>
      <c r="AW1087" s="226"/>
      <c r="AX1087" s="366"/>
      <c r="AY1087" s="339">
        <f>AY1092+AY1125+AY1153+AY1393</f>
        <v>489.979849</v>
      </c>
      <c r="AZ1087" s="375"/>
      <c r="BA1087" s="375"/>
      <c r="BB1087" s="375"/>
      <c r="BC1087" s="375"/>
    </row>
    <row r="1088" spans="1:55" s="115" customFormat="1" ht="16.5" thickBot="1">
      <c r="A1088" s="179"/>
      <c r="B1088" s="179"/>
      <c r="C1088" s="179"/>
      <c r="D1088" s="181"/>
      <c r="E1088" s="181"/>
      <c r="F1088" s="181"/>
      <c r="G1088" s="181"/>
      <c r="H1088" s="133" t="s">
        <v>99</v>
      </c>
      <c r="I1088" s="133"/>
      <c r="J1088" s="232">
        <f>J1126+J1170+J1199+J1214+J1293+J1337+J1394</f>
        <v>153.00890999999999</v>
      </c>
      <c r="K1088" s="399"/>
      <c r="L1088" s="400"/>
      <c r="M1088" s="232">
        <f>M1126+M1170+M1199+M1214+M1293+M1337+M1394</f>
        <v>142.825378</v>
      </c>
      <c r="N1088" s="399"/>
      <c r="O1088" s="400"/>
      <c r="P1088" s="232">
        <f>P1126+P1170+P1199+P1214+P1293+P1337+P1394</f>
        <v>142.05934999999999</v>
      </c>
      <c r="Q1088" s="399"/>
      <c r="R1088" s="400"/>
      <c r="S1088" s="232">
        <f>S1126+S1170+S1199+S1214+S1293+S1337+S1394</f>
        <v>132.11654999999999</v>
      </c>
      <c r="T1088" s="399"/>
      <c r="U1088" s="400"/>
      <c r="V1088" s="232">
        <f>V1126+V1170+V1199+V1214+V1293+V1337+V1394</f>
        <v>117.19107</v>
      </c>
      <c r="W1088" s="399"/>
      <c r="X1088" s="400"/>
      <c r="Y1088" s="232">
        <f>Y1126+Y1170+Y1199+Y1214+Y1293+Y1337+Y1394</f>
        <v>121.81778</v>
      </c>
      <c r="Z1088" s="399"/>
      <c r="AA1088" s="400"/>
      <c r="AB1088" s="232">
        <f>AB1126+AB1170+AB1199+AB1214+AB1293+AB1337+AB1394</f>
        <v>129.86474000000001</v>
      </c>
      <c r="AC1088" s="399"/>
      <c r="AD1088" s="400"/>
      <c r="AE1088" s="232">
        <f>AE1126+AE1170+AE1199+AE1214+AE1293+AE1337+AE1394</f>
        <v>253.17868000000004</v>
      </c>
      <c r="AF1088" s="399"/>
      <c r="AG1088" s="400"/>
      <c r="AH1088" s="232">
        <f>AH1126+AH1170+AH1199+AH1214+AH1293+AH1337+AH1394</f>
        <v>263.05808999999999</v>
      </c>
      <c r="AI1088" s="399"/>
      <c r="AJ1088" s="400"/>
      <c r="AK1088" s="232">
        <f>AK1126+AK1170+AK1199+AK1214+AK1293+AK1337+AK1394</f>
        <v>287.28686199999999</v>
      </c>
      <c r="AL1088" s="399"/>
      <c r="AM1088" s="400"/>
      <c r="AN1088" s="232">
        <f>AN1126+AN1170+AN1199+AN1214+AN1293+AN1337+AN1394</f>
        <v>279.220508</v>
      </c>
      <c r="AO1088" s="399"/>
      <c r="AP1088" s="400"/>
      <c r="AQ1088" s="232">
        <f>AQ1126+AQ1170+AQ1199+AQ1214+AQ1293+AQ1337+AQ1394</f>
        <v>245.98791999999997</v>
      </c>
      <c r="AR1088" s="399"/>
      <c r="AS1088" s="400"/>
      <c r="AT1088" s="232">
        <f>AT1126+AT1170+AT1199+AT1214+AT1293+AT1337+AT1394</f>
        <v>2267.6158379999997</v>
      </c>
      <c r="AU1088" s="399"/>
      <c r="AV1088" s="400"/>
      <c r="AW1088" s="235"/>
      <c r="AX1088" s="236"/>
      <c r="AY1088" s="237">
        <f>AY1126+AY1170+AY1199+AY1214+AY1293+AY1337+AY1394</f>
        <v>1364.5244349999998</v>
      </c>
      <c r="AZ1088" s="375"/>
      <c r="BA1088" s="375"/>
      <c r="BB1088" s="375"/>
      <c r="BC1088" s="375"/>
    </row>
    <row r="1089" spans="1:55" s="115" customFormat="1" ht="18.75">
      <c r="A1089" s="179"/>
      <c r="B1089" s="179"/>
      <c r="C1089" s="179"/>
      <c r="D1089" s="181">
        <v>323300</v>
      </c>
      <c r="E1089" s="181"/>
      <c r="F1089" s="181"/>
      <c r="G1089" s="181">
        <v>323300</v>
      </c>
      <c r="H1089" s="474" t="s">
        <v>1622</v>
      </c>
      <c r="I1089" s="474"/>
      <c r="J1089" s="277">
        <f>J1090+J1091+J1092</f>
        <v>408.452</v>
      </c>
      <c r="K1089" s="275">
        <f>L1089-J1089</f>
        <v>60.150669163414364</v>
      </c>
      <c r="L1089" s="276">
        <f>Потребление!D65</f>
        <v>468.60266916341436</v>
      </c>
      <c r="M1089" s="277">
        <f>M1090+M1091+M1092</f>
        <v>382.99700000000007</v>
      </c>
      <c r="N1089" s="275">
        <f>O1089-M1089</f>
        <v>69.191718659465323</v>
      </c>
      <c r="O1089" s="276">
        <f>Потребление!E65</f>
        <v>452.18871865946539</v>
      </c>
      <c r="P1089" s="277">
        <f>P1090+P1091+P1092</f>
        <v>422.32600000000002</v>
      </c>
      <c r="Q1089" s="275">
        <f>R1089-P1089</f>
        <v>-12.604500725404762</v>
      </c>
      <c r="R1089" s="276">
        <f>Потребление!F65</f>
        <v>409.72149927459526</v>
      </c>
      <c r="S1089" s="277">
        <f>S1090+S1091+S1092</f>
        <v>305.07599999999996</v>
      </c>
      <c r="T1089" s="275">
        <f>U1089-S1089</f>
        <v>13.261613279091819</v>
      </c>
      <c r="U1089" s="276">
        <f>Потребление!G65</f>
        <v>318.33761327909178</v>
      </c>
      <c r="V1089" s="277">
        <f>V1090+V1091+V1092</f>
        <v>269.31</v>
      </c>
      <c r="W1089" s="275">
        <f>X1089-V1089</f>
        <v>22.160821803753777</v>
      </c>
      <c r="X1089" s="276">
        <f>Потребление!H65</f>
        <v>291.47082180375378</v>
      </c>
      <c r="Y1089" s="277">
        <f>Y1090+Y1091+Y1092</f>
        <v>305.22000000000003</v>
      </c>
      <c r="Z1089" s="275">
        <f>AA1089-Y1089</f>
        <v>16.865417804227945</v>
      </c>
      <c r="AA1089" s="276">
        <f>Потребление!I65</f>
        <v>322.08541780422797</v>
      </c>
      <c r="AB1089" s="277">
        <f>AB1090+AB1091+AB1092</f>
        <v>326.11700000000002</v>
      </c>
      <c r="AC1089" s="275">
        <f>AD1089-AB1089</f>
        <v>51.41786306755813</v>
      </c>
      <c r="AD1089" s="276">
        <f>Потребление!J65</f>
        <v>377.53486306755815</v>
      </c>
      <c r="AE1089" s="277">
        <f>AE1090+AE1091+AE1092</f>
        <v>328.29</v>
      </c>
      <c r="AF1089" s="275">
        <f>AG1089-AE1089</f>
        <v>29.015749486165362</v>
      </c>
      <c r="AG1089" s="276">
        <f>Потребление!K65</f>
        <v>357.30574948616538</v>
      </c>
      <c r="AH1089" s="277">
        <f>AH1090+AH1091+AH1092</f>
        <v>302.52999999999997</v>
      </c>
      <c r="AI1089" s="275">
        <f>AJ1089-AH1089</f>
        <v>2.5377797485361953E-2</v>
      </c>
      <c r="AJ1089" s="276">
        <f>Потребление!L65</f>
        <v>302.55537779748533</v>
      </c>
      <c r="AK1089" s="277">
        <f>AK1090+AK1091+AK1092</f>
        <v>327.36400000000003</v>
      </c>
      <c r="AL1089" s="275">
        <f>AM1089-AK1089</f>
        <v>32.334925869692029</v>
      </c>
      <c r="AM1089" s="276">
        <f>Потребление!M65</f>
        <v>359.69892586969206</v>
      </c>
      <c r="AN1089" s="277">
        <f>AN1090+AN1091+AN1092</f>
        <v>373.43499999999995</v>
      </c>
      <c r="AO1089" s="275">
        <f>AP1089-AN1089</f>
        <v>27.851009817189777</v>
      </c>
      <c r="AP1089" s="276">
        <f>Потребление!N65</f>
        <v>401.28600981718972</v>
      </c>
      <c r="AQ1089" s="277">
        <f>AQ1090+AQ1091+AQ1092</f>
        <v>402.75</v>
      </c>
      <c r="AR1089" s="275">
        <f>AS1089-AQ1089</f>
        <v>57.462333977361254</v>
      </c>
      <c r="AS1089" s="276">
        <f>Потребление!O65</f>
        <v>460.21233397736125</v>
      </c>
      <c r="AT1089" s="277">
        <f>AT1090+AT1091+AT1092</f>
        <v>4153.8670000000002</v>
      </c>
      <c r="AU1089" s="275">
        <f>AV1089-AT1089</f>
        <v>367.13300000000072</v>
      </c>
      <c r="AV1089" s="278">
        <f>L1089+O1089+R1089+U1089+X1089+AA1089+AD1089+AG1089+AJ1089+AM1089+AP1089+AS1089</f>
        <v>4521.0000000000009</v>
      </c>
      <c r="AW1089" s="279"/>
      <c r="AX1089" s="1067">
        <v>4424.4127859999999</v>
      </c>
      <c r="AY1089" s="443">
        <f>AY1090+AY1092</f>
        <v>4066.8195909999995</v>
      </c>
      <c r="AZ1089" s="375"/>
      <c r="BA1089" s="375"/>
      <c r="BB1089" s="375"/>
      <c r="BC1089" s="375"/>
    </row>
    <row r="1090" spans="1:55" s="115" customFormat="1">
      <c r="A1090" s="179"/>
      <c r="B1090" s="179"/>
      <c r="C1090" s="179"/>
      <c r="D1090" s="181"/>
      <c r="E1090" s="181"/>
      <c r="F1090" s="181"/>
      <c r="G1090" s="181"/>
      <c r="H1090" s="124" t="s">
        <v>56</v>
      </c>
      <c r="I1090" s="124"/>
      <c r="J1090" s="365">
        <f>SUM(J1093:J1095)+J1098</f>
        <v>399.15</v>
      </c>
      <c r="K1090" s="363"/>
      <c r="L1090" s="364"/>
      <c r="M1090" s="365">
        <f>SUM(M1093:M1095)+M1098</f>
        <v>366.82000000000005</v>
      </c>
      <c r="N1090" s="363"/>
      <c r="O1090" s="364"/>
      <c r="P1090" s="365">
        <f>SUM(P1093:P1095)+P1098</f>
        <v>391.56</v>
      </c>
      <c r="Q1090" s="363"/>
      <c r="R1090" s="364"/>
      <c r="S1090" s="365">
        <f>SUM(S1093:S1095)+S1098</f>
        <v>264.27</v>
      </c>
      <c r="T1090" s="363"/>
      <c r="U1090" s="364"/>
      <c r="V1090" s="365">
        <f>SUM(V1093:V1095)+V1098</f>
        <v>217.32</v>
      </c>
      <c r="W1090" s="363"/>
      <c r="X1090" s="364"/>
      <c r="Y1090" s="365">
        <f>SUM(Y1093:Y1095)+Y1098</f>
        <v>254.98000000000002</v>
      </c>
      <c r="Z1090" s="363"/>
      <c r="AA1090" s="364"/>
      <c r="AB1090" s="365">
        <f>SUM(AB1093:AB1095)+AB1098</f>
        <v>280.19</v>
      </c>
      <c r="AC1090" s="363"/>
      <c r="AD1090" s="364"/>
      <c r="AE1090" s="365">
        <f>SUM(AE1093:AE1095)+AE1098</f>
        <v>282.56</v>
      </c>
      <c r="AF1090" s="363"/>
      <c r="AG1090" s="364"/>
      <c r="AH1090" s="365">
        <f>SUM(AH1093:AH1095)+AH1098</f>
        <v>262.48999999999995</v>
      </c>
      <c r="AI1090" s="363"/>
      <c r="AJ1090" s="364"/>
      <c r="AK1090" s="365">
        <f>SUM(AK1093:AK1095)+AK1098</f>
        <v>314.74</v>
      </c>
      <c r="AL1090" s="363"/>
      <c r="AM1090" s="364"/>
      <c r="AN1090" s="365">
        <f>SUM(AN1093:AN1095)+AN1098</f>
        <v>357.00999999999993</v>
      </c>
      <c r="AO1090" s="363"/>
      <c r="AP1090" s="364"/>
      <c r="AQ1090" s="365">
        <f>SUM(AQ1093:AQ1095)+AQ1098</f>
        <v>394.86</v>
      </c>
      <c r="AR1090" s="363"/>
      <c r="AS1090" s="364"/>
      <c r="AT1090" s="365">
        <f>SUM(AT1093:AT1095)+AT1098</f>
        <v>3785.9500000000003</v>
      </c>
      <c r="AU1090" s="363"/>
      <c r="AV1090" s="229"/>
      <c r="AW1090" s="226"/>
      <c r="AX1090" s="366"/>
      <c r="AY1090" s="339">
        <f>SUM(AY1093:AY1095)+AY1098</f>
        <v>3993.8988579999996</v>
      </c>
      <c r="AZ1090" s="375"/>
      <c r="BA1090" s="375"/>
      <c r="BB1090" s="375"/>
      <c r="BC1090" s="375"/>
    </row>
    <row r="1091" spans="1:55" s="115" customFormat="1">
      <c r="A1091" s="179"/>
      <c r="B1091" s="179"/>
      <c r="C1091" s="179"/>
      <c r="D1091" s="181"/>
      <c r="E1091" s="181"/>
      <c r="F1091" s="181"/>
      <c r="G1091" s="181"/>
      <c r="H1091" s="124" t="s">
        <v>346</v>
      </c>
      <c r="I1091" s="124"/>
      <c r="J1091" s="365">
        <f>J1121</f>
        <v>0</v>
      </c>
      <c r="K1091" s="363"/>
      <c r="L1091" s="364"/>
      <c r="M1091" s="365">
        <f>M1121</f>
        <v>0</v>
      </c>
      <c r="N1091" s="363"/>
      <c r="O1091" s="364"/>
      <c r="P1091" s="365">
        <f>P1121</f>
        <v>0</v>
      </c>
      <c r="Q1091" s="363"/>
      <c r="R1091" s="364"/>
      <c r="S1091" s="365">
        <f>S1121</f>
        <v>0</v>
      </c>
      <c r="T1091" s="363"/>
      <c r="U1091" s="364"/>
      <c r="V1091" s="365">
        <f>V1121</f>
        <v>0</v>
      </c>
      <c r="W1091" s="363"/>
      <c r="X1091" s="364"/>
      <c r="Y1091" s="365">
        <f>Y1121</f>
        <v>0</v>
      </c>
      <c r="Z1091" s="363"/>
      <c r="AA1091" s="364"/>
      <c r="AB1091" s="365">
        <f>AB1121</f>
        <v>0</v>
      </c>
      <c r="AC1091" s="363"/>
      <c r="AD1091" s="364"/>
      <c r="AE1091" s="365">
        <f>AE1121</f>
        <v>0</v>
      </c>
      <c r="AF1091" s="363"/>
      <c r="AG1091" s="364"/>
      <c r="AH1091" s="365">
        <f>AH1121</f>
        <v>0</v>
      </c>
      <c r="AI1091" s="363"/>
      <c r="AJ1091" s="364"/>
      <c r="AK1091" s="365">
        <f>AK1121</f>
        <v>0</v>
      </c>
      <c r="AL1091" s="363"/>
      <c r="AM1091" s="364"/>
      <c r="AN1091" s="365">
        <f>AN1121</f>
        <v>0</v>
      </c>
      <c r="AO1091" s="363"/>
      <c r="AP1091" s="364"/>
      <c r="AQ1091" s="365">
        <f>AQ1121</f>
        <v>0</v>
      </c>
      <c r="AR1091" s="363"/>
      <c r="AS1091" s="364"/>
      <c r="AT1091" s="365">
        <f>AT1121</f>
        <v>0</v>
      </c>
      <c r="AU1091" s="363"/>
      <c r="AV1091" s="229"/>
      <c r="AW1091" s="226"/>
      <c r="AX1091" s="366"/>
      <c r="AY1091" s="339">
        <f>AY1121</f>
        <v>0</v>
      </c>
      <c r="AZ1091" s="375"/>
      <c r="BA1091" s="375"/>
      <c r="BB1091" s="375"/>
      <c r="BC1091" s="375"/>
    </row>
    <row r="1092" spans="1:55" s="115" customFormat="1">
      <c r="A1092" s="179"/>
      <c r="B1092" s="179"/>
      <c r="C1092" s="179"/>
      <c r="D1092" s="181"/>
      <c r="E1092" s="181"/>
      <c r="F1092" s="181"/>
      <c r="G1092" s="181"/>
      <c r="H1092" s="124" t="s">
        <v>347</v>
      </c>
      <c r="I1092" s="124"/>
      <c r="J1092" s="365">
        <f>SUM(J1099:J1102)+J1107+J1112+SUM(J1115:J1120)</f>
        <v>9.3019999999999996</v>
      </c>
      <c r="K1092" s="363"/>
      <c r="L1092" s="364"/>
      <c r="M1092" s="365">
        <f>SUM(M1099:M1102)+M1107+M1112+SUM(M1115:M1120)</f>
        <v>16.177</v>
      </c>
      <c r="N1092" s="363"/>
      <c r="O1092" s="364"/>
      <c r="P1092" s="365">
        <f>SUM(P1099:P1102)+P1107+P1112+SUM(P1115:P1120)</f>
        <v>30.765999999999998</v>
      </c>
      <c r="Q1092" s="363"/>
      <c r="R1092" s="364"/>
      <c r="S1092" s="365">
        <f>SUM(S1099:S1102)+S1107+S1112+SUM(S1115:S1120)</f>
        <v>40.805999999999997</v>
      </c>
      <c r="T1092" s="363"/>
      <c r="U1092" s="364"/>
      <c r="V1092" s="365">
        <f>SUM(V1099:V1102)+V1107+V1112+SUM(V1115:V1120)</f>
        <v>51.99</v>
      </c>
      <c r="W1092" s="363"/>
      <c r="X1092" s="364"/>
      <c r="Y1092" s="365">
        <f>SUM(Y1099:Y1102)+Y1107+Y1112+SUM(Y1115:Y1120)</f>
        <v>50.239999999999995</v>
      </c>
      <c r="Z1092" s="363"/>
      <c r="AA1092" s="364"/>
      <c r="AB1092" s="365">
        <f>SUM(AB1099:AB1102)+AB1107+AB1112+SUM(AB1115:AB1120)</f>
        <v>45.927000000000007</v>
      </c>
      <c r="AC1092" s="363"/>
      <c r="AD1092" s="364"/>
      <c r="AE1092" s="365">
        <f>SUM(AE1099:AE1102)+AE1107+AE1112+SUM(AE1115:AE1120)</f>
        <v>45.730000000000004</v>
      </c>
      <c r="AF1092" s="363"/>
      <c r="AG1092" s="364"/>
      <c r="AH1092" s="365">
        <f>SUM(AH1099:AH1102)+AH1107+AH1112+SUM(AH1115:AH1120)</f>
        <v>40.04</v>
      </c>
      <c r="AI1092" s="363"/>
      <c r="AJ1092" s="364"/>
      <c r="AK1092" s="365">
        <f>SUM(AK1099:AK1102)+AK1107+AK1112+SUM(AK1115:AK1120)</f>
        <v>12.623999999999999</v>
      </c>
      <c r="AL1092" s="363"/>
      <c r="AM1092" s="364"/>
      <c r="AN1092" s="365">
        <f>SUM(AN1099:AN1102)+AN1107+AN1112+SUM(AN1115:AN1120)</f>
        <v>16.425000000000001</v>
      </c>
      <c r="AO1092" s="363"/>
      <c r="AP1092" s="364"/>
      <c r="AQ1092" s="365">
        <f>SUM(AQ1099:AQ1102)+AQ1107+AQ1112+SUM(AQ1115:AQ1120)</f>
        <v>7.89</v>
      </c>
      <c r="AR1092" s="363"/>
      <c r="AS1092" s="364"/>
      <c r="AT1092" s="365">
        <f>SUM(AT1099:AT1102)+AT1107+AT1112+SUM(AT1115:AT1120)</f>
        <v>367.91700000000003</v>
      </c>
      <c r="AU1092" s="363"/>
      <c r="AV1092" s="229"/>
      <c r="AW1092" s="226"/>
      <c r="AX1092" s="366"/>
      <c r="AY1092" s="339">
        <f>SUM(AY1099:AY1120)</f>
        <v>72.920732999999998</v>
      </c>
      <c r="AZ1092" s="375"/>
      <c r="BA1092" s="375"/>
      <c r="BB1092" s="375"/>
      <c r="BC1092" s="375"/>
    </row>
    <row r="1093" spans="1:55" s="115" customFormat="1">
      <c r="A1093" s="179"/>
      <c r="B1093" s="179"/>
      <c r="C1093" s="179"/>
      <c r="D1093" s="181">
        <v>323310</v>
      </c>
      <c r="E1093" s="181"/>
      <c r="F1093" s="181"/>
      <c r="G1093" s="1110">
        <v>323310</v>
      </c>
      <c r="H1093" s="1000" t="s">
        <v>194</v>
      </c>
      <c r="I1093" s="1001" t="s">
        <v>364</v>
      </c>
      <c r="J1093" s="1149">
        <v>193.4</v>
      </c>
      <c r="K1093" s="934"/>
      <c r="L1093" s="935"/>
      <c r="M1093" s="936">
        <v>180.55</v>
      </c>
      <c r="N1093" s="934"/>
      <c r="O1093" s="935"/>
      <c r="P1093" s="936">
        <v>190.8</v>
      </c>
      <c r="Q1093" s="934"/>
      <c r="R1093" s="935"/>
      <c r="S1093" s="1192">
        <f>107.3-2.8</f>
        <v>104.5</v>
      </c>
      <c r="T1093" s="934"/>
      <c r="U1093" s="935"/>
      <c r="V1093" s="936">
        <v>76.3</v>
      </c>
      <c r="W1093" s="934"/>
      <c r="X1093" s="935"/>
      <c r="Y1093" s="936">
        <v>73.8</v>
      </c>
      <c r="Z1093" s="934"/>
      <c r="AA1093" s="935"/>
      <c r="AB1093" s="936">
        <v>93.03</v>
      </c>
      <c r="AC1093" s="934"/>
      <c r="AD1093" s="935"/>
      <c r="AE1093" s="936">
        <v>93.1</v>
      </c>
      <c r="AF1093" s="934"/>
      <c r="AG1093" s="935"/>
      <c r="AH1093" s="936">
        <v>74.58</v>
      </c>
      <c r="AI1093" s="934"/>
      <c r="AJ1093" s="935"/>
      <c r="AK1093" s="936">
        <v>122.99</v>
      </c>
      <c r="AL1093" s="934"/>
      <c r="AM1093" s="935"/>
      <c r="AN1093" s="936">
        <v>170.17</v>
      </c>
      <c r="AO1093" s="934"/>
      <c r="AP1093" s="935"/>
      <c r="AQ1093" s="1192">
        <f>190.69-4.92</f>
        <v>185.77</v>
      </c>
      <c r="AR1093" s="1002"/>
      <c r="AS1093" s="1003"/>
      <c r="AT1093" s="1004">
        <f>J1093+M1093+P1093+S1093+V1093+Y1093+AB1093+AE1093+AH1093+AK1093+AN1093+AQ1093</f>
        <v>1558.99</v>
      </c>
      <c r="AU1093" s="1002"/>
      <c r="AV1093" s="1003"/>
      <c r="AW1093" s="285"/>
      <c r="AX1093" s="249"/>
      <c r="AY1093" s="438">
        <v>1527.91264</v>
      </c>
      <c r="AZ1093" s="375"/>
      <c r="BA1093" s="375"/>
      <c r="BB1093" s="375"/>
      <c r="BC1093" s="375"/>
    </row>
    <row r="1094" spans="1:55" s="115" customFormat="1">
      <c r="A1094" s="179"/>
      <c r="B1094" s="179"/>
      <c r="C1094" s="179"/>
      <c r="D1094" s="181">
        <v>323301</v>
      </c>
      <c r="E1094" s="181"/>
      <c r="F1094" s="181"/>
      <c r="G1094" s="1110">
        <v>323301</v>
      </c>
      <c r="H1094" s="127" t="s">
        <v>455</v>
      </c>
      <c r="I1094" s="516" t="s">
        <v>364</v>
      </c>
      <c r="J1094" s="1169">
        <f>72.54-3.29</f>
        <v>69.25</v>
      </c>
      <c r="K1094" s="934"/>
      <c r="L1094" s="935"/>
      <c r="M1094" s="1186">
        <f>56.17+5</f>
        <v>61.17</v>
      </c>
      <c r="N1094" s="934"/>
      <c r="O1094" s="935"/>
      <c r="P1094" s="936">
        <v>63.07</v>
      </c>
      <c r="Q1094" s="934"/>
      <c r="R1094" s="935"/>
      <c r="S1094" s="936">
        <v>58.62</v>
      </c>
      <c r="T1094" s="934"/>
      <c r="U1094" s="935"/>
      <c r="V1094" s="1192">
        <f>51.97-13.38</f>
        <v>38.589999999999996</v>
      </c>
      <c r="W1094" s="934"/>
      <c r="X1094" s="935"/>
      <c r="Y1094" s="936">
        <v>53.63</v>
      </c>
      <c r="Z1094" s="934"/>
      <c r="AA1094" s="935"/>
      <c r="AB1094" s="936">
        <v>54.46</v>
      </c>
      <c r="AC1094" s="934"/>
      <c r="AD1094" s="935"/>
      <c r="AE1094" s="936">
        <v>55.4</v>
      </c>
      <c r="AF1094" s="934"/>
      <c r="AG1094" s="935"/>
      <c r="AH1094" s="936">
        <v>58.98</v>
      </c>
      <c r="AI1094" s="934"/>
      <c r="AJ1094" s="935"/>
      <c r="AK1094" s="936">
        <v>59.47</v>
      </c>
      <c r="AL1094" s="934"/>
      <c r="AM1094" s="935"/>
      <c r="AN1094" s="1186">
        <f>59.46+0.48</f>
        <v>59.94</v>
      </c>
      <c r="AO1094" s="934"/>
      <c r="AP1094" s="935"/>
      <c r="AQ1094" s="936">
        <v>71.27</v>
      </c>
      <c r="AR1094" s="1005"/>
      <c r="AS1094" s="1006"/>
      <c r="AT1094" s="1007">
        <f>J1094+M1094+P1094+S1094+V1094+Y1094+AB1094+AE1094+AH1094+AK1094+AN1094+AQ1094</f>
        <v>703.84999999999991</v>
      </c>
      <c r="AU1094" s="1005"/>
      <c r="AV1094" s="336"/>
      <c r="AW1094" s="285"/>
      <c r="AX1094" s="249"/>
      <c r="AY1094" s="438">
        <v>778.45008499999994</v>
      </c>
      <c r="AZ1094" s="375"/>
      <c r="BA1094" s="375"/>
      <c r="BB1094" s="375"/>
      <c r="BC1094" s="375"/>
    </row>
    <row r="1095" spans="1:55" s="115" customFormat="1">
      <c r="A1095" s="179"/>
      <c r="B1095" s="179"/>
      <c r="C1095" s="179"/>
      <c r="D1095" s="181">
        <v>323381</v>
      </c>
      <c r="E1095" s="181"/>
      <c r="F1095" s="181"/>
      <c r="G1095" s="1110">
        <v>323381</v>
      </c>
      <c r="H1095" s="132" t="s">
        <v>456</v>
      </c>
      <c r="I1095" s="516" t="s">
        <v>364</v>
      </c>
      <c r="J1095" s="1008">
        <f>SUM(J1096:J1097)</f>
        <v>133.44</v>
      </c>
      <c r="K1095" s="1005"/>
      <c r="L1095" s="1006"/>
      <c r="M1095" s="1008">
        <f>SUM(M1096:M1097)</f>
        <v>122.34</v>
      </c>
      <c r="N1095" s="1005"/>
      <c r="O1095" s="1006"/>
      <c r="P1095" s="1008">
        <f>SUM(P1096:P1097)</f>
        <v>134.63</v>
      </c>
      <c r="Q1095" s="1005"/>
      <c r="R1095" s="1006"/>
      <c r="S1095" s="1008">
        <f>SUM(S1096:S1097)</f>
        <v>98.19</v>
      </c>
      <c r="T1095" s="1005"/>
      <c r="U1095" s="1006"/>
      <c r="V1095" s="1008">
        <f>SUM(V1096:V1097)</f>
        <v>99.37</v>
      </c>
      <c r="W1095" s="1005"/>
      <c r="X1095" s="1006"/>
      <c r="Y1095" s="1008">
        <f>SUM(Y1096:Y1097)</f>
        <v>124.59</v>
      </c>
      <c r="Z1095" s="1005"/>
      <c r="AA1095" s="1006"/>
      <c r="AB1095" s="1008">
        <f>SUM(AB1096:AB1097)</f>
        <v>129.63999999999999</v>
      </c>
      <c r="AC1095" s="1005"/>
      <c r="AD1095" s="1006"/>
      <c r="AE1095" s="1008">
        <f>SUM(AE1096:AE1097)</f>
        <v>131</v>
      </c>
      <c r="AF1095" s="1005"/>
      <c r="AG1095" s="1006"/>
      <c r="AH1095" s="1008">
        <f>SUM(AH1096:AH1097)</f>
        <v>125.97</v>
      </c>
      <c r="AI1095" s="1005"/>
      <c r="AJ1095" s="1006"/>
      <c r="AK1095" s="1008">
        <f>SUM(AK1096:AK1097)</f>
        <v>129.22000000000003</v>
      </c>
      <c r="AL1095" s="1005"/>
      <c r="AM1095" s="1006"/>
      <c r="AN1095" s="1008">
        <f>SUM(AN1096:AN1097)</f>
        <v>123.94</v>
      </c>
      <c r="AO1095" s="1005"/>
      <c r="AP1095" s="1006"/>
      <c r="AQ1095" s="1008">
        <f>SUM(AQ1096:AQ1097)</f>
        <v>134.76</v>
      </c>
      <c r="AR1095" s="1005"/>
      <c r="AS1095" s="1006"/>
      <c r="AT1095" s="1008">
        <f>SUM(AT1096:AT1097)</f>
        <v>1487.09</v>
      </c>
      <c r="AU1095" s="1005"/>
      <c r="AV1095" s="336"/>
      <c r="AW1095" s="285"/>
      <c r="AX1095" s="249"/>
      <c r="AY1095" s="1068">
        <v>1656.799953</v>
      </c>
      <c r="AZ1095" s="375"/>
      <c r="BA1095" s="375"/>
      <c r="BB1095" s="375"/>
      <c r="BC1095" s="375"/>
    </row>
    <row r="1096" spans="1:55" s="115" customFormat="1">
      <c r="A1096" s="179"/>
      <c r="B1096" s="179"/>
      <c r="C1096" s="179"/>
      <c r="D1096" s="181"/>
      <c r="E1096" s="181"/>
      <c r="F1096" s="181"/>
      <c r="G1096" s="1110"/>
      <c r="H1096" s="125" t="s">
        <v>457</v>
      </c>
      <c r="I1096" s="125"/>
      <c r="J1096" s="1149">
        <v>68.17</v>
      </c>
      <c r="K1096" s="934"/>
      <c r="L1096" s="935"/>
      <c r="M1096" s="936">
        <v>60.32</v>
      </c>
      <c r="N1096" s="934"/>
      <c r="O1096" s="935"/>
      <c r="P1096" s="936">
        <v>68.790000000000006</v>
      </c>
      <c r="Q1096" s="934"/>
      <c r="R1096" s="935"/>
      <c r="S1096" s="936">
        <v>40.339999999999996</v>
      </c>
      <c r="T1096" s="934"/>
      <c r="U1096" s="935"/>
      <c r="V1096" s="1192">
        <f>64.73-15</f>
        <v>49.730000000000004</v>
      </c>
      <c r="W1096" s="934"/>
      <c r="X1096" s="935"/>
      <c r="Y1096" s="936">
        <v>61.14</v>
      </c>
      <c r="Z1096" s="934"/>
      <c r="AA1096" s="935"/>
      <c r="AB1096" s="936">
        <v>66.05</v>
      </c>
      <c r="AC1096" s="934"/>
      <c r="AD1096" s="935"/>
      <c r="AE1096" s="936">
        <v>64.349999999999994</v>
      </c>
      <c r="AF1096" s="934"/>
      <c r="AG1096" s="935"/>
      <c r="AH1096" s="1192">
        <f>68.25-4.06</f>
        <v>64.19</v>
      </c>
      <c r="AI1096" s="934"/>
      <c r="AJ1096" s="935"/>
      <c r="AK1096" s="936">
        <v>73.330000000000013</v>
      </c>
      <c r="AL1096" s="934"/>
      <c r="AM1096" s="935"/>
      <c r="AN1096" s="936">
        <v>61.67</v>
      </c>
      <c r="AO1096" s="934"/>
      <c r="AP1096" s="935"/>
      <c r="AQ1096" s="936">
        <v>67.7</v>
      </c>
      <c r="AR1096" s="1005"/>
      <c r="AS1096" s="1006"/>
      <c r="AT1096" s="1007">
        <f t="shared" ref="AT1096:AT1101" si="42">J1096+M1096+P1096+S1096+V1096+Y1096+AB1096+AE1096+AH1096+AK1096+AN1096+AQ1096</f>
        <v>745.78</v>
      </c>
      <c r="AU1096" s="1005"/>
      <c r="AV1096" s="336"/>
      <c r="AW1096" s="285"/>
      <c r="AX1096" s="249"/>
      <c r="AY1096" s="441"/>
      <c r="AZ1096" s="375"/>
      <c r="BA1096" s="375"/>
      <c r="BB1096" s="375"/>
      <c r="BC1096" s="375"/>
    </row>
    <row r="1097" spans="1:55" s="115" customFormat="1">
      <c r="A1097" s="179"/>
      <c r="B1097" s="179"/>
      <c r="C1097" s="179"/>
      <c r="D1097" s="181"/>
      <c r="E1097" s="181"/>
      <c r="F1097" s="181"/>
      <c r="G1097" s="1110"/>
      <c r="H1097" s="125" t="s">
        <v>458</v>
      </c>
      <c r="I1097" s="125"/>
      <c r="J1097" s="1149">
        <v>65.27</v>
      </c>
      <c r="K1097" s="934"/>
      <c r="L1097" s="935"/>
      <c r="M1097" s="936">
        <v>62.02</v>
      </c>
      <c r="N1097" s="934"/>
      <c r="O1097" s="935"/>
      <c r="P1097" s="936">
        <v>65.84</v>
      </c>
      <c r="Q1097" s="934"/>
      <c r="R1097" s="935"/>
      <c r="S1097" s="936">
        <v>57.85</v>
      </c>
      <c r="T1097" s="934"/>
      <c r="U1097" s="935"/>
      <c r="V1097" s="1192">
        <f>64.64-15</f>
        <v>49.64</v>
      </c>
      <c r="W1097" s="934"/>
      <c r="X1097" s="935"/>
      <c r="Y1097" s="936">
        <v>63.45</v>
      </c>
      <c r="Z1097" s="934"/>
      <c r="AA1097" s="935"/>
      <c r="AB1097" s="936">
        <v>63.59</v>
      </c>
      <c r="AC1097" s="934"/>
      <c r="AD1097" s="935"/>
      <c r="AE1097" s="936">
        <v>66.650000000000006</v>
      </c>
      <c r="AF1097" s="934"/>
      <c r="AG1097" s="935"/>
      <c r="AH1097" s="936">
        <v>61.78</v>
      </c>
      <c r="AI1097" s="934"/>
      <c r="AJ1097" s="935"/>
      <c r="AK1097" s="936">
        <v>55.89</v>
      </c>
      <c r="AL1097" s="934"/>
      <c r="AM1097" s="935"/>
      <c r="AN1097" s="936">
        <v>62.27</v>
      </c>
      <c r="AO1097" s="934"/>
      <c r="AP1097" s="935"/>
      <c r="AQ1097" s="936">
        <v>67.06</v>
      </c>
      <c r="AR1097" s="1005"/>
      <c r="AS1097" s="1006"/>
      <c r="AT1097" s="1007">
        <f t="shared" si="42"/>
        <v>741.31</v>
      </c>
      <c r="AU1097" s="1005"/>
      <c r="AV1097" s="336"/>
      <c r="AW1097" s="285"/>
      <c r="AX1097" s="249"/>
      <c r="AY1097" s="441"/>
      <c r="AZ1097" s="375"/>
      <c r="BA1097" s="375"/>
      <c r="BB1097" s="375"/>
      <c r="BC1097" s="375"/>
    </row>
    <row r="1098" spans="1:55" s="113" customFormat="1">
      <c r="A1098" s="179"/>
      <c r="B1098" s="179"/>
      <c r="C1098" s="179"/>
      <c r="D1098" s="181">
        <v>323340</v>
      </c>
      <c r="E1098" s="181"/>
      <c r="F1098" s="181"/>
      <c r="G1098" s="1110">
        <v>323340</v>
      </c>
      <c r="H1098" s="125" t="s">
        <v>1437</v>
      </c>
      <c r="I1098" s="533" t="s">
        <v>365</v>
      </c>
      <c r="J1098" s="1149">
        <v>3.06</v>
      </c>
      <c r="K1098" s="934"/>
      <c r="L1098" s="935"/>
      <c r="M1098" s="936">
        <v>2.76</v>
      </c>
      <c r="N1098" s="934"/>
      <c r="O1098" s="935"/>
      <c r="P1098" s="936">
        <v>3.06</v>
      </c>
      <c r="Q1098" s="934"/>
      <c r="R1098" s="935"/>
      <c r="S1098" s="936">
        <v>2.96</v>
      </c>
      <c r="T1098" s="934"/>
      <c r="U1098" s="935"/>
      <c r="V1098" s="936">
        <v>3.06</v>
      </c>
      <c r="W1098" s="934"/>
      <c r="X1098" s="935"/>
      <c r="Y1098" s="936">
        <v>2.96</v>
      </c>
      <c r="Z1098" s="934"/>
      <c r="AA1098" s="935"/>
      <c r="AB1098" s="936">
        <v>3.06</v>
      </c>
      <c r="AC1098" s="934"/>
      <c r="AD1098" s="935"/>
      <c r="AE1098" s="936">
        <v>3.06</v>
      </c>
      <c r="AF1098" s="934"/>
      <c r="AG1098" s="935"/>
      <c r="AH1098" s="936">
        <v>2.96</v>
      </c>
      <c r="AI1098" s="934"/>
      <c r="AJ1098" s="935"/>
      <c r="AK1098" s="936">
        <v>3.06</v>
      </c>
      <c r="AL1098" s="934"/>
      <c r="AM1098" s="935"/>
      <c r="AN1098" s="936">
        <v>2.96</v>
      </c>
      <c r="AO1098" s="934"/>
      <c r="AP1098" s="935"/>
      <c r="AQ1098" s="936">
        <v>3.06</v>
      </c>
      <c r="AR1098" s="1009"/>
      <c r="AS1098" s="1010"/>
      <c r="AT1098" s="1011">
        <f t="shared" si="42"/>
        <v>36.019999999999996</v>
      </c>
      <c r="AU1098" s="1009"/>
      <c r="AV1098" s="282"/>
      <c r="AW1098" s="285"/>
      <c r="AX1098" s="249"/>
      <c r="AY1098" s="441">
        <v>30.736180000000001</v>
      </c>
      <c r="AZ1098" s="355"/>
      <c r="BA1098" s="355"/>
      <c r="BB1098" s="355"/>
      <c r="BC1098" s="355"/>
    </row>
    <row r="1099" spans="1:55" s="113" customFormat="1">
      <c r="A1099" s="179"/>
      <c r="B1099" s="179"/>
      <c r="C1099" s="179"/>
      <c r="D1099" s="181"/>
      <c r="E1099" s="181"/>
      <c r="F1099" s="181"/>
      <c r="G1099" s="1110">
        <v>777262</v>
      </c>
      <c r="H1099" s="125" t="s">
        <v>1261</v>
      </c>
      <c r="I1099" s="533" t="s">
        <v>364</v>
      </c>
      <c r="J1099" s="1149">
        <v>0.89</v>
      </c>
      <c r="K1099" s="934"/>
      <c r="L1099" s="935"/>
      <c r="M1099" s="936">
        <v>1.31</v>
      </c>
      <c r="N1099" s="934"/>
      <c r="O1099" s="935"/>
      <c r="P1099" s="936">
        <v>1.94</v>
      </c>
      <c r="Q1099" s="934"/>
      <c r="R1099" s="935"/>
      <c r="S1099" s="936">
        <v>2.15</v>
      </c>
      <c r="T1099" s="934"/>
      <c r="U1099" s="935"/>
      <c r="V1099" s="936">
        <v>2.5</v>
      </c>
      <c r="W1099" s="934"/>
      <c r="X1099" s="935"/>
      <c r="Y1099" s="936">
        <v>2.33</v>
      </c>
      <c r="Z1099" s="934"/>
      <c r="AA1099" s="935"/>
      <c r="AB1099" s="936">
        <v>2.34</v>
      </c>
      <c r="AC1099" s="934"/>
      <c r="AD1099" s="935"/>
      <c r="AE1099" s="936">
        <v>2.6</v>
      </c>
      <c r="AF1099" s="934"/>
      <c r="AG1099" s="935"/>
      <c r="AH1099" s="936">
        <v>2.0299999999999998</v>
      </c>
      <c r="AI1099" s="934"/>
      <c r="AJ1099" s="935"/>
      <c r="AK1099" s="936">
        <v>1.64</v>
      </c>
      <c r="AL1099" s="934"/>
      <c r="AM1099" s="935"/>
      <c r="AN1099" s="936">
        <v>0.83</v>
      </c>
      <c r="AO1099" s="934"/>
      <c r="AP1099" s="935"/>
      <c r="AQ1099" s="936">
        <v>0.56999999999999995</v>
      </c>
      <c r="AR1099" s="246"/>
      <c r="AS1099" s="282"/>
      <c r="AT1099" s="244">
        <f t="shared" si="42"/>
        <v>21.130000000000003</v>
      </c>
      <c r="AU1099" s="246"/>
      <c r="AV1099" s="336"/>
      <c r="AW1099" s="285"/>
      <c r="AX1099" s="249"/>
      <c r="AY1099" s="441">
        <v>21.636044999999999</v>
      </c>
      <c r="AZ1099" s="355"/>
      <c r="BA1099" s="355"/>
      <c r="BB1099" s="355"/>
      <c r="BC1099" s="355"/>
    </row>
    <row r="1100" spans="1:55" s="113" customFormat="1">
      <c r="A1100" s="179"/>
      <c r="B1100" s="179"/>
      <c r="C1100" s="179"/>
      <c r="D1100" s="181"/>
      <c r="E1100" s="181"/>
      <c r="F1100" s="181"/>
      <c r="G1100" s="1110">
        <v>777260</v>
      </c>
      <c r="H1100" s="125" t="s">
        <v>1438</v>
      </c>
      <c r="I1100" s="533" t="s">
        <v>364</v>
      </c>
      <c r="J1100" s="1149">
        <v>0.89</v>
      </c>
      <c r="K1100" s="934"/>
      <c r="L1100" s="935"/>
      <c r="M1100" s="936">
        <v>1.32</v>
      </c>
      <c r="N1100" s="934"/>
      <c r="O1100" s="935"/>
      <c r="P1100" s="936">
        <v>1.95</v>
      </c>
      <c r="Q1100" s="934"/>
      <c r="R1100" s="935"/>
      <c r="S1100" s="936">
        <v>2.16</v>
      </c>
      <c r="T1100" s="934"/>
      <c r="U1100" s="935"/>
      <c r="V1100" s="936">
        <v>2.5</v>
      </c>
      <c r="W1100" s="934"/>
      <c r="X1100" s="935"/>
      <c r="Y1100" s="936">
        <v>2.33</v>
      </c>
      <c r="Z1100" s="934"/>
      <c r="AA1100" s="935"/>
      <c r="AB1100" s="936">
        <v>2.34</v>
      </c>
      <c r="AC1100" s="934"/>
      <c r="AD1100" s="935"/>
      <c r="AE1100" s="936">
        <v>2.6</v>
      </c>
      <c r="AF1100" s="934"/>
      <c r="AG1100" s="935"/>
      <c r="AH1100" s="936">
        <v>2.04</v>
      </c>
      <c r="AI1100" s="934"/>
      <c r="AJ1100" s="935"/>
      <c r="AK1100" s="936">
        <v>1.65</v>
      </c>
      <c r="AL1100" s="934"/>
      <c r="AM1100" s="935"/>
      <c r="AN1100" s="936">
        <v>0.83</v>
      </c>
      <c r="AO1100" s="934"/>
      <c r="AP1100" s="935"/>
      <c r="AQ1100" s="936">
        <v>0.56999999999999995</v>
      </c>
      <c r="AR1100" s="246"/>
      <c r="AS1100" s="282"/>
      <c r="AT1100" s="244">
        <f t="shared" si="42"/>
        <v>21.179999999999996</v>
      </c>
      <c r="AU1100" s="246"/>
      <c r="AV1100" s="336"/>
      <c r="AW1100" s="285"/>
      <c r="AX1100" s="249"/>
      <c r="AY1100" s="441">
        <v>15.324040999999999</v>
      </c>
      <c r="AZ1100" s="355"/>
      <c r="BA1100" s="355"/>
      <c r="BB1100" s="355"/>
      <c r="BC1100" s="355"/>
    </row>
    <row r="1101" spans="1:55" s="113" customFormat="1">
      <c r="A1101" s="179"/>
      <c r="B1101" s="179"/>
      <c r="C1101" s="179"/>
      <c r="D1101" s="181"/>
      <c r="E1101" s="181"/>
      <c r="F1101" s="181"/>
      <c r="G1101" s="1110">
        <v>777289</v>
      </c>
      <c r="H1101" s="125" t="s">
        <v>1439</v>
      </c>
      <c r="I1101" s="533" t="s">
        <v>364</v>
      </c>
      <c r="J1101" s="1149">
        <v>0.498</v>
      </c>
      <c r="K1101" s="934"/>
      <c r="L1101" s="935"/>
      <c r="M1101" s="936">
        <v>0.94499999999999995</v>
      </c>
      <c r="N1101" s="934"/>
      <c r="O1101" s="935"/>
      <c r="P1101" s="936">
        <v>1.5</v>
      </c>
      <c r="Q1101" s="934"/>
      <c r="R1101" s="935"/>
      <c r="S1101" s="936">
        <v>2</v>
      </c>
      <c r="T1101" s="934"/>
      <c r="U1101" s="935"/>
      <c r="V1101" s="936">
        <v>2.8079999999999998</v>
      </c>
      <c r="W1101" s="934"/>
      <c r="X1101" s="935"/>
      <c r="Y1101" s="936">
        <v>2.722</v>
      </c>
      <c r="Z1101" s="934"/>
      <c r="AA1101" s="935"/>
      <c r="AB1101" s="936">
        <v>2.3010000000000002</v>
      </c>
      <c r="AC1101" s="934"/>
      <c r="AD1101" s="935"/>
      <c r="AE1101" s="936">
        <v>2.218</v>
      </c>
      <c r="AF1101" s="934"/>
      <c r="AG1101" s="935"/>
      <c r="AH1101" s="936">
        <v>2.1</v>
      </c>
      <c r="AI1101" s="934"/>
      <c r="AJ1101" s="935"/>
      <c r="AK1101" s="936">
        <v>0</v>
      </c>
      <c r="AL1101" s="934"/>
      <c r="AM1101" s="935"/>
      <c r="AN1101" s="936">
        <v>0.86599999999999999</v>
      </c>
      <c r="AO1101" s="934"/>
      <c r="AP1101" s="935"/>
      <c r="AQ1101" s="936">
        <v>0.318</v>
      </c>
      <c r="AR1101" s="246"/>
      <c r="AS1101" s="282"/>
      <c r="AT1101" s="244">
        <f t="shared" si="42"/>
        <v>18.276</v>
      </c>
      <c r="AU1101" s="246"/>
      <c r="AV1101" s="336"/>
      <c r="AW1101" s="285"/>
      <c r="AX1101" s="249"/>
      <c r="AY1101" s="441">
        <v>18.66639</v>
      </c>
      <c r="AZ1101" s="355"/>
      <c r="BA1101" s="355"/>
      <c r="BB1101" s="355"/>
      <c r="BC1101" s="355"/>
    </row>
    <row r="1102" spans="1:55" s="113" customFormat="1">
      <c r="A1102" s="1116"/>
      <c r="B1102" s="1116"/>
      <c r="C1102" s="1116"/>
      <c r="D1102" s="1110"/>
      <c r="E1102" s="1110"/>
      <c r="F1102" s="1110"/>
      <c r="G1102" s="1110">
        <v>777707</v>
      </c>
      <c r="H1102" s="141" t="s">
        <v>1730</v>
      </c>
      <c r="I1102" s="533" t="s">
        <v>364</v>
      </c>
      <c r="J1102" s="1150">
        <f>SUM(J1103:J1106)</f>
        <v>1.1759999999999999</v>
      </c>
      <c r="K1102" s="934"/>
      <c r="L1102" s="935"/>
      <c r="M1102" s="1150">
        <f>SUM(M1103:M1106)</f>
        <v>2.4319999999999999</v>
      </c>
      <c r="N1102" s="934"/>
      <c r="O1102" s="935"/>
      <c r="P1102" s="1150">
        <f>SUM(P1103:P1106)</f>
        <v>6</v>
      </c>
      <c r="Q1102" s="934"/>
      <c r="R1102" s="935"/>
      <c r="S1102" s="1150">
        <f>SUM(S1103:S1106)</f>
        <v>8.6</v>
      </c>
      <c r="T1102" s="934"/>
      <c r="U1102" s="935"/>
      <c r="V1102" s="1150">
        <f>SUM(V1103:V1106)</f>
        <v>11.231999999999999</v>
      </c>
      <c r="W1102" s="934"/>
      <c r="X1102" s="935"/>
      <c r="Y1102" s="1150">
        <f>SUM(Y1103:Y1106)</f>
        <v>10.888</v>
      </c>
      <c r="Z1102" s="934"/>
      <c r="AA1102" s="935"/>
      <c r="AB1102" s="1150">
        <f>SUM(AB1103:AB1106)</f>
        <v>9.2040000000000006</v>
      </c>
      <c r="AC1102" s="934"/>
      <c r="AD1102" s="935"/>
      <c r="AE1102" s="1150">
        <f>SUM(AE1103:AE1106)</f>
        <v>8.8719999999999999</v>
      </c>
      <c r="AF1102" s="934"/>
      <c r="AG1102" s="935"/>
      <c r="AH1102" s="1150">
        <f>SUM(AH1103:AH1106)</f>
        <v>8.4</v>
      </c>
      <c r="AI1102" s="934"/>
      <c r="AJ1102" s="935"/>
      <c r="AK1102" s="1150">
        <f>SUM(AK1103:AK1106)</f>
        <v>0</v>
      </c>
      <c r="AL1102" s="934"/>
      <c r="AM1102" s="935"/>
      <c r="AN1102" s="1150">
        <f>SUM(AN1103:AN1106)</f>
        <v>3.464</v>
      </c>
      <c r="AO1102" s="934"/>
      <c r="AP1102" s="935"/>
      <c r="AQ1102" s="1150">
        <f>SUM(AQ1103:AQ1106)</f>
        <v>1.272</v>
      </c>
      <c r="AR1102" s="246"/>
      <c r="AS1102" s="282"/>
      <c r="AT1102" s="1150">
        <f>SUM(AT1103:AT1106)</f>
        <v>71.540000000000006</v>
      </c>
      <c r="AU1102" s="246"/>
      <c r="AV1102" s="336"/>
      <c r="AW1102" s="285"/>
      <c r="AX1102" s="249"/>
      <c r="AY1102" s="441"/>
      <c r="AZ1102" s="355"/>
      <c r="BA1102" s="355"/>
      <c r="BB1102" s="355"/>
      <c r="BC1102" s="355"/>
    </row>
    <row r="1103" spans="1:55" s="113" customFormat="1">
      <c r="A1103" s="1116"/>
      <c r="B1103" s="1116"/>
      <c r="C1103" s="1116"/>
      <c r="D1103" s="1110"/>
      <c r="E1103" s="1110"/>
      <c r="F1103" s="1110"/>
      <c r="G1103" s="1110"/>
      <c r="H1103" s="125" t="s">
        <v>1440</v>
      </c>
      <c r="I1103" s="533"/>
      <c r="J1103" s="1149">
        <v>0.29399999999999998</v>
      </c>
      <c r="K1103" s="934"/>
      <c r="L1103" s="935"/>
      <c r="M1103" s="936">
        <v>0.60799999999999998</v>
      </c>
      <c r="N1103" s="934"/>
      <c r="O1103" s="935"/>
      <c r="P1103" s="936">
        <v>1.5</v>
      </c>
      <c r="Q1103" s="934"/>
      <c r="R1103" s="935"/>
      <c r="S1103" s="936">
        <v>2.15</v>
      </c>
      <c r="T1103" s="934"/>
      <c r="U1103" s="935"/>
      <c r="V1103" s="936">
        <v>2.8079999999999998</v>
      </c>
      <c r="W1103" s="934"/>
      <c r="X1103" s="935"/>
      <c r="Y1103" s="936">
        <v>2.722</v>
      </c>
      <c r="Z1103" s="934"/>
      <c r="AA1103" s="935"/>
      <c r="AB1103" s="936">
        <v>2.3010000000000002</v>
      </c>
      <c r="AC1103" s="934"/>
      <c r="AD1103" s="935"/>
      <c r="AE1103" s="936">
        <v>2.218</v>
      </c>
      <c r="AF1103" s="934"/>
      <c r="AG1103" s="935"/>
      <c r="AH1103" s="936">
        <v>2.1</v>
      </c>
      <c r="AI1103" s="934"/>
      <c r="AJ1103" s="935"/>
      <c r="AK1103" s="936">
        <v>0</v>
      </c>
      <c r="AL1103" s="934"/>
      <c r="AM1103" s="935"/>
      <c r="AN1103" s="936">
        <v>0.86599999999999999</v>
      </c>
      <c r="AO1103" s="934"/>
      <c r="AP1103" s="935"/>
      <c r="AQ1103" s="936">
        <v>0.318</v>
      </c>
      <c r="AR1103" s="246"/>
      <c r="AS1103" s="282"/>
      <c r="AT1103" s="244">
        <f t="shared" ref="AT1103:AT1121" si="43">J1103+M1103+P1103+S1103+V1103+Y1103+AB1103+AE1103+AH1103+AK1103+AN1103+AQ1103</f>
        <v>17.885000000000002</v>
      </c>
      <c r="AU1103" s="246"/>
      <c r="AV1103" s="336"/>
      <c r="AW1103" s="285"/>
      <c r="AX1103" s="249"/>
      <c r="AY1103" s="440">
        <v>8.4674000000006799E-2</v>
      </c>
      <c r="AZ1103" s="355"/>
      <c r="BA1103" s="355"/>
      <c r="BB1103" s="355"/>
      <c r="BC1103" s="355"/>
    </row>
    <row r="1104" spans="1:55" s="113" customFormat="1">
      <c r="A1104" s="1116"/>
      <c r="B1104" s="1116"/>
      <c r="C1104" s="1116"/>
      <c r="D1104" s="1110"/>
      <c r="E1104" s="1110"/>
      <c r="F1104" s="1110"/>
      <c r="G1104" s="1110"/>
      <c r="H1104" s="125" t="s">
        <v>1441</v>
      </c>
      <c r="I1104" s="533"/>
      <c r="J1104" s="1149">
        <v>0.29399999999999998</v>
      </c>
      <c r="K1104" s="934"/>
      <c r="L1104" s="935"/>
      <c r="M1104" s="936">
        <v>0.60799999999999998</v>
      </c>
      <c r="N1104" s="934"/>
      <c r="O1104" s="935"/>
      <c r="P1104" s="936">
        <v>1.5</v>
      </c>
      <c r="Q1104" s="934"/>
      <c r="R1104" s="935"/>
      <c r="S1104" s="936">
        <v>2.15</v>
      </c>
      <c r="T1104" s="934"/>
      <c r="U1104" s="935"/>
      <c r="V1104" s="936">
        <v>2.8079999999999998</v>
      </c>
      <c r="W1104" s="934"/>
      <c r="X1104" s="935"/>
      <c r="Y1104" s="936">
        <v>2.722</v>
      </c>
      <c r="Z1104" s="934"/>
      <c r="AA1104" s="935"/>
      <c r="AB1104" s="936">
        <v>2.3010000000000002</v>
      </c>
      <c r="AC1104" s="934"/>
      <c r="AD1104" s="935"/>
      <c r="AE1104" s="936">
        <v>2.218</v>
      </c>
      <c r="AF1104" s="934"/>
      <c r="AG1104" s="935"/>
      <c r="AH1104" s="936">
        <v>2.1</v>
      </c>
      <c r="AI1104" s="934"/>
      <c r="AJ1104" s="935"/>
      <c r="AK1104" s="936">
        <v>0</v>
      </c>
      <c r="AL1104" s="934"/>
      <c r="AM1104" s="935"/>
      <c r="AN1104" s="936">
        <v>0.86599999999999999</v>
      </c>
      <c r="AO1104" s="934"/>
      <c r="AP1104" s="935"/>
      <c r="AQ1104" s="936">
        <v>0.318</v>
      </c>
      <c r="AR1104" s="246"/>
      <c r="AS1104" s="282"/>
      <c r="AT1104" s="244">
        <f t="shared" si="43"/>
        <v>17.885000000000002</v>
      </c>
      <c r="AU1104" s="246"/>
      <c r="AV1104" s="336"/>
      <c r="AW1104" s="285"/>
      <c r="AX1104" s="249"/>
      <c r="AY1104" s="706"/>
      <c r="AZ1104" s="355"/>
      <c r="BA1104" s="355"/>
      <c r="BB1104" s="355"/>
      <c r="BC1104" s="355"/>
    </row>
    <row r="1105" spans="1:55" s="113" customFormat="1">
      <c r="A1105" s="1116"/>
      <c r="B1105" s="1116"/>
      <c r="C1105" s="1116"/>
      <c r="D1105" s="1110"/>
      <c r="E1105" s="1110"/>
      <c r="F1105" s="1110"/>
      <c r="G1105" s="1110"/>
      <c r="H1105" s="125" t="s">
        <v>1442</v>
      </c>
      <c r="I1105" s="533"/>
      <c r="J1105" s="1149">
        <v>0.29399999999999998</v>
      </c>
      <c r="K1105" s="934"/>
      <c r="L1105" s="935"/>
      <c r="M1105" s="936">
        <v>0.60799999999999998</v>
      </c>
      <c r="N1105" s="934"/>
      <c r="O1105" s="935"/>
      <c r="P1105" s="936">
        <v>1.5</v>
      </c>
      <c r="Q1105" s="934"/>
      <c r="R1105" s="935"/>
      <c r="S1105" s="936">
        <v>2.15</v>
      </c>
      <c r="T1105" s="934"/>
      <c r="U1105" s="935"/>
      <c r="V1105" s="936">
        <v>2.8079999999999998</v>
      </c>
      <c r="W1105" s="934"/>
      <c r="X1105" s="935"/>
      <c r="Y1105" s="936">
        <v>2.722</v>
      </c>
      <c r="Z1105" s="934"/>
      <c r="AA1105" s="935"/>
      <c r="AB1105" s="936">
        <v>2.3010000000000002</v>
      </c>
      <c r="AC1105" s="934"/>
      <c r="AD1105" s="935"/>
      <c r="AE1105" s="936">
        <v>2.218</v>
      </c>
      <c r="AF1105" s="934"/>
      <c r="AG1105" s="935"/>
      <c r="AH1105" s="936">
        <v>2.1</v>
      </c>
      <c r="AI1105" s="934"/>
      <c r="AJ1105" s="935"/>
      <c r="AK1105" s="936">
        <v>0</v>
      </c>
      <c r="AL1105" s="934"/>
      <c r="AM1105" s="935"/>
      <c r="AN1105" s="936">
        <v>0.86599999999999999</v>
      </c>
      <c r="AO1105" s="934"/>
      <c r="AP1105" s="935"/>
      <c r="AQ1105" s="936">
        <v>0.318</v>
      </c>
      <c r="AR1105" s="246"/>
      <c r="AS1105" s="282"/>
      <c r="AT1105" s="244">
        <f t="shared" si="43"/>
        <v>17.885000000000002</v>
      </c>
      <c r="AU1105" s="246"/>
      <c r="AV1105" s="336"/>
      <c r="AW1105" s="285"/>
      <c r="AX1105" s="249"/>
      <c r="AY1105" s="706"/>
      <c r="AZ1105" s="355"/>
      <c r="BA1105" s="355"/>
      <c r="BB1105" s="355"/>
      <c r="BC1105" s="355"/>
    </row>
    <row r="1106" spans="1:55" s="113" customFormat="1">
      <c r="A1106" s="1116"/>
      <c r="B1106" s="1116"/>
      <c r="C1106" s="1116"/>
      <c r="D1106" s="1110"/>
      <c r="E1106" s="1110"/>
      <c r="F1106" s="1110"/>
      <c r="G1106" s="1110"/>
      <c r="H1106" s="125" t="s">
        <v>1443</v>
      </c>
      <c r="I1106" s="533"/>
      <c r="J1106" s="1149">
        <v>0.29399999999999998</v>
      </c>
      <c r="K1106" s="934"/>
      <c r="L1106" s="935"/>
      <c r="M1106" s="936">
        <v>0.60799999999999998</v>
      </c>
      <c r="N1106" s="934"/>
      <c r="O1106" s="935"/>
      <c r="P1106" s="936">
        <v>1.5</v>
      </c>
      <c r="Q1106" s="934"/>
      <c r="R1106" s="935"/>
      <c r="S1106" s="936">
        <v>2.15</v>
      </c>
      <c r="T1106" s="934"/>
      <c r="U1106" s="935"/>
      <c r="V1106" s="936">
        <v>2.8079999999999998</v>
      </c>
      <c r="W1106" s="934"/>
      <c r="X1106" s="935"/>
      <c r="Y1106" s="936">
        <v>2.722</v>
      </c>
      <c r="Z1106" s="934"/>
      <c r="AA1106" s="935"/>
      <c r="AB1106" s="936">
        <v>2.3010000000000002</v>
      </c>
      <c r="AC1106" s="934"/>
      <c r="AD1106" s="935"/>
      <c r="AE1106" s="936">
        <v>2.218</v>
      </c>
      <c r="AF1106" s="934"/>
      <c r="AG1106" s="935"/>
      <c r="AH1106" s="936">
        <v>2.1</v>
      </c>
      <c r="AI1106" s="934"/>
      <c r="AJ1106" s="935"/>
      <c r="AK1106" s="936">
        <v>0</v>
      </c>
      <c r="AL1106" s="934"/>
      <c r="AM1106" s="935"/>
      <c r="AN1106" s="936">
        <v>0.86599999999999999</v>
      </c>
      <c r="AO1106" s="934"/>
      <c r="AP1106" s="935"/>
      <c r="AQ1106" s="936">
        <v>0.318</v>
      </c>
      <c r="AR1106" s="246"/>
      <c r="AS1106" s="282"/>
      <c r="AT1106" s="244">
        <f t="shared" si="43"/>
        <v>17.885000000000002</v>
      </c>
      <c r="AU1106" s="246"/>
      <c r="AV1106" s="336"/>
      <c r="AW1106" s="285"/>
      <c r="AX1106" s="249"/>
      <c r="AY1106" s="706"/>
      <c r="AZ1106" s="355"/>
      <c r="BA1106" s="355"/>
      <c r="BB1106" s="355"/>
      <c r="BC1106" s="355"/>
    </row>
    <row r="1107" spans="1:55" s="113" customFormat="1">
      <c r="A1107" s="1116"/>
      <c r="B1107" s="1116"/>
      <c r="C1107" s="1116"/>
      <c r="D1107" s="1110"/>
      <c r="E1107" s="1110"/>
      <c r="F1107" s="1110"/>
      <c r="G1107" s="1110">
        <v>777706</v>
      </c>
      <c r="H1107" s="141" t="s">
        <v>1731</v>
      </c>
      <c r="I1107" s="533" t="s">
        <v>364</v>
      </c>
      <c r="J1107" s="1150">
        <f>SUM(J1108:J1111)</f>
        <v>1.232</v>
      </c>
      <c r="K1107" s="934"/>
      <c r="L1107" s="935"/>
      <c r="M1107" s="1150">
        <f>SUM(M1108:M1111)</f>
        <v>2.552</v>
      </c>
      <c r="N1107" s="934"/>
      <c r="O1107" s="935"/>
      <c r="P1107" s="1150">
        <f>SUM(P1108:P1111)</f>
        <v>6.3</v>
      </c>
      <c r="Q1107" s="934"/>
      <c r="R1107" s="935"/>
      <c r="S1107" s="1150">
        <f>SUM(S1108:S1111)</f>
        <v>9.032</v>
      </c>
      <c r="T1107" s="934"/>
      <c r="U1107" s="935"/>
      <c r="V1107" s="1150">
        <f>SUM(V1108:V1111)</f>
        <v>11.792</v>
      </c>
      <c r="W1107" s="934"/>
      <c r="X1107" s="935"/>
      <c r="Y1107" s="1150">
        <f>SUM(Y1108:Y1111)</f>
        <v>11.432</v>
      </c>
      <c r="Z1107" s="934"/>
      <c r="AA1107" s="935"/>
      <c r="AB1107" s="1150">
        <f>SUM(AB1108:AB1111)</f>
        <v>9.6639999999999997</v>
      </c>
      <c r="AC1107" s="934"/>
      <c r="AD1107" s="935"/>
      <c r="AE1107" s="1150">
        <f>SUM(AE1108:AE1111)</f>
        <v>9.3160000000000007</v>
      </c>
      <c r="AF1107" s="934"/>
      <c r="AG1107" s="935"/>
      <c r="AH1107" s="1150">
        <f>SUM(AH1108:AH1111)</f>
        <v>8.82</v>
      </c>
      <c r="AI1107" s="934"/>
      <c r="AJ1107" s="935"/>
      <c r="AK1107" s="1150">
        <f>SUM(AK1108:AK1111)</f>
        <v>0</v>
      </c>
      <c r="AL1107" s="934"/>
      <c r="AM1107" s="935"/>
      <c r="AN1107" s="1150">
        <f>SUM(AN1108:AN1111)</f>
        <v>3.6360000000000001</v>
      </c>
      <c r="AO1107" s="934"/>
      <c r="AP1107" s="935"/>
      <c r="AQ1107" s="1150">
        <f>SUM(AQ1108:AQ1111)</f>
        <v>1.3360000000000001</v>
      </c>
      <c r="AR1107" s="246"/>
      <c r="AS1107" s="282"/>
      <c r="AT1107" s="1150">
        <f>SUM(AT1108:AT1111)</f>
        <v>75.112000000000009</v>
      </c>
      <c r="AU1107" s="246"/>
      <c r="AV1107" s="336"/>
      <c r="AW1107" s="285"/>
      <c r="AX1107" s="249"/>
      <c r="AY1107" s="706"/>
      <c r="AZ1107" s="355"/>
      <c r="BA1107" s="355"/>
      <c r="BB1107" s="355"/>
      <c r="BC1107" s="355"/>
    </row>
    <row r="1108" spans="1:55" s="113" customFormat="1">
      <c r="A1108" s="1116"/>
      <c r="B1108" s="1116"/>
      <c r="C1108" s="1116"/>
      <c r="D1108" s="1110"/>
      <c r="E1108" s="1110"/>
      <c r="F1108" s="1110"/>
      <c r="G1108" s="1110"/>
      <c r="H1108" s="125" t="s">
        <v>1444</v>
      </c>
      <c r="I1108" s="533"/>
      <c r="J1108" s="1149">
        <v>0.308</v>
      </c>
      <c r="K1108" s="934"/>
      <c r="L1108" s="935"/>
      <c r="M1108" s="936">
        <v>0.63800000000000001</v>
      </c>
      <c r="N1108" s="934"/>
      <c r="O1108" s="935"/>
      <c r="P1108" s="936">
        <v>1.575</v>
      </c>
      <c r="Q1108" s="934"/>
      <c r="R1108" s="935"/>
      <c r="S1108" s="936">
        <v>2.258</v>
      </c>
      <c r="T1108" s="934"/>
      <c r="U1108" s="935"/>
      <c r="V1108" s="936">
        <v>2.948</v>
      </c>
      <c r="W1108" s="934"/>
      <c r="X1108" s="935"/>
      <c r="Y1108" s="936">
        <v>2.8580000000000001</v>
      </c>
      <c r="Z1108" s="934"/>
      <c r="AA1108" s="935"/>
      <c r="AB1108" s="936">
        <v>2.4159999999999999</v>
      </c>
      <c r="AC1108" s="934"/>
      <c r="AD1108" s="935"/>
      <c r="AE1108" s="936">
        <v>2.3290000000000002</v>
      </c>
      <c r="AF1108" s="934"/>
      <c r="AG1108" s="935"/>
      <c r="AH1108" s="936">
        <v>2.2050000000000001</v>
      </c>
      <c r="AI1108" s="934"/>
      <c r="AJ1108" s="935"/>
      <c r="AK1108" s="936">
        <v>0</v>
      </c>
      <c r="AL1108" s="934"/>
      <c r="AM1108" s="935"/>
      <c r="AN1108" s="936">
        <v>0.90900000000000003</v>
      </c>
      <c r="AO1108" s="934"/>
      <c r="AP1108" s="935"/>
      <c r="AQ1108" s="936">
        <v>0.33400000000000002</v>
      </c>
      <c r="AR1108" s="246"/>
      <c r="AS1108" s="282"/>
      <c r="AT1108" s="244">
        <f t="shared" si="43"/>
        <v>18.778000000000002</v>
      </c>
      <c r="AU1108" s="246"/>
      <c r="AV1108" s="336"/>
      <c r="AW1108" s="285"/>
      <c r="AX1108" s="249"/>
      <c r="AY1108" s="440">
        <v>0</v>
      </c>
      <c r="AZ1108" s="355"/>
      <c r="BA1108" s="355"/>
      <c r="BB1108" s="355"/>
      <c r="BC1108" s="355"/>
    </row>
    <row r="1109" spans="1:55" s="113" customFormat="1">
      <c r="A1109" s="1116"/>
      <c r="B1109" s="1116"/>
      <c r="C1109" s="1116"/>
      <c r="D1109" s="1110"/>
      <c r="E1109" s="1110"/>
      <c r="F1109" s="1110"/>
      <c r="G1109" s="1110"/>
      <c r="H1109" s="125" t="s">
        <v>1445</v>
      </c>
      <c r="I1109" s="533"/>
      <c r="J1109" s="1149">
        <v>0.308</v>
      </c>
      <c r="K1109" s="934"/>
      <c r="L1109" s="935"/>
      <c r="M1109" s="936">
        <v>0.63800000000000001</v>
      </c>
      <c r="N1109" s="934"/>
      <c r="O1109" s="935"/>
      <c r="P1109" s="936">
        <v>1.575</v>
      </c>
      <c r="Q1109" s="934"/>
      <c r="R1109" s="935"/>
      <c r="S1109" s="936">
        <v>2.258</v>
      </c>
      <c r="T1109" s="934"/>
      <c r="U1109" s="935"/>
      <c r="V1109" s="936">
        <v>2.948</v>
      </c>
      <c r="W1109" s="934"/>
      <c r="X1109" s="935"/>
      <c r="Y1109" s="936">
        <v>2.8580000000000001</v>
      </c>
      <c r="Z1109" s="934"/>
      <c r="AA1109" s="935"/>
      <c r="AB1109" s="936">
        <v>2.4159999999999999</v>
      </c>
      <c r="AC1109" s="934"/>
      <c r="AD1109" s="935"/>
      <c r="AE1109" s="936">
        <v>2.3290000000000002</v>
      </c>
      <c r="AF1109" s="934"/>
      <c r="AG1109" s="935"/>
      <c r="AH1109" s="936">
        <v>2.2050000000000001</v>
      </c>
      <c r="AI1109" s="934"/>
      <c r="AJ1109" s="935"/>
      <c r="AK1109" s="936">
        <v>0</v>
      </c>
      <c r="AL1109" s="934"/>
      <c r="AM1109" s="935"/>
      <c r="AN1109" s="936">
        <v>0.90900000000000003</v>
      </c>
      <c r="AO1109" s="934"/>
      <c r="AP1109" s="935"/>
      <c r="AQ1109" s="936">
        <v>0.33400000000000002</v>
      </c>
      <c r="AR1109" s="246"/>
      <c r="AS1109" s="282"/>
      <c r="AT1109" s="244">
        <f t="shared" si="43"/>
        <v>18.778000000000002</v>
      </c>
      <c r="AU1109" s="246"/>
      <c r="AV1109" s="336"/>
      <c r="AW1109" s="285"/>
      <c r="AX1109" s="249"/>
      <c r="AY1109" s="706"/>
      <c r="AZ1109" s="355"/>
      <c r="BA1109" s="355"/>
      <c r="BB1109" s="355"/>
      <c r="BC1109" s="355"/>
    </row>
    <row r="1110" spans="1:55" s="113" customFormat="1">
      <c r="A1110" s="1116"/>
      <c r="B1110" s="1116"/>
      <c r="C1110" s="1116"/>
      <c r="D1110" s="1110"/>
      <c r="E1110" s="1110"/>
      <c r="F1110" s="1110"/>
      <c r="G1110" s="1110"/>
      <c r="H1110" s="125" t="s">
        <v>1446</v>
      </c>
      <c r="I1110" s="533"/>
      <c r="J1110" s="1149">
        <v>0.308</v>
      </c>
      <c r="K1110" s="934"/>
      <c r="L1110" s="935"/>
      <c r="M1110" s="936">
        <v>0.63800000000000001</v>
      </c>
      <c r="N1110" s="934"/>
      <c r="O1110" s="935"/>
      <c r="P1110" s="936">
        <v>1.575</v>
      </c>
      <c r="Q1110" s="934"/>
      <c r="R1110" s="935"/>
      <c r="S1110" s="936">
        <v>2.258</v>
      </c>
      <c r="T1110" s="934"/>
      <c r="U1110" s="935"/>
      <c r="V1110" s="936">
        <v>2.948</v>
      </c>
      <c r="W1110" s="934"/>
      <c r="X1110" s="935"/>
      <c r="Y1110" s="936">
        <v>2.8580000000000001</v>
      </c>
      <c r="Z1110" s="934"/>
      <c r="AA1110" s="935"/>
      <c r="AB1110" s="936">
        <v>2.4159999999999999</v>
      </c>
      <c r="AC1110" s="934"/>
      <c r="AD1110" s="935"/>
      <c r="AE1110" s="936">
        <v>2.3290000000000002</v>
      </c>
      <c r="AF1110" s="934"/>
      <c r="AG1110" s="935"/>
      <c r="AH1110" s="936">
        <v>2.2050000000000001</v>
      </c>
      <c r="AI1110" s="934"/>
      <c r="AJ1110" s="935"/>
      <c r="AK1110" s="936">
        <v>0</v>
      </c>
      <c r="AL1110" s="934"/>
      <c r="AM1110" s="935"/>
      <c r="AN1110" s="936">
        <v>0.90900000000000003</v>
      </c>
      <c r="AO1110" s="934"/>
      <c r="AP1110" s="935"/>
      <c r="AQ1110" s="936">
        <v>0.33400000000000002</v>
      </c>
      <c r="AR1110" s="246"/>
      <c r="AS1110" s="282"/>
      <c r="AT1110" s="244">
        <f t="shared" si="43"/>
        <v>18.778000000000002</v>
      </c>
      <c r="AU1110" s="246"/>
      <c r="AV1110" s="336"/>
      <c r="AW1110" s="285"/>
      <c r="AX1110" s="249"/>
      <c r="AY1110" s="706"/>
      <c r="AZ1110" s="355"/>
      <c r="BA1110" s="355"/>
      <c r="BB1110" s="355"/>
      <c r="BC1110" s="355"/>
    </row>
    <row r="1111" spans="1:55" s="113" customFormat="1">
      <c r="A1111" s="1116"/>
      <c r="B1111" s="1116"/>
      <c r="C1111" s="1116"/>
      <c r="D1111" s="1110"/>
      <c r="E1111" s="1110"/>
      <c r="F1111" s="1110"/>
      <c r="G1111" s="1110"/>
      <c r="H1111" s="125" t="s">
        <v>1447</v>
      </c>
      <c r="I1111" s="533"/>
      <c r="J1111" s="1149">
        <v>0.308</v>
      </c>
      <c r="K1111" s="934"/>
      <c r="L1111" s="935"/>
      <c r="M1111" s="936">
        <v>0.63800000000000001</v>
      </c>
      <c r="N1111" s="934"/>
      <c r="O1111" s="935"/>
      <c r="P1111" s="936">
        <v>1.575</v>
      </c>
      <c r="Q1111" s="934"/>
      <c r="R1111" s="935"/>
      <c r="S1111" s="936">
        <v>2.258</v>
      </c>
      <c r="T1111" s="934"/>
      <c r="U1111" s="935"/>
      <c r="V1111" s="936">
        <v>2.948</v>
      </c>
      <c r="W1111" s="934"/>
      <c r="X1111" s="935"/>
      <c r="Y1111" s="936">
        <v>2.8580000000000001</v>
      </c>
      <c r="Z1111" s="934"/>
      <c r="AA1111" s="935"/>
      <c r="AB1111" s="936">
        <v>2.4159999999999999</v>
      </c>
      <c r="AC1111" s="934"/>
      <c r="AD1111" s="935"/>
      <c r="AE1111" s="936">
        <v>2.3290000000000002</v>
      </c>
      <c r="AF1111" s="934"/>
      <c r="AG1111" s="935"/>
      <c r="AH1111" s="936">
        <v>2.2050000000000001</v>
      </c>
      <c r="AI1111" s="934"/>
      <c r="AJ1111" s="935"/>
      <c r="AK1111" s="936">
        <v>0</v>
      </c>
      <c r="AL1111" s="934"/>
      <c r="AM1111" s="935"/>
      <c r="AN1111" s="936">
        <v>0.90900000000000003</v>
      </c>
      <c r="AO1111" s="934"/>
      <c r="AP1111" s="935"/>
      <c r="AQ1111" s="936">
        <v>0.33400000000000002</v>
      </c>
      <c r="AR1111" s="246"/>
      <c r="AS1111" s="282"/>
      <c r="AT1111" s="244">
        <f t="shared" si="43"/>
        <v>18.778000000000002</v>
      </c>
      <c r="AU1111" s="246"/>
      <c r="AV1111" s="336"/>
      <c r="AW1111" s="285"/>
      <c r="AX1111" s="249"/>
      <c r="AY1111" s="706"/>
      <c r="AZ1111" s="355"/>
      <c r="BA1111" s="355"/>
      <c r="BB1111" s="355"/>
      <c r="BC1111" s="355"/>
    </row>
    <row r="1112" spans="1:55" s="113" customFormat="1">
      <c r="A1112" s="1116"/>
      <c r="B1112" s="1116"/>
      <c r="C1112" s="1116"/>
      <c r="D1112" s="1110"/>
      <c r="E1112" s="1110"/>
      <c r="F1112" s="1110"/>
      <c r="G1112" s="1211">
        <v>777708</v>
      </c>
      <c r="H1112" s="141" t="s">
        <v>1505</v>
      </c>
      <c r="I1112" s="533" t="s">
        <v>364</v>
      </c>
      <c r="J1112" s="1150">
        <f>SUM(J1113:J1114)</f>
        <v>0.61599999999999999</v>
      </c>
      <c r="K1112" s="934"/>
      <c r="L1112" s="935"/>
      <c r="M1112" s="1150">
        <f>SUM(M1113:M1114)</f>
        <v>1.276</v>
      </c>
      <c r="N1112" s="934"/>
      <c r="O1112" s="935"/>
      <c r="P1112" s="1150">
        <f>SUM(P1113:P1114)</f>
        <v>3.15</v>
      </c>
      <c r="Q1112" s="934"/>
      <c r="R1112" s="935"/>
      <c r="S1112" s="1150">
        <f>SUM(S1113:S1114)</f>
        <v>4.516</v>
      </c>
      <c r="T1112" s="934"/>
      <c r="U1112" s="935"/>
      <c r="V1112" s="1150">
        <f>SUM(V1113:V1114)</f>
        <v>5.8959999999999999</v>
      </c>
      <c r="W1112" s="934"/>
      <c r="X1112" s="935"/>
      <c r="Y1112" s="1150">
        <f>SUM(Y1113:Y1114)</f>
        <v>5.7160000000000002</v>
      </c>
      <c r="Z1112" s="934"/>
      <c r="AA1112" s="935"/>
      <c r="AB1112" s="1150">
        <f>SUM(AB1113:AB1114)</f>
        <v>4.8319999999999999</v>
      </c>
      <c r="AC1112" s="934"/>
      <c r="AD1112" s="935"/>
      <c r="AE1112" s="1150">
        <f>SUM(AE1113:AE1114)</f>
        <v>4.6580000000000004</v>
      </c>
      <c r="AF1112" s="934"/>
      <c r="AG1112" s="935"/>
      <c r="AH1112" s="1150">
        <f>SUM(AH1113:AH1114)</f>
        <v>4.41</v>
      </c>
      <c r="AI1112" s="934"/>
      <c r="AJ1112" s="935"/>
      <c r="AK1112" s="1150">
        <f>SUM(AK1113:AK1114)</f>
        <v>0</v>
      </c>
      <c r="AL1112" s="934"/>
      <c r="AM1112" s="935"/>
      <c r="AN1112" s="1150">
        <f>SUM(AN1113:AN1114)</f>
        <v>1.8180000000000001</v>
      </c>
      <c r="AO1112" s="934"/>
      <c r="AP1112" s="935"/>
      <c r="AQ1112" s="1150">
        <f>SUM(AQ1113:AQ1114)</f>
        <v>0.66800000000000004</v>
      </c>
      <c r="AR1112" s="246"/>
      <c r="AS1112" s="282"/>
      <c r="AT1112" s="1150">
        <f>SUM(AT1113:AT1114)</f>
        <v>37.556000000000004</v>
      </c>
      <c r="AU1112" s="246"/>
      <c r="AV1112" s="336"/>
      <c r="AW1112" s="285"/>
      <c r="AX1112" s="249"/>
      <c r="AY1112" s="441">
        <v>0</v>
      </c>
      <c r="AZ1112" s="355"/>
      <c r="BA1112" s="355"/>
      <c r="BB1112" s="355"/>
      <c r="BC1112" s="355"/>
    </row>
    <row r="1113" spans="1:55" s="113" customFormat="1">
      <c r="A1113" s="1116"/>
      <c r="B1113" s="1116"/>
      <c r="C1113" s="1116"/>
      <c r="D1113" s="1110"/>
      <c r="E1113" s="1110"/>
      <c r="F1113" s="1110"/>
      <c r="G1113" s="1110"/>
      <c r="H1113" s="125" t="s">
        <v>1732</v>
      </c>
      <c r="I1113" s="533"/>
      <c r="J1113" s="1149">
        <v>0.308</v>
      </c>
      <c r="K1113" s="934"/>
      <c r="L1113" s="935"/>
      <c r="M1113" s="1149">
        <v>0.63800000000000001</v>
      </c>
      <c r="N1113" s="934"/>
      <c r="O1113" s="935"/>
      <c r="P1113" s="1149">
        <v>1.575</v>
      </c>
      <c r="Q1113" s="934"/>
      <c r="R1113" s="935"/>
      <c r="S1113" s="1149">
        <v>2.258</v>
      </c>
      <c r="T1113" s="934"/>
      <c r="U1113" s="935"/>
      <c r="V1113" s="1149">
        <v>2.948</v>
      </c>
      <c r="W1113" s="934"/>
      <c r="X1113" s="935"/>
      <c r="Y1113" s="1149">
        <v>2.8580000000000001</v>
      </c>
      <c r="Z1113" s="934"/>
      <c r="AA1113" s="935"/>
      <c r="AB1113" s="1149">
        <v>2.4159999999999999</v>
      </c>
      <c r="AC1113" s="934"/>
      <c r="AD1113" s="935"/>
      <c r="AE1113" s="1149">
        <v>2.3290000000000002</v>
      </c>
      <c r="AF1113" s="934"/>
      <c r="AG1113" s="935"/>
      <c r="AH1113" s="1149">
        <v>2.2050000000000001</v>
      </c>
      <c r="AI1113" s="934"/>
      <c r="AJ1113" s="935"/>
      <c r="AK1113" s="1149">
        <v>0</v>
      </c>
      <c r="AL1113" s="934"/>
      <c r="AM1113" s="935"/>
      <c r="AN1113" s="1149">
        <v>0.90900000000000003</v>
      </c>
      <c r="AO1113" s="934"/>
      <c r="AP1113" s="935"/>
      <c r="AQ1113" s="1149">
        <v>0.33400000000000002</v>
      </c>
      <c r="AR1113" s="246"/>
      <c r="AS1113" s="282"/>
      <c r="AT1113" s="244">
        <f t="shared" si="43"/>
        <v>18.778000000000002</v>
      </c>
      <c r="AU1113" s="246"/>
      <c r="AV1113" s="336"/>
      <c r="AW1113" s="285"/>
      <c r="AX1113" s="249"/>
      <c r="AY1113" s="441"/>
      <c r="AZ1113" s="355"/>
      <c r="BA1113" s="355"/>
      <c r="BB1113" s="355"/>
      <c r="BC1113" s="355"/>
    </row>
    <row r="1114" spans="1:55" s="113" customFormat="1">
      <c r="A1114" s="1116"/>
      <c r="B1114" s="1116"/>
      <c r="C1114" s="1116"/>
      <c r="D1114" s="1110"/>
      <c r="E1114" s="1110"/>
      <c r="F1114" s="1110"/>
      <c r="G1114" s="1110"/>
      <c r="H1114" s="125" t="s">
        <v>1733</v>
      </c>
      <c r="I1114" s="533"/>
      <c r="J1114" s="1149">
        <v>0.308</v>
      </c>
      <c r="K1114" s="934"/>
      <c r="L1114" s="935"/>
      <c r="M1114" s="1149">
        <v>0.63800000000000001</v>
      </c>
      <c r="N1114" s="934"/>
      <c r="O1114" s="935"/>
      <c r="P1114" s="1149">
        <v>1.575</v>
      </c>
      <c r="Q1114" s="934"/>
      <c r="R1114" s="935"/>
      <c r="S1114" s="1149">
        <v>2.258</v>
      </c>
      <c r="T1114" s="934"/>
      <c r="U1114" s="935"/>
      <c r="V1114" s="1149">
        <v>2.948</v>
      </c>
      <c r="W1114" s="934"/>
      <c r="X1114" s="935"/>
      <c r="Y1114" s="1149">
        <v>2.8580000000000001</v>
      </c>
      <c r="Z1114" s="934"/>
      <c r="AA1114" s="935"/>
      <c r="AB1114" s="1149">
        <v>2.4159999999999999</v>
      </c>
      <c r="AC1114" s="934"/>
      <c r="AD1114" s="935"/>
      <c r="AE1114" s="1149">
        <v>2.3290000000000002</v>
      </c>
      <c r="AF1114" s="934"/>
      <c r="AG1114" s="935"/>
      <c r="AH1114" s="1149">
        <v>2.2050000000000001</v>
      </c>
      <c r="AI1114" s="934"/>
      <c r="AJ1114" s="935"/>
      <c r="AK1114" s="1149">
        <v>0</v>
      </c>
      <c r="AL1114" s="934"/>
      <c r="AM1114" s="935"/>
      <c r="AN1114" s="1149">
        <v>0.90900000000000003</v>
      </c>
      <c r="AO1114" s="934"/>
      <c r="AP1114" s="935"/>
      <c r="AQ1114" s="1149">
        <v>0.33400000000000002</v>
      </c>
      <c r="AR1114" s="246"/>
      <c r="AS1114" s="282"/>
      <c r="AT1114" s="244">
        <f t="shared" si="43"/>
        <v>18.778000000000002</v>
      </c>
      <c r="AU1114" s="246"/>
      <c r="AV1114" s="336"/>
      <c r="AW1114" s="285"/>
      <c r="AX1114" s="249"/>
      <c r="AY1114" s="441"/>
      <c r="AZ1114" s="355"/>
      <c r="BA1114" s="355"/>
      <c r="BB1114" s="355"/>
      <c r="BC1114" s="355"/>
    </row>
    <row r="1115" spans="1:55" s="113" customFormat="1">
      <c r="A1115" s="179"/>
      <c r="B1115" s="179"/>
      <c r="C1115" s="179"/>
      <c r="D1115" s="181"/>
      <c r="E1115" s="181"/>
      <c r="F1115" s="181"/>
      <c r="G1115" s="1110">
        <v>777182</v>
      </c>
      <c r="H1115" s="125" t="s">
        <v>1506</v>
      </c>
      <c r="I1115" s="533" t="s">
        <v>364</v>
      </c>
      <c r="J1115" s="1149">
        <v>0.55000000000000004</v>
      </c>
      <c r="K1115" s="934"/>
      <c r="L1115" s="935"/>
      <c r="M1115" s="1149">
        <v>0.9</v>
      </c>
      <c r="N1115" s="934"/>
      <c r="O1115" s="935"/>
      <c r="P1115" s="1149">
        <v>1.5</v>
      </c>
      <c r="Q1115" s="934"/>
      <c r="R1115" s="935"/>
      <c r="S1115" s="1149">
        <v>2</v>
      </c>
      <c r="T1115" s="934"/>
      <c r="U1115" s="935"/>
      <c r="V1115" s="1149">
        <v>2.5</v>
      </c>
      <c r="W1115" s="934"/>
      <c r="X1115" s="935"/>
      <c r="Y1115" s="1149">
        <v>2.37</v>
      </c>
      <c r="Z1115" s="934"/>
      <c r="AA1115" s="935"/>
      <c r="AB1115" s="1149">
        <v>2.5</v>
      </c>
      <c r="AC1115" s="934"/>
      <c r="AD1115" s="935"/>
      <c r="AE1115" s="1149">
        <v>2.5</v>
      </c>
      <c r="AF1115" s="934"/>
      <c r="AG1115" s="935"/>
      <c r="AH1115" s="1149">
        <v>2</v>
      </c>
      <c r="AI1115" s="934"/>
      <c r="AJ1115" s="935"/>
      <c r="AK1115" s="1149">
        <v>1.5</v>
      </c>
      <c r="AL1115" s="934"/>
      <c r="AM1115" s="935"/>
      <c r="AN1115" s="1149">
        <v>0.8</v>
      </c>
      <c r="AO1115" s="934"/>
      <c r="AP1115" s="935"/>
      <c r="AQ1115" s="1149">
        <v>0.5</v>
      </c>
      <c r="AR1115" s="246"/>
      <c r="AS1115" s="282"/>
      <c r="AT1115" s="244">
        <f t="shared" si="43"/>
        <v>19.62</v>
      </c>
      <c r="AU1115" s="246"/>
      <c r="AV1115" s="336"/>
      <c r="AW1115" s="285"/>
      <c r="AX1115" s="249"/>
      <c r="AY1115" s="441">
        <v>12.085741000000001</v>
      </c>
      <c r="AZ1115" s="355"/>
      <c r="BA1115" s="355"/>
      <c r="BB1115" s="355"/>
      <c r="BC1115" s="355"/>
    </row>
    <row r="1116" spans="1:55" s="113" customFormat="1">
      <c r="A1116" s="179"/>
      <c r="B1116" s="179"/>
      <c r="C1116" s="179"/>
      <c r="D1116" s="181"/>
      <c r="E1116" s="181"/>
      <c r="F1116" s="181"/>
      <c r="G1116" s="1110">
        <v>777261</v>
      </c>
      <c r="H1116" s="125" t="s">
        <v>1507</v>
      </c>
      <c r="I1116" s="533" t="s">
        <v>364</v>
      </c>
      <c r="J1116" s="1149">
        <v>0.55000000000000004</v>
      </c>
      <c r="K1116" s="934"/>
      <c r="L1116" s="935"/>
      <c r="M1116" s="1149">
        <v>0.98</v>
      </c>
      <c r="N1116" s="934"/>
      <c r="O1116" s="935"/>
      <c r="P1116" s="1149">
        <v>1.5</v>
      </c>
      <c r="Q1116" s="934"/>
      <c r="R1116" s="935"/>
      <c r="S1116" s="1149">
        <v>2</v>
      </c>
      <c r="T1116" s="934"/>
      <c r="U1116" s="935"/>
      <c r="V1116" s="1149">
        <v>2.7</v>
      </c>
      <c r="W1116" s="934"/>
      <c r="X1116" s="935"/>
      <c r="Y1116" s="1149">
        <v>3</v>
      </c>
      <c r="Z1116" s="934"/>
      <c r="AA1116" s="935"/>
      <c r="AB1116" s="1149">
        <v>3</v>
      </c>
      <c r="AC1116" s="934"/>
      <c r="AD1116" s="935"/>
      <c r="AE1116" s="1149">
        <v>2.7</v>
      </c>
      <c r="AF1116" s="934"/>
      <c r="AG1116" s="935"/>
      <c r="AH1116" s="1149">
        <v>2.1</v>
      </c>
      <c r="AI1116" s="934"/>
      <c r="AJ1116" s="935"/>
      <c r="AK1116" s="1149">
        <v>1.5</v>
      </c>
      <c r="AL1116" s="934"/>
      <c r="AM1116" s="935"/>
      <c r="AN1116" s="1149">
        <v>0.9</v>
      </c>
      <c r="AO1116" s="934"/>
      <c r="AP1116" s="935"/>
      <c r="AQ1116" s="1149">
        <v>0.5</v>
      </c>
      <c r="AR1116" s="246"/>
      <c r="AS1116" s="282"/>
      <c r="AT1116" s="244">
        <f t="shared" si="43"/>
        <v>21.43</v>
      </c>
      <c r="AU1116" s="246"/>
      <c r="AV1116" s="336"/>
      <c r="AW1116" s="285"/>
      <c r="AX1116" s="249"/>
      <c r="AY1116" s="441">
        <v>5.1238419999999998</v>
      </c>
      <c r="AZ1116" s="355"/>
      <c r="BA1116" s="355"/>
      <c r="BB1116" s="355"/>
      <c r="BC1116" s="355"/>
    </row>
    <row r="1117" spans="1:55" s="113" customFormat="1">
      <c r="A1117" s="179"/>
      <c r="B1117" s="179"/>
      <c r="C1117" s="179"/>
      <c r="D1117" s="181"/>
      <c r="E1117" s="181"/>
      <c r="F1117" s="181"/>
      <c r="G1117" s="1110">
        <v>777361</v>
      </c>
      <c r="H1117" s="125" t="s">
        <v>1508</v>
      </c>
      <c r="I1117" s="533" t="s">
        <v>364</v>
      </c>
      <c r="J1117" s="1149">
        <v>0.55000000000000004</v>
      </c>
      <c r="K1117" s="934"/>
      <c r="L1117" s="935"/>
      <c r="M1117" s="1149">
        <v>0.9</v>
      </c>
      <c r="N1117" s="934"/>
      <c r="O1117" s="935"/>
      <c r="P1117" s="1149">
        <v>1.5</v>
      </c>
      <c r="Q1117" s="934"/>
      <c r="R1117" s="935"/>
      <c r="S1117" s="1149">
        <v>2</v>
      </c>
      <c r="T1117" s="934"/>
      <c r="U1117" s="935"/>
      <c r="V1117" s="1149">
        <v>2.5</v>
      </c>
      <c r="W1117" s="934"/>
      <c r="X1117" s="935"/>
      <c r="Y1117" s="1149">
        <v>2.37</v>
      </c>
      <c r="Z1117" s="934"/>
      <c r="AA1117" s="935"/>
      <c r="AB1117" s="1149">
        <v>2.5</v>
      </c>
      <c r="AC1117" s="934"/>
      <c r="AD1117" s="935"/>
      <c r="AE1117" s="1149">
        <v>2.5</v>
      </c>
      <c r="AF1117" s="934"/>
      <c r="AG1117" s="935"/>
      <c r="AH1117" s="1149">
        <v>2</v>
      </c>
      <c r="AI1117" s="934"/>
      <c r="AJ1117" s="935"/>
      <c r="AK1117" s="1149">
        <v>1.5</v>
      </c>
      <c r="AL1117" s="934"/>
      <c r="AM1117" s="935"/>
      <c r="AN1117" s="1149">
        <v>0.8</v>
      </c>
      <c r="AO1117" s="934"/>
      <c r="AP1117" s="935"/>
      <c r="AQ1117" s="1149">
        <v>0.5</v>
      </c>
      <c r="AR1117" s="246"/>
      <c r="AS1117" s="282"/>
      <c r="AT1117" s="244">
        <f t="shared" si="43"/>
        <v>19.62</v>
      </c>
      <c r="AU1117" s="246"/>
      <c r="AV1117" s="336"/>
      <c r="AW1117" s="285"/>
      <c r="AX1117" s="249"/>
      <c r="AY1117" s="441">
        <v>0</v>
      </c>
      <c r="AZ1117" s="355"/>
      <c r="BA1117" s="355"/>
      <c r="BB1117" s="355"/>
      <c r="BC1117" s="355"/>
    </row>
    <row r="1118" spans="1:55" s="113" customFormat="1">
      <c r="A1118" s="179"/>
      <c r="B1118" s="179"/>
      <c r="C1118" s="179"/>
      <c r="D1118" s="181"/>
      <c r="E1118" s="181"/>
      <c r="F1118" s="181"/>
      <c r="G1118" s="1110">
        <v>777363</v>
      </c>
      <c r="H1118" s="125" t="s">
        <v>1509</v>
      </c>
      <c r="I1118" s="533" t="s">
        <v>364</v>
      </c>
      <c r="J1118" s="1149">
        <v>0.55000000000000004</v>
      </c>
      <c r="K1118" s="934"/>
      <c r="L1118" s="935"/>
      <c r="M1118" s="1149">
        <v>0.9</v>
      </c>
      <c r="N1118" s="934"/>
      <c r="O1118" s="935"/>
      <c r="P1118" s="1149">
        <v>1.5</v>
      </c>
      <c r="Q1118" s="934"/>
      <c r="R1118" s="935"/>
      <c r="S1118" s="1149">
        <v>2</v>
      </c>
      <c r="T1118" s="934"/>
      <c r="U1118" s="935"/>
      <c r="V1118" s="1149">
        <v>2.5</v>
      </c>
      <c r="W1118" s="934"/>
      <c r="X1118" s="935"/>
      <c r="Y1118" s="1149">
        <v>2.37</v>
      </c>
      <c r="Z1118" s="934"/>
      <c r="AA1118" s="935"/>
      <c r="AB1118" s="1149">
        <v>2.5</v>
      </c>
      <c r="AC1118" s="934"/>
      <c r="AD1118" s="935"/>
      <c r="AE1118" s="1149">
        <v>2.5</v>
      </c>
      <c r="AF1118" s="934"/>
      <c r="AG1118" s="935"/>
      <c r="AH1118" s="1149">
        <v>2</v>
      </c>
      <c r="AI1118" s="934"/>
      <c r="AJ1118" s="935"/>
      <c r="AK1118" s="1149">
        <v>1.5</v>
      </c>
      <c r="AL1118" s="934"/>
      <c r="AM1118" s="935"/>
      <c r="AN1118" s="1149">
        <v>0.8</v>
      </c>
      <c r="AO1118" s="934"/>
      <c r="AP1118" s="935"/>
      <c r="AQ1118" s="1149">
        <v>0.5</v>
      </c>
      <c r="AR1118" s="246"/>
      <c r="AS1118" s="282"/>
      <c r="AT1118" s="244">
        <f t="shared" si="43"/>
        <v>19.62</v>
      </c>
      <c r="AU1118" s="246"/>
      <c r="AV1118" s="336"/>
      <c r="AW1118" s="285"/>
      <c r="AX1118" s="249"/>
      <c r="AY1118" s="441">
        <v>0</v>
      </c>
      <c r="AZ1118" s="355"/>
      <c r="BA1118" s="355"/>
      <c r="BB1118" s="355"/>
      <c r="BC1118" s="355"/>
    </row>
    <row r="1119" spans="1:55" s="113" customFormat="1">
      <c r="A1119" s="179"/>
      <c r="B1119" s="179"/>
      <c r="C1119" s="179"/>
      <c r="D1119" s="181"/>
      <c r="E1119" s="181"/>
      <c r="F1119" s="181"/>
      <c r="G1119" s="1211">
        <v>777382</v>
      </c>
      <c r="H1119" s="125" t="s">
        <v>1510</v>
      </c>
      <c r="I1119" s="533" t="s">
        <v>364</v>
      </c>
      <c r="J1119" s="1149">
        <v>0.9</v>
      </c>
      <c r="K1119" s="934"/>
      <c r="L1119" s="935"/>
      <c r="M1119" s="1149">
        <v>1.331</v>
      </c>
      <c r="N1119" s="934"/>
      <c r="O1119" s="935"/>
      <c r="P1119" s="1149">
        <v>1.9630000000000001</v>
      </c>
      <c r="Q1119" s="934"/>
      <c r="R1119" s="935"/>
      <c r="S1119" s="1149">
        <v>2.1739999999999999</v>
      </c>
      <c r="T1119" s="934"/>
      <c r="U1119" s="935"/>
      <c r="V1119" s="1149">
        <v>2.5310000000000001</v>
      </c>
      <c r="W1119" s="934"/>
      <c r="X1119" s="935"/>
      <c r="Y1119" s="1149">
        <v>2.3559999999999999</v>
      </c>
      <c r="Z1119" s="934"/>
      <c r="AA1119" s="935"/>
      <c r="AB1119" s="1149">
        <v>2.3730000000000002</v>
      </c>
      <c r="AC1119" s="934"/>
      <c r="AD1119" s="935"/>
      <c r="AE1119" s="1149">
        <v>2.633</v>
      </c>
      <c r="AF1119" s="934"/>
      <c r="AG1119" s="935"/>
      <c r="AH1119" s="1149">
        <v>2.0699999999999998</v>
      </c>
      <c r="AI1119" s="934"/>
      <c r="AJ1119" s="935"/>
      <c r="AK1119" s="1149">
        <v>1.6619999999999999</v>
      </c>
      <c r="AL1119" s="934"/>
      <c r="AM1119" s="935"/>
      <c r="AN1119" s="1149">
        <v>0.83799999999999997</v>
      </c>
      <c r="AO1119" s="934"/>
      <c r="AP1119" s="935"/>
      <c r="AQ1119" s="1149">
        <v>0.57799999999999996</v>
      </c>
      <c r="AR1119" s="246"/>
      <c r="AS1119" s="282"/>
      <c r="AT1119" s="244">
        <f t="shared" si="43"/>
        <v>21.408999999999999</v>
      </c>
      <c r="AU1119" s="246"/>
      <c r="AV1119" s="336"/>
      <c r="AW1119" s="285"/>
      <c r="AX1119" s="249"/>
      <c r="AY1119" s="441">
        <v>0</v>
      </c>
      <c r="AZ1119" s="355"/>
      <c r="BA1119" s="355"/>
      <c r="BB1119" s="355"/>
      <c r="BC1119" s="355"/>
    </row>
    <row r="1120" spans="1:55" s="113" customFormat="1">
      <c r="A1120" s="179"/>
      <c r="B1120" s="179"/>
      <c r="C1120" s="179"/>
      <c r="D1120" s="181"/>
      <c r="E1120" s="181"/>
      <c r="F1120" s="181"/>
      <c r="G1120" s="1211">
        <v>777358</v>
      </c>
      <c r="H1120" s="125" t="s">
        <v>1511</v>
      </c>
      <c r="I1120" s="533" t="s">
        <v>364</v>
      </c>
      <c r="J1120" s="1149">
        <v>0.9</v>
      </c>
      <c r="K1120" s="934"/>
      <c r="L1120" s="935"/>
      <c r="M1120" s="1149">
        <v>1.331</v>
      </c>
      <c r="N1120" s="934"/>
      <c r="O1120" s="935"/>
      <c r="P1120" s="1149">
        <v>1.9630000000000001</v>
      </c>
      <c r="Q1120" s="934"/>
      <c r="R1120" s="935"/>
      <c r="S1120" s="1149">
        <v>2.1739999999999999</v>
      </c>
      <c r="T1120" s="934"/>
      <c r="U1120" s="935"/>
      <c r="V1120" s="1149">
        <v>2.5310000000000001</v>
      </c>
      <c r="W1120" s="934"/>
      <c r="X1120" s="935"/>
      <c r="Y1120" s="1149">
        <v>2.3559999999999999</v>
      </c>
      <c r="Z1120" s="934"/>
      <c r="AA1120" s="935"/>
      <c r="AB1120" s="1149">
        <v>2.3730000000000002</v>
      </c>
      <c r="AC1120" s="934"/>
      <c r="AD1120" s="935"/>
      <c r="AE1120" s="1149">
        <v>2.633</v>
      </c>
      <c r="AF1120" s="934"/>
      <c r="AG1120" s="935"/>
      <c r="AH1120" s="1149">
        <v>2.0699999999999998</v>
      </c>
      <c r="AI1120" s="934"/>
      <c r="AJ1120" s="935"/>
      <c r="AK1120" s="1149">
        <v>1.6719999999999999</v>
      </c>
      <c r="AL1120" s="934"/>
      <c r="AM1120" s="935"/>
      <c r="AN1120" s="1149">
        <v>0.84299999999999997</v>
      </c>
      <c r="AO1120" s="934"/>
      <c r="AP1120" s="935"/>
      <c r="AQ1120" s="1149">
        <v>0.57799999999999996</v>
      </c>
      <c r="AR1120" s="246"/>
      <c r="AS1120" s="282"/>
      <c r="AT1120" s="244">
        <f t="shared" si="43"/>
        <v>21.423999999999999</v>
      </c>
      <c r="AU1120" s="246"/>
      <c r="AV1120" s="336"/>
      <c r="AW1120" s="285"/>
      <c r="AX1120" s="249"/>
      <c r="AY1120" s="441">
        <v>0</v>
      </c>
      <c r="AZ1120" s="355"/>
      <c r="BA1120" s="355"/>
      <c r="BB1120" s="355"/>
      <c r="BC1120" s="355"/>
    </row>
    <row r="1121" spans="1:55" s="113" customFormat="1">
      <c r="A1121" s="179"/>
      <c r="B1121" s="179"/>
      <c r="C1121" s="179"/>
      <c r="D1121" s="181"/>
      <c r="E1121" s="181"/>
      <c r="F1121" s="181"/>
      <c r="G1121" s="1211">
        <v>777263</v>
      </c>
      <c r="H1121" s="125" t="s">
        <v>1512</v>
      </c>
      <c r="I1121" s="533" t="s">
        <v>364</v>
      </c>
      <c r="J1121" s="936">
        <v>0</v>
      </c>
      <c r="K1121" s="934"/>
      <c r="L1121" s="935"/>
      <c r="M1121" s="936">
        <v>0</v>
      </c>
      <c r="N1121" s="934"/>
      <c r="O1121" s="935"/>
      <c r="P1121" s="936">
        <v>0</v>
      </c>
      <c r="Q1121" s="934"/>
      <c r="R1121" s="935"/>
      <c r="S1121" s="936">
        <v>0</v>
      </c>
      <c r="T1121" s="934"/>
      <c r="U1121" s="935"/>
      <c r="V1121" s="936">
        <v>0</v>
      </c>
      <c r="W1121" s="934"/>
      <c r="X1121" s="935"/>
      <c r="Y1121" s="936">
        <v>0</v>
      </c>
      <c r="Z1121" s="934"/>
      <c r="AA1121" s="935"/>
      <c r="AB1121" s="936">
        <v>0</v>
      </c>
      <c r="AC1121" s="934"/>
      <c r="AD1121" s="935"/>
      <c r="AE1121" s="936">
        <v>0</v>
      </c>
      <c r="AF1121" s="934"/>
      <c r="AG1121" s="935"/>
      <c r="AH1121" s="936">
        <v>0</v>
      </c>
      <c r="AI1121" s="934"/>
      <c r="AJ1121" s="935"/>
      <c r="AK1121" s="936">
        <v>0</v>
      </c>
      <c r="AL1121" s="934"/>
      <c r="AM1121" s="935"/>
      <c r="AN1121" s="936">
        <v>0</v>
      </c>
      <c r="AO1121" s="934"/>
      <c r="AP1121" s="935"/>
      <c r="AQ1121" s="936">
        <v>0</v>
      </c>
      <c r="AR1121" s="246"/>
      <c r="AS1121" s="282"/>
      <c r="AT1121" s="244">
        <f t="shared" si="43"/>
        <v>0</v>
      </c>
      <c r="AU1121" s="246"/>
      <c r="AV1121" s="336"/>
      <c r="AW1121" s="285"/>
      <c r="AX1121" s="249"/>
      <c r="AY1121" s="441">
        <v>0</v>
      </c>
      <c r="AZ1121" s="355"/>
      <c r="BA1121" s="355"/>
      <c r="BB1121" s="355"/>
      <c r="BC1121" s="355"/>
    </row>
    <row r="1122" spans="1:55" s="113" customFormat="1" ht="18.75">
      <c r="A1122" s="179"/>
      <c r="B1122" s="179"/>
      <c r="C1122" s="179"/>
      <c r="D1122" s="181">
        <v>321600</v>
      </c>
      <c r="E1122" s="181"/>
      <c r="F1122" s="181"/>
      <c r="G1122" s="181">
        <v>321600</v>
      </c>
      <c r="H1122" s="474" t="s">
        <v>1623</v>
      </c>
      <c r="I1122" s="474"/>
      <c r="J1122" s="277">
        <f>SUM(J1123:J1126)</f>
        <v>1522.8894082031247</v>
      </c>
      <c r="K1122" s="275">
        <f>L1122-J1122</f>
        <v>51.854245496875137</v>
      </c>
      <c r="L1122" s="276">
        <f>Потребление!D66</f>
        <v>1574.7436536999999</v>
      </c>
      <c r="M1122" s="277">
        <f>SUM(M1123:M1126)</f>
        <v>1382.3713623046876</v>
      </c>
      <c r="N1122" s="275">
        <f>O1122-M1122</f>
        <v>113.80745063531526</v>
      </c>
      <c r="O1122" s="276">
        <f>Потребление!E66</f>
        <v>1496.1788129400029</v>
      </c>
      <c r="P1122" s="277">
        <f>SUM(P1123:P1126)</f>
        <v>1411.4658334960936</v>
      </c>
      <c r="Q1122" s="275">
        <f>R1122-P1122</f>
        <v>56.60677626390634</v>
      </c>
      <c r="R1122" s="276">
        <f>Потребление!F66</f>
        <v>1468.07260976</v>
      </c>
      <c r="S1122" s="277">
        <f>SUM(S1123:S1126)</f>
        <v>1475.0185781250002</v>
      </c>
      <c r="T1122" s="275">
        <f>U1122-S1122</f>
        <v>-154.2663772650003</v>
      </c>
      <c r="U1122" s="276">
        <f>Потребление!G66</f>
        <v>1320.7522008599999</v>
      </c>
      <c r="V1122" s="277">
        <f>SUM(V1123:V1126)</f>
        <v>1763.7068750000001</v>
      </c>
      <c r="W1122" s="275">
        <f>X1122-V1122</f>
        <v>-499.15946440400012</v>
      </c>
      <c r="X1122" s="276">
        <f>Потребление!H66</f>
        <v>1264.547410596</v>
      </c>
      <c r="Y1122" s="277">
        <f>SUM(Y1123:Y1126)</f>
        <v>1454.1108447265624</v>
      </c>
      <c r="Z1122" s="275">
        <f>AA1122-Y1122</f>
        <v>-184.86309976396251</v>
      </c>
      <c r="AA1122" s="276">
        <f>Потребление!I66</f>
        <v>1269.2477449625999</v>
      </c>
      <c r="AB1122" s="277">
        <f>SUM(AB1123:AB1126)</f>
        <v>1268.6247617187501</v>
      </c>
      <c r="AC1122" s="275">
        <f>AD1122-AB1122</f>
        <v>114.58458469884999</v>
      </c>
      <c r="AD1122" s="276">
        <f>Потребление!J66</f>
        <v>1383.2093464176</v>
      </c>
      <c r="AE1122" s="277">
        <f>SUM(AE1123:AE1126)</f>
        <v>1214.359345703125</v>
      </c>
      <c r="AF1122" s="275">
        <f>AG1122-AE1122</f>
        <v>132.98582399347492</v>
      </c>
      <c r="AG1122" s="276">
        <f>Потребление!K66</f>
        <v>1347.3451696965999</v>
      </c>
      <c r="AH1122" s="277">
        <f>SUM(AH1123:AH1126)</f>
        <v>1138.5480610351563</v>
      </c>
      <c r="AI1122" s="275">
        <f>AJ1122-AH1122</f>
        <v>73.976882572843806</v>
      </c>
      <c r="AJ1122" s="276">
        <f>Потребление!L66</f>
        <v>1212.5249436080001</v>
      </c>
      <c r="AK1122" s="277">
        <f>SUM(AK1123:AK1126)</f>
        <v>1276.1408193359375</v>
      </c>
      <c r="AL1122" s="275">
        <f>AM1122-AK1122</f>
        <v>101.66320125346238</v>
      </c>
      <c r="AM1122" s="276">
        <f>Потребление!M66</f>
        <v>1377.8040205893999</v>
      </c>
      <c r="AN1122" s="277">
        <f>SUM(AN1123:AN1126)</f>
        <v>1385.3815922851561</v>
      </c>
      <c r="AO1122" s="275">
        <f>AP1122-AN1122</f>
        <v>86.152082835443935</v>
      </c>
      <c r="AP1122" s="276">
        <f>Потребление!N66</f>
        <v>1471.5336751206</v>
      </c>
      <c r="AQ1122" s="277">
        <f>SUM(AQ1123:AQ1126)</f>
        <v>1538.5076494140624</v>
      </c>
      <c r="AR1122" s="275">
        <f>AS1122-AQ1122</f>
        <v>95.532762335137704</v>
      </c>
      <c r="AS1122" s="276">
        <f>Потребление!O66</f>
        <v>1634.0404117492001</v>
      </c>
      <c r="AT1122" s="277">
        <f>SUM(AT1123:AT1126)</f>
        <v>16831.125131347657</v>
      </c>
      <c r="AU1122" s="275">
        <f>AV1122-AT1122</f>
        <v>-11.125131347656861</v>
      </c>
      <c r="AV1122" s="278">
        <f>L1122+O1122+R1122+U1122+X1122+AA1122+AD1122+AG1122+AJ1122+AM1122+AP1122+AS1122</f>
        <v>16820</v>
      </c>
      <c r="AW1122" s="279"/>
      <c r="AX1122" s="1067">
        <v>16496.182433999998</v>
      </c>
      <c r="AY1122" s="298">
        <f>SUM(AY1123:AY1126)</f>
        <v>17886.353372999998</v>
      </c>
      <c r="AZ1122" s="355"/>
      <c r="BA1122" s="355"/>
      <c r="BB1122" s="355"/>
      <c r="BC1122" s="355"/>
    </row>
    <row r="1123" spans="1:55" s="113" customFormat="1">
      <c r="A1123" s="179"/>
      <c r="B1123" s="179"/>
      <c r="C1123" s="179"/>
      <c r="D1123" s="181"/>
      <c r="E1123" s="181"/>
      <c r="F1123" s="181"/>
      <c r="G1123" s="181"/>
      <c r="H1123" s="124" t="s">
        <v>56</v>
      </c>
      <c r="I1123" s="124"/>
      <c r="J1123" s="365">
        <f>SUM(J1127:J1131)</f>
        <v>545.61299999999994</v>
      </c>
      <c r="K1123" s="363"/>
      <c r="L1123" s="364"/>
      <c r="M1123" s="365">
        <f>SUM(M1127:M1131)</f>
        <v>491.51200000000006</v>
      </c>
      <c r="N1123" s="363"/>
      <c r="O1123" s="364"/>
      <c r="P1123" s="365">
        <f>SUM(P1127:P1131)</f>
        <v>425.90799999999996</v>
      </c>
      <c r="Q1123" s="363"/>
      <c r="R1123" s="364"/>
      <c r="S1123" s="365">
        <f>SUM(S1127:S1131)</f>
        <v>310.05399999999997</v>
      </c>
      <c r="T1123" s="363"/>
      <c r="U1123" s="364"/>
      <c r="V1123" s="365">
        <f>SUM(V1127:V1131)</f>
        <v>189.85599999999999</v>
      </c>
      <c r="W1123" s="363"/>
      <c r="X1123" s="364"/>
      <c r="Y1123" s="365">
        <f>SUM(Y1127:Y1131)</f>
        <v>222.803</v>
      </c>
      <c r="Z1123" s="363"/>
      <c r="AA1123" s="364"/>
      <c r="AB1123" s="365">
        <f>SUM(AB1127:AB1131)</f>
        <v>214.625</v>
      </c>
      <c r="AC1123" s="363"/>
      <c r="AD1123" s="364"/>
      <c r="AE1123" s="365">
        <f>SUM(AE1127:AE1131)</f>
        <v>253.51600000000002</v>
      </c>
      <c r="AF1123" s="363"/>
      <c r="AG1123" s="364"/>
      <c r="AH1123" s="365">
        <f>SUM(AH1127:AH1131)</f>
        <v>242.09100000000001</v>
      </c>
      <c r="AI1123" s="363"/>
      <c r="AJ1123" s="364"/>
      <c r="AK1123" s="365">
        <f>SUM(AK1127:AK1131)</f>
        <v>357.76600000000002</v>
      </c>
      <c r="AL1123" s="363"/>
      <c r="AM1123" s="364"/>
      <c r="AN1123" s="365">
        <f>SUM(AN1127:AN1131)</f>
        <v>436.59199999999993</v>
      </c>
      <c r="AO1123" s="363"/>
      <c r="AP1123" s="364"/>
      <c r="AQ1123" s="365">
        <f>SUM(AQ1127:AQ1131)</f>
        <v>518.36800000000005</v>
      </c>
      <c r="AR1123" s="363"/>
      <c r="AS1123" s="364"/>
      <c r="AT1123" s="365">
        <f>SUM(AT1127:AT1131)</f>
        <v>4208.7039999999997</v>
      </c>
      <c r="AU1123" s="363"/>
      <c r="AV1123" s="229"/>
      <c r="AW1123" s="226"/>
      <c r="AX1123" s="366"/>
      <c r="AY1123" s="339">
        <f>SUM(AY1127:AY1131)</f>
        <v>4253.8158979999998</v>
      </c>
      <c r="AZ1123" s="355"/>
      <c r="BA1123" s="355"/>
      <c r="BB1123" s="355"/>
      <c r="BC1123" s="355"/>
    </row>
    <row r="1124" spans="1:55" s="113" customFormat="1">
      <c r="A1124" s="179"/>
      <c r="B1124" s="179"/>
      <c r="C1124" s="179"/>
      <c r="D1124" s="181"/>
      <c r="E1124" s="181"/>
      <c r="F1124" s="181"/>
      <c r="G1124" s="181"/>
      <c r="H1124" s="124" t="s">
        <v>55</v>
      </c>
      <c r="I1124" s="124"/>
      <c r="J1124" s="365">
        <f>J1132+J1133</f>
        <v>916.618408203125</v>
      </c>
      <c r="K1124" s="363"/>
      <c r="L1124" s="364"/>
      <c r="M1124" s="362">
        <f>M1132+M1133</f>
        <v>832.8963623046875</v>
      </c>
      <c r="N1124" s="363"/>
      <c r="O1124" s="364"/>
      <c r="P1124" s="362">
        <f>P1132+P1133</f>
        <v>932.69183349609375</v>
      </c>
      <c r="Q1124" s="363"/>
      <c r="R1124" s="364"/>
      <c r="S1124" s="362">
        <f>S1132+S1133</f>
        <v>1119.142578125</v>
      </c>
      <c r="T1124" s="363"/>
      <c r="U1124" s="364"/>
      <c r="V1124" s="362">
        <f>V1132+V1133</f>
        <v>1533.296875</v>
      </c>
      <c r="W1124" s="363"/>
      <c r="X1124" s="364"/>
      <c r="Y1124" s="362">
        <f>Y1132+Y1133</f>
        <v>1193.1158447265625</v>
      </c>
      <c r="Z1124" s="363"/>
      <c r="AA1124" s="364"/>
      <c r="AB1124" s="362">
        <f>AB1132+AB1133</f>
        <v>1010.65576171875</v>
      </c>
      <c r="AC1124" s="363"/>
      <c r="AD1124" s="364"/>
      <c r="AE1124" s="362">
        <f>AE1132+AE1133</f>
        <v>919.079345703125</v>
      </c>
      <c r="AF1124" s="363"/>
      <c r="AG1124" s="364"/>
      <c r="AH1124" s="362">
        <f>AH1132+AH1133</f>
        <v>854.37506103515625</v>
      </c>
      <c r="AI1124" s="363"/>
      <c r="AJ1124" s="364"/>
      <c r="AK1124" s="362">
        <f>AK1132+AK1133</f>
        <v>866.5648193359375</v>
      </c>
      <c r="AL1124" s="363"/>
      <c r="AM1124" s="364"/>
      <c r="AN1124" s="362">
        <f>AN1132+AN1133</f>
        <v>885.76959228515625</v>
      </c>
      <c r="AO1124" s="363"/>
      <c r="AP1124" s="364"/>
      <c r="AQ1124" s="362">
        <f>AQ1132+AQ1133</f>
        <v>958.0406494140625</v>
      </c>
      <c r="AR1124" s="363"/>
      <c r="AS1124" s="364"/>
      <c r="AT1124" s="362">
        <f>AT1132+AT1133</f>
        <v>12022.247131347656</v>
      </c>
      <c r="AU1124" s="363"/>
      <c r="AV1124" s="229"/>
      <c r="AW1124" s="226"/>
      <c r="AX1124" s="366"/>
      <c r="AY1124" s="366">
        <f>AY1132+AY1133</f>
        <v>13392.088760000001</v>
      </c>
      <c r="AZ1124" s="355"/>
      <c r="BA1124" s="355"/>
      <c r="BB1124" s="355"/>
      <c r="BC1124" s="355"/>
    </row>
    <row r="1125" spans="1:55" s="113" customFormat="1">
      <c r="A1125" s="179"/>
      <c r="B1125" s="179"/>
      <c r="C1125" s="179"/>
      <c r="D1125" s="181"/>
      <c r="E1125" s="181"/>
      <c r="F1125" s="181"/>
      <c r="G1125" s="181"/>
      <c r="H1125" s="124" t="s">
        <v>347</v>
      </c>
      <c r="I1125" s="124"/>
      <c r="J1125" s="365">
        <f>SUM(J1134:J1138)</f>
        <v>0.52</v>
      </c>
      <c r="K1125" s="363"/>
      <c r="L1125" s="364"/>
      <c r="M1125" s="365">
        <f>SUM(M1134:M1138)</f>
        <v>0.77</v>
      </c>
      <c r="N1125" s="363"/>
      <c r="O1125" s="364"/>
      <c r="P1125" s="365">
        <f>SUM(P1134:P1138)</f>
        <v>4.07</v>
      </c>
      <c r="Q1125" s="363"/>
      <c r="R1125" s="364"/>
      <c r="S1125" s="365">
        <f>SUM(S1134:S1138)</f>
        <v>4.47</v>
      </c>
      <c r="T1125" s="363"/>
      <c r="U1125" s="364"/>
      <c r="V1125" s="365">
        <f>SUM(V1134:V1138)</f>
        <v>5.22</v>
      </c>
      <c r="W1125" s="363"/>
      <c r="X1125" s="364"/>
      <c r="Y1125" s="365">
        <f>SUM(Y1134:Y1138)</f>
        <v>4.87</v>
      </c>
      <c r="Z1125" s="363"/>
      <c r="AA1125" s="364"/>
      <c r="AB1125" s="365">
        <f>SUM(AB1134:AB1138)</f>
        <v>8.91</v>
      </c>
      <c r="AC1125" s="363"/>
      <c r="AD1125" s="364"/>
      <c r="AE1125" s="365">
        <f>SUM(AE1134:AE1138)</f>
        <v>8.870000000000001</v>
      </c>
      <c r="AF1125" s="363"/>
      <c r="AG1125" s="364"/>
      <c r="AH1125" s="365">
        <f>SUM(AH1134:AH1138)</f>
        <v>10.459999999999999</v>
      </c>
      <c r="AI1125" s="363"/>
      <c r="AJ1125" s="364"/>
      <c r="AK1125" s="365">
        <f>SUM(AK1134:AK1138)</f>
        <v>8.36</v>
      </c>
      <c r="AL1125" s="363"/>
      <c r="AM1125" s="364"/>
      <c r="AN1125" s="365">
        <f>SUM(AN1134:AN1138)</f>
        <v>5.05</v>
      </c>
      <c r="AO1125" s="363"/>
      <c r="AP1125" s="364"/>
      <c r="AQ1125" s="365">
        <f>SUM(AQ1134:AQ1138)</f>
        <v>3.52</v>
      </c>
      <c r="AR1125" s="363"/>
      <c r="AS1125" s="364"/>
      <c r="AT1125" s="365">
        <f>SUM(AT1134:AT1138)</f>
        <v>65.09</v>
      </c>
      <c r="AU1125" s="363"/>
      <c r="AV1125" s="229"/>
      <c r="AW1125" s="226"/>
      <c r="AX1125" s="366"/>
      <c r="AY1125" s="339">
        <f>AY1134</f>
        <v>12.123794</v>
      </c>
      <c r="AZ1125" s="355"/>
      <c r="BA1125" s="355"/>
      <c r="BB1125" s="355"/>
      <c r="BC1125" s="355"/>
    </row>
    <row r="1126" spans="1:55" s="115" customFormat="1">
      <c r="A1126" s="179"/>
      <c r="B1126" s="179"/>
      <c r="C1126" s="179"/>
      <c r="D1126" s="181"/>
      <c r="E1126" s="181"/>
      <c r="F1126" s="181"/>
      <c r="G1126" s="181"/>
      <c r="H1126" s="124" t="s">
        <v>99</v>
      </c>
      <c r="I1126" s="124"/>
      <c r="J1126" s="365">
        <f>J1139</f>
        <v>60.137999999999998</v>
      </c>
      <c r="K1126" s="363"/>
      <c r="L1126" s="364"/>
      <c r="M1126" s="365">
        <f>M1139</f>
        <v>57.192999999999998</v>
      </c>
      <c r="N1126" s="363"/>
      <c r="O1126" s="364"/>
      <c r="P1126" s="365">
        <f>P1139</f>
        <v>48.795999999999992</v>
      </c>
      <c r="Q1126" s="363"/>
      <c r="R1126" s="364"/>
      <c r="S1126" s="365">
        <f>S1139</f>
        <v>41.352000000000004</v>
      </c>
      <c r="T1126" s="363"/>
      <c r="U1126" s="364"/>
      <c r="V1126" s="365">
        <f>V1139</f>
        <v>35.333999999999996</v>
      </c>
      <c r="W1126" s="363"/>
      <c r="X1126" s="364"/>
      <c r="Y1126" s="365">
        <f>Y1139</f>
        <v>33.322000000000003</v>
      </c>
      <c r="Z1126" s="363"/>
      <c r="AA1126" s="364"/>
      <c r="AB1126" s="365">
        <f>AB1139</f>
        <v>34.433999999999997</v>
      </c>
      <c r="AC1126" s="363"/>
      <c r="AD1126" s="364"/>
      <c r="AE1126" s="365">
        <f>AE1139</f>
        <v>32.893999999999998</v>
      </c>
      <c r="AF1126" s="363"/>
      <c r="AG1126" s="364"/>
      <c r="AH1126" s="365">
        <f>AH1139</f>
        <v>31.622</v>
      </c>
      <c r="AI1126" s="363"/>
      <c r="AJ1126" s="364"/>
      <c r="AK1126" s="365">
        <f>AK1139</f>
        <v>43.45</v>
      </c>
      <c r="AL1126" s="363"/>
      <c r="AM1126" s="364"/>
      <c r="AN1126" s="365">
        <f>AN1139</f>
        <v>57.969999999999985</v>
      </c>
      <c r="AO1126" s="363"/>
      <c r="AP1126" s="364"/>
      <c r="AQ1126" s="365">
        <f>AQ1139</f>
        <v>58.578999999999994</v>
      </c>
      <c r="AR1126" s="363"/>
      <c r="AS1126" s="364"/>
      <c r="AT1126" s="365">
        <f>AT1139</f>
        <v>535.08399999999995</v>
      </c>
      <c r="AU1126" s="363"/>
      <c r="AV1126" s="229"/>
      <c r="AW1126" s="226"/>
      <c r="AX1126" s="366"/>
      <c r="AY1126" s="366">
        <f>AY1139</f>
        <v>228.32492099999999</v>
      </c>
      <c r="AZ1126" s="375"/>
      <c r="BA1126" s="375"/>
      <c r="BB1126" s="375"/>
      <c r="BC1126" s="375"/>
    </row>
    <row r="1127" spans="1:55" s="24" customFormat="1">
      <c r="A1127" s="179"/>
      <c r="B1127" s="179"/>
      <c r="C1127" s="179"/>
      <c r="D1127" s="181">
        <v>321611</v>
      </c>
      <c r="E1127" s="181"/>
      <c r="F1127" s="181"/>
      <c r="G1127" s="1110">
        <v>321611</v>
      </c>
      <c r="H1127" s="127" t="s">
        <v>1154</v>
      </c>
      <c r="I1127" s="516" t="s">
        <v>364</v>
      </c>
      <c r="J1127" s="1151">
        <v>87.8</v>
      </c>
      <c r="K1127" s="938"/>
      <c r="L1127" s="939"/>
      <c r="M1127" s="937">
        <v>80.28</v>
      </c>
      <c r="N1127" s="938"/>
      <c r="O1127" s="940"/>
      <c r="P1127" s="939">
        <v>75.89</v>
      </c>
      <c r="Q1127" s="938"/>
      <c r="R1127" s="939"/>
      <c r="S1127" s="937">
        <v>60.52</v>
      </c>
      <c r="T1127" s="938"/>
      <c r="U1127" s="940"/>
      <c r="V1127" s="1194">
        <f>60.34-10</f>
        <v>50.34</v>
      </c>
      <c r="W1127" s="938"/>
      <c r="X1127" s="939"/>
      <c r="Y1127" s="1196">
        <f>58.23-3.78</f>
        <v>54.449999999999996</v>
      </c>
      <c r="Z1127" s="938"/>
      <c r="AA1127" s="940"/>
      <c r="AB1127" s="939">
        <v>57.81</v>
      </c>
      <c r="AC1127" s="938"/>
      <c r="AD1127" s="939"/>
      <c r="AE1127" s="937">
        <v>57.34</v>
      </c>
      <c r="AF1127" s="938"/>
      <c r="AG1127" s="940"/>
      <c r="AH1127" s="939">
        <v>57.08</v>
      </c>
      <c r="AI1127" s="938"/>
      <c r="AJ1127" s="939"/>
      <c r="AK1127" s="937">
        <v>60.22</v>
      </c>
      <c r="AL1127" s="938"/>
      <c r="AM1127" s="940"/>
      <c r="AN1127" s="939">
        <v>74.88</v>
      </c>
      <c r="AO1127" s="938"/>
      <c r="AP1127" s="939"/>
      <c r="AQ1127" s="937">
        <v>83.3</v>
      </c>
      <c r="AR1127" s="246"/>
      <c r="AS1127" s="282"/>
      <c r="AT1127" s="244">
        <f t="shared" ref="AT1127:AT1149" si="44">J1127+M1127+P1127+S1127+V1127+Y1127+AB1127+AE1127+AH1127+AK1127+AN1127+AQ1127</f>
        <v>799.91</v>
      </c>
      <c r="AU1127" s="246"/>
      <c r="AV1127" s="336"/>
      <c r="AW1127" s="285"/>
      <c r="AX1127" s="249"/>
      <c r="AY1127" s="441">
        <v>763.18922399999997</v>
      </c>
      <c r="AZ1127" s="357"/>
      <c r="BA1127" s="357"/>
      <c r="BB1127" s="357"/>
      <c r="BC1127" s="357"/>
    </row>
    <row r="1128" spans="1:55" s="24" customFormat="1">
      <c r="A1128" s="179"/>
      <c r="B1128" s="179"/>
      <c r="C1128" s="179"/>
      <c r="D1128" s="181">
        <v>321610</v>
      </c>
      <c r="E1128" s="181"/>
      <c r="F1128" s="181"/>
      <c r="G1128" s="1110">
        <v>321610</v>
      </c>
      <c r="H1128" s="127" t="s">
        <v>1155</v>
      </c>
      <c r="I1128" s="516" t="s">
        <v>364</v>
      </c>
      <c r="J1128" s="1151">
        <v>158.1</v>
      </c>
      <c r="K1128" s="938"/>
      <c r="L1128" s="939"/>
      <c r="M1128" s="937">
        <v>138.04</v>
      </c>
      <c r="N1128" s="938"/>
      <c r="O1128" s="940"/>
      <c r="P1128" s="939">
        <v>108.25</v>
      </c>
      <c r="Q1128" s="938"/>
      <c r="R1128" s="939"/>
      <c r="S1128" s="937">
        <v>70.739999999999995</v>
      </c>
      <c r="T1128" s="938"/>
      <c r="U1128" s="940"/>
      <c r="V1128" s="1194">
        <f>38.44-2</f>
        <v>36.44</v>
      </c>
      <c r="W1128" s="938"/>
      <c r="X1128" s="939"/>
      <c r="Y1128" s="937">
        <v>49.4</v>
      </c>
      <c r="Z1128" s="938"/>
      <c r="AA1128" s="940"/>
      <c r="AB1128" s="1190">
        <f>40.1+11.76</f>
        <v>51.86</v>
      </c>
      <c r="AC1128" s="938"/>
      <c r="AD1128" s="939"/>
      <c r="AE1128" s="937">
        <v>77</v>
      </c>
      <c r="AF1128" s="938"/>
      <c r="AG1128" s="940"/>
      <c r="AH1128" s="939">
        <v>52.5</v>
      </c>
      <c r="AI1128" s="938"/>
      <c r="AJ1128" s="939"/>
      <c r="AK1128" s="937">
        <v>96.22</v>
      </c>
      <c r="AL1128" s="938"/>
      <c r="AM1128" s="940"/>
      <c r="AN1128" s="939">
        <v>112.02</v>
      </c>
      <c r="AO1128" s="938"/>
      <c r="AP1128" s="939"/>
      <c r="AQ1128" s="937">
        <v>155.47</v>
      </c>
      <c r="AR1128" s="246"/>
      <c r="AS1128" s="282"/>
      <c r="AT1128" s="244">
        <f t="shared" si="44"/>
        <v>1106.04</v>
      </c>
      <c r="AU1128" s="246"/>
      <c r="AV1128" s="336"/>
      <c r="AW1128" s="285"/>
      <c r="AX1128" s="249"/>
      <c r="AY1128" s="441">
        <v>1144.382018</v>
      </c>
      <c r="AZ1128" s="357"/>
      <c r="BA1128" s="357"/>
      <c r="BB1128" s="357"/>
      <c r="BC1128" s="357"/>
    </row>
    <row r="1129" spans="1:55" s="24" customFormat="1">
      <c r="A1129" s="179"/>
      <c r="B1129" s="179"/>
      <c r="C1129" s="179"/>
      <c r="D1129" s="181">
        <v>321614</v>
      </c>
      <c r="E1129" s="181"/>
      <c r="F1129" s="181"/>
      <c r="G1129" s="1110">
        <v>321614</v>
      </c>
      <c r="H1129" s="127" t="s">
        <v>1156</v>
      </c>
      <c r="I1129" s="516" t="s">
        <v>364</v>
      </c>
      <c r="J1129" s="1151">
        <v>153.44999999999999</v>
      </c>
      <c r="K1129" s="938"/>
      <c r="L1129" s="939"/>
      <c r="M1129" s="1187">
        <f>138.88+3.28</f>
        <v>142.16</v>
      </c>
      <c r="N1129" s="938"/>
      <c r="O1129" s="940"/>
      <c r="P1129" s="1190">
        <f>97.43+5.46</f>
        <v>102.89</v>
      </c>
      <c r="Q1129" s="938"/>
      <c r="R1129" s="939"/>
      <c r="S1129" s="937">
        <v>69.73</v>
      </c>
      <c r="T1129" s="938"/>
      <c r="U1129" s="940"/>
      <c r="V1129" s="1194">
        <f>44.64-13</f>
        <v>31.64</v>
      </c>
      <c r="W1129" s="938"/>
      <c r="X1129" s="939"/>
      <c r="Y1129" s="937">
        <v>40.5</v>
      </c>
      <c r="Z1129" s="938"/>
      <c r="AA1129" s="940"/>
      <c r="AB1129" s="939">
        <v>29.8</v>
      </c>
      <c r="AC1129" s="938"/>
      <c r="AD1129" s="939"/>
      <c r="AE1129" s="1196">
        <f>45.38-2.64</f>
        <v>42.74</v>
      </c>
      <c r="AF1129" s="938"/>
      <c r="AG1129" s="940"/>
      <c r="AH1129" s="939">
        <v>48.12</v>
      </c>
      <c r="AI1129" s="938"/>
      <c r="AJ1129" s="939"/>
      <c r="AK1129" s="1196">
        <f>80.64-0.36</f>
        <v>80.28</v>
      </c>
      <c r="AL1129" s="938"/>
      <c r="AM1129" s="940"/>
      <c r="AN1129" s="939">
        <v>112.95</v>
      </c>
      <c r="AO1129" s="938"/>
      <c r="AP1129" s="939"/>
      <c r="AQ1129" s="937">
        <v>132.80000000000001</v>
      </c>
      <c r="AR1129" s="246"/>
      <c r="AS1129" s="282"/>
      <c r="AT1129" s="244">
        <f t="shared" si="44"/>
        <v>987.06</v>
      </c>
      <c r="AU1129" s="246"/>
      <c r="AV1129" s="336"/>
      <c r="AW1129" s="285"/>
      <c r="AX1129" s="249"/>
      <c r="AY1129" s="441">
        <v>1003.705919</v>
      </c>
      <c r="AZ1129" s="357"/>
      <c r="BA1129" s="357"/>
      <c r="BB1129" s="357"/>
      <c r="BC1129" s="357"/>
    </row>
    <row r="1130" spans="1:55" s="24" customFormat="1">
      <c r="A1130" s="179"/>
      <c r="B1130" s="179"/>
      <c r="C1130" s="179"/>
      <c r="D1130" s="181">
        <v>321612</v>
      </c>
      <c r="E1130" s="181"/>
      <c r="F1130" s="181"/>
      <c r="G1130" s="1110">
        <v>321612</v>
      </c>
      <c r="H1130" s="127" t="s">
        <v>1157</v>
      </c>
      <c r="I1130" s="516" t="s">
        <v>364</v>
      </c>
      <c r="J1130" s="1151">
        <v>37</v>
      </c>
      <c r="K1130" s="938"/>
      <c r="L1130" s="939"/>
      <c r="M1130" s="937">
        <v>32.299999999999997</v>
      </c>
      <c r="N1130" s="1012"/>
      <c r="O1130" s="940"/>
      <c r="P1130" s="939">
        <v>29.5</v>
      </c>
      <c r="Q1130" s="938"/>
      <c r="R1130" s="939"/>
      <c r="S1130" s="937">
        <v>12.5</v>
      </c>
      <c r="T1130" s="938"/>
      <c r="U1130" s="940"/>
      <c r="V1130" s="939">
        <v>3.1</v>
      </c>
      <c r="W1130" s="938"/>
      <c r="X1130" s="939"/>
      <c r="Y1130" s="937">
        <v>1.55</v>
      </c>
      <c r="Z1130" s="938"/>
      <c r="AA1130" s="940"/>
      <c r="AB1130" s="939">
        <v>1.57</v>
      </c>
      <c r="AC1130" s="938"/>
      <c r="AD1130" s="939"/>
      <c r="AE1130" s="937">
        <v>1.22</v>
      </c>
      <c r="AF1130" s="938"/>
      <c r="AG1130" s="940"/>
      <c r="AH1130" s="939">
        <v>1.8</v>
      </c>
      <c r="AI1130" s="938"/>
      <c r="AJ1130" s="939"/>
      <c r="AK1130" s="937">
        <v>10.9</v>
      </c>
      <c r="AL1130" s="938"/>
      <c r="AM1130" s="940"/>
      <c r="AN1130" s="939">
        <v>26.9</v>
      </c>
      <c r="AO1130" s="938"/>
      <c r="AP1130" s="939"/>
      <c r="AQ1130" s="937">
        <v>34.299999999999997</v>
      </c>
      <c r="AR1130" s="246"/>
      <c r="AS1130" s="282"/>
      <c r="AT1130" s="244">
        <f t="shared" si="44"/>
        <v>192.64</v>
      </c>
      <c r="AU1130" s="246"/>
      <c r="AV1130" s="336"/>
      <c r="AW1130" s="285"/>
      <c r="AX1130" s="249"/>
      <c r="AY1130" s="441">
        <v>198.19033400000001</v>
      </c>
      <c r="AZ1130" s="357"/>
      <c r="BA1130" s="357"/>
      <c r="BB1130" s="357"/>
      <c r="BC1130" s="357"/>
    </row>
    <row r="1131" spans="1:55" s="109" customFormat="1">
      <c r="A1131" s="179"/>
      <c r="B1131" s="179"/>
      <c r="C1131" s="179"/>
      <c r="D1131" s="181">
        <v>321613</v>
      </c>
      <c r="E1131" s="181"/>
      <c r="F1131" s="181"/>
      <c r="G1131" s="1110">
        <v>321613</v>
      </c>
      <c r="H1131" s="125" t="s">
        <v>1158</v>
      </c>
      <c r="I1131" s="533" t="s">
        <v>365</v>
      </c>
      <c r="J1131" s="1151">
        <v>109.26300000000001</v>
      </c>
      <c r="K1131" s="938"/>
      <c r="L1131" s="939"/>
      <c r="M1131" s="937">
        <v>98.731999999999999</v>
      </c>
      <c r="N1131" s="938"/>
      <c r="O1131" s="940"/>
      <c r="P1131" s="939">
        <v>109.378</v>
      </c>
      <c r="Q1131" s="938"/>
      <c r="R1131" s="939"/>
      <c r="S1131" s="937">
        <v>96.563999999999993</v>
      </c>
      <c r="T1131" s="938"/>
      <c r="U1131" s="940"/>
      <c r="V1131" s="1194">
        <f>78.336-10</f>
        <v>68.335999999999999</v>
      </c>
      <c r="W1131" s="938"/>
      <c r="X1131" s="939"/>
      <c r="Y1131" s="937">
        <v>76.903000000000006</v>
      </c>
      <c r="Z1131" s="938"/>
      <c r="AA1131" s="940"/>
      <c r="AB1131" s="939">
        <v>73.584999999999994</v>
      </c>
      <c r="AC1131" s="938"/>
      <c r="AD1131" s="939"/>
      <c r="AE1131" s="937">
        <v>75.215999999999994</v>
      </c>
      <c r="AF1131" s="938"/>
      <c r="AG1131" s="940"/>
      <c r="AH1131" s="939">
        <v>82.590999999999994</v>
      </c>
      <c r="AI1131" s="938"/>
      <c r="AJ1131" s="939"/>
      <c r="AK1131" s="937">
        <v>110.146</v>
      </c>
      <c r="AL1131" s="938"/>
      <c r="AM1131" s="940"/>
      <c r="AN1131" s="939">
        <v>109.842</v>
      </c>
      <c r="AO1131" s="938"/>
      <c r="AP1131" s="939"/>
      <c r="AQ1131" s="937">
        <v>112.498</v>
      </c>
      <c r="AR1131" s="246"/>
      <c r="AS1131" s="282"/>
      <c r="AT1131" s="244">
        <f t="shared" si="44"/>
        <v>1123.0540000000001</v>
      </c>
      <c r="AU1131" s="246"/>
      <c r="AV1131" s="336"/>
      <c r="AW1131" s="285"/>
      <c r="AX1131" s="249"/>
      <c r="AY1131" s="441">
        <v>1144.348403</v>
      </c>
      <c r="AZ1131" s="368"/>
      <c r="BA1131" s="368"/>
      <c r="BB1131" s="368"/>
      <c r="BC1131" s="368"/>
    </row>
    <row r="1132" spans="1:55" s="24" customFormat="1">
      <c r="A1132" s="179"/>
      <c r="B1132" s="179"/>
      <c r="C1132" s="179"/>
      <c r="D1132" s="181">
        <v>321630</v>
      </c>
      <c r="E1132" s="181"/>
      <c r="F1132" s="181"/>
      <c r="G1132" s="1110">
        <v>321630</v>
      </c>
      <c r="H1132" s="127" t="s">
        <v>660</v>
      </c>
      <c r="I1132" s="516" t="s">
        <v>364</v>
      </c>
      <c r="J1132" s="638">
        <f>ГЭС!C113</f>
        <v>909.618408203125</v>
      </c>
      <c r="K1132" s="521"/>
      <c r="L1132" s="522"/>
      <c r="M1132" s="638">
        <f>ГЭС!D113</f>
        <v>825.8963623046875</v>
      </c>
      <c r="N1132" s="521"/>
      <c r="O1132" s="522"/>
      <c r="P1132" s="639">
        <f>ГЭС!E113</f>
        <v>925.69183349609375</v>
      </c>
      <c r="Q1132"/>
      <c r="R1132" s="941"/>
      <c r="S1132" s="639">
        <f>ГЭС!G113</f>
        <v>1106.142578125</v>
      </c>
      <c r="T1132"/>
      <c r="U1132" s="941"/>
      <c r="V1132" s="639">
        <f>ГЭС!H113</f>
        <v>1520.296875</v>
      </c>
      <c r="W1132"/>
      <c r="X1132" s="941"/>
      <c r="Y1132" s="639">
        <f>ГЭС!I113</f>
        <v>1180.1158447265625</v>
      </c>
      <c r="Z1132"/>
      <c r="AA1132" s="941"/>
      <c r="AB1132" s="639">
        <f>ГЭС!K113</f>
        <v>997.65576171875</v>
      </c>
      <c r="AC1132"/>
      <c r="AD1132" s="941"/>
      <c r="AE1132" s="639">
        <f>ГЭС!L113</f>
        <v>906.079345703125</v>
      </c>
      <c r="AF1132" s="942"/>
      <c r="AG1132" s="941"/>
      <c r="AH1132" s="638">
        <f>ГЭС!M113</f>
        <v>841.37506103515625</v>
      </c>
      <c r="AI1132" s="942"/>
      <c r="AJ1132" s="941"/>
      <c r="AK1132" s="638">
        <f>ГЭС!O113</f>
        <v>853.5648193359375</v>
      </c>
      <c r="AL1132" s="942"/>
      <c r="AM1132" s="941"/>
      <c r="AN1132" s="638">
        <f>ГЭС!P113</f>
        <v>872.76959228515625</v>
      </c>
      <c r="AO1132" s="942"/>
      <c r="AP1132" s="941"/>
      <c r="AQ1132" s="638">
        <f>ГЭС!Q113</f>
        <v>945.0406494140625</v>
      </c>
      <c r="AR1132" s="246"/>
      <c r="AS1132" s="282"/>
      <c r="AT1132" s="638">
        <f t="shared" si="44"/>
        <v>11884.247131347656</v>
      </c>
      <c r="AU1132" s="246"/>
      <c r="AV1132" s="336"/>
      <c r="AW1132" s="285"/>
      <c r="AX1132" s="249"/>
      <c r="AY1132" s="441">
        <v>13233.634371</v>
      </c>
      <c r="AZ1132" s="357"/>
      <c r="BA1132" s="357"/>
      <c r="BB1132" s="357"/>
      <c r="BC1132" s="357"/>
    </row>
    <row r="1133" spans="1:55" s="24" customFormat="1">
      <c r="A1133" s="179"/>
      <c r="B1133" s="179"/>
      <c r="C1133" s="179"/>
      <c r="D1133" s="181">
        <v>321649</v>
      </c>
      <c r="E1133" s="181"/>
      <c r="F1133" s="181"/>
      <c r="G1133" s="1110">
        <v>321649</v>
      </c>
      <c r="H1133" s="125" t="s">
        <v>1262</v>
      </c>
      <c r="I1133" s="533" t="s">
        <v>365</v>
      </c>
      <c r="J1133" s="587">
        <v>7</v>
      </c>
      <c r="K1133" s="246"/>
      <c r="L1133" s="282"/>
      <c r="M1133" s="587">
        <v>7</v>
      </c>
      <c r="N1133" s="246"/>
      <c r="O1133" s="282"/>
      <c r="P1133" s="586">
        <v>7</v>
      </c>
      <c r="Q1133" s="253"/>
      <c r="R1133" s="282"/>
      <c r="S1133" s="586">
        <v>13</v>
      </c>
      <c r="T1133" s="244"/>
      <c r="U1133" s="282"/>
      <c r="V1133" s="586">
        <v>13</v>
      </c>
      <c r="W1133" s="244"/>
      <c r="X1133" s="282"/>
      <c r="Y1133" s="586">
        <v>13</v>
      </c>
      <c r="Z1133" s="244"/>
      <c r="AA1133" s="282"/>
      <c r="AB1133" s="586">
        <v>13</v>
      </c>
      <c r="AC1133" s="244"/>
      <c r="AD1133" s="282"/>
      <c r="AE1133" s="586">
        <v>13</v>
      </c>
      <c r="AF1133" s="246"/>
      <c r="AG1133" s="282"/>
      <c r="AH1133" s="587">
        <v>13</v>
      </c>
      <c r="AI1133" s="246"/>
      <c r="AJ1133" s="282"/>
      <c r="AK1133" s="587">
        <v>13</v>
      </c>
      <c r="AL1133" s="246"/>
      <c r="AM1133" s="282"/>
      <c r="AN1133" s="587">
        <v>13</v>
      </c>
      <c r="AO1133" s="246"/>
      <c r="AP1133" s="282"/>
      <c r="AQ1133" s="587">
        <v>13</v>
      </c>
      <c r="AR1133" s="246"/>
      <c r="AS1133" s="282"/>
      <c r="AT1133" s="587">
        <f t="shared" si="44"/>
        <v>138</v>
      </c>
      <c r="AU1133" s="246"/>
      <c r="AV1133" s="336"/>
      <c r="AW1133" s="285"/>
      <c r="AX1133" s="249"/>
      <c r="AY1133" s="441">
        <v>158.45438899999999</v>
      </c>
      <c r="AZ1133" s="357"/>
      <c r="BA1133" s="357"/>
      <c r="BB1133" s="357"/>
      <c r="BC1133" s="357"/>
    </row>
    <row r="1134" spans="1:55" s="24" customFormat="1">
      <c r="A1134" s="179"/>
      <c r="B1134" s="179"/>
      <c r="C1134" s="179"/>
      <c r="D1134" s="181"/>
      <c r="E1134" s="181"/>
      <c r="F1134" s="181"/>
      <c r="G1134" s="1110">
        <v>777352</v>
      </c>
      <c r="H1134" s="125" t="s">
        <v>1259</v>
      </c>
      <c r="I1134" s="533" t="s">
        <v>364</v>
      </c>
      <c r="J1134" s="937">
        <v>0.52</v>
      </c>
      <c r="K1134" s="938"/>
      <c r="L1134" s="939"/>
      <c r="M1134" s="937">
        <v>0.77</v>
      </c>
      <c r="N1134" s="938"/>
      <c r="O1134" s="940"/>
      <c r="P1134" s="939">
        <v>1.1200000000000001</v>
      </c>
      <c r="Q1134" s="938"/>
      <c r="R1134" s="939"/>
      <c r="S1134" s="937">
        <v>1.2</v>
      </c>
      <c r="T1134" s="938"/>
      <c r="U1134" s="940"/>
      <c r="V1134" s="939">
        <v>1.42</v>
      </c>
      <c r="W1134" s="938"/>
      <c r="X1134" s="939"/>
      <c r="Y1134" s="937">
        <v>1.33</v>
      </c>
      <c r="Z1134" s="938"/>
      <c r="AA1134" s="940"/>
      <c r="AB1134" s="939">
        <v>1.38</v>
      </c>
      <c r="AC1134" s="938"/>
      <c r="AD1134" s="939"/>
      <c r="AE1134" s="937">
        <v>1.34</v>
      </c>
      <c r="AF1134" s="938"/>
      <c r="AG1134" s="940"/>
      <c r="AH1134" s="939">
        <v>1.1299999999999999</v>
      </c>
      <c r="AI1134" s="938"/>
      <c r="AJ1134" s="939"/>
      <c r="AK1134" s="937">
        <v>0.83</v>
      </c>
      <c r="AL1134" s="938"/>
      <c r="AM1134" s="940"/>
      <c r="AN1134" s="939">
        <v>0.48</v>
      </c>
      <c r="AO1134" s="938"/>
      <c r="AP1134" s="939"/>
      <c r="AQ1134" s="937">
        <v>0.39</v>
      </c>
      <c r="AR1134" s="246"/>
      <c r="AS1134" s="282"/>
      <c r="AT1134" s="244">
        <f t="shared" si="44"/>
        <v>11.910000000000002</v>
      </c>
      <c r="AU1134" s="246"/>
      <c r="AV1134" s="336"/>
      <c r="AW1134" s="285"/>
      <c r="AX1134" s="249"/>
      <c r="AY1134" s="441">
        <v>12.123794</v>
      </c>
      <c r="AZ1134" s="357"/>
      <c r="BA1134" s="357"/>
      <c r="BB1134" s="357"/>
      <c r="BC1134" s="357"/>
    </row>
    <row r="1135" spans="1:55" s="24" customFormat="1">
      <c r="A1135" s="179"/>
      <c r="B1135" s="179"/>
      <c r="C1135" s="179"/>
      <c r="D1135" s="181"/>
      <c r="E1135" s="181"/>
      <c r="F1135" s="181"/>
      <c r="G1135" s="1211">
        <v>777990</v>
      </c>
      <c r="H1135" s="125" t="s">
        <v>1734</v>
      </c>
      <c r="I1135" s="533"/>
      <c r="J1135" s="937">
        <v>0</v>
      </c>
      <c r="K1135" s="938"/>
      <c r="L1135" s="939"/>
      <c r="M1135" s="937">
        <v>0</v>
      </c>
      <c r="N1135" s="938"/>
      <c r="O1135" s="940"/>
      <c r="P1135" s="939">
        <v>2.95</v>
      </c>
      <c r="Q1135" s="938"/>
      <c r="R1135" s="939"/>
      <c r="S1135" s="937">
        <v>3.27</v>
      </c>
      <c r="T1135" s="938"/>
      <c r="U1135" s="940"/>
      <c r="V1135" s="939">
        <v>3.8</v>
      </c>
      <c r="W1135" s="938"/>
      <c r="X1135" s="939"/>
      <c r="Y1135" s="937">
        <v>3.54</v>
      </c>
      <c r="Z1135" s="938"/>
      <c r="AA1135" s="940"/>
      <c r="AB1135" s="939">
        <v>3.96</v>
      </c>
      <c r="AC1135" s="938"/>
      <c r="AD1135" s="939"/>
      <c r="AE1135" s="937">
        <v>3.57</v>
      </c>
      <c r="AF1135" s="938"/>
      <c r="AG1135" s="940"/>
      <c r="AH1135" s="939">
        <v>3.11</v>
      </c>
      <c r="AI1135" s="938"/>
      <c r="AJ1135" s="939"/>
      <c r="AK1135" s="937">
        <v>2.5099999999999998</v>
      </c>
      <c r="AL1135" s="938"/>
      <c r="AM1135" s="940"/>
      <c r="AN1135" s="939">
        <v>1.27</v>
      </c>
      <c r="AO1135" s="938"/>
      <c r="AP1135" s="939"/>
      <c r="AQ1135" s="937">
        <v>0.87</v>
      </c>
      <c r="AR1135" s="246"/>
      <c r="AS1135" s="282"/>
      <c r="AT1135" s="244">
        <f t="shared" si="44"/>
        <v>28.85</v>
      </c>
      <c r="AU1135" s="246"/>
      <c r="AV1135" s="336"/>
      <c r="AW1135" s="285"/>
      <c r="AX1135" s="249"/>
      <c r="AY1135" s="441"/>
      <c r="AZ1135" s="357"/>
      <c r="BA1135" s="357"/>
      <c r="BB1135" s="357"/>
      <c r="BC1135" s="357"/>
    </row>
    <row r="1136" spans="1:55" s="24" customFormat="1">
      <c r="A1136" s="179"/>
      <c r="B1136" s="179"/>
      <c r="C1136" s="179"/>
      <c r="D1136" s="181"/>
      <c r="E1136" s="181"/>
      <c r="F1136" s="181"/>
      <c r="G1136" s="1211">
        <v>777987</v>
      </c>
      <c r="H1136" s="125" t="s">
        <v>1735</v>
      </c>
      <c r="I1136" s="533"/>
      <c r="J1136" s="937">
        <v>0</v>
      </c>
      <c r="K1136" s="938"/>
      <c r="L1136" s="939"/>
      <c r="M1136" s="937">
        <v>0</v>
      </c>
      <c r="N1136" s="938"/>
      <c r="O1136" s="940"/>
      <c r="P1136" s="939">
        <v>0</v>
      </c>
      <c r="Q1136" s="938"/>
      <c r="R1136" s="939"/>
      <c r="S1136" s="937">
        <v>0</v>
      </c>
      <c r="T1136" s="938"/>
      <c r="U1136" s="940"/>
      <c r="V1136" s="939">
        <v>0</v>
      </c>
      <c r="W1136" s="938"/>
      <c r="X1136" s="939"/>
      <c r="Y1136" s="937">
        <v>0</v>
      </c>
      <c r="Z1136" s="938"/>
      <c r="AA1136" s="940"/>
      <c r="AB1136" s="939">
        <v>0</v>
      </c>
      <c r="AC1136" s="938"/>
      <c r="AD1136" s="939"/>
      <c r="AE1136" s="937">
        <v>0</v>
      </c>
      <c r="AF1136" s="938"/>
      <c r="AG1136" s="940"/>
      <c r="AH1136" s="939">
        <v>3.11</v>
      </c>
      <c r="AI1136" s="938"/>
      <c r="AJ1136" s="939"/>
      <c r="AK1136" s="937">
        <v>2.5099999999999998</v>
      </c>
      <c r="AL1136" s="938"/>
      <c r="AM1136" s="940"/>
      <c r="AN1136" s="939">
        <v>1.27</v>
      </c>
      <c r="AO1136" s="938"/>
      <c r="AP1136" s="939"/>
      <c r="AQ1136" s="937">
        <v>0.87</v>
      </c>
      <c r="AR1136" s="246"/>
      <c r="AS1136" s="282"/>
      <c r="AT1136" s="244">
        <f t="shared" si="44"/>
        <v>7.7599999999999989</v>
      </c>
      <c r="AU1136" s="246"/>
      <c r="AV1136" s="336"/>
      <c r="AW1136" s="285"/>
      <c r="AX1136" s="249"/>
      <c r="AY1136" s="441"/>
      <c r="AZ1136" s="357"/>
      <c r="BA1136" s="357"/>
      <c r="BB1136" s="357"/>
      <c r="BC1136" s="357"/>
    </row>
    <row r="1137" spans="1:55" s="24" customFormat="1">
      <c r="A1137" s="179"/>
      <c r="B1137" s="179"/>
      <c r="C1137" s="179"/>
      <c r="D1137" s="181"/>
      <c r="E1137" s="181"/>
      <c r="F1137" s="181"/>
      <c r="G1137" s="1211">
        <v>777988</v>
      </c>
      <c r="H1137" s="125" t="s">
        <v>1736</v>
      </c>
      <c r="I1137" s="533"/>
      <c r="J1137" s="937">
        <v>0</v>
      </c>
      <c r="K1137" s="938"/>
      <c r="L1137" s="939"/>
      <c r="M1137" s="937">
        <v>0</v>
      </c>
      <c r="N1137" s="938"/>
      <c r="O1137" s="940"/>
      <c r="P1137" s="939">
        <v>0</v>
      </c>
      <c r="Q1137" s="938"/>
      <c r="R1137" s="939"/>
      <c r="S1137" s="937">
        <v>0</v>
      </c>
      <c r="T1137" s="938"/>
      <c r="U1137" s="940"/>
      <c r="V1137" s="939">
        <v>0</v>
      </c>
      <c r="W1137" s="938"/>
      <c r="X1137" s="939"/>
      <c r="Y1137" s="937">
        <v>0</v>
      </c>
      <c r="Z1137" s="938"/>
      <c r="AA1137" s="940"/>
      <c r="AB1137" s="939">
        <v>3.57</v>
      </c>
      <c r="AC1137" s="938"/>
      <c r="AD1137" s="939"/>
      <c r="AE1137" s="937">
        <v>3.96</v>
      </c>
      <c r="AF1137" s="938"/>
      <c r="AG1137" s="940"/>
      <c r="AH1137" s="939">
        <v>3.11</v>
      </c>
      <c r="AI1137" s="938"/>
      <c r="AJ1137" s="939"/>
      <c r="AK1137" s="937">
        <v>2.5099999999999998</v>
      </c>
      <c r="AL1137" s="938"/>
      <c r="AM1137" s="940"/>
      <c r="AN1137" s="939">
        <v>1.27</v>
      </c>
      <c r="AO1137" s="938"/>
      <c r="AP1137" s="939"/>
      <c r="AQ1137" s="937">
        <v>0.87</v>
      </c>
      <c r="AR1137" s="246"/>
      <c r="AS1137" s="282"/>
      <c r="AT1137" s="244">
        <f t="shared" si="44"/>
        <v>15.289999999999997</v>
      </c>
      <c r="AU1137" s="246"/>
      <c r="AV1137" s="336"/>
      <c r="AW1137" s="285"/>
      <c r="AX1137" s="249"/>
      <c r="AY1137" s="441"/>
      <c r="AZ1137" s="357"/>
      <c r="BA1137" s="357"/>
      <c r="BB1137" s="357"/>
      <c r="BC1137" s="357"/>
    </row>
    <row r="1138" spans="1:55" s="24" customFormat="1">
      <c r="A1138" s="179"/>
      <c r="B1138" s="179"/>
      <c r="C1138" s="179"/>
      <c r="D1138" s="181"/>
      <c r="E1138" s="181"/>
      <c r="F1138" s="181"/>
      <c r="G1138" s="1211">
        <v>777989</v>
      </c>
      <c r="H1138" s="125" t="s">
        <v>1737</v>
      </c>
      <c r="I1138" s="533"/>
      <c r="J1138" s="937">
        <v>0</v>
      </c>
      <c r="K1138" s="938"/>
      <c r="L1138" s="939"/>
      <c r="M1138" s="937">
        <v>0</v>
      </c>
      <c r="N1138" s="938"/>
      <c r="O1138" s="940"/>
      <c r="P1138" s="939">
        <v>0</v>
      </c>
      <c r="Q1138" s="938"/>
      <c r="R1138" s="939"/>
      <c r="S1138" s="937">
        <v>0</v>
      </c>
      <c r="T1138" s="938"/>
      <c r="U1138" s="940"/>
      <c r="V1138" s="939">
        <v>0</v>
      </c>
      <c r="W1138" s="938"/>
      <c r="X1138" s="939"/>
      <c r="Y1138" s="937">
        <v>0</v>
      </c>
      <c r="Z1138" s="938"/>
      <c r="AA1138" s="940"/>
      <c r="AB1138" s="939">
        <v>0</v>
      </c>
      <c r="AC1138" s="938"/>
      <c r="AD1138" s="939"/>
      <c r="AE1138" s="937">
        <v>0</v>
      </c>
      <c r="AF1138" s="938"/>
      <c r="AG1138" s="940"/>
      <c r="AH1138" s="939">
        <v>0</v>
      </c>
      <c r="AI1138" s="938"/>
      <c r="AJ1138" s="939"/>
      <c r="AK1138" s="937">
        <v>0</v>
      </c>
      <c r="AL1138" s="938"/>
      <c r="AM1138" s="940"/>
      <c r="AN1138" s="939">
        <v>0.76</v>
      </c>
      <c r="AO1138" s="938"/>
      <c r="AP1138" s="939"/>
      <c r="AQ1138" s="937">
        <v>0.52</v>
      </c>
      <c r="AR1138" s="246"/>
      <c r="AS1138" s="282"/>
      <c r="AT1138" s="244">
        <f t="shared" si="44"/>
        <v>1.28</v>
      </c>
      <c r="AU1138" s="246"/>
      <c r="AV1138" s="336"/>
      <c r="AW1138" s="285"/>
      <c r="AX1138" s="249"/>
      <c r="AY1138" s="441"/>
      <c r="AZ1138" s="357"/>
      <c r="BA1138" s="357"/>
      <c r="BB1138" s="357"/>
      <c r="BC1138" s="357"/>
    </row>
    <row r="1139" spans="1:55" s="24" customFormat="1">
      <c r="A1139" s="179"/>
      <c r="B1139" s="179"/>
      <c r="C1139" s="179"/>
      <c r="D1139" s="181"/>
      <c r="E1139" s="181"/>
      <c r="F1139" s="181"/>
      <c r="G1139" s="1110"/>
      <c r="H1139" s="138" t="s">
        <v>174</v>
      </c>
      <c r="I1139" s="138"/>
      <c r="J1139" s="319">
        <f>SUM(J1140:J1149)</f>
        <v>60.137999999999998</v>
      </c>
      <c r="K1139" s="288"/>
      <c r="L1139" s="289"/>
      <c r="M1139" s="319">
        <f>SUM(M1140:M1149)</f>
        <v>57.192999999999998</v>
      </c>
      <c r="N1139" s="288"/>
      <c r="O1139" s="289"/>
      <c r="P1139" s="319">
        <f>SUM(P1140:P1149)</f>
        <v>48.795999999999992</v>
      </c>
      <c r="Q1139" s="404"/>
      <c r="R1139" s="289"/>
      <c r="S1139" s="319">
        <f>SUM(S1140:S1149)</f>
        <v>41.352000000000004</v>
      </c>
      <c r="T1139" s="294"/>
      <c r="U1139" s="289"/>
      <c r="V1139" s="319">
        <f>SUM(V1140:V1149)</f>
        <v>35.333999999999996</v>
      </c>
      <c r="W1139" s="294"/>
      <c r="X1139" s="289"/>
      <c r="Y1139" s="319">
        <f>SUM(Y1140:Y1149)</f>
        <v>33.322000000000003</v>
      </c>
      <c r="Z1139" s="294"/>
      <c r="AA1139" s="289"/>
      <c r="AB1139" s="319">
        <f>SUM(AB1140:AB1149)</f>
        <v>34.433999999999997</v>
      </c>
      <c r="AC1139" s="294"/>
      <c r="AD1139" s="289"/>
      <c r="AE1139" s="319">
        <f>SUM(AE1140:AE1149)</f>
        <v>32.893999999999998</v>
      </c>
      <c r="AF1139" s="288"/>
      <c r="AG1139" s="289"/>
      <c r="AH1139" s="319">
        <f>SUM(AH1140:AH1149)</f>
        <v>31.622</v>
      </c>
      <c r="AI1139" s="288"/>
      <c r="AJ1139" s="289"/>
      <c r="AK1139" s="319">
        <f>SUM(AK1140:AK1149)</f>
        <v>43.45</v>
      </c>
      <c r="AL1139" s="288"/>
      <c r="AM1139" s="289"/>
      <c r="AN1139" s="319">
        <f>SUM(AN1140:AN1149)</f>
        <v>57.969999999999985</v>
      </c>
      <c r="AO1139" s="288"/>
      <c r="AP1139" s="289"/>
      <c r="AQ1139" s="319">
        <f>SUM(AQ1140:AQ1149)</f>
        <v>58.578999999999994</v>
      </c>
      <c r="AR1139" s="288"/>
      <c r="AS1139" s="289"/>
      <c r="AT1139" s="319">
        <f>SUM(AT1140:AT1149)</f>
        <v>535.08399999999995</v>
      </c>
      <c r="AU1139" s="288"/>
      <c r="AV1139" s="290"/>
      <c r="AW1139" s="285"/>
      <c r="AX1139" s="295"/>
      <c r="AY1139" s="436">
        <v>228.32492099999999</v>
      </c>
      <c r="AZ1139" s="357"/>
      <c r="BA1139" s="357"/>
      <c r="BB1139" s="357"/>
      <c r="BC1139" s="357"/>
    </row>
    <row r="1140" spans="1:55" s="24" customFormat="1">
      <c r="A1140" s="179"/>
      <c r="B1140" s="179"/>
      <c r="C1140" s="179"/>
      <c r="D1140" s="181">
        <v>321645</v>
      </c>
      <c r="E1140" s="181"/>
      <c r="F1140" s="181"/>
      <c r="G1140" s="1110">
        <v>321645</v>
      </c>
      <c r="H1140" s="145" t="s">
        <v>1738</v>
      </c>
      <c r="I1140" s="518" t="s">
        <v>365</v>
      </c>
      <c r="J1140" s="736">
        <v>5.0999999999999996</v>
      </c>
      <c r="K1140" s="734"/>
      <c r="L1140" s="735"/>
      <c r="M1140" s="736">
        <v>4.79</v>
      </c>
      <c r="N1140" s="734"/>
      <c r="O1140" s="735"/>
      <c r="P1140" s="736">
        <v>5.12</v>
      </c>
      <c r="Q1140" s="742"/>
      <c r="R1140" s="735"/>
      <c r="S1140" s="733">
        <v>4.95</v>
      </c>
      <c r="T1140" s="736"/>
      <c r="U1140" s="735"/>
      <c r="V1140" s="733">
        <v>5.12</v>
      </c>
      <c r="W1140" s="736"/>
      <c r="X1140" s="735"/>
      <c r="Y1140" s="733">
        <v>4.95</v>
      </c>
      <c r="Z1140" s="736"/>
      <c r="AA1140" s="735"/>
      <c r="AB1140" s="733">
        <v>5.12</v>
      </c>
      <c r="AC1140" s="736"/>
      <c r="AD1140" s="735"/>
      <c r="AE1140" s="733">
        <v>5.12</v>
      </c>
      <c r="AF1140" s="734"/>
      <c r="AG1140" s="735"/>
      <c r="AH1140" s="736">
        <v>4.95</v>
      </c>
      <c r="AI1140" s="734"/>
      <c r="AJ1140" s="735"/>
      <c r="AK1140" s="736">
        <v>5.12</v>
      </c>
      <c r="AL1140" s="734"/>
      <c r="AM1140" s="735"/>
      <c r="AN1140" s="736">
        <v>4.95</v>
      </c>
      <c r="AO1140" s="734"/>
      <c r="AP1140" s="735"/>
      <c r="AQ1140" s="736">
        <v>5.12</v>
      </c>
      <c r="AR1140" s="288"/>
      <c r="AS1140" s="289"/>
      <c r="AT1140" s="294">
        <f t="shared" si="44"/>
        <v>60.41</v>
      </c>
      <c r="AU1140" s="288"/>
      <c r="AV1140" s="290"/>
      <c r="AW1140" s="285"/>
      <c r="AX1140" s="295"/>
      <c r="AY1140" s="295"/>
      <c r="AZ1140" s="357"/>
      <c r="BA1140" s="357"/>
      <c r="BB1140" s="357"/>
      <c r="BC1140" s="357"/>
    </row>
    <row r="1141" spans="1:55" s="24" customFormat="1">
      <c r="A1141" s="179"/>
      <c r="B1141" s="179"/>
      <c r="C1141" s="179"/>
      <c r="D1141" s="181">
        <v>321646</v>
      </c>
      <c r="E1141" s="181"/>
      <c r="F1141" s="181"/>
      <c r="G1141" s="1110">
        <v>321646</v>
      </c>
      <c r="H1141" s="145" t="s">
        <v>460</v>
      </c>
      <c r="I1141" s="518" t="s">
        <v>365</v>
      </c>
      <c r="J1141" s="736">
        <v>0.45</v>
      </c>
      <c r="K1141" s="734"/>
      <c r="L1141" s="735"/>
      <c r="M1141" s="736">
        <v>0.43</v>
      </c>
      <c r="N1141" s="734"/>
      <c r="O1141" s="735"/>
      <c r="P1141" s="736">
        <v>0.45</v>
      </c>
      <c r="Q1141" s="734"/>
      <c r="R1141" s="735"/>
      <c r="S1141" s="733">
        <v>0.42</v>
      </c>
      <c r="T1141" s="736"/>
      <c r="U1141" s="735"/>
      <c r="V1141" s="733">
        <v>0.46</v>
      </c>
      <c r="W1141" s="736"/>
      <c r="X1141" s="735"/>
      <c r="Y1141" s="733">
        <v>0.41</v>
      </c>
      <c r="Z1141" s="736"/>
      <c r="AA1141" s="735"/>
      <c r="AB1141" s="736">
        <v>0.52</v>
      </c>
      <c r="AC1141" s="734"/>
      <c r="AD1141" s="735"/>
      <c r="AE1141" s="733">
        <v>0.48</v>
      </c>
      <c r="AF1141" s="734"/>
      <c r="AG1141" s="735"/>
      <c r="AH1141" s="736">
        <v>0.45</v>
      </c>
      <c r="AI1141" s="734"/>
      <c r="AJ1141" s="735"/>
      <c r="AK1141" s="736">
        <v>0.48</v>
      </c>
      <c r="AL1141" s="734"/>
      <c r="AM1141" s="735"/>
      <c r="AN1141" s="736">
        <v>0.38</v>
      </c>
      <c r="AO1141" s="734"/>
      <c r="AP1141" s="735"/>
      <c r="AQ1141" s="736">
        <v>0.39</v>
      </c>
      <c r="AR1141" s="288"/>
      <c r="AS1141" s="289"/>
      <c r="AT1141" s="294">
        <f t="shared" si="44"/>
        <v>5.32</v>
      </c>
      <c r="AU1141" s="288"/>
      <c r="AV1141" s="290"/>
      <c r="AW1141" s="285"/>
      <c r="AX1141" s="295"/>
      <c r="AY1141" s="295"/>
      <c r="AZ1141" s="357"/>
      <c r="BA1141" s="357"/>
      <c r="BB1141" s="357"/>
      <c r="BC1141" s="357"/>
    </row>
    <row r="1142" spans="1:55" s="155" customFormat="1">
      <c r="A1142" s="179"/>
      <c r="B1142" s="179"/>
      <c r="C1142" s="179"/>
      <c r="D1142" s="181">
        <v>321642</v>
      </c>
      <c r="E1142" s="181"/>
      <c r="F1142" s="181"/>
      <c r="G1142" s="1110">
        <v>321642</v>
      </c>
      <c r="H1142" s="145" t="s">
        <v>1159</v>
      </c>
      <c r="I1142" s="518" t="s">
        <v>365</v>
      </c>
      <c r="J1142" s="736">
        <v>3.12</v>
      </c>
      <c r="K1142" s="734"/>
      <c r="L1142" s="735"/>
      <c r="M1142" s="736">
        <v>2.7</v>
      </c>
      <c r="N1142" s="734"/>
      <c r="O1142" s="735"/>
      <c r="P1142" s="736">
        <v>2.5</v>
      </c>
      <c r="Q1142" s="734"/>
      <c r="R1142" s="735"/>
      <c r="S1142" s="733">
        <v>0</v>
      </c>
      <c r="T1142" s="736"/>
      <c r="U1142" s="735"/>
      <c r="V1142" s="733">
        <v>0</v>
      </c>
      <c r="W1142" s="736"/>
      <c r="X1142" s="735"/>
      <c r="Y1142" s="736">
        <v>0</v>
      </c>
      <c r="Z1142" s="734"/>
      <c r="AA1142" s="735"/>
      <c r="AB1142" s="736">
        <v>0</v>
      </c>
      <c r="AC1142" s="734"/>
      <c r="AD1142" s="735"/>
      <c r="AE1142" s="733">
        <v>0</v>
      </c>
      <c r="AF1142" s="734"/>
      <c r="AG1142" s="735"/>
      <c r="AH1142" s="736">
        <v>0</v>
      </c>
      <c r="AI1142" s="734"/>
      <c r="AJ1142" s="735"/>
      <c r="AK1142" s="736">
        <v>0</v>
      </c>
      <c r="AL1142" s="734"/>
      <c r="AM1142" s="735"/>
      <c r="AN1142" s="736">
        <v>2.09</v>
      </c>
      <c r="AO1142" s="734"/>
      <c r="AP1142" s="735"/>
      <c r="AQ1142" s="736">
        <v>2.65</v>
      </c>
      <c r="AR1142" s="288"/>
      <c r="AS1142" s="289"/>
      <c r="AT1142" s="294">
        <f t="shared" si="44"/>
        <v>13.06</v>
      </c>
      <c r="AU1142" s="288"/>
      <c r="AV1142" s="290"/>
      <c r="AW1142" s="285"/>
      <c r="AX1142" s="295"/>
      <c r="AY1142" s="295"/>
      <c r="AZ1142" s="401"/>
      <c r="BA1142" s="401"/>
      <c r="BB1142" s="401"/>
      <c r="BC1142" s="401"/>
    </row>
    <row r="1143" spans="1:55" s="24" customFormat="1">
      <c r="A1143" s="179"/>
      <c r="B1143" s="179"/>
      <c r="C1143" s="179"/>
      <c r="D1143" s="181">
        <v>321628</v>
      </c>
      <c r="E1143" s="181"/>
      <c r="F1143" s="181"/>
      <c r="G1143" s="1110">
        <v>321628</v>
      </c>
      <c r="H1143" s="145" t="s">
        <v>459</v>
      </c>
      <c r="I1143" s="518" t="s">
        <v>365</v>
      </c>
      <c r="J1143" s="736">
        <v>4.4640000000000004</v>
      </c>
      <c r="K1143" s="734"/>
      <c r="L1143" s="735"/>
      <c r="M1143" s="736">
        <v>3.9649999999999999</v>
      </c>
      <c r="N1143" s="734"/>
      <c r="O1143" s="735"/>
      <c r="P1143" s="736">
        <v>4.0919999999999996</v>
      </c>
      <c r="Q1143" s="734"/>
      <c r="R1143" s="735"/>
      <c r="S1143" s="733">
        <v>1.8</v>
      </c>
      <c r="T1143" s="736"/>
      <c r="U1143" s="735"/>
      <c r="V1143" s="736">
        <v>0</v>
      </c>
      <c r="W1143" s="734"/>
      <c r="X1143" s="735"/>
      <c r="Y1143" s="736">
        <v>0</v>
      </c>
      <c r="Z1143" s="734"/>
      <c r="AA1143" s="735"/>
      <c r="AB1143" s="736">
        <v>0</v>
      </c>
      <c r="AC1143" s="734"/>
      <c r="AD1143" s="735"/>
      <c r="AE1143" s="736">
        <v>0</v>
      </c>
      <c r="AF1143" s="734"/>
      <c r="AG1143" s="735"/>
      <c r="AH1143" s="736">
        <v>0</v>
      </c>
      <c r="AI1143" s="734"/>
      <c r="AJ1143" s="735"/>
      <c r="AK1143" s="736">
        <v>2.0760000000000001</v>
      </c>
      <c r="AL1143" s="734"/>
      <c r="AM1143" s="735"/>
      <c r="AN1143" s="736">
        <v>3.8879999999999999</v>
      </c>
      <c r="AO1143" s="734"/>
      <c r="AP1143" s="735"/>
      <c r="AQ1143" s="736">
        <v>4.3150000000000004</v>
      </c>
      <c r="AR1143" s="288"/>
      <c r="AS1143" s="289"/>
      <c r="AT1143" s="294">
        <f t="shared" si="44"/>
        <v>24.600000000000005</v>
      </c>
      <c r="AU1143" s="288"/>
      <c r="AV1143" s="290"/>
      <c r="AW1143" s="285"/>
      <c r="AX1143" s="295"/>
      <c r="AY1143" s="295"/>
      <c r="AZ1143" s="357"/>
      <c r="BA1143" s="357"/>
      <c r="BB1143" s="357"/>
      <c r="BC1143" s="357"/>
    </row>
    <row r="1144" spans="1:55" s="24" customFormat="1">
      <c r="A1144" s="179"/>
      <c r="B1144" s="179"/>
      <c r="C1144" s="179"/>
      <c r="D1144" s="181">
        <v>777252</v>
      </c>
      <c r="E1144" s="181"/>
      <c r="F1144" s="181"/>
      <c r="G1144" s="1110">
        <v>777252</v>
      </c>
      <c r="H1144" s="145" t="s">
        <v>1739</v>
      </c>
      <c r="I1144" s="518" t="s">
        <v>365</v>
      </c>
      <c r="J1144" s="736">
        <v>6.2</v>
      </c>
      <c r="K1144" s="734"/>
      <c r="L1144" s="735"/>
      <c r="M1144" s="736">
        <v>6.12</v>
      </c>
      <c r="N1144" s="734"/>
      <c r="O1144" s="735"/>
      <c r="P1144" s="736">
        <v>6.2</v>
      </c>
      <c r="Q1144" s="734"/>
      <c r="R1144" s="735"/>
      <c r="S1144" s="736">
        <v>5.6</v>
      </c>
      <c r="T1144" s="734"/>
      <c r="U1144" s="735"/>
      <c r="V1144" s="736">
        <v>2.1800000000000002</v>
      </c>
      <c r="W1144" s="734"/>
      <c r="X1144" s="735"/>
      <c r="Y1144" s="736">
        <v>1.24</v>
      </c>
      <c r="Z1144" s="734"/>
      <c r="AA1144" s="735"/>
      <c r="AB1144" s="736">
        <v>0.89</v>
      </c>
      <c r="AC1144" s="734"/>
      <c r="AD1144" s="735"/>
      <c r="AE1144" s="736">
        <v>0.55000000000000004</v>
      </c>
      <c r="AF1144" s="734"/>
      <c r="AG1144" s="735"/>
      <c r="AH1144" s="736">
        <v>1.99</v>
      </c>
      <c r="AI1144" s="734"/>
      <c r="AJ1144" s="735"/>
      <c r="AK1144" s="736">
        <v>5.15</v>
      </c>
      <c r="AL1144" s="734"/>
      <c r="AM1144" s="735"/>
      <c r="AN1144" s="736">
        <v>7.63</v>
      </c>
      <c r="AO1144" s="734"/>
      <c r="AP1144" s="735"/>
      <c r="AQ1144" s="736">
        <v>6</v>
      </c>
      <c r="AR1144" s="288"/>
      <c r="AS1144" s="289"/>
      <c r="AT1144" s="294">
        <f t="shared" si="44"/>
        <v>49.75</v>
      </c>
      <c r="AU1144" s="288"/>
      <c r="AV1144" s="290"/>
      <c r="AW1144" s="285"/>
      <c r="AX1144" s="295"/>
      <c r="AY1144" s="295"/>
      <c r="AZ1144" s="357"/>
      <c r="BA1144" s="357"/>
      <c r="BB1144" s="357"/>
      <c r="BC1144" s="357"/>
    </row>
    <row r="1145" spans="1:55" s="24" customFormat="1">
      <c r="A1145" s="179"/>
      <c r="B1145" s="179"/>
      <c r="C1145" s="179"/>
      <c r="D1145" s="181"/>
      <c r="E1145" s="181"/>
      <c r="F1145" s="181"/>
      <c r="G1145" s="1110">
        <v>777368</v>
      </c>
      <c r="H1145" s="145" t="s">
        <v>1448</v>
      </c>
      <c r="I1145" s="518" t="s">
        <v>365</v>
      </c>
      <c r="J1145" s="736">
        <v>15.88</v>
      </c>
      <c r="K1145" s="734"/>
      <c r="L1145" s="735"/>
      <c r="M1145" s="736">
        <v>15.88</v>
      </c>
      <c r="N1145" s="734"/>
      <c r="O1145" s="735"/>
      <c r="P1145" s="736">
        <v>4.54</v>
      </c>
      <c r="Q1145" s="734"/>
      <c r="R1145" s="735"/>
      <c r="S1145" s="736">
        <v>3.35</v>
      </c>
      <c r="T1145" s="734"/>
      <c r="U1145" s="735"/>
      <c r="V1145" s="736">
        <v>1.1200000000000001</v>
      </c>
      <c r="W1145" s="734"/>
      <c r="X1145" s="735"/>
      <c r="Y1145" s="736">
        <v>1.1299999999999999</v>
      </c>
      <c r="Z1145" s="734"/>
      <c r="AA1145" s="735"/>
      <c r="AB1145" s="736">
        <v>1.1200000000000001</v>
      </c>
      <c r="AC1145" s="734"/>
      <c r="AD1145" s="735"/>
      <c r="AE1145" s="736">
        <v>1.1200000000000001</v>
      </c>
      <c r="AF1145" s="734"/>
      <c r="AG1145" s="735"/>
      <c r="AH1145" s="736">
        <v>1.1200000000000001</v>
      </c>
      <c r="AI1145" s="734"/>
      <c r="AJ1145" s="735"/>
      <c r="AK1145" s="736">
        <v>5.15</v>
      </c>
      <c r="AL1145" s="734"/>
      <c r="AM1145" s="735"/>
      <c r="AN1145" s="736">
        <v>14.74</v>
      </c>
      <c r="AO1145" s="734"/>
      <c r="AP1145" s="735"/>
      <c r="AQ1145" s="736">
        <v>15</v>
      </c>
      <c r="AR1145" s="288"/>
      <c r="AS1145" s="289"/>
      <c r="AT1145" s="294">
        <f t="shared" si="44"/>
        <v>80.149999999999991</v>
      </c>
      <c r="AU1145" s="288"/>
      <c r="AV1145" s="290"/>
      <c r="AW1145" s="285"/>
      <c r="AX1145" s="295"/>
      <c r="AY1145" s="295"/>
      <c r="AZ1145" s="357"/>
      <c r="BA1145" s="357"/>
      <c r="BB1145" s="357"/>
      <c r="BC1145" s="357"/>
    </row>
    <row r="1146" spans="1:55" s="24" customFormat="1">
      <c r="A1146" s="179"/>
      <c r="B1146" s="179"/>
      <c r="C1146" s="179"/>
      <c r="D1146" s="181"/>
      <c r="E1146" s="181"/>
      <c r="F1146" s="181"/>
      <c r="G1146" s="1110">
        <v>777826</v>
      </c>
      <c r="H1146" s="145" t="s">
        <v>1740</v>
      </c>
      <c r="I1146" s="518" t="s">
        <v>365</v>
      </c>
      <c r="J1146" s="736">
        <v>2.9</v>
      </c>
      <c r="K1146" s="734"/>
      <c r="L1146" s="735"/>
      <c r="M1146" s="736">
        <v>2.7</v>
      </c>
      <c r="N1146" s="734"/>
      <c r="O1146" s="735"/>
      <c r="P1146" s="736">
        <v>2.9</v>
      </c>
      <c r="Q1146" s="734"/>
      <c r="R1146" s="735"/>
      <c r="S1146" s="736">
        <v>2.8</v>
      </c>
      <c r="T1146" s="734"/>
      <c r="U1146" s="735"/>
      <c r="V1146" s="736">
        <v>2.9</v>
      </c>
      <c r="W1146" s="734"/>
      <c r="X1146" s="735"/>
      <c r="Y1146" s="736">
        <v>2.8</v>
      </c>
      <c r="Z1146" s="734"/>
      <c r="AA1146" s="735"/>
      <c r="AB1146" s="736">
        <v>2.9</v>
      </c>
      <c r="AC1146" s="734"/>
      <c r="AD1146" s="735"/>
      <c r="AE1146" s="736">
        <v>2.9</v>
      </c>
      <c r="AF1146" s="734"/>
      <c r="AG1146" s="735"/>
      <c r="AH1146" s="736">
        <v>0</v>
      </c>
      <c r="AI1146" s="734"/>
      <c r="AJ1146" s="735"/>
      <c r="AK1146" s="736">
        <v>2.9</v>
      </c>
      <c r="AL1146" s="734"/>
      <c r="AM1146" s="735"/>
      <c r="AN1146" s="736">
        <v>2.8</v>
      </c>
      <c r="AO1146" s="734"/>
      <c r="AP1146" s="735"/>
      <c r="AQ1146" s="736">
        <v>2.9</v>
      </c>
      <c r="AR1146" s="288"/>
      <c r="AS1146" s="289"/>
      <c r="AT1146" s="294">
        <f t="shared" si="44"/>
        <v>31.399999999999995</v>
      </c>
      <c r="AU1146" s="288"/>
      <c r="AV1146" s="290"/>
      <c r="AW1146" s="285"/>
      <c r="AX1146" s="295"/>
      <c r="AY1146" s="295"/>
      <c r="AZ1146" s="357"/>
      <c r="BA1146" s="357"/>
      <c r="BB1146" s="357"/>
      <c r="BC1146" s="357"/>
    </row>
    <row r="1147" spans="1:55" s="24" customFormat="1">
      <c r="A1147" s="179"/>
      <c r="B1147" s="179"/>
      <c r="C1147" s="179"/>
      <c r="D1147" s="181"/>
      <c r="E1147" s="181"/>
      <c r="F1147" s="181"/>
      <c r="G1147" s="1110">
        <v>777709</v>
      </c>
      <c r="H1147" s="145" t="s">
        <v>1741</v>
      </c>
      <c r="I1147" s="518" t="s">
        <v>365</v>
      </c>
      <c r="J1147" s="736">
        <v>12.35</v>
      </c>
      <c r="K1147" s="734"/>
      <c r="L1147" s="735"/>
      <c r="M1147" s="736">
        <v>11.87</v>
      </c>
      <c r="N1147" s="734"/>
      <c r="O1147" s="735"/>
      <c r="P1147" s="736">
        <v>12.95</v>
      </c>
      <c r="Q1147" s="734"/>
      <c r="R1147" s="735"/>
      <c r="S1147" s="736">
        <v>12.35</v>
      </c>
      <c r="T1147" s="734"/>
      <c r="U1147" s="735"/>
      <c r="V1147" s="736">
        <v>12.76</v>
      </c>
      <c r="W1147" s="734"/>
      <c r="X1147" s="735"/>
      <c r="Y1147" s="736">
        <v>12.35</v>
      </c>
      <c r="Z1147" s="734"/>
      <c r="AA1147" s="735"/>
      <c r="AB1147" s="736">
        <v>13.09</v>
      </c>
      <c r="AC1147" s="734"/>
      <c r="AD1147" s="735"/>
      <c r="AE1147" s="736">
        <v>13.28</v>
      </c>
      <c r="AF1147" s="734"/>
      <c r="AG1147" s="735"/>
      <c r="AH1147" s="736">
        <v>12.67</v>
      </c>
      <c r="AI1147" s="734"/>
      <c r="AJ1147" s="735"/>
      <c r="AK1147" s="736">
        <v>12.16</v>
      </c>
      <c r="AL1147" s="734"/>
      <c r="AM1147" s="735"/>
      <c r="AN1147" s="736">
        <v>11.77</v>
      </c>
      <c r="AO1147" s="734"/>
      <c r="AP1147" s="735"/>
      <c r="AQ1147" s="736">
        <v>12.16</v>
      </c>
      <c r="AR1147" s="288"/>
      <c r="AS1147" s="289"/>
      <c r="AT1147" s="294">
        <f t="shared" si="44"/>
        <v>149.76</v>
      </c>
      <c r="AU1147" s="288"/>
      <c r="AV1147" s="290"/>
      <c r="AW1147" s="285"/>
      <c r="AX1147" s="295"/>
      <c r="AY1147" s="295"/>
      <c r="AZ1147" s="357"/>
      <c r="BA1147" s="357"/>
      <c r="BB1147" s="357"/>
      <c r="BC1147" s="357"/>
    </row>
    <row r="1148" spans="1:55" s="24" customFormat="1">
      <c r="A1148" s="179"/>
      <c r="B1148" s="179"/>
      <c r="C1148" s="179"/>
      <c r="D1148" s="181"/>
      <c r="E1148" s="181"/>
      <c r="F1148" s="181"/>
      <c r="G1148" s="1110">
        <v>777710</v>
      </c>
      <c r="H1148" s="145" t="s">
        <v>1742</v>
      </c>
      <c r="I1148" s="518" t="s">
        <v>365</v>
      </c>
      <c r="J1148" s="736">
        <v>7.8140000000000001</v>
      </c>
      <c r="K1148" s="734"/>
      <c r="L1148" s="735"/>
      <c r="M1148" s="736">
        <v>7.0579999999999998</v>
      </c>
      <c r="N1148" s="734"/>
      <c r="O1148" s="735"/>
      <c r="P1148" s="736">
        <v>7.8140000000000001</v>
      </c>
      <c r="Q1148" s="734"/>
      <c r="R1148" s="735"/>
      <c r="S1148" s="736">
        <v>7.5620000000000003</v>
      </c>
      <c r="T1148" s="734"/>
      <c r="U1148" s="735"/>
      <c r="V1148" s="736">
        <v>7.8140000000000001</v>
      </c>
      <c r="W1148" s="734"/>
      <c r="X1148" s="735"/>
      <c r="Y1148" s="736">
        <v>7.5620000000000003</v>
      </c>
      <c r="Z1148" s="734"/>
      <c r="AA1148" s="735"/>
      <c r="AB1148" s="736">
        <v>7.8140000000000001</v>
      </c>
      <c r="AC1148" s="734"/>
      <c r="AD1148" s="735"/>
      <c r="AE1148" s="736">
        <v>7.8140000000000001</v>
      </c>
      <c r="AF1148" s="734"/>
      <c r="AG1148" s="735"/>
      <c r="AH1148" s="736">
        <v>7.5620000000000003</v>
      </c>
      <c r="AI1148" s="734"/>
      <c r="AJ1148" s="735"/>
      <c r="AK1148" s="736">
        <v>7.8140000000000001</v>
      </c>
      <c r="AL1148" s="734"/>
      <c r="AM1148" s="735"/>
      <c r="AN1148" s="736">
        <v>7.5620000000000003</v>
      </c>
      <c r="AO1148" s="734"/>
      <c r="AP1148" s="735"/>
      <c r="AQ1148" s="736">
        <v>7.8140000000000001</v>
      </c>
      <c r="AR1148" s="288"/>
      <c r="AS1148" s="289"/>
      <c r="AT1148" s="294">
        <f t="shared" si="44"/>
        <v>92.003999999999991</v>
      </c>
      <c r="AU1148" s="288"/>
      <c r="AV1148" s="290"/>
      <c r="AW1148" s="285"/>
      <c r="AX1148" s="295"/>
      <c r="AY1148" s="295"/>
      <c r="AZ1148" s="357"/>
      <c r="BA1148" s="357"/>
      <c r="BB1148" s="357"/>
      <c r="BC1148" s="357"/>
    </row>
    <row r="1149" spans="1:55" s="24" customFormat="1">
      <c r="A1149" s="179"/>
      <c r="B1149" s="179"/>
      <c r="C1149" s="179"/>
      <c r="D1149" s="181"/>
      <c r="E1149" s="181"/>
      <c r="F1149" s="181"/>
      <c r="G1149" s="1211">
        <v>777980</v>
      </c>
      <c r="H1149" s="145" t="s">
        <v>1743</v>
      </c>
      <c r="I1149" s="518" t="s">
        <v>365</v>
      </c>
      <c r="J1149" s="736">
        <v>1.86</v>
      </c>
      <c r="K1149" s="734"/>
      <c r="L1149" s="735"/>
      <c r="M1149" s="736">
        <v>1.68</v>
      </c>
      <c r="N1149" s="734"/>
      <c r="O1149" s="735"/>
      <c r="P1149" s="736">
        <v>2.23</v>
      </c>
      <c r="Q1149" s="734"/>
      <c r="R1149" s="735"/>
      <c r="S1149" s="736">
        <v>2.52</v>
      </c>
      <c r="T1149" s="734"/>
      <c r="U1149" s="735"/>
      <c r="V1149" s="736">
        <v>2.98</v>
      </c>
      <c r="W1149" s="734"/>
      <c r="X1149" s="735"/>
      <c r="Y1149" s="736">
        <v>2.88</v>
      </c>
      <c r="Z1149" s="734"/>
      <c r="AA1149" s="735"/>
      <c r="AB1149" s="736">
        <v>2.98</v>
      </c>
      <c r="AC1149" s="734"/>
      <c r="AD1149" s="735"/>
      <c r="AE1149" s="736">
        <v>1.63</v>
      </c>
      <c r="AF1149" s="734"/>
      <c r="AG1149" s="735"/>
      <c r="AH1149" s="736">
        <v>2.88</v>
      </c>
      <c r="AI1149" s="734"/>
      <c r="AJ1149" s="735"/>
      <c r="AK1149" s="736">
        <v>2.6</v>
      </c>
      <c r="AL1149" s="734"/>
      <c r="AM1149" s="735"/>
      <c r="AN1149" s="736">
        <v>2.16</v>
      </c>
      <c r="AO1149" s="734"/>
      <c r="AP1149" s="735"/>
      <c r="AQ1149" s="736">
        <v>2.23</v>
      </c>
      <c r="AR1149" s="288"/>
      <c r="AS1149" s="289"/>
      <c r="AT1149" s="294">
        <f t="shared" si="44"/>
        <v>28.63</v>
      </c>
      <c r="AU1149" s="288"/>
      <c r="AV1149" s="290"/>
      <c r="AW1149" s="285"/>
      <c r="AX1149" s="295"/>
      <c r="AY1149" s="295"/>
      <c r="AZ1149" s="357"/>
      <c r="BA1149" s="357"/>
      <c r="BB1149" s="357"/>
      <c r="BC1149" s="357"/>
    </row>
    <row r="1150" spans="1:55" s="24" customFormat="1" ht="18.75">
      <c r="A1150" s="179"/>
      <c r="B1150" s="179"/>
      <c r="C1150" s="179"/>
      <c r="D1150" s="181">
        <v>322900</v>
      </c>
      <c r="E1150" s="181"/>
      <c r="F1150" s="181"/>
      <c r="G1150" s="181">
        <v>322900</v>
      </c>
      <c r="H1150" s="474" t="s">
        <v>1624</v>
      </c>
      <c r="I1150" s="474"/>
      <c r="J1150" s="277">
        <f>SUM(J1151:J1153)</f>
        <v>333.89700000000011</v>
      </c>
      <c r="K1150" s="275">
        <f>L1150-J1150</f>
        <v>418.86723449261984</v>
      </c>
      <c r="L1150" s="276">
        <f>Потребление!D67</f>
        <v>752.76423449261995</v>
      </c>
      <c r="M1150" s="274">
        <f>SUM(M1151:M1153)</f>
        <v>289.10650000000004</v>
      </c>
      <c r="N1150" s="275">
        <f>O1150-M1150</f>
        <v>409.21983394046111</v>
      </c>
      <c r="O1150" s="276">
        <f>Потребление!E67</f>
        <v>698.32633394046115</v>
      </c>
      <c r="P1150" s="274">
        <f>SUM(P1151:P1153)</f>
        <v>300.40989999999999</v>
      </c>
      <c r="Q1150" s="275">
        <f>R1150-P1150</f>
        <v>362.62084842230001</v>
      </c>
      <c r="R1150" s="276">
        <f>Потребление!F67</f>
        <v>663.03074842230001</v>
      </c>
      <c r="S1150" s="274">
        <f>SUM(S1151:S1153)</f>
        <v>326.44669999999996</v>
      </c>
      <c r="T1150" s="275">
        <f>U1150-S1150</f>
        <v>236.88017876620006</v>
      </c>
      <c r="U1150" s="276">
        <f>Потребление!G67</f>
        <v>563.32687876620002</v>
      </c>
      <c r="V1150" s="274">
        <f>SUM(V1151:V1153)</f>
        <v>565.61009999999999</v>
      </c>
      <c r="W1150" s="275">
        <f>X1150-V1150</f>
        <v>-123.32841905549998</v>
      </c>
      <c r="X1150" s="276">
        <f>Потребление!H67</f>
        <v>442.28168094450001</v>
      </c>
      <c r="Y1150" s="274">
        <f>SUM(Y1151:Y1153)</f>
        <v>712.84539999999981</v>
      </c>
      <c r="Z1150" s="275">
        <f>AA1150-Y1150</f>
        <v>-301.44596932809981</v>
      </c>
      <c r="AA1150" s="276">
        <f>Потребление!I67</f>
        <v>411.39943067190001</v>
      </c>
      <c r="AB1150" s="274">
        <f>SUM(AB1151:AB1153)</f>
        <v>660.56739999999991</v>
      </c>
      <c r="AC1150" s="275">
        <f>AD1150-AB1150</f>
        <v>-201.76148683773994</v>
      </c>
      <c r="AD1150" s="276">
        <f>Потребление!J67</f>
        <v>458.80591316225997</v>
      </c>
      <c r="AE1150" s="274">
        <f>SUM(AE1151:AE1153)</f>
        <v>486.64930000000004</v>
      </c>
      <c r="AF1150" s="275">
        <f>AG1150-AE1150</f>
        <v>-35.39649572854006</v>
      </c>
      <c r="AG1150" s="276">
        <f>Потребление!K67</f>
        <v>451.25280427145998</v>
      </c>
      <c r="AH1150" s="274">
        <f>SUM(AH1151:AH1153)</f>
        <v>341.93550000000005</v>
      </c>
      <c r="AI1150" s="275">
        <f>AJ1150-AH1150</f>
        <v>61.13422472267996</v>
      </c>
      <c r="AJ1150" s="276">
        <f>Потребление!L67</f>
        <v>403.06972472268001</v>
      </c>
      <c r="AK1150" s="274">
        <f>SUM(AK1151:AK1153)</f>
        <v>331.84300000000007</v>
      </c>
      <c r="AL1150" s="275">
        <f>AM1150-AK1150</f>
        <v>208.68731071681987</v>
      </c>
      <c r="AM1150" s="276">
        <f>Потребление!M67</f>
        <v>540.53031071681994</v>
      </c>
      <c r="AN1150" s="274">
        <f>SUM(AN1151:AN1153)</f>
        <v>325.09969999999998</v>
      </c>
      <c r="AO1150" s="275">
        <f>AP1150-AN1150</f>
        <v>312.73464560074001</v>
      </c>
      <c r="AP1150" s="276">
        <f>Потребление!N67</f>
        <v>637.83434560073999</v>
      </c>
      <c r="AQ1150" s="274">
        <f>SUM(AQ1151:AQ1153)</f>
        <v>356.80430000000007</v>
      </c>
      <c r="AR1150" s="275">
        <f>AS1150-AQ1150</f>
        <v>400.57329428805991</v>
      </c>
      <c r="AS1150" s="276">
        <f>Потребление!O67</f>
        <v>757.37759428805998</v>
      </c>
      <c r="AT1150" s="274">
        <f>SUM(AT1151:AT1153)</f>
        <v>5031.2147999999997</v>
      </c>
      <c r="AU1150" s="275">
        <f>AV1150-AT1150</f>
        <v>1748.7852000000012</v>
      </c>
      <c r="AV1150" s="278">
        <f>L1150+O1150+R1150+U1150+X1150+AA1150+AD1150+AG1150+AJ1150+AM1150+AP1150+AS1150</f>
        <v>6780.0000000000009</v>
      </c>
      <c r="AW1150" s="279"/>
      <c r="AX1150" s="1067">
        <v>6487.71227</v>
      </c>
      <c r="AY1150" s="298">
        <f>SUM(AY1151:AY1153)</f>
        <v>4785.7151300000014</v>
      </c>
      <c r="AZ1150" s="357"/>
      <c r="BA1150" s="357"/>
      <c r="BB1150" s="357"/>
      <c r="BC1150" s="357"/>
    </row>
    <row r="1151" spans="1:55" s="110" customFormat="1">
      <c r="A1151" s="179"/>
      <c r="B1151" s="179"/>
      <c r="C1151" s="179"/>
      <c r="D1151" s="181"/>
      <c r="E1151" s="181"/>
      <c r="F1151" s="181"/>
      <c r="G1151" s="181"/>
      <c r="H1151" s="124" t="s">
        <v>56</v>
      </c>
      <c r="I1151" s="124"/>
      <c r="J1151" s="365">
        <f>J1154</f>
        <v>9.67</v>
      </c>
      <c r="K1151" s="363"/>
      <c r="L1151" s="364"/>
      <c r="M1151" s="362">
        <f>M1154</f>
        <v>9.048</v>
      </c>
      <c r="N1151" s="363"/>
      <c r="O1151" s="364"/>
      <c r="P1151" s="362">
        <f>P1154</f>
        <v>8.5559999999999992</v>
      </c>
      <c r="Q1151" s="363"/>
      <c r="R1151" s="364"/>
      <c r="S1151" s="362">
        <f>S1154</f>
        <v>3.774</v>
      </c>
      <c r="T1151" s="363"/>
      <c r="U1151" s="364"/>
      <c r="V1151" s="362">
        <f>V1154</f>
        <v>0.89300000000000002</v>
      </c>
      <c r="W1151" s="363"/>
      <c r="X1151" s="364"/>
      <c r="Y1151" s="362">
        <f>Y1154</f>
        <v>1.8</v>
      </c>
      <c r="Z1151" s="363"/>
      <c r="AA1151" s="364"/>
      <c r="AB1151" s="362">
        <f>AB1154</f>
        <v>1.8819999999999999</v>
      </c>
      <c r="AC1151" s="363"/>
      <c r="AD1151" s="364"/>
      <c r="AE1151" s="362">
        <f>AE1154</f>
        <v>1.86</v>
      </c>
      <c r="AF1151" s="363"/>
      <c r="AG1151" s="364"/>
      <c r="AH1151" s="362">
        <f>AH1154</f>
        <v>1.8</v>
      </c>
      <c r="AI1151" s="363"/>
      <c r="AJ1151" s="364"/>
      <c r="AK1151" s="362">
        <f>AK1154</f>
        <v>2.2320000000000002</v>
      </c>
      <c r="AL1151" s="363"/>
      <c r="AM1151" s="364"/>
      <c r="AN1151" s="362">
        <f>AN1154</f>
        <v>6.12</v>
      </c>
      <c r="AO1151" s="363"/>
      <c r="AP1151" s="364"/>
      <c r="AQ1151" s="362">
        <f>AQ1154</f>
        <v>9.6720000000000006</v>
      </c>
      <c r="AR1151" s="363"/>
      <c r="AS1151" s="364"/>
      <c r="AT1151" s="362">
        <f>AT1154</f>
        <v>57.306999999999988</v>
      </c>
      <c r="AU1151" s="363"/>
      <c r="AV1151" s="229"/>
      <c r="AW1151" s="226"/>
      <c r="AX1151" s="366"/>
      <c r="AY1151" s="339">
        <f>AY1154</f>
        <v>55.760596999999997</v>
      </c>
      <c r="AZ1151" s="356"/>
      <c r="BA1151" s="356"/>
      <c r="BB1151" s="356"/>
      <c r="BC1151" s="356"/>
    </row>
    <row r="1152" spans="1:55" s="110" customFormat="1">
      <c r="A1152" s="179"/>
      <c r="B1152" s="179"/>
      <c r="C1152" s="179"/>
      <c r="D1152" s="181"/>
      <c r="E1152" s="181"/>
      <c r="F1152" s="181"/>
      <c r="G1152" s="181"/>
      <c r="H1152" s="124" t="s">
        <v>55</v>
      </c>
      <c r="I1152" s="124"/>
      <c r="J1152" s="365">
        <f>SUM(J1155:J1159,J1162:J1165)</f>
        <v>324.16700000000009</v>
      </c>
      <c r="K1152" s="363"/>
      <c r="L1152" s="364"/>
      <c r="M1152" s="362">
        <f>SUM(M1155:M1159,M1162:M1165)</f>
        <v>279.98850000000004</v>
      </c>
      <c r="N1152" s="363"/>
      <c r="O1152" s="364"/>
      <c r="P1152" s="362">
        <f>SUM(P1155:P1159,P1162:P1165)</f>
        <v>291.78390000000002</v>
      </c>
      <c r="Q1152" s="363"/>
      <c r="R1152" s="364"/>
      <c r="S1152" s="362">
        <f>SUM(S1155:S1159,S1162:S1165)</f>
        <v>322.54269999999997</v>
      </c>
      <c r="T1152" s="363"/>
      <c r="U1152" s="364"/>
      <c r="V1152" s="362">
        <f>SUM(V1155:V1159,V1162:V1165)</f>
        <v>564.5471</v>
      </c>
      <c r="W1152" s="363"/>
      <c r="X1152" s="364"/>
      <c r="Y1152" s="362">
        <f>SUM(Y1155:Y1159,Y1162:Y1165)</f>
        <v>710.88539999999989</v>
      </c>
      <c r="Z1152" s="363"/>
      <c r="AA1152" s="364"/>
      <c r="AB1152" s="362">
        <f>SUM(AB1155:AB1159,AB1162:AB1165)</f>
        <v>658.5154</v>
      </c>
      <c r="AC1152" s="363"/>
      <c r="AD1152" s="364"/>
      <c r="AE1152" s="362">
        <f>SUM(AE1155:AE1159,AE1162:AE1165)</f>
        <v>484.6293</v>
      </c>
      <c r="AF1152" s="363"/>
      <c r="AG1152" s="364"/>
      <c r="AH1152" s="362">
        <f>SUM(AH1155:AH1159,AH1162:AH1165)</f>
        <v>339.99550000000005</v>
      </c>
      <c r="AI1152" s="363"/>
      <c r="AJ1152" s="364"/>
      <c r="AK1152" s="362">
        <f>SUM(AK1155:AK1159,AK1162:AK1165)</f>
        <v>329.50100000000003</v>
      </c>
      <c r="AL1152" s="363"/>
      <c r="AM1152" s="364"/>
      <c r="AN1152" s="362">
        <f>SUM(AN1155:AN1159,AN1162:AN1165)</f>
        <v>318.92969999999997</v>
      </c>
      <c r="AO1152" s="363"/>
      <c r="AP1152" s="364"/>
      <c r="AQ1152" s="362">
        <f>SUM(AQ1155:AQ1159,AQ1162:AQ1165)</f>
        <v>347.08230000000003</v>
      </c>
      <c r="AR1152" s="363"/>
      <c r="AS1152" s="364"/>
      <c r="AT1152" s="362">
        <f>SUM(AT1155:AT1159,AT1162:AT1165)</f>
        <v>4972.5677999999998</v>
      </c>
      <c r="AU1152" s="363"/>
      <c r="AV1152" s="229"/>
      <c r="AW1152" s="226"/>
      <c r="AX1152" s="366"/>
      <c r="AY1152" s="339">
        <f>SUM(AY1155:AY1159,AY1162:AY1165)</f>
        <v>4729.954533000001</v>
      </c>
      <c r="AZ1152" s="356"/>
      <c r="BA1152" s="356"/>
      <c r="BB1152" s="356"/>
      <c r="BC1152" s="356"/>
    </row>
    <row r="1153" spans="1:55" s="110" customFormat="1">
      <c r="A1153" s="179"/>
      <c r="B1153" s="179"/>
      <c r="C1153" s="179"/>
      <c r="D1153" s="181"/>
      <c r="E1153" s="181"/>
      <c r="F1153" s="181"/>
      <c r="G1153" s="181"/>
      <c r="H1153" s="467" t="s">
        <v>347</v>
      </c>
      <c r="I1153" s="124"/>
      <c r="J1153" s="365">
        <f>J1166</f>
        <v>0.06</v>
      </c>
      <c r="K1153" s="363"/>
      <c r="L1153" s="364"/>
      <c r="M1153" s="362">
        <f>M1166</f>
        <v>7.0000000000000007E-2</v>
      </c>
      <c r="N1153" s="363"/>
      <c r="O1153" s="364"/>
      <c r="P1153" s="362">
        <f>P1166</f>
        <v>7.0000000000000007E-2</v>
      </c>
      <c r="Q1153" s="363"/>
      <c r="R1153" s="364"/>
      <c r="S1153" s="362">
        <f>S1166</f>
        <v>0.13</v>
      </c>
      <c r="T1153" s="363"/>
      <c r="U1153" s="364"/>
      <c r="V1153" s="362">
        <f>V1166</f>
        <v>0.17</v>
      </c>
      <c r="W1153" s="363"/>
      <c r="X1153" s="364"/>
      <c r="Y1153" s="362">
        <f>Y1166</f>
        <v>0.16</v>
      </c>
      <c r="Z1153" s="363"/>
      <c r="AA1153" s="364"/>
      <c r="AB1153" s="362">
        <f>AB1166</f>
        <v>0.17</v>
      </c>
      <c r="AC1153" s="363"/>
      <c r="AD1153" s="364"/>
      <c r="AE1153" s="362">
        <f>AE1166</f>
        <v>0.16</v>
      </c>
      <c r="AF1153" s="363"/>
      <c r="AG1153" s="364"/>
      <c r="AH1153" s="362">
        <f>AH1166</f>
        <v>0.14000000000000001</v>
      </c>
      <c r="AI1153" s="363"/>
      <c r="AJ1153" s="364"/>
      <c r="AK1153" s="362">
        <f>AK1166</f>
        <v>0.11</v>
      </c>
      <c r="AL1153" s="363"/>
      <c r="AM1153" s="364"/>
      <c r="AN1153" s="362">
        <f>AN1166</f>
        <v>0.05</v>
      </c>
      <c r="AO1153" s="363"/>
      <c r="AP1153" s="364"/>
      <c r="AQ1153" s="362">
        <f>AQ1166</f>
        <v>0.05</v>
      </c>
      <c r="AR1153" s="363"/>
      <c r="AS1153" s="364"/>
      <c r="AT1153" s="362">
        <f>AT1166</f>
        <v>1.3400000000000003</v>
      </c>
      <c r="AU1153" s="363"/>
      <c r="AV1153" s="229"/>
      <c r="AW1153" s="226"/>
      <c r="AX1153" s="407"/>
      <c r="AY1153" s="339">
        <f>AY1166</f>
        <v>0</v>
      </c>
      <c r="AZ1153" s="356"/>
      <c r="BA1153" s="356"/>
      <c r="BB1153" s="356"/>
      <c r="BC1153" s="356"/>
    </row>
    <row r="1154" spans="1:55" s="110" customFormat="1">
      <c r="A1154" s="1048"/>
      <c r="B1154" s="1048"/>
      <c r="C1154" s="1048"/>
      <c r="D1154" s="1035">
        <v>322910</v>
      </c>
      <c r="E1154" s="1035"/>
      <c r="F1154" s="1035"/>
      <c r="G1154" s="1110">
        <v>322910</v>
      </c>
      <c r="H1154" s="125" t="s">
        <v>330</v>
      </c>
      <c r="I1154" s="516" t="s">
        <v>364</v>
      </c>
      <c r="J1154" s="281">
        <v>9.67</v>
      </c>
      <c r="K1154" s="323"/>
      <c r="L1154" s="324"/>
      <c r="M1154" s="244">
        <v>9.048</v>
      </c>
      <c r="N1154" s="246"/>
      <c r="O1154" s="282"/>
      <c r="P1154" s="244">
        <v>8.5559999999999992</v>
      </c>
      <c r="Q1154" s="246"/>
      <c r="R1154" s="282"/>
      <c r="S1154" s="244">
        <v>3.774</v>
      </c>
      <c r="T1154" s="246"/>
      <c r="U1154" s="282"/>
      <c r="V1154" s="244">
        <v>0.89300000000000002</v>
      </c>
      <c r="W1154" s="246"/>
      <c r="X1154" s="282"/>
      <c r="Y1154" s="244">
        <v>1.8</v>
      </c>
      <c r="Z1154" s="246"/>
      <c r="AA1154" s="282"/>
      <c r="AB1154" s="244">
        <v>1.8819999999999999</v>
      </c>
      <c r="AC1154" s="246"/>
      <c r="AD1154" s="282"/>
      <c r="AE1154" s="244">
        <v>1.86</v>
      </c>
      <c r="AF1154" s="246"/>
      <c r="AG1154" s="282"/>
      <c r="AH1154" s="244">
        <v>1.8</v>
      </c>
      <c r="AI1154" s="246"/>
      <c r="AJ1154" s="282"/>
      <c r="AK1154" s="244">
        <v>2.2320000000000002</v>
      </c>
      <c r="AL1154" s="246"/>
      <c r="AM1154" s="282"/>
      <c r="AN1154" s="244">
        <v>6.12</v>
      </c>
      <c r="AO1154" s="246"/>
      <c r="AP1154" s="282"/>
      <c r="AQ1154" s="244">
        <v>9.6720000000000006</v>
      </c>
      <c r="AR1154" s="246"/>
      <c r="AS1154" s="282"/>
      <c r="AT1154" s="244">
        <f t="shared" ref="AT1154:AT1166" si="45">J1154+M1154+P1154+S1154+V1154+Y1154+AB1154+AE1154+AH1154+AK1154+AN1154+AQ1154</f>
        <v>57.306999999999988</v>
      </c>
      <c r="AU1154" s="246"/>
      <c r="AV1154" s="336"/>
      <c r="AW1154" s="285"/>
      <c r="AX1154" s="375"/>
      <c r="AY1154" s="438">
        <v>55.760596999999997</v>
      </c>
      <c r="AZ1154" s="356"/>
      <c r="BA1154" s="356"/>
      <c r="BB1154" s="356"/>
      <c r="BC1154" s="356"/>
    </row>
    <row r="1155" spans="1:55" s="24" customFormat="1">
      <c r="A1155" s="1048"/>
      <c r="B1155" s="1048"/>
      <c r="C1155" s="1048"/>
      <c r="D1155" s="1035">
        <v>322934</v>
      </c>
      <c r="E1155" s="1035"/>
      <c r="F1155" s="1035"/>
      <c r="G1155" s="1110">
        <v>322934</v>
      </c>
      <c r="H1155" s="125" t="s">
        <v>661</v>
      </c>
      <c r="I1155" s="516" t="s">
        <v>364</v>
      </c>
      <c r="J1155" s="638">
        <f>ГЭС!C116</f>
        <v>173.113</v>
      </c>
      <c r="K1155" s="521"/>
      <c r="L1155" s="522"/>
      <c r="M1155" s="638">
        <f>ГЭС!D116</f>
        <v>148.47399999999999</v>
      </c>
      <c r="N1155" s="521"/>
      <c r="O1155" s="522"/>
      <c r="P1155" s="638">
        <f>ГЭС!E116</f>
        <v>131.279</v>
      </c>
      <c r="Q1155" s="521"/>
      <c r="R1155" s="522"/>
      <c r="S1155" s="638">
        <f>ГЭС!G116</f>
        <v>133.57400000000001</v>
      </c>
      <c r="T1155" s="521"/>
      <c r="U1155" s="522"/>
      <c r="V1155" s="638">
        <f>ГЭС!H116</f>
        <v>202.69499999999999</v>
      </c>
      <c r="W1155" s="521"/>
      <c r="X1155" s="522"/>
      <c r="Y1155" s="638">
        <f>ГЭС!I116</f>
        <v>287.94900000000001</v>
      </c>
      <c r="Z1155" s="521"/>
      <c r="AA1155" s="522"/>
      <c r="AB1155" s="638">
        <f>ГЭС!K116</f>
        <v>278.02600000000001</v>
      </c>
      <c r="AC1155" s="521"/>
      <c r="AD1155" s="522"/>
      <c r="AE1155" s="638">
        <f>ГЭС!L116</f>
        <v>223.96600000000001</v>
      </c>
      <c r="AF1155" s="521"/>
      <c r="AG1155" s="522"/>
      <c r="AH1155" s="638">
        <f>ГЭС!M116</f>
        <v>160.352</v>
      </c>
      <c r="AI1155" s="521"/>
      <c r="AJ1155" s="522"/>
      <c r="AK1155" s="638">
        <f>ГЭС!O116</f>
        <v>160.9</v>
      </c>
      <c r="AL1155" s="521"/>
      <c r="AM1155" s="522"/>
      <c r="AN1155" s="638">
        <f>ГЭС!P116</f>
        <v>164.99199999999999</v>
      </c>
      <c r="AO1155" s="521"/>
      <c r="AP1155" s="522"/>
      <c r="AQ1155" s="638">
        <f>ГЭС!Q116</f>
        <v>187.70099999999999</v>
      </c>
      <c r="AR1155" s="246"/>
      <c r="AS1155" s="282"/>
      <c r="AT1155" s="638">
        <f t="shared" si="45"/>
        <v>2253.0210000000002</v>
      </c>
      <c r="AU1155" s="246"/>
      <c r="AV1155" s="336"/>
      <c r="AW1155" s="285"/>
      <c r="AX1155" s="375"/>
      <c r="AY1155" s="438">
        <v>1974.5929980000001</v>
      </c>
      <c r="AZ1155" s="357"/>
      <c r="BA1155" s="357"/>
      <c r="BB1155" s="357"/>
      <c r="BC1155" s="357"/>
    </row>
    <row r="1156" spans="1:55" s="24" customFormat="1">
      <c r="A1156" s="1048"/>
      <c r="B1156" s="1048"/>
      <c r="C1156" s="1048"/>
      <c r="D1156" s="1035">
        <v>322940</v>
      </c>
      <c r="E1156" s="1035"/>
      <c r="F1156" s="1035"/>
      <c r="G1156" s="1110">
        <v>322940</v>
      </c>
      <c r="H1156" s="125" t="s">
        <v>662</v>
      </c>
      <c r="I1156" s="516" t="s">
        <v>364</v>
      </c>
      <c r="J1156" s="638">
        <f>ГЭС!C117</f>
        <v>56.002000000000002</v>
      </c>
      <c r="K1156" s="521"/>
      <c r="L1156" s="522"/>
      <c r="M1156" s="638">
        <f>ГЭС!D117</f>
        <v>45.776000000000003</v>
      </c>
      <c r="N1156" s="521"/>
      <c r="O1156" s="522"/>
      <c r="P1156" s="638">
        <f>ГЭС!E117</f>
        <v>69.424000000000007</v>
      </c>
      <c r="Q1156" s="521"/>
      <c r="R1156" s="522"/>
      <c r="S1156" s="638">
        <f>ГЭС!G117</f>
        <v>75.605999999999995</v>
      </c>
      <c r="T1156" s="521"/>
      <c r="U1156" s="522"/>
      <c r="V1156" s="638">
        <f>ГЭС!H117</f>
        <v>173.74799999999999</v>
      </c>
      <c r="W1156" s="521"/>
      <c r="X1156" s="522"/>
      <c r="Y1156" s="638">
        <f>ГЭС!I117</f>
        <v>212.41</v>
      </c>
      <c r="Z1156" s="521"/>
      <c r="AA1156" s="522"/>
      <c r="AB1156" s="638">
        <f>ГЭС!K117</f>
        <v>193.74600000000001</v>
      </c>
      <c r="AC1156" s="521"/>
      <c r="AD1156" s="522"/>
      <c r="AE1156" s="638">
        <f>ГЭС!L117</f>
        <v>122.69</v>
      </c>
      <c r="AF1156" s="521"/>
      <c r="AG1156" s="522"/>
      <c r="AH1156" s="638">
        <f>ГЭС!M117</f>
        <v>86.93</v>
      </c>
      <c r="AI1156" s="521"/>
      <c r="AJ1156" s="522"/>
      <c r="AK1156" s="638">
        <f>ГЭС!O117</f>
        <v>79.484999999999999</v>
      </c>
      <c r="AL1156" s="521"/>
      <c r="AM1156" s="522"/>
      <c r="AN1156" s="638">
        <f>ГЭС!P117</f>
        <v>54.997999999999998</v>
      </c>
      <c r="AO1156" s="521"/>
      <c r="AP1156" s="522"/>
      <c r="AQ1156" s="638">
        <f>ГЭС!Q117</f>
        <v>61.959000000000003</v>
      </c>
      <c r="AR1156" s="246"/>
      <c r="AS1156" s="282"/>
      <c r="AT1156" s="638">
        <f t="shared" si="45"/>
        <v>1232.7740000000001</v>
      </c>
      <c r="AU1156" s="246"/>
      <c r="AV1156" s="336"/>
      <c r="AW1156" s="285"/>
      <c r="AX1156" s="375"/>
      <c r="AY1156" s="438">
        <v>1359.086104</v>
      </c>
      <c r="AZ1156" s="357"/>
      <c r="BA1156" s="357"/>
      <c r="BB1156" s="357"/>
      <c r="BC1156" s="357"/>
    </row>
    <row r="1157" spans="1:55" s="24" customFormat="1">
      <c r="A1157" s="1048"/>
      <c r="B1157" s="1048"/>
      <c r="C1157" s="1048"/>
      <c r="D1157" s="1035">
        <v>322937</v>
      </c>
      <c r="E1157" s="1035"/>
      <c r="F1157" s="1035"/>
      <c r="G1157" s="1110">
        <v>322937</v>
      </c>
      <c r="H1157" s="125" t="s">
        <v>663</v>
      </c>
      <c r="I1157" s="516" t="s">
        <v>364</v>
      </c>
      <c r="J1157" s="638">
        <f>ГЭС!C118</f>
        <v>51.816000000000003</v>
      </c>
      <c r="K1157" s="521"/>
      <c r="L1157" s="522"/>
      <c r="M1157" s="638">
        <f>ГЭС!D118</f>
        <v>46.843000000000004</v>
      </c>
      <c r="N1157" s="521"/>
      <c r="O1157" s="522"/>
      <c r="P1157" s="638">
        <f>ГЭС!E118</f>
        <v>45.277000000000001</v>
      </c>
      <c r="Q1157" s="521"/>
      <c r="R1157" s="522"/>
      <c r="S1157" s="638">
        <f>ГЭС!G118</f>
        <v>45.344000000000001</v>
      </c>
      <c r="T1157" s="521"/>
      <c r="U1157" s="522"/>
      <c r="V1157" s="638">
        <f>ГЭС!H118</f>
        <v>64.346999999999994</v>
      </c>
      <c r="W1157" s="521"/>
      <c r="X1157" s="522"/>
      <c r="Y1157" s="638">
        <f>ГЭС!I118</f>
        <v>74.793999999999997</v>
      </c>
      <c r="Z1157" s="521"/>
      <c r="AA1157" s="522"/>
      <c r="AB1157" s="638">
        <f>ГЭС!K118</f>
        <v>66.933000000000007</v>
      </c>
      <c r="AC1157" s="521"/>
      <c r="AD1157" s="522"/>
      <c r="AE1157" s="638">
        <f>ГЭС!L118</f>
        <v>55.39</v>
      </c>
      <c r="AF1157" s="521"/>
      <c r="AG1157" s="522"/>
      <c r="AH1157" s="638">
        <f>ГЭС!M118</f>
        <v>41.7</v>
      </c>
      <c r="AI1157" s="521"/>
      <c r="AJ1157" s="522"/>
      <c r="AK1157" s="638">
        <f>ГЭС!O118</f>
        <v>43.4</v>
      </c>
      <c r="AL1157" s="521"/>
      <c r="AM1157" s="522"/>
      <c r="AN1157" s="638">
        <f>ГЭС!P118</f>
        <v>46.511000000000003</v>
      </c>
      <c r="AO1157" s="521"/>
      <c r="AP1157" s="522"/>
      <c r="AQ1157" s="638">
        <f>ГЭС!Q118</f>
        <v>53.152000000000001</v>
      </c>
      <c r="AR1157" s="246"/>
      <c r="AS1157" s="282"/>
      <c r="AT1157" s="638">
        <f t="shared" si="45"/>
        <v>635.50699999999995</v>
      </c>
      <c r="AU1157" s="246"/>
      <c r="AV1157" s="336"/>
      <c r="AW1157" s="285"/>
      <c r="AX1157" s="375"/>
      <c r="AY1157" s="438">
        <v>618.23089500000003</v>
      </c>
      <c r="AZ1157" s="357"/>
      <c r="BA1157" s="357"/>
      <c r="BB1157" s="357"/>
      <c r="BC1157" s="357"/>
    </row>
    <row r="1158" spans="1:55" s="24" customFormat="1">
      <c r="A1158" s="1048"/>
      <c r="B1158" s="1048"/>
      <c r="C1158" s="1048"/>
      <c r="D1158" s="1035">
        <v>777011</v>
      </c>
      <c r="E1158" s="1035"/>
      <c r="F1158" s="1035"/>
      <c r="G1158" s="1110">
        <v>777011</v>
      </c>
      <c r="H1158" s="125" t="s">
        <v>664</v>
      </c>
      <c r="I1158" s="516" t="s">
        <v>364</v>
      </c>
      <c r="J1158" s="638">
        <f>ГЭС!C119</f>
        <v>8.2949999999999999</v>
      </c>
      <c r="K1158" s="521"/>
      <c r="L1158" s="522"/>
      <c r="M1158" s="638">
        <f>ГЭС!D119</f>
        <v>6.7850000000000001</v>
      </c>
      <c r="N1158" s="521"/>
      <c r="O1158" s="522"/>
      <c r="P1158" s="638">
        <f>ГЭС!E119</f>
        <v>13.912000000000001</v>
      </c>
      <c r="Q1158" s="521"/>
      <c r="R1158" s="522"/>
      <c r="S1158" s="638">
        <f>ГЭС!G119</f>
        <v>29.536999999999999</v>
      </c>
      <c r="T1158" s="521"/>
      <c r="U1158" s="522"/>
      <c r="V1158" s="638">
        <f>ГЭС!H119</f>
        <v>55.247</v>
      </c>
      <c r="W1158" s="521"/>
      <c r="X1158" s="522"/>
      <c r="Y1158" s="638">
        <f>ГЭС!I119</f>
        <v>60.366999999999997</v>
      </c>
      <c r="Z1158" s="521"/>
      <c r="AA1158" s="522"/>
      <c r="AB1158" s="638">
        <f>ГЭС!K119</f>
        <v>49.055999999999997</v>
      </c>
      <c r="AC1158" s="521"/>
      <c r="AD1158" s="522"/>
      <c r="AE1158" s="638">
        <f>ГЭС!L119</f>
        <v>26.164999999999999</v>
      </c>
      <c r="AF1158" s="521"/>
      <c r="AG1158" s="522"/>
      <c r="AH1158" s="638">
        <f>ГЭС!M119</f>
        <v>10.529</v>
      </c>
      <c r="AI1158" s="521"/>
      <c r="AJ1158" s="522"/>
      <c r="AK1158" s="638">
        <f>ГЭС!O119</f>
        <v>8.0909999999999993</v>
      </c>
      <c r="AL1158" s="521"/>
      <c r="AM1158" s="522"/>
      <c r="AN1158" s="638">
        <f>ГЭС!P119</f>
        <v>16.876000000000001</v>
      </c>
      <c r="AO1158" s="521"/>
      <c r="AP1158" s="522"/>
      <c r="AQ1158" s="638">
        <f>ГЭС!Q119</f>
        <v>6.4340000000000002</v>
      </c>
      <c r="AR1158" s="246"/>
      <c r="AS1158" s="282"/>
      <c r="AT1158" s="638">
        <f t="shared" si="45"/>
        <v>291.29400000000004</v>
      </c>
      <c r="AU1158" s="246"/>
      <c r="AV1158" s="336"/>
      <c r="AW1158" s="285"/>
      <c r="AX1158" s="375"/>
      <c r="AY1158" s="438">
        <v>276.891997</v>
      </c>
      <c r="AZ1158" s="357"/>
      <c r="BA1158" s="357"/>
      <c r="BB1158" s="357"/>
      <c r="BC1158" s="357"/>
    </row>
    <row r="1159" spans="1:55" s="24" customFormat="1">
      <c r="A1159" s="1048"/>
      <c r="B1159" s="1048"/>
      <c r="C1159" s="1048"/>
      <c r="D1159" s="1035"/>
      <c r="E1159" s="1035"/>
      <c r="F1159" s="1035"/>
      <c r="G1159" s="1110"/>
      <c r="H1159" s="141" t="s">
        <v>811</v>
      </c>
      <c r="I1159" s="516" t="s">
        <v>364</v>
      </c>
      <c r="J1159" s="262">
        <f>J1160+J1161</f>
        <v>31.1</v>
      </c>
      <c r="K1159" s="323"/>
      <c r="L1159" s="324"/>
      <c r="M1159" s="317">
        <f>M1160+M1161</f>
        <v>27.6</v>
      </c>
      <c r="N1159" s="323"/>
      <c r="O1159" s="324"/>
      <c r="P1159" s="317">
        <f>P1160+P1161</f>
        <v>25.900000000000002</v>
      </c>
      <c r="Q1159" s="323"/>
      <c r="R1159" s="324"/>
      <c r="S1159" s="317">
        <f>S1160+S1161</f>
        <v>30.200000000000003</v>
      </c>
      <c r="T1159" s="323"/>
      <c r="U1159" s="324"/>
      <c r="V1159" s="317">
        <f>V1160+V1161</f>
        <v>44.699999999999996</v>
      </c>
      <c r="W1159" s="323"/>
      <c r="X1159" s="324"/>
      <c r="Y1159" s="317">
        <f>Y1160+Y1161</f>
        <v>47.300000000000004</v>
      </c>
      <c r="Z1159" s="323"/>
      <c r="AA1159" s="324"/>
      <c r="AB1159" s="317">
        <f>AB1160+AB1161</f>
        <v>46.5</v>
      </c>
      <c r="AC1159" s="323"/>
      <c r="AD1159" s="324"/>
      <c r="AE1159" s="317">
        <f>AE1160+AE1161</f>
        <v>39.9</v>
      </c>
      <c r="AF1159" s="323"/>
      <c r="AG1159" s="324"/>
      <c r="AH1159" s="317">
        <f>AH1160+AH1161</f>
        <v>30.299999999999997</v>
      </c>
      <c r="AI1159" s="323"/>
      <c r="AJ1159" s="324"/>
      <c r="AK1159" s="317">
        <f>AK1160+AK1161</f>
        <v>28.6</v>
      </c>
      <c r="AL1159" s="323"/>
      <c r="AM1159" s="324"/>
      <c r="AN1159" s="317">
        <f>AN1160+AN1161</f>
        <v>29.1</v>
      </c>
      <c r="AO1159" s="323"/>
      <c r="AP1159" s="324"/>
      <c r="AQ1159" s="317">
        <f>AQ1160+AQ1161</f>
        <v>33.299999999999997</v>
      </c>
      <c r="AR1159" s="323"/>
      <c r="AS1159" s="324"/>
      <c r="AT1159" s="317">
        <f>AT1160+AT1161</f>
        <v>414.5</v>
      </c>
      <c r="AU1159" s="323"/>
      <c r="AV1159" s="325"/>
      <c r="AW1159" s="226"/>
      <c r="AX1159" s="402"/>
      <c r="AY1159" s="327">
        <f>AY1160+AY1161</f>
        <v>384.23242699999997</v>
      </c>
      <c r="AZ1159" s="357"/>
      <c r="BA1159" s="357"/>
      <c r="BB1159" s="357"/>
      <c r="BC1159" s="357"/>
    </row>
    <row r="1160" spans="1:55" s="24" customFormat="1">
      <c r="A1160" s="1048"/>
      <c r="B1160" s="1048"/>
      <c r="C1160" s="1048"/>
      <c r="D1160" s="1035">
        <v>322930</v>
      </c>
      <c r="E1160" s="1035"/>
      <c r="F1160" s="1035"/>
      <c r="G1160" s="1110">
        <v>322930</v>
      </c>
      <c r="H1160" s="125" t="s">
        <v>665</v>
      </c>
      <c r="I1160" s="125"/>
      <c r="J1160" s="587">
        <v>28.1</v>
      </c>
      <c r="K1160" s="521"/>
      <c r="L1160" s="522"/>
      <c r="M1160" s="587">
        <v>25.1</v>
      </c>
      <c r="N1160" s="521"/>
      <c r="O1160" s="522"/>
      <c r="P1160" s="587">
        <v>23.6</v>
      </c>
      <c r="Q1160" s="521"/>
      <c r="R1160" s="522"/>
      <c r="S1160" s="587">
        <v>27.6</v>
      </c>
      <c r="T1160" s="521"/>
      <c r="U1160" s="522"/>
      <c r="V1160" s="587">
        <v>40.799999999999997</v>
      </c>
      <c r="W1160" s="521"/>
      <c r="X1160" s="522"/>
      <c r="Y1160" s="587">
        <v>43.1</v>
      </c>
      <c r="Z1160" s="521"/>
      <c r="AA1160" s="522"/>
      <c r="AB1160" s="587">
        <v>42.4</v>
      </c>
      <c r="AC1160" s="521"/>
      <c r="AD1160" s="522"/>
      <c r="AE1160" s="587">
        <v>37</v>
      </c>
      <c r="AF1160" s="521"/>
      <c r="AG1160" s="522"/>
      <c r="AH1160" s="587">
        <v>28.4</v>
      </c>
      <c r="AI1160" s="521"/>
      <c r="AJ1160" s="522"/>
      <c r="AK1160" s="587">
        <v>27.1</v>
      </c>
      <c r="AL1160" s="521"/>
      <c r="AM1160" s="522"/>
      <c r="AN1160" s="587">
        <v>27.3</v>
      </c>
      <c r="AO1160" s="521"/>
      <c r="AP1160" s="522"/>
      <c r="AQ1160" s="587">
        <v>30.7</v>
      </c>
      <c r="AR1160" s="246"/>
      <c r="AS1160" s="282"/>
      <c r="AT1160" s="587">
        <f t="shared" si="45"/>
        <v>381.2</v>
      </c>
      <c r="AU1160" s="246"/>
      <c r="AV1160" s="336"/>
      <c r="AW1160" s="285"/>
      <c r="AX1160" s="375"/>
      <c r="AY1160" s="438">
        <v>365.46499699999998</v>
      </c>
      <c r="AZ1160" s="357"/>
      <c r="BA1160" s="357"/>
      <c r="BB1160" s="357"/>
      <c r="BC1160" s="357"/>
    </row>
    <row r="1161" spans="1:55" s="24" customFormat="1">
      <c r="A1161" s="1048"/>
      <c r="B1161" s="1048"/>
      <c r="C1161" s="1048"/>
      <c r="D1161" s="1035">
        <v>322931</v>
      </c>
      <c r="E1161" s="1035"/>
      <c r="F1161" s="1035"/>
      <c r="G1161" s="1110">
        <v>322931</v>
      </c>
      <c r="H1161" s="125" t="s">
        <v>666</v>
      </c>
      <c r="I1161" s="125"/>
      <c r="J1161" s="587">
        <v>3</v>
      </c>
      <c r="K1161" s="521"/>
      <c r="L1161" s="522"/>
      <c r="M1161" s="587">
        <v>2.5</v>
      </c>
      <c r="N1161" s="521"/>
      <c r="O1161" s="522"/>
      <c r="P1161" s="587">
        <v>2.2999999999999998</v>
      </c>
      <c r="Q1161" s="521"/>
      <c r="R1161" s="522"/>
      <c r="S1161" s="587">
        <v>2.6</v>
      </c>
      <c r="T1161" s="521"/>
      <c r="U1161" s="522"/>
      <c r="V1161" s="587">
        <v>3.9</v>
      </c>
      <c r="W1161" s="521"/>
      <c r="X1161" s="522"/>
      <c r="Y1161" s="587">
        <v>4.2</v>
      </c>
      <c r="Z1161" s="521"/>
      <c r="AA1161" s="522"/>
      <c r="AB1161" s="587">
        <v>4.0999999999999996</v>
      </c>
      <c r="AC1161" s="521"/>
      <c r="AD1161" s="522"/>
      <c r="AE1161" s="587">
        <v>2.9</v>
      </c>
      <c r="AF1161" s="521"/>
      <c r="AG1161" s="522"/>
      <c r="AH1161" s="587">
        <v>1.9</v>
      </c>
      <c r="AI1161" s="521"/>
      <c r="AJ1161" s="522"/>
      <c r="AK1161" s="587">
        <v>1.5</v>
      </c>
      <c r="AL1161" s="521"/>
      <c r="AM1161" s="522"/>
      <c r="AN1161" s="587">
        <v>1.8</v>
      </c>
      <c r="AO1161" s="521"/>
      <c r="AP1161" s="522"/>
      <c r="AQ1161" s="587">
        <v>2.6</v>
      </c>
      <c r="AR1161" s="246"/>
      <c r="AS1161" s="282"/>
      <c r="AT1161" s="587">
        <f t="shared" si="45"/>
        <v>33.299999999999997</v>
      </c>
      <c r="AU1161" s="246"/>
      <c r="AV1161" s="336"/>
      <c r="AW1161" s="285"/>
      <c r="AX1161" s="375"/>
      <c r="AY1161" s="438">
        <v>18.767430000000001</v>
      </c>
      <c r="AZ1161" s="357"/>
      <c r="BA1161" s="357"/>
      <c r="BB1161" s="357"/>
      <c r="BC1161" s="357"/>
    </row>
    <row r="1162" spans="1:55" s="24" customFormat="1">
      <c r="A1162" s="1048"/>
      <c r="B1162" s="1048"/>
      <c r="C1162" s="1048"/>
      <c r="D1162" s="1035">
        <v>322941</v>
      </c>
      <c r="E1162" s="1035"/>
      <c r="F1162" s="1035"/>
      <c r="G1162" s="1110">
        <v>322941</v>
      </c>
      <c r="H1162" s="125" t="s">
        <v>667</v>
      </c>
      <c r="I1162" s="516" t="s">
        <v>364</v>
      </c>
      <c r="J1162" s="638">
        <f>ГЭС!C123</f>
        <v>1.8480000000000001</v>
      </c>
      <c r="K1162" s="521"/>
      <c r="L1162" s="522"/>
      <c r="M1162" s="638">
        <f>ГЭС!D123</f>
        <v>2.8570000000000002</v>
      </c>
      <c r="N1162" s="521"/>
      <c r="O1162" s="522"/>
      <c r="P1162" s="638">
        <f>ГЭС!E123</f>
        <v>4.43</v>
      </c>
      <c r="Q1162" s="521"/>
      <c r="R1162" s="522"/>
      <c r="S1162" s="638">
        <f>ГЭС!G123</f>
        <v>2.972</v>
      </c>
      <c r="T1162" s="521"/>
      <c r="U1162" s="522"/>
      <c r="V1162" s="638">
        <f>ГЭС!H123</f>
        <v>7.3710000000000004</v>
      </c>
      <c r="W1162" s="521"/>
      <c r="X1162" s="522"/>
      <c r="Y1162" s="638">
        <f>ГЭС!I123</f>
        <v>8.7949999999999999</v>
      </c>
      <c r="Z1162" s="521"/>
      <c r="AA1162" s="522"/>
      <c r="AB1162" s="638">
        <f>ГЭС!K123</f>
        <v>4.1790000000000003</v>
      </c>
      <c r="AC1162" s="521"/>
      <c r="AD1162" s="522"/>
      <c r="AE1162" s="638">
        <f>ГЭС!L123</f>
        <v>3.4870000000000001</v>
      </c>
      <c r="AF1162" s="521"/>
      <c r="AG1162" s="522"/>
      <c r="AH1162" s="638">
        <f>ГЭС!M123</f>
        <v>0.82699999999999996</v>
      </c>
      <c r="AI1162" s="521"/>
      <c r="AJ1162" s="522"/>
      <c r="AK1162" s="638">
        <f>ГЭС!O123</f>
        <v>1.8740000000000001</v>
      </c>
      <c r="AL1162" s="521"/>
      <c r="AM1162" s="522"/>
      <c r="AN1162" s="638">
        <f>ГЭС!P123</f>
        <v>2.3340000000000001</v>
      </c>
      <c r="AO1162" s="521"/>
      <c r="AP1162" s="522"/>
      <c r="AQ1162" s="638">
        <f>ГЭС!Q123</f>
        <v>1.7989999999999999</v>
      </c>
      <c r="AR1162" s="246"/>
      <c r="AS1162" s="282"/>
      <c r="AT1162" s="638">
        <f t="shared" si="45"/>
        <v>42.77300000000001</v>
      </c>
      <c r="AU1162" s="246"/>
      <c r="AV1162" s="336"/>
      <c r="AW1162" s="285"/>
      <c r="AX1162" s="375"/>
      <c r="AY1162" s="438">
        <v>36.988647</v>
      </c>
      <c r="AZ1162" s="357"/>
      <c r="BA1162" s="357"/>
      <c r="BB1162" s="357"/>
      <c r="BC1162" s="357"/>
    </row>
    <row r="1163" spans="1:55" s="24" customFormat="1">
      <c r="A1163" s="1048"/>
      <c r="B1163" s="1048"/>
      <c r="C1163" s="1048"/>
      <c r="D1163" s="1035">
        <v>322932</v>
      </c>
      <c r="E1163" s="1035"/>
      <c r="F1163" s="1035"/>
      <c r="G1163" s="1110">
        <v>322932</v>
      </c>
      <c r="H1163" s="125" t="s">
        <v>668</v>
      </c>
      <c r="I1163" s="516" t="s">
        <v>364</v>
      </c>
      <c r="J1163" s="587">
        <v>0.8</v>
      </c>
      <c r="K1163" s="521"/>
      <c r="L1163" s="522"/>
      <c r="M1163" s="587">
        <v>0.6</v>
      </c>
      <c r="N1163" s="521"/>
      <c r="O1163" s="522"/>
      <c r="P1163" s="587">
        <v>0.8</v>
      </c>
      <c r="Q1163" s="521"/>
      <c r="R1163" s="522"/>
      <c r="S1163" s="587">
        <v>2.6</v>
      </c>
      <c r="T1163" s="521"/>
      <c r="U1163" s="522"/>
      <c r="V1163" s="587">
        <v>7.9</v>
      </c>
      <c r="W1163" s="521"/>
      <c r="X1163" s="522"/>
      <c r="Y1163" s="587">
        <v>8.85</v>
      </c>
      <c r="Z1163" s="521"/>
      <c r="AA1163" s="522"/>
      <c r="AB1163" s="587">
        <v>8.9</v>
      </c>
      <c r="AC1163" s="521"/>
      <c r="AD1163" s="522"/>
      <c r="AE1163" s="587">
        <v>6.2</v>
      </c>
      <c r="AF1163" s="521"/>
      <c r="AG1163" s="522"/>
      <c r="AH1163" s="587">
        <v>4.5</v>
      </c>
      <c r="AI1163" s="521"/>
      <c r="AJ1163" s="522"/>
      <c r="AK1163" s="587">
        <v>3.3</v>
      </c>
      <c r="AL1163" s="521"/>
      <c r="AM1163" s="522"/>
      <c r="AN1163" s="587">
        <v>1.7</v>
      </c>
      <c r="AO1163" s="521"/>
      <c r="AP1163" s="522"/>
      <c r="AQ1163" s="587">
        <v>1.1000000000000001</v>
      </c>
      <c r="AR1163" s="246"/>
      <c r="AS1163" s="282"/>
      <c r="AT1163" s="587">
        <f t="shared" si="45"/>
        <v>47.250000000000007</v>
      </c>
      <c r="AU1163" s="246"/>
      <c r="AV1163" s="336"/>
      <c r="AW1163" s="285"/>
      <c r="AX1163" s="375"/>
      <c r="AY1163" s="438">
        <v>40.092502000000003</v>
      </c>
      <c r="AZ1163" s="357"/>
      <c r="BA1163" s="357"/>
      <c r="BB1163" s="357"/>
      <c r="BC1163" s="357"/>
    </row>
    <row r="1164" spans="1:55" s="24" customFormat="1">
      <c r="A1164" s="1048"/>
      <c r="B1164" s="1048"/>
      <c r="C1164" s="1048"/>
      <c r="D1164" s="1035">
        <v>322928</v>
      </c>
      <c r="E1164" s="1035"/>
      <c r="F1164" s="1035"/>
      <c r="G1164" s="1110">
        <v>322928</v>
      </c>
      <c r="H1164" s="125" t="s">
        <v>669</v>
      </c>
      <c r="I1164" s="516" t="s">
        <v>364</v>
      </c>
      <c r="J1164" s="587">
        <v>1</v>
      </c>
      <c r="K1164" s="521"/>
      <c r="L1164" s="522"/>
      <c r="M1164" s="587">
        <v>0.9</v>
      </c>
      <c r="N1164" s="521"/>
      <c r="O1164" s="522"/>
      <c r="P1164" s="587">
        <v>0.5</v>
      </c>
      <c r="Q1164" s="521"/>
      <c r="R1164" s="522"/>
      <c r="S1164" s="587">
        <v>2.4</v>
      </c>
      <c r="T1164" s="521"/>
      <c r="U1164" s="522"/>
      <c r="V1164" s="587">
        <v>8.1</v>
      </c>
      <c r="W1164" s="521"/>
      <c r="X1164" s="522"/>
      <c r="Y1164" s="587">
        <v>9.85</v>
      </c>
      <c r="Z1164" s="521"/>
      <c r="AA1164" s="522"/>
      <c r="AB1164" s="587">
        <v>10.6</v>
      </c>
      <c r="AC1164" s="521"/>
      <c r="AD1164" s="522"/>
      <c r="AE1164" s="587">
        <v>6.2</v>
      </c>
      <c r="AF1164" s="521"/>
      <c r="AG1164" s="522"/>
      <c r="AH1164" s="587">
        <v>4.3</v>
      </c>
      <c r="AI1164" s="521"/>
      <c r="AJ1164" s="522"/>
      <c r="AK1164" s="587">
        <v>3.3</v>
      </c>
      <c r="AL1164" s="521"/>
      <c r="AM1164" s="522"/>
      <c r="AN1164" s="587">
        <v>1.9</v>
      </c>
      <c r="AO1164" s="521"/>
      <c r="AP1164" s="522"/>
      <c r="AQ1164" s="587">
        <v>1.2</v>
      </c>
      <c r="AR1164" s="246"/>
      <c r="AS1164" s="282"/>
      <c r="AT1164" s="587">
        <f t="shared" si="45"/>
        <v>50.25</v>
      </c>
      <c r="AU1164" s="246"/>
      <c r="AV1164" s="336"/>
      <c r="AW1164" s="285"/>
      <c r="AX1164" s="375"/>
      <c r="AY1164" s="438">
        <v>34.995153999999999</v>
      </c>
      <c r="AZ1164" s="357"/>
      <c r="BA1164" s="357"/>
      <c r="BB1164" s="357"/>
      <c r="BC1164" s="357"/>
    </row>
    <row r="1165" spans="1:55" s="110" customFormat="1">
      <c r="A1165" s="1048"/>
      <c r="B1165" s="1048"/>
      <c r="C1165" s="1048"/>
      <c r="D1165" s="1035">
        <v>322933</v>
      </c>
      <c r="E1165" s="1035"/>
      <c r="F1165" s="1035"/>
      <c r="G1165" s="1110">
        <v>322933</v>
      </c>
      <c r="H1165" s="125" t="s">
        <v>670</v>
      </c>
      <c r="I1165" s="533" t="s">
        <v>365</v>
      </c>
      <c r="J1165" s="638">
        <f>ГЭС!C126</f>
        <v>0.193</v>
      </c>
      <c r="K1165" s="521"/>
      <c r="L1165" s="522"/>
      <c r="M1165" s="638">
        <f>ГЭС!D126</f>
        <v>0.1535</v>
      </c>
      <c r="N1165" s="521"/>
      <c r="O1165" s="522"/>
      <c r="P1165" s="638">
        <f>ГЭС!E126</f>
        <v>0.26190000000000002</v>
      </c>
      <c r="Q1165" s="521"/>
      <c r="R1165" s="522"/>
      <c r="S1165" s="638">
        <f>ГЭС!G126</f>
        <v>0.30969999999999998</v>
      </c>
      <c r="T1165" s="521"/>
      <c r="U1165" s="522"/>
      <c r="V1165" s="638">
        <f>ГЭС!H126</f>
        <v>0.43909999999999999</v>
      </c>
      <c r="W1165" s="521"/>
      <c r="X1165" s="522"/>
      <c r="Y1165" s="638">
        <f>ГЭС!I126</f>
        <v>0.57040000000000002</v>
      </c>
      <c r="Z1165" s="521"/>
      <c r="AA1165" s="522"/>
      <c r="AB1165" s="638">
        <f>ГЭС!K126</f>
        <v>0.57540000000000002</v>
      </c>
      <c r="AC1165" s="521"/>
      <c r="AD1165" s="522"/>
      <c r="AE1165" s="638">
        <f>ГЭС!L126</f>
        <v>0.63129999999999997</v>
      </c>
      <c r="AF1165" s="521"/>
      <c r="AG1165" s="522"/>
      <c r="AH1165" s="638">
        <f>ГЭС!M126</f>
        <v>0.5575</v>
      </c>
      <c r="AI1165" s="521"/>
      <c r="AJ1165" s="522"/>
      <c r="AK1165" s="638">
        <f>ГЭС!O126</f>
        <v>0.55100000000000005</v>
      </c>
      <c r="AL1165" s="521"/>
      <c r="AM1165" s="522"/>
      <c r="AN1165" s="638">
        <f>ГЭС!P126</f>
        <v>0.51870000000000005</v>
      </c>
      <c r="AO1165" s="521"/>
      <c r="AP1165" s="522"/>
      <c r="AQ1165" s="638">
        <f>ГЭС!Q126</f>
        <v>0.43730000000000002</v>
      </c>
      <c r="AR1165" s="246"/>
      <c r="AS1165" s="282"/>
      <c r="AT1165" s="638">
        <f t="shared" si="45"/>
        <v>5.1988000000000003</v>
      </c>
      <c r="AU1165" s="246"/>
      <c r="AV1165" s="336"/>
      <c r="AW1165" s="285"/>
      <c r="AX1165" s="375"/>
      <c r="AY1165" s="1068">
        <v>4.8438090000000003</v>
      </c>
      <c r="AZ1165" s="356"/>
      <c r="BA1165" s="356"/>
      <c r="BB1165" s="356"/>
      <c r="BC1165" s="356"/>
    </row>
    <row r="1166" spans="1:55" s="110" customFormat="1">
      <c r="A1166" s="1048"/>
      <c r="B1166" s="1048"/>
      <c r="C1166" s="1048"/>
      <c r="D1166" s="1035">
        <v>777042</v>
      </c>
      <c r="E1166" s="1035"/>
      <c r="F1166" s="1035"/>
      <c r="G1166" s="1110">
        <v>777042</v>
      </c>
      <c r="H1166" s="125" t="s">
        <v>867</v>
      </c>
      <c r="I1166" s="533" t="s">
        <v>365</v>
      </c>
      <c r="J1166" s="937">
        <v>0.06</v>
      </c>
      <c r="K1166" s="938"/>
      <c r="L1166" s="939"/>
      <c r="M1166" s="937">
        <v>7.0000000000000007E-2</v>
      </c>
      <c r="N1166" s="938"/>
      <c r="O1166" s="940"/>
      <c r="P1166" s="939">
        <v>7.0000000000000007E-2</v>
      </c>
      <c r="Q1166" s="938"/>
      <c r="R1166" s="939"/>
      <c r="S1166" s="937">
        <v>0.13</v>
      </c>
      <c r="T1166" s="938"/>
      <c r="U1166" s="940"/>
      <c r="V1166" s="939">
        <v>0.17</v>
      </c>
      <c r="W1166" s="938"/>
      <c r="X1166" s="939"/>
      <c r="Y1166" s="937">
        <v>0.16</v>
      </c>
      <c r="Z1166" s="938"/>
      <c r="AA1166" s="940"/>
      <c r="AB1166" s="939">
        <v>0.17</v>
      </c>
      <c r="AC1166" s="938"/>
      <c r="AD1166" s="939"/>
      <c r="AE1166" s="937">
        <v>0.16</v>
      </c>
      <c r="AF1166" s="938"/>
      <c r="AG1166" s="940"/>
      <c r="AH1166" s="939">
        <v>0.14000000000000001</v>
      </c>
      <c r="AI1166" s="938"/>
      <c r="AJ1166" s="939"/>
      <c r="AK1166" s="937">
        <v>0.11</v>
      </c>
      <c r="AL1166" s="938"/>
      <c r="AM1166" s="940"/>
      <c r="AN1166" s="939">
        <v>0.05</v>
      </c>
      <c r="AO1166" s="938"/>
      <c r="AP1166" s="939"/>
      <c r="AQ1166" s="937">
        <v>0.05</v>
      </c>
      <c r="AR1166" s="246"/>
      <c r="AS1166" s="282"/>
      <c r="AT1166" s="244">
        <f t="shared" si="45"/>
        <v>1.3400000000000003</v>
      </c>
      <c r="AU1166" s="246"/>
      <c r="AV1166" s="336"/>
      <c r="AW1166" s="285"/>
      <c r="AX1166" s="375"/>
      <c r="AY1166" s="438">
        <v>0</v>
      </c>
      <c r="AZ1166" s="356"/>
      <c r="BA1166" s="356"/>
      <c r="BB1166" s="356"/>
      <c r="BC1166" s="356"/>
    </row>
    <row r="1167" spans="1:55" s="110" customFormat="1" ht="18.75">
      <c r="A1167" s="179"/>
      <c r="B1167" s="179"/>
      <c r="C1167" s="179"/>
      <c r="D1167" s="181">
        <v>323500</v>
      </c>
      <c r="E1167" s="181"/>
      <c r="F1167" s="181"/>
      <c r="G1167" s="181">
        <v>323500</v>
      </c>
      <c r="H1167" s="474" t="s">
        <v>1625</v>
      </c>
      <c r="I1167" s="474"/>
      <c r="J1167" s="277">
        <v>0</v>
      </c>
      <c r="K1167" s="275">
        <f>L1167-J1167</f>
        <v>87.639373392079989</v>
      </c>
      <c r="L1167" s="276">
        <f>Потребление!D68</f>
        <v>87.639373392079989</v>
      </c>
      <c r="M1167" s="277">
        <v>0</v>
      </c>
      <c r="N1167" s="275">
        <f>O1167-M1167</f>
        <v>79.501687184340085</v>
      </c>
      <c r="O1167" s="276">
        <f>Потребление!E68</f>
        <v>79.501687184340085</v>
      </c>
      <c r="P1167" s="277">
        <v>0</v>
      </c>
      <c r="Q1167" s="275">
        <f>R1167-P1167</f>
        <v>76.621635703159996</v>
      </c>
      <c r="R1167" s="276">
        <f>Потребление!F68</f>
        <v>76.621635703159996</v>
      </c>
      <c r="S1167" s="277">
        <v>0</v>
      </c>
      <c r="T1167" s="275">
        <f>U1167-S1167</f>
        <v>66.223277205480002</v>
      </c>
      <c r="U1167" s="276">
        <f>Потребление!G68</f>
        <v>66.223277205480002</v>
      </c>
      <c r="V1167" s="277">
        <v>0</v>
      </c>
      <c r="W1167" s="275">
        <f>X1167-V1167</f>
        <v>58.089954673239994</v>
      </c>
      <c r="X1167" s="276">
        <f>Потребление!H68</f>
        <v>58.089954673239994</v>
      </c>
      <c r="Y1167" s="277">
        <v>0</v>
      </c>
      <c r="Z1167" s="275">
        <f>AA1167-Y1167</f>
        <v>58.434584293379999</v>
      </c>
      <c r="AA1167" s="276">
        <f>Потребление!I68</f>
        <v>58.434584293379999</v>
      </c>
      <c r="AB1167" s="277">
        <v>0</v>
      </c>
      <c r="AC1167" s="275">
        <f>AD1167-AB1167</f>
        <v>63.685070737480004</v>
      </c>
      <c r="AD1167" s="276">
        <f>Потребление!J68</f>
        <v>63.685070737480004</v>
      </c>
      <c r="AE1167" s="277">
        <v>0</v>
      </c>
      <c r="AF1167" s="275">
        <f>AG1167-AE1167</f>
        <v>58.445136481559992</v>
      </c>
      <c r="AG1167" s="276">
        <f>Потребление!K68</f>
        <v>58.445136481559992</v>
      </c>
      <c r="AH1167" s="277">
        <v>0</v>
      </c>
      <c r="AI1167" s="275">
        <f>AJ1167-AH1167</f>
        <v>58.302017729759996</v>
      </c>
      <c r="AJ1167" s="276">
        <f>Потребление!L68</f>
        <v>58.302017729759996</v>
      </c>
      <c r="AK1167" s="277">
        <v>0</v>
      </c>
      <c r="AL1167" s="275">
        <f>AM1167-AK1167</f>
        <v>67.215216313840003</v>
      </c>
      <c r="AM1167" s="276">
        <f>Потребление!M68</f>
        <v>67.215216313840003</v>
      </c>
      <c r="AN1167" s="277">
        <v>0</v>
      </c>
      <c r="AO1167" s="275">
        <f>AP1167-AN1167</f>
        <v>75.884235759559999</v>
      </c>
      <c r="AP1167" s="276">
        <f>Потребление!N68</f>
        <v>75.884235759559999</v>
      </c>
      <c r="AQ1167" s="277">
        <v>0</v>
      </c>
      <c r="AR1167" s="275">
        <f>AS1167-AQ1167</f>
        <v>87.957810526119985</v>
      </c>
      <c r="AS1167" s="276">
        <f>Потребление!O68</f>
        <v>87.957810526119985</v>
      </c>
      <c r="AT1167" s="277">
        <v>0</v>
      </c>
      <c r="AU1167" s="275">
        <f>AV1167-AT1167</f>
        <v>837.99999999999989</v>
      </c>
      <c r="AV1167" s="278">
        <f>L1167+O1167+R1167+U1167+X1167+AA1167+AD1167+AG1167+AJ1167+AM1167+AP1167+AS1167</f>
        <v>837.99999999999989</v>
      </c>
      <c r="AW1167" s="279"/>
      <c r="AX1167" s="1067">
        <v>768.573171</v>
      </c>
      <c r="AY1167" s="298">
        <v>0</v>
      </c>
      <c r="AZ1167" s="356"/>
      <c r="BA1167" s="356"/>
      <c r="BB1167" s="356"/>
      <c r="BC1167" s="356"/>
    </row>
    <row r="1168" spans="1:55" s="110" customFormat="1" ht="18.75">
      <c r="A1168" s="179"/>
      <c r="B1168" s="179"/>
      <c r="C1168" s="179"/>
      <c r="D1168" s="181">
        <v>323000</v>
      </c>
      <c r="E1168" s="181"/>
      <c r="F1168" s="181"/>
      <c r="G1168" s="181">
        <v>323000</v>
      </c>
      <c r="H1168" s="474" t="s">
        <v>1626</v>
      </c>
      <c r="I1168" s="474"/>
      <c r="J1168" s="277">
        <f>SUM(J1169:J1170)</f>
        <v>21.60957598291159</v>
      </c>
      <c r="K1168" s="275">
        <f>L1168-J1168</f>
        <v>146.78324142362521</v>
      </c>
      <c r="L1168" s="276">
        <f>Потребление!D69</f>
        <v>168.39281740653681</v>
      </c>
      <c r="M1168" s="274">
        <f>SUM(M1169:M1170)</f>
        <v>18.188779561398029</v>
      </c>
      <c r="N1168" s="275">
        <f>O1168-M1168</f>
        <v>135.15684526494843</v>
      </c>
      <c r="O1168" s="276">
        <f>Потребление!E69</f>
        <v>153.34562482634647</v>
      </c>
      <c r="P1168" s="274">
        <f>SUM(P1169:P1170)</f>
        <v>21.456041241042616</v>
      </c>
      <c r="Q1168" s="275">
        <f>R1168-P1168</f>
        <v>130.31404331400859</v>
      </c>
      <c r="R1168" s="276">
        <f>Потребление!F69</f>
        <v>151.7700845550512</v>
      </c>
      <c r="S1168" s="274">
        <f>SUM(S1169:S1170)</f>
        <v>28.198672419152263</v>
      </c>
      <c r="T1168" s="275">
        <f>U1168-S1168</f>
        <v>112.93518176991255</v>
      </c>
      <c r="U1168" s="276">
        <f>Потребление!G69</f>
        <v>141.13385418906481</v>
      </c>
      <c r="V1168" s="274">
        <f>SUM(V1169:V1170)</f>
        <v>74.601619214124668</v>
      </c>
      <c r="W1168" s="275">
        <f>X1168-V1168</f>
        <v>49.229759181176135</v>
      </c>
      <c r="X1168" s="276">
        <f>Потребление!H69</f>
        <v>123.8313783953008</v>
      </c>
      <c r="Y1168" s="274">
        <f>SUM(Y1169:Y1170)</f>
        <v>96.81170160677911</v>
      </c>
      <c r="Z1168" s="275">
        <f>AA1168-Y1168</f>
        <v>28.894761109819285</v>
      </c>
      <c r="AA1168" s="276">
        <f>Потребление!I69</f>
        <v>125.70646271659839</v>
      </c>
      <c r="AB1168" s="274">
        <f>SUM(AB1169:AB1170)</f>
        <v>111.81602779074669</v>
      </c>
      <c r="AC1168" s="275">
        <f>AD1168-AB1168</f>
        <v>29.250777593188502</v>
      </c>
      <c r="AD1168" s="276">
        <f>Потребление!J69</f>
        <v>141.06680538393519</v>
      </c>
      <c r="AE1168" s="274">
        <f>SUM(AE1169:AE1170)</f>
        <v>110.67013758043289</v>
      </c>
      <c r="AF1168" s="275">
        <f>AG1168-AE1168</f>
        <v>17.814648878384688</v>
      </c>
      <c r="AG1168" s="276">
        <f>Потребление!K69</f>
        <v>128.48478645881758</v>
      </c>
      <c r="AH1168" s="274">
        <f>SUM(AH1169:AH1170)</f>
        <v>91.484949092741019</v>
      </c>
      <c r="AI1168" s="275">
        <f>AJ1168-AH1168</f>
        <v>35.072686494438983</v>
      </c>
      <c r="AJ1168" s="276">
        <f>Потребление!L69</f>
        <v>126.55763558718</v>
      </c>
      <c r="AK1168" s="274">
        <f>SUM(AK1169:AK1170)</f>
        <v>16.159415370988846</v>
      </c>
      <c r="AL1168" s="275">
        <f>AM1168-AK1168</f>
        <v>126.26843395646154</v>
      </c>
      <c r="AM1168" s="276">
        <f>Потребление!M69</f>
        <v>142.42784932745039</v>
      </c>
      <c r="AN1168" s="274">
        <f>SUM(AN1169:AN1170)</f>
        <v>29.768998045186997</v>
      </c>
      <c r="AO1168" s="275">
        <f>AP1168-AN1168</f>
        <v>127.17308745336101</v>
      </c>
      <c r="AP1168" s="276">
        <f>Потребление!N69</f>
        <v>156.94208549854801</v>
      </c>
      <c r="AQ1168" s="274">
        <f>SUM(AQ1169:AQ1170)</f>
        <v>25.640812282493116</v>
      </c>
      <c r="AR1168" s="275">
        <f>AS1168-AQ1168</f>
        <v>150.69980337267731</v>
      </c>
      <c r="AS1168" s="276">
        <f>Потребление!O69</f>
        <v>176.34061565517041</v>
      </c>
      <c r="AT1168" s="274">
        <f>SUM(AT1169:AT1170)</f>
        <v>646.40673018799794</v>
      </c>
      <c r="AU1168" s="275">
        <f>AV1168-AT1168</f>
        <v>1089.5932698120021</v>
      </c>
      <c r="AV1168" s="278">
        <f>L1168+O1168+R1168+U1168+X1168+AA1168+AD1168+AG1168+AJ1168+AM1168+AP1168+AS1168</f>
        <v>1736</v>
      </c>
      <c r="AW1168" s="279"/>
      <c r="AX1168" s="1067">
        <v>1675.8958640000001</v>
      </c>
      <c r="AY1168" s="298">
        <f>SUM(AY1169:AY1170)</f>
        <v>475.22729700000002</v>
      </c>
      <c r="AZ1168" s="356"/>
      <c r="BA1168" s="356"/>
      <c r="BB1168" s="356"/>
      <c r="BC1168" s="356"/>
    </row>
    <row r="1169" spans="1:55" s="24" customFormat="1">
      <c r="A1169" s="179"/>
      <c r="B1169" s="179"/>
      <c r="C1169" s="179"/>
      <c r="D1169" s="181"/>
      <c r="E1169" s="181"/>
      <c r="F1169" s="181"/>
      <c r="G1169" s="181"/>
      <c r="H1169" s="124" t="s">
        <v>55</v>
      </c>
      <c r="I1169" s="124"/>
      <c r="J1169" s="365">
        <f>SUM(J1171:J1178)</f>
        <v>21.08865598291159</v>
      </c>
      <c r="K1169" s="363"/>
      <c r="L1169" s="364"/>
      <c r="M1169" s="365">
        <f>SUM(M1171:M1178)</f>
        <v>17.899969561398027</v>
      </c>
      <c r="N1169" s="363"/>
      <c r="O1169" s="364"/>
      <c r="P1169" s="365">
        <f>SUM(P1171:P1178)</f>
        <v>20.978861241042615</v>
      </c>
      <c r="Q1169" s="363"/>
      <c r="R1169" s="364"/>
      <c r="S1169" s="365">
        <f>SUM(S1171:S1178)</f>
        <v>27.690712419152263</v>
      </c>
      <c r="T1169" s="363"/>
      <c r="U1169" s="364"/>
      <c r="V1169" s="365">
        <f>SUM(V1171:V1178)</f>
        <v>74.401549214124671</v>
      </c>
      <c r="W1169" s="363"/>
      <c r="X1169" s="364"/>
      <c r="Y1169" s="365">
        <f>SUM(Y1171:Y1178)</f>
        <v>96.519921606779107</v>
      </c>
      <c r="Z1169" s="363"/>
      <c r="AA1169" s="364"/>
      <c r="AB1169" s="365">
        <f>SUM(AB1171:AB1178)</f>
        <v>111.44756779074669</v>
      </c>
      <c r="AC1169" s="363"/>
      <c r="AD1169" s="364"/>
      <c r="AE1169" s="365">
        <f>SUM(AE1171:AE1178)</f>
        <v>110.5233475804329</v>
      </c>
      <c r="AF1169" s="363"/>
      <c r="AG1169" s="364"/>
      <c r="AH1169" s="365">
        <f>SUM(AH1171:AH1178)</f>
        <v>91.184079092741015</v>
      </c>
      <c r="AI1169" s="363"/>
      <c r="AJ1169" s="364"/>
      <c r="AK1169" s="365">
        <f>SUM(AK1171:AK1178)</f>
        <v>15.856115370988846</v>
      </c>
      <c r="AL1169" s="363"/>
      <c r="AM1169" s="364"/>
      <c r="AN1169" s="365">
        <f>SUM(AN1171:AN1178)</f>
        <v>29.440768045186996</v>
      </c>
      <c r="AO1169" s="363"/>
      <c r="AP1169" s="364"/>
      <c r="AQ1169" s="365">
        <f>SUM(AQ1171:AQ1178)</f>
        <v>24.717322282493114</v>
      </c>
      <c r="AR1169" s="363"/>
      <c r="AS1169" s="364"/>
      <c r="AT1169" s="365">
        <f>SUM(AT1171:AT1178)</f>
        <v>641.74887018799791</v>
      </c>
      <c r="AU1169" s="363"/>
      <c r="AV1169" s="229"/>
      <c r="AW1169" s="226"/>
      <c r="AX1169" s="366"/>
      <c r="AY1169" s="339">
        <f>SUM(AY1171:AY1178)</f>
        <v>469.76915700000001</v>
      </c>
      <c r="AZ1169" s="357"/>
      <c r="BA1169" s="357"/>
      <c r="BB1169" s="357"/>
      <c r="BC1169" s="357"/>
    </row>
    <row r="1170" spans="1:55" s="24" customFormat="1">
      <c r="A1170" s="179"/>
      <c r="B1170" s="179"/>
      <c r="C1170" s="179"/>
      <c r="D1170" s="181"/>
      <c r="E1170" s="181"/>
      <c r="F1170" s="181"/>
      <c r="G1170" s="181"/>
      <c r="H1170" s="124" t="s">
        <v>183</v>
      </c>
      <c r="I1170" s="124"/>
      <c r="J1170" s="365">
        <f>J1179</f>
        <v>0.52092000000000005</v>
      </c>
      <c r="K1170" s="363"/>
      <c r="L1170" s="364"/>
      <c r="M1170" s="362">
        <f>M1179</f>
        <v>0.28881000000000001</v>
      </c>
      <c r="N1170" s="363"/>
      <c r="O1170" s="364"/>
      <c r="P1170" s="362">
        <f>P1179</f>
        <v>0.47717999999999999</v>
      </c>
      <c r="Q1170" s="363"/>
      <c r="R1170" s="364"/>
      <c r="S1170" s="362">
        <f>S1179</f>
        <v>0.50795999999999997</v>
      </c>
      <c r="T1170" s="363"/>
      <c r="U1170" s="364"/>
      <c r="V1170" s="362">
        <f>V1179</f>
        <v>0.20007</v>
      </c>
      <c r="W1170" s="363"/>
      <c r="X1170" s="364"/>
      <c r="Y1170" s="362">
        <f>Y1179</f>
        <v>0.29177999999999998</v>
      </c>
      <c r="Z1170" s="363"/>
      <c r="AA1170" s="364"/>
      <c r="AB1170" s="362">
        <f>AB1179</f>
        <v>0.36846000000000001</v>
      </c>
      <c r="AC1170" s="363"/>
      <c r="AD1170" s="364"/>
      <c r="AE1170" s="362">
        <f>AE1179</f>
        <v>0.14679</v>
      </c>
      <c r="AF1170" s="363"/>
      <c r="AG1170" s="364"/>
      <c r="AH1170" s="362">
        <f>AH1179</f>
        <v>0.30087000000000003</v>
      </c>
      <c r="AI1170" s="363"/>
      <c r="AJ1170" s="364"/>
      <c r="AK1170" s="362">
        <f>AK1179</f>
        <v>0.30330000000000001</v>
      </c>
      <c r="AL1170" s="363"/>
      <c r="AM1170" s="364"/>
      <c r="AN1170" s="362">
        <f>AN1179</f>
        <v>0.32823000000000002</v>
      </c>
      <c r="AO1170" s="363"/>
      <c r="AP1170" s="364"/>
      <c r="AQ1170" s="362">
        <f>AQ1179</f>
        <v>0.92349000000000003</v>
      </c>
      <c r="AR1170" s="363"/>
      <c r="AS1170" s="364"/>
      <c r="AT1170" s="362">
        <f>AT1179</f>
        <v>4.6578600000000003</v>
      </c>
      <c r="AU1170" s="363"/>
      <c r="AV1170" s="229"/>
      <c r="AW1170" s="226"/>
      <c r="AX1170" s="366"/>
      <c r="AY1170" s="339">
        <f>AY1179</f>
        <v>5.4581400000000002</v>
      </c>
      <c r="AZ1170" s="357"/>
      <c r="BA1170" s="357"/>
      <c r="BB1170" s="357"/>
      <c r="BC1170" s="357"/>
    </row>
    <row r="1171" spans="1:55" s="24" customFormat="1">
      <c r="A1171" s="179"/>
      <c r="B1171" s="179"/>
      <c r="C1171" s="179"/>
      <c r="D1171" s="181">
        <v>323038</v>
      </c>
      <c r="E1171" s="181"/>
      <c r="F1171" s="181"/>
      <c r="G1171" s="1110">
        <v>323038</v>
      </c>
      <c r="H1171" s="122" t="s">
        <v>671</v>
      </c>
      <c r="I1171" s="516" t="s">
        <v>364</v>
      </c>
      <c r="J1171" s="638">
        <f>ГЭС!C128</f>
        <v>5.3</v>
      </c>
      <c r="K1171" s="521"/>
      <c r="L1171" s="522"/>
      <c r="M1171" s="638">
        <f>ГЭС!D128</f>
        <v>4.7</v>
      </c>
      <c r="N1171" s="521"/>
      <c r="O1171" s="522"/>
      <c r="P1171" s="638">
        <f>ГЭС!E128</f>
        <v>5.3</v>
      </c>
      <c r="Q1171" s="521"/>
      <c r="R1171" s="522"/>
      <c r="S1171" s="638">
        <f>ГЭС!G128</f>
        <v>8</v>
      </c>
      <c r="T1171" s="521"/>
      <c r="U1171" s="522"/>
      <c r="V1171" s="638">
        <f>ГЭС!H128</f>
        <v>20.8</v>
      </c>
      <c r="W1171" s="521"/>
      <c r="X1171" s="522"/>
      <c r="Y1171" s="638">
        <f>ГЭС!I128</f>
        <v>30</v>
      </c>
      <c r="Z1171" s="521"/>
      <c r="AA1171" s="522"/>
      <c r="AB1171" s="638">
        <f>ГЭС!K128</f>
        <v>36.799999999999997</v>
      </c>
      <c r="AC1171" s="521"/>
      <c r="AD1171" s="522"/>
      <c r="AE1171" s="638">
        <f>ГЭС!L128</f>
        <v>36.5</v>
      </c>
      <c r="AF1171" s="521"/>
      <c r="AG1171" s="522"/>
      <c r="AH1171" s="638">
        <f>ГЭС!M128</f>
        <v>28</v>
      </c>
      <c r="AI1171" s="521"/>
      <c r="AJ1171" s="522"/>
      <c r="AK1171" s="638">
        <f>ГЭС!O128</f>
        <v>0</v>
      </c>
      <c r="AL1171" s="521"/>
      <c r="AM1171" s="522"/>
      <c r="AN1171" s="638">
        <f>ГЭС!P128</f>
        <v>5.5</v>
      </c>
      <c r="AO1171" s="521"/>
      <c r="AP1171" s="522"/>
      <c r="AQ1171" s="638">
        <f>ГЭС!Q128</f>
        <v>6</v>
      </c>
      <c r="AR1171" s="246"/>
      <c r="AS1171" s="282"/>
      <c r="AT1171" s="638">
        <f t="shared" ref="AT1171:AT1181" si="46">J1171+M1171+P1171+S1171+V1171+Y1171+AB1171+AE1171+AH1171+AK1171+AN1171+AQ1171</f>
        <v>186.89999999999998</v>
      </c>
      <c r="AU1171" s="246"/>
      <c r="AV1171" s="336"/>
      <c r="AW1171" s="285"/>
      <c r="AX1171" s="249"/>
      <c r="AY1171" s="438">
        <v>194.90365600000001</v>
      </c>
      <c r="AZ1171" s="357"/>
      <c r="BA1171" s="357"/>
      <c r="BB1171" s="357"/>
      <c r="BC1171" s="357"/>
    </row>
    <row r="1172" spans="1:55" s="24" customFormat="1">
      <c r="A1172" s="179"/>
      <c r="B1172" s="179"/>
      <c r="C1172" s="179"/>
      <c r="D1172" s="181">
        <v>323033</v>
      </c>
      <c r="E1172" s="181"/>
      <c r="F1172" s="181"/>
      <c r="G1172" s="1110">
        <v>323033</v>
      </c>
      <c r="H1172" s="122" t="s">
        <v>672</v>
      </c>
      <c r="I1172" s="516" t="s">
        <v>364</v>
      </c>
      <c r="J1172" s="638">
        <f>ГЭС!C129</f>
        <v>5.5</v>
      </c>
      <c r="K1172" s="521"/>
      <c r="L1172" s="522"/>
      <c r="M1172" s="638">
        <f>ГЭС!D129</f>
        <v>4.5</v>
      </c>
      <c r="N1172" s="521"/>
      <c r="O1172" s="522"/>
      <c r="P1172" s="638">
        <f>ГЭС!E129</f>
        <v>5.5</v>
      </c>
      <c r="Q1172" s="521"/>
      <c r="R1172" s="522"/>
      <c r="S1172" s="638">
        <f>ГЭС!G129</f>
        <v>3.1</v>
      </c>
      <c r="T1172" s="521"/>
      <c r="U1172" s="522"/>
      <c r="V1172" s="638">
        <f>ГЭС!H129</f>
        <v>12</v>
      </c>
      <c r="W1172" s="521"/>
      <c r="X1172" s="522"/>
      <c r="Y1172" s="638">
        <f>ГЭС!I129</f>
        <v>17</v>
      </c>
      <c r="Z1172" s="521"/>
      <c r="AA1172" s="522"/>
      <c r="AB1172" s="638">
        <f>ГЭС!K129</f>
        <v>17.5</v>
      </c>
      <c r="AC1172" s="521"/>
      <c r="AD1172" s="522"/>
      <c r="AE1172" s="638">
        <f>ГЭС!L129</f>
        <v>17.5</v>
      </c>
      <c r="AF1172" s="521"/>
      <c r="AG1172" s="522"/>
      <c r="AH1172" s="638">
        <f>ГЭС!M129</f>
        <v>15</v>
      </c>
      <c r="AI1172" s="521"/>
      <c r="AJ1172" s="522"/>
      <c r="AK1172" s="638">
        <f>ГЭС!O129</f>
        <v>7</v>
      </c>
      <c r="AL1172" s="521"/>
      <c r="AM1172" s="522"/>
      <c r="AN1172" s="638">
        <f>ГЭС!P129</f>
        <v>8.3000000000000007</v>
      </c>
      <c r="AO1172" s="521"/>
      <c r="AP1172" s="522"/>
      <c r="AQ1172" s="638">
        <f>ГЭС!Q129</f>
        <v>6.4</v>
      </c>
      <c r="AR1172" s="246"/>
      <c r="AS1172" s="282"/>
      <c r="AT1172" s="638">
        <f t="shared" si="46"/>
        <v>119.3</v>
      </c>
      <c r="AU1172" s="246"/>
      <c r="AV1172" s="336"/>
      <c r="AW1172" s="285"/>
      <c r="AX1172" s="249"/>
      <c r="AY1172" s="438">
        <v>5.5399919999999998</v>
      </c>
      <c r="AZ1172" s="357"/>
      <c r="BA1172" s="357"/>
      <c r="BB1172" s="357"/>
      <c r="BC1172" s="357"/>
    </row>
    <row r="1173" spans="1:55" s="24" customFormat="1">
      <c r="A1173" s="179"/>
      <c r="B1173" s="179"/>
      <c r="C1173" s="179"/>
      <c r="D1173" s="181">
        <v>323010</v>
      </c>
      <c r="E1173" s="181"/>
      <c r="F1173" s="181"/>
      <c r="G1173" s="1110">
        <v>323010</v>
      </c>
      <c r="H1173" s="122" t="s">
        <v>673</v>
      </c>
      <c r="I1173" s="533" t="s">
        <v>365</v>
      </c>
      <c r="J1173" s="587">
        <v>0</v>
      </c>
      <c r="K1173" s="246"/>
      <c r="L1173" s="282"/>
      <c r="M1173" s="587">
        <v>0</v>
      </c>
      <c r="N1173" s="246"/>
      <c r="O1173" s="282"/>
      <c r="P1173" s="587">
        <v>0</v>
      </c>
      <c r="Q1173" s="246"/>
      <c r="R1173" s="282"/>
      <c r="S1173" s="587">
        <v>4.3650001287460327E-2</v>
      </c>
      <c r="T1173" s="246"/>
      <c r="U1173" s="282"/>
      <c r="V1173" s="587">
        <v>0.24035000801086426</v>
      </c>
      <c r="W1173" s="246"/>
      <c r="X1173" s="282"/>
      <c r="Y1173" s="587">
        <v>0.31178334355354309</v>
      </c>
      <c r="Z1173" s="246"/>
      <c r="AA1173" s="282"/>
      <c r="AB1173" s="587">
        <v>0.30024999380111694</v>
      </c>
      <c r="AC1173" s="246"/>
      <c r="AD1173" s="282"/>
      <c r="AE1173" s="587">
        <v>0.33314999938011169</v>
      </c>
      <c r="AF1173" s="246"/>
      <c r="AG1173" s="282"/>
      <c r="AH1173" s="587">
        <v>0.32135000824928284</v>
      </c>
      <c r="AI1173" s="246"/>
      <c r="AJ1173" s="282"/>
      <c r="AK1173" s="587">
        <v>0.29004165530204773</v>
      </c>
      <c r="AL1173" s="246"/>
      <c r="AM1173" s="282"/>
      <c r="AN1173" s="587">
        <v>0.13873332738876343</v>
      </c>
      <c r="AO1173" s="246"/>
      <c r="AP1173" s="282"/>
      <c r="AQ1173" s="587">
        <v>8.0366663634777069E-2</v>
      </c>
      <c r="AR1173" s="246"/>
      <c r="AS1173" s="282"/>
      <c r="AT1173" s="587">
        <f t="shared" si="46"/>
        <v>2.0596750006079674</v>
      </c>
      <c r="AU1173" s="246"/>
      <c r="AV1173" s="336"/>
      <c r="AW1173" s="285"/>
      <c r="AX1173" s="249"/>
      <c r="AY1173" s="438">
        <v>2.0826000000000002</v>
      </c>
      <c r="AZ1173" s="357"/>
      <c r="BA1173" s="357"/>
      <c r="BB1173" s="357"/>
      <c r="BC1173" s="357"/>
    </row>
    <row r="1174" spans="1:55" s="110" customFormat="1">
      <c r="A1174" s="179"/>
      <c r="B1174" s="179"/>
      <c r="C1174" s="179"/>
      <c r="D1174" s="181">
        <v>323012</v>
      </c>
      <c r="E1174" s="181"/>
      <c r="F1174" s="181"/>
      <c r="G1174" s="1110">
        <v>323012</v>
      </c>
      <c r="H1174" s="122" t="s">
        <v>674</v>
      </c>
      <c r="I1174" s="533" t="s">
        <v>365</v>
      </c>
      <c r="J1174" s="587">
        <v>0.27365598082542419</v>
      </c>
      <c r="K1174" s="246"/>
      <c r="L1174" s="282"/>
      <c r="M1174" s="587">
        <v>0.23284456133842468</v>
      </c>
      <c r="N1174" s="246"/>
      <c r="O1174" s="282"/>
      <c r="P1174" s="587">
        <v>0.26712998747825623</v>
      </c>
      <c r="Q1174" s="246"/>
      <c r="R1174" s="282"/>
      <c r="S1174" s="587">
        <v>0.30020615458488464</v>
      </c>
      <c r="T1174" s="246"/>
      <c r="U1174" s="282"/>
      <c r="V1174" s="587">
        <v>0.42764410376548767</v>
      </c>
      <c r="W1174" s="246"/>
      <c r="X1174" s="282"/>
      <c r="Y1174" s="587">
        <v>0.44855445623397827</v>
      </c>
      <c r="Z1174" s="246"/>
      <c r="AA1174" s="282"/>
      <c r="AB1174" s="587">
        <v>0.43094399571418762</v>
      </c>
      <c r="AC1174" s="246"/>
      <c r="AD1174" s="282"/>
      <c r="AE1174" s="587">
        <v>0.42962858080863953</v>
      </c>
      <c r="AF1174" s="246"/>
      <c r="AG1174" s="282"/>
      <c r="AH1174" s="587">
        <v>0.35529512166976929</v>
      </c>
      <c r="AI1174" s="246"/>
      <c r="AJ1174" s="282"/>
      <c r="AK1174" s="587">
        <v>0.36948984861373901</v>
      </c>
      <c r="AL1174" s="246"/>
      <c r="AM1174" s="282"/>
      <c r="AN1174" s="587">
        <v>0.38353314995765686</v>
      </c>
      <c r="AO1174" s="246"/>
      <c r="AP1174" s="282"/>
      <c r="AQ1174" s="587">
        <v>0.34344643354415894</v>
      </c>
      <c r="AR1174" s="246"/>
      <c r="AS1174" s="282"/>
      <c r="AT1174" s="587">
        <f t="shared" si="46"/>
        <v>4.2623723745346069</v>
      </c>
      <c r="AU1174" s="246"/>
      <c r="AV1174" s="336"/>
      <c r="AW1174" s="285"/>
      <c r="AX1174" s="249"/>
      <c r="AY1174" s="438">
        <v>4.2313259999999993</v>
      </c>
      <c r="AZ1174" s="356"/>
      <c r="BA1174" s="356"/>
      <c r="BB1174" s="356"/>
      <c r="BC1174" s="356"/>
    </row>
    <row r="1175" spans="1:55" s="110" customFormat="1">
      <c r="A1175" s="179"/>
      <c r="B1175" s="179"/>
      <c r="C1175" s="179"/>
      <c r="D1175" s="181">
        <v>323031</v>
      </c>
      <c r="E1175" s="181"/>
      <c r="F1175" s="181"/>
      <c r="G1175" s="1110">
        <v>323031</v>
      </c>
      <c r="H1175" s="125" t="s">
        <v>675</v>
      </c>
      <c r="I1175" s="533" t="s">
        <v>365</v>
      </c>
      <c r="J1175" s="587">
        <v>0.11500000208616257</v>
      </c>
      <c r="K1175" s="246"/>
      <c r="L1175" s="282"/>
      <c r="M1175" s="587">
        <v>6.7125000059604645E-2</v>
      </c>
      <c r="N1175" s="246"/>
      <c r="O1175" s="282"/>
      <c r="P1175" s="587">
        <v>0.11173125356435776</v>
      </c>
      <c r="Q1175" s="246"/>
      <c r="R1175" s="282"/>
      <c r="S1175" s="587">
        <v>0.14685626327991486</v>
      </c>
      <c r="T1175" s="246"/>
      <c r="U1175" s="282"/>
      <c r="V1175" s="587">
        <v>1.3335551023483276</v>
      </c>
      <c r="W1175" s="246"/>
      <c r="X1175" s="282"/>
      <c r="Y1175" s="587">
        <v>1.6595838069915771</v>
      </c>
      <c r="Z1175" s="246"/>
      <c r="AA1175" s="282"/>
      <c r="AB1175" s="587">
        <v>1.7163738012313843</v>
      </c>
      <c r="AC1175" s="246"/>
      <c r="AD1175" s="282"/>
      <c r="AE1175" s="587">
        <v>1.8605690002441406</v>
      </c>
      <c r="AF1175" s="246"/>
      <c r="AG1175" s="282"/>
      <c r="AH1175" s="587">
        <v>1.8074339628219604</v>
      </c>
      <c r="AI1175" s="246"/>
      <c r="AJ1175" s="282"/>
      <c r="AK1175" s="587">
        <v>1.6965838670730591</v>
      </c>
      <c r="AL1175" s="246"/>
      <c r="AM1175" s="282"/>
      <c r="AN1175" s="587">
        <v>1.2185015678405762</v>
      </c>
      <c r="AO1175" s="246"/>
      <c r="AP1175" s="282"/>
      <c r="AQ1175" s="587">
        <v>0.29350918531417847</v>
      </c>
      <c r="AR1175" s="246"/>
      <c r="AS1175" s="282"/>
      <c r="AT1175" s="587">
        <f t="shared" si="46"/>
        <v>12.026822812855244</v>
      </c>
      <c r="AU1175" s="246"/>
      <c r="AV1175" s="336"/>
      <c r="AW1175" s="285"/>
      <c r="AX1175" s="249"/>
      <c r="AY1175" s="438">
        <v>3.0481370000000001</v>
      </c>
      <c r="AZ1175" s="356"/>
      <c r="BA1175" s="356"/>
      <c r="BB1175" s="356"/>
      <c r="BC1175" s="356"/>
    </row>
    <row r="1176" spans="1:55" s="110" customFormat="1">
      <c r="A1176" s="179"/>
      <c r="B1176" s="179"/>
      <c r="C1176" s="179"/>
      <c r="D1176" s="181">
        <v>320001</v>
      </c>
      <c r="E1176" s="181"/>
      <c r="F1176" s="181"/>
      <c r="G1176" s="1110">
        <v>320001</v>
      </c>
      <c r="H1176" s="122" t="s">
        <v>676</v>
      </c>
      <c r="I1176" s="516" t="s">
        <v>364</v>
      </c>
      <c r="J1176" s="638">
        <f>ГЭС!C130</f>
        <v>5.5</v>
      </c>
      <c r="K1176" s="521"/>
      <c r="L1176" s="522"/>
      <c r="M1176" s="638">
        <f>ГЭС!D130</f>
        <v>4.5999999999999996</v>
      </c>
      <c r="N1176" s="521"/>
      <c r="O1176" s="522"/>
      <c r="P1176" s="638">
        <f>ГЭС!E130</f>
        <v>5.6</v>
      </c>
      <c r="Q1176" s="521"/>
      <c r="R1176" s="522"/>
      <c r="S1176" s="638">
        <f>ГЭС!G130</f>
        <v>8.5</v>
      </c>
      <c r="T1176" s="521"/>
      <c r="U1176" s="522"/>
      <c r="V1176" s="638">
        <f>ГЭС!H130</f>
        <v>22.4</v>
      </c>
      <c r="W1176" s="521"/>
      <c r="X1176" s="522"/>
      <c r="Y1176" s="638">
        <f>ГЭС!I130</f>
        <v>26.9</v>
      </c>
      <c r="Z1176" s="521"/>
      <c r="AA1176" s="522"/>
      <c r="AB1176" s="638">
        <f>ГЭС!K130</f>
        <v>30.8</v>
      </c>
      <c r="AC1176" s="521"/>
      <c r="AD1176" s="522"/>
      <c r="AE1176" s="638">
        <f>ГЭС!L130</f>
        <v>30</v>
      </c>
      <c r="AF1176" s="521"/>
      <c r="AG1176" s="522"/>
      <c r="AH1176" s="638">
        <f>ГЭС!M130</f>
        <v>26.5</v>
      </c>
      <c r="AI1176" s="521"/>
      <c r="AJ1176" s="522"/>
      <c r="AK1176" s="638">
        <f>ГЭС!O130</f>
        <v>0</v>
      </c>
      <c r="AL1176" s="521"/>
      <c r="AM1176" s="522"/>
      <c r="AN1176" s="638">
        <f>ГЭС!P130</f>
        <v>7</v>
      </c>
      <c r="AO1176" s="521"/>
      <c r="AP1176" s="522"/>
      <c r="AQ1176" s="638">
        <f>ГЭС!Q130</f>
        <v>6.3</v>
      </c>
      <c r="AR1176" s="246"/>
      <c r="AS1176" s="282"/>
      <c r="AT1176" s="638">
        <f t="shared" si="46"/>
        <v>174.10000000000002</v>
      </c>
      <c r="AU1176" s="246"/>
      <c r="AV1176" s="336"/>
      <c r="AW1176" s="285"/>
      <c r="AX1176" s="249"/>
      <c r="AY1176" s="438">
        <v>166.93131</v>
      </c>
      <c r="AZ1176" s="356"/>
      <c r="BA1176" s="356"/>
      <c r="BB1176" s="356"/>
      <c r="BC1176" s="356"/>
    </row>
    <row r="1177" spans="1:55" s="110" customFormat="1">
      <c r="A1177" s="179"/>
      <c r="B1177" s="179"/>
      <c r="C1177" s="179"/>
      <c r="D1177" s="181">
        <v>777168</v>
      </c>
      <c r="E1177" s="181"/>
      <c r="F1177" s="181"/>
      <c r="G1177" s="1110">
        <v>777168</v>
      </c>
      <c r="H1177" s="122" t="s">
        <v>841</v>
      </c>
      <c r="I1177" s="516" t="s">
        <v>364</v>
      </c>
      <c r="J1177" s="587">
        <v>2.1</v>
      </c>
      <c r="K1177" s="246"/>
      <c r="L1177" s="282"/>
      <c r="M1177" s="587">
        <v>1.9</v>
      </c>
      <c r="N1177" s="246"/>
      <c r="O1177" s="282"/>
      <c r="P1177" s="587">
        <v>2.1</v>
      </c>
      <c r="Q1177" s="246"/>
      <c r="R1177" s="282"/>
      <c r="S1177" s="587">
        <v>4.3</v>
      </c>
      <c r="T1177" s="246"/>
      <c r="U1177" s="282"/>
      <c r="V1177" s="587">
        <v>10</v>
      </c>
      <c r="W1177" s="246"/>
      <c r="X1177" s="282"/>
      <c r="Y1177" s="587">
        <v>13</v>
      </c>
      <c r="Z1177" s="246"/>
      <c r="AA1177" s="282"/>
      <c r="AB1177" s="587">
        <v>16.5</v>
      </c>
      <c r="AC1177" s="246"/>
      <c r="AD1177" s="282"/>
      <c r="AE1177" s="587">
        <v>16.5</v>
      </c>
      <c r="AF1177" s="246"/>
      <c r="AG1177" s="282"/>
      <c r="AH1177" s="587">
        <v>12</v>
      </c>
      <c r="AI1177" s="246"/>
      <c r="AJ1177" s="282"/>
      <c r="AK1177" s="587">
        <v>0</v>
      </c>
      <c r="AL1177" s="246"/>
      <c r="AM1177" s="282"/>
      <c r="AN1177" s="587">
        <v>3</v>
      </c>
      <c r="AO1177" s="246"/>
      <c r="AP1177" s="282"/>
      <c r="AQ1177" s="587">
        <v>2.5</v>
      </c>
      <c r="AR1177" s="246"/>
      <c r="AS1177" s="282"/>
      <c r="AT1177" s="587">
        <f t="shared" si="46"/>
        <v>83.9</v>
      </c>
      <c r="AU1177" s="246"/>
      <c r="AV1177" s="336"/>
      <c r="AW1177" s="285"/>
      <c r="AX1177" s="249"/>
      <c r="AY1177" s="438">
        <v>93.032135999999994</v>
      </c>
      <c r="AZ1177" s="356"/>
      <c r="BA1177" s="356"/>
      <c r="BB1177" s="356"/>
      <c r="BC1177" s="356"/>
    </row>
    <row r="1178" spans="1:55" s="110" customFormat="1">
      <c r="A1178" s="179"/>
      <c r="B1178" s="179"/>
      <c r="C1178" s="179"/>
      <c r="D1178" s="181"/>
      <c r="E1178" s="181"/>
      <c r="F1178" s="181"/>
      <c r="G1178" s="1211">
        <v>777387</v>
      </c>
      <c r="H1178" s="122" t="s">
        <v>1268</v>
      </c>
      <c r="I1178" s="516" t="s">
        <v>364</v>
      </c>
      <c r="J1178" s="587">
        <v>2.2999999999999998</v>
      </c>
      <c r="K1178" s="246"/>
      <c r="L1178" s="282"/>
      <c r="M1178" s="587">
        <v>1.9</v>
      </c>
      <c r="N1178" s="246"/>
      <c r="O1178" s="282"/>
      <c r="P1178" s="587">
        <v>2.1</v>
      </c>
      <c r="Q1178" s="246"/>
      <c r="R1178" s="282"/>
      <c r="S1178" s="587">
        <v>3.3</v>
      </c>
      <c r="T1178" s="246"/>
      <c r="U1178" s="282"/>
      <c r="V1178" s="587">
        <v>7.2</v>
      </c>
      <c r="W1178" s="246"/>
      <c r="X1178" s="282"/>
      <c r="Y1178" s="587">
        <v>7.2</v>
      </c>
      <c r="Z1178" s="246"/>
      <c r="AA1178" s="282"/>
      <c r="AB1178" s="587">
        <v>7.4</v>
      </c>
      <c r="AC1178" s="246"/>
      <c r="AD1178" s="282"/>
      <c r="AE1178" s="587">
        <v>7.4</v>
      </c>
      <c r="AF1178" s="246"/>
      <c r="AG1178" s="282"/>
      <c r="AH1178" s="587">
        <v>7.2</v>
      </c>
      <c r="AI1178" s="246"/>
      <c r="AJ1178" s="282"/>
      <c r="AK1178" s="587">
        <v>6.5</v>
      </c>
      <c r="AL1178" s="246"/>
      <c r="AM1178" s="282"/>
      <c r="AN1178" s="587">
        <v>3.9</v>
      </c>
      <c r="AO1178" s="246"/>
      <c r="AP1178" s="282"/>
      <c r="AQ1178" s="587">
        <v>2.8</v>
      </c>
      <c r="AR1178" s="246"/>
      <c r="AS1178" s="282"/>
      <c r="AT1178" s="587">
        <f t="shared" si="46"/>
        <v>59.199999999999996</v>
      </c>
      <c r="AU1178" s="246"/>
      <c r="AV1178" s="336"/>
      <c r="AW1178" s="285"/>
      <c r="AX1178" s="249"/>
      <c r="AY1178" s="957"/>
      <c r="AZ1178" s="356"/>
      <c r="BA1178" s="356"/>
      <c r="BB1178" s="356"/>
      <c r="BC1178" s="356"/>
    </row>
    <row r="1179" spans="1:55" s="110" customFormat="1">
      <c r="A1179" s="179"/>
      <c r="B1179" s="179"/>
      <c r="C1179" s="179"/>
      <c r="D1179" s="181">
        <v>604</v>
      </c>
      <c r="E1179" s="181"/>
      <c r="F1179" s="181"/>
      <c r="G1179" s="1110"/>
      <c r="H1179" s="138" t="s">
        <v>174</v>
      </c>
      <c r="I1179" s="138"/>
      <c r="J1179" s="319">
        <f>SUM(J1180:J1181)</f>
        <v>0.52092000000000005</v>
      </c>
      <c r="K1179" s="288"/>
      <c r="L1179" s="289"/>
      <c r="M1179" s="287">
        <f>SUM(M1180:M1181)</f>
        <v>0.28881000000000001</v>
      </c>
      <c r="N1179" s="288"/>
      <c r="O1179" s="289"/>
      <c r="P1179" s="287">
        <f>SUM(P1180:P1181)</f>
        <v>0.47717999999999999</v>
      </c>
      <c r="Q1179" s="288"/>
      <c r="R1179" s="289"/>
      <c r="S1179" s="287">
        <f>SUM(S1180:S1181)</f>
        <v>0.50795999999999997</v>
      </c>
      <c r="T1179" s="288"/>
      <c r="U1179" s="289"/>
      <c r="V1179" s="287">
        <f>SUM(V1180:V1181)</f>
        <v>0.20007</v>
      </c>
      <c r="W1179" s="288"/>
      <c r="X1179" s="289"/>
      <c r="Y1179" s="287">
        <f>SUM(Y1180:Y1181)</f>
        <v>0.29177999999999998</v>
      </c>
      <c r="Z1179" s="288"/>
      <c r="AA1179" s="289"/>
      <c r="AB1179" s="287">
        <f>SUM(AB1180:AB1181)</f>
        <v>0.36846000000000001</v>
      </c>
      <c r="AC1179" s="288"/>
      <c r="AD1179" s="289"/>
      <c r="AE1179" s="287">
        <f>SUM(AE1180:AE1181)</f>
        <v>0.14679</v>
      </c>
      <c r="AF1179" s="288"/>
      <c r="AG1179" s="289"/>
      <c r="AH1179" s="287">
        <f>SUM(AH1180:AH1181)</f>
        <v>0.30087000000000003</v>
      </c>
      <c r="AI1179" s="288"/>
      <c r="AJ1179" s="289"/>
      <c r="AK1179" s="287">
        <f>SUM(AK1180:AK1181)</f>
        <v>0.30330000000000001</v>
      </c>
      <c r="AL1179" s="288"/>
      <c r="AM1179" s="289"/>
      <c r="AN1179" s="287">
        <f>SUM(AN1180:AN1181)</f>
        <v>0.32823000000000002</v>
      </c>
      <c r="AO1179" s="288"/>
      <c r="AP1179" s="289"/>
      <c r="AQ1179" s="287">
        <f>SUM(AQ1180:AQ1181)</f>
        <v>0.92349000000000003</v>
      </c>
      <c r="AR1179" s="288"/>
      <c r="AS1179" s="289"/>
      <c r="AT1179" s="287">
        <f>SUM(AT1180:AT1181)</f>
        <v>4.6578600000000003</v>
      </c>
      <c r="AU1179" s="288"/>
      <c r="AV1179" s="290"/>
      <c r="AW1179" s="285"/>
      <c r="AX1179" s="295"/>
      <c r="AY1179" s="436">
        <v>5.4581400000000002</v>
      </c>
      <c r="AZ1179" s="356"/>
      <c r="BA1179" s="356"/>
      <c r="BB1179" s="356"/>
      <c r="BC1179" s="356"/>
    </row>
    <row r="1180" spans="1:55" s="24" customFormat="1">
      <c r="A1180" s="179"/>
      <c r="B1180" s="179"/>
      <c r="C1180" s="179"/>
      <c r="D1180" s="181"/>
      <c r="E1180" s="181"/>
      <c r="F1180" s="181"/>
      <c r="G1180" s="1110"/>
      <c r="H1180" s="145" t="s">
        <v>677</v>
      </c>
      <c r="I1180" s="518" t="s">
        <v>365</v>
      </c>
      <c r="J1180" s="293">
        <v>0</v>
      </c>
      <c r="K1180" s="288"/>
      <c r="L1180" s="289"/>
      <c r="M1180" s="294">
        <v>0</v>
      </c>
      <c r="N1180" s="288"/>
      <c r="O1180" s="289"/>
      <c r="P1180" s="294">
        <v>0</v>
      </c>
      <c r="Q1180" s="288"/>
      <c r="R1180" s="289"/>
      <c r="S1180" s="294">
        <v>0</v>
      </c>
      <c r="T1180" s="288"/>
      <c r="U1180" s="289"/>
      <c r="V1180" s="294">
        <v>0</v>
      </c>
      <c r="W1180" s="288"/>
      <c r="X1180" s="289"/>
      <c r="Y1180" s="294">
        <v>0</v>
      </c>
      <c r="Z1180" s="288"/>
      <c r="AA1180" s="289"/>
      <c r="AB1180" s="294">
        <v>0</v>
      </c>
      <c r="AC1180" s="288"/>
      <c r="AD1180" s="289"/>
      <c r="AE1180" s="294">
        <v>0</v>
      </c>
      <c r="AF1180" s="288"/>
      <c r="AG1180" s="289"/>
      <c r="AH1180" s="294">
        <v>0</v>
      </c>
      <c r="AI1180" s="288"/>
      <c r="AJ1180" s="289"/>
      <c r="AK1180" s="294">
        <v>0</v>
      </c>
      <c r="AL1180" s="288"/>
      <c r="AM1180" s="289"/>
      <c r="AN1180" s="294">
        <v>0</v>
      </c>
      <c r="AO1180" s="288"/>
      <c r="AP1180" s="289"/>
      <c r="AQ1180" s="294">
        <v>0</v>
      </c>
      <c r="AR1180" s="288"/>
      <c r="AS1180" s="289"/>
      <c r="AT1180" s="294">
        <f t="shared" si="46"/>
        <v>0</v>
      </c>
      <c r="AU1180" s="288"/>
      <c r="AV1180" s="290"/>
      <c r="AW1180" s="285"/>
      <c r="AX1180" s="295"/>
      <c r="AY1180" s="313"/>
      <c r="AZ1180" s="357"/>
      <c r="BA1180" s="357"/>
      <c r="BB1180" s="357"/>
      <c r="BC1180" s="357"/>
    </row>
    <row r="1181" spans="1:55" s="24" customFormat="1">
      <c r="A1181" s="179"/>
      <c r="B1181" s="179"/>
      <c r="C1181" s="179"/>
      <c r="D1181" s="181"/>
      <c r="E1181" s="181"/>
      <c r="F1181" s="181"/>
      <c r="G1181" s="1211">
        <v>323042</v>
      </c>
      <c r="H1181" s="145" t="s">
        <v>678</v>
      </c>
      <c r="I1181" s="518" t="s">
        <v>365</v>
      </c>
      <c r="J1181" s="293">
        <v>0.52092000000000005</v>
      </c>
      <c r="K1181" s="288"/>
      <c r="L1181" s="289"/>
      <c r="M1181" s="294">
        <v>0.28881000000000001</v>
      </c>
      <c r="N1181" s="288"/>
      <c r="O1181" s="289"/>
      <c r="P1181" s="294">
        <v>0.47717999999999999</v>
      </c>
      <c r="Q1181" s="288"/>
      <c r="R1181" s="289"/>
      <c r="S1181" s="294">
        <v>0.50795999999999997</v>
      </c>
      <c r="T1181" s="288"/>
      <c r="U1181" s="289"/>
      <c r="V1181" s="294">
        <v>0.20007</v>
      </c>
      <c r="W1181" s="288"/>
      <c r="X1181" s="289"/>
      <c r="Y1181" s="294">
        <v>0.29177999999999998</v>
      </c>
      <c r="Z1181" s="288"/>
      <c r="AA1181" s="289"/>
      <c r="AB1181" s="294">
        <v>0.36846000000000001</v>
      </c>
      <c r="AC1181" s="288"/>
      <c r="AD1181" s="289"/>
      <c r="AE1181" s="294">
        <v>0.14679</v>
      </c>
      <c r="AF1181" s="288"/>
      <c r="AG1181" s="289"/>
      <c r="AH1181" s="294">
        <v>0.30087000000000003</v>
      </c>
      <c r="AI1181" s="288"/>
      <c r="AJ1181" s="289"/>
      <c r="AK1181" s="294">
        <v>0.30330000000000001</v>
      </c>
      <c r="AL1181" s="288"/>
      <c r="AM1181" s="289"/>
      <c r="AN1181" s="294">
        <v>0.32823000000000002</v>
      </c>
      <c r="AO1181" s="288"/>
      <c r="AP1181" s="289"/>
      <c r="AQ1181" s="294">
        <v>0.92349000000000003</v>
      </c>
      <c r="AR1181" s="288"/>
      <c r="AS1181" s="289"/>
      <c r="AT1181" s="294">
        <f t="shared" si="46"/>
        <v>4.6578600000000003</v>
      </c>
      <c r="AU1181" s="288"/>
      <c r="AV1181" s="290"/>
      <c r="AW1181" s="285"/>
      <c r="AX1181" s="295"/>
      <c r="AY1181" s="313"/>
      <c r="AZ1181" s="357"/>
      <c r="BA1181" s="357"/>
      <c r="BB1181" s="357"/>
      <c r="BC1181" s="357"/>
    </row>
    <row r="1182" spans="1:55" s="24" customFormat="1" ht="18.75">
      <c r="A1182" s="179"/>
      <c r="B1182" s="179"/>
      <c r="C1182" s="179"/>
      <c r="D1182" s="181">
        <v>328100</v>
      </c>
      <c r="E1182" s="181"/>
      <c r="F1182" s="181"/>
      <c r="G1182" s="181">
        <v>328100</v>
      </c>
      <c r="H1182" s="474" t="s">
        <v>1627</v>
      </c>
      <c r="I1182" s="474"/>
      <c r="J1182" s="277">
        <f>SUM(J1183:J1185)</f>
        <v>14.223124700000001</v>
      </c>
      <c r="K1182" s="275">
        <f>L1182-J1182</f>
        <v>60.419375136580001</v>
      </c>
      <c r="L1182" s="276">
        <f>Потребление!D70</f>
        <v>74.642499836580001</v>
      </c>
      <c r="M1182" s="277">
        <f>SUM(M1183:M1185)</f>
        <v>14.893905333333333</v>
      </c>
      <c r="N1182" s="275">
        <f>O1182-M1182</f>
        <v>53.939593799449554</v>
      </c>
      <c r="O1182" s="276">
        <f>Потребление!E70</f>
        <v>68.83349913278289</v>
      </c>
      <c r="P1182" s="277">
        <f>SUM(P1183:P1185)</f>
        <v>17.522766666666669</v>
      </c>
      <c r="Q1182" s="275">
        <f>R1182-P1182</f>
        <v>50.128912935718134</v>
      </c>
      <c r="R1182" s="276">
        <f>Потребление!F70</f>
        <v>67.651679602384803</v>
      </c>
      <c r="S1182" s="277">
        <f>SUM(S1183:S1185)</f>
        <v>15.288440666666666</v>
      </c>
      <c r="T1182" s="275">
        <f>U1182-S1182</f>
        <v>46.701878202879932</v>
      </c>
      <c r="U1182" s="276">
        <f>Потребление!G70</f>
        <v>61.990318869546599</v>
      </c>
      <c r="V1182" s="277">
        <f>SUM(V1183:V1185)</f>
        <v>14.914683433333334</v>
      </c>
      <c r="W1182" s="275">
        <f>X1182-V1182</f>
        <v>42.470823852971265</v>
      </c>
      <c r="X1182" s="276">
        <f>Потребление!H70</f>
        <v>57.385507286304602</v>
      </c>
      <c r="Y1182" s="277">
        <f>SUM(Y1183:Y1185)</f>
        <v>13.991076100000001</v>
      </c>
      <c r="Z1182" s="275">
        <f>AA1182-Y1182</f>
        <v>45.420548284486401</v>
      </c>
      <c r="AA1182" s="276">
        <f>Потребление!I70</f>
        <v>59.411624384486402</v>
      </c>
      <c r="AB1182" s="277">
        <f>SUM(AB1183:AB1185)</f>
        <v>12.364676533333334</v>
      </c>
      <c r="AC1182" s="275">
        <f>AD1182-AB1182</f>
        <v>51.099182039740057</v>
      </c>
      <c r="AD1182" s="276">
        <f>Потребление!J70</f>
        <v>63.463858573073395</v>
      </c>
      <c r="AE1182" s="277">
        <f>SUM(AE1183:AE1185)</f>
        <v>12.452763666666666</v>
      </c>
      <c r="AF1182" s="275">
        <f>AG1182-AE1182</f>
        <v>51.74786476594673</v>
      </c>
      <c r="AG1182" s="276">
        <f>Потребление!K70</f>
        <v>64.200628432613399</v>
      </c>
      <c r="AH1182" s="277">
        <f>SUM(AH1183:AH1185)</f>
        <v>12.404438933333335</v>
      </c>
      <c r="AI1182" s="275">
        <f>AJ1182-AH1182</f>
        <v>44.42849095831626</v>
      </c>
      <c r="AJ1182" s="276">
        <f>Потребление!L70</f>
        <v>56.832929891649599</v>
      </c>
      <c r="AK1182" s="277">
        <f>SUM(AK1183:AK1185)</f>
        <v>8.4037813333333347</v>
      </c>
      <c r="AL1182" s="275">
        <f>AM1182-AK1182</f>
        <v>53.862826237429061</v>
      </c>
      <c r="AM1182" s="276">
        <f>Потребление!M70</f>
        <v>62.266607570762396</v>
      </c>
      <c r="AN1182" s="277">
        <f>SUM(AN1183:AN1185)</f>
        <v>15.059461933333335</v>
      </c>
      <c r="AO1182" s="275">
        <f>AP1182-AN1182</f>
        <v>54.39065171350785</v>
      </c>
      <c r="AP1182" s="276">
        <f>Потребление!N70</f>
        <v>69.450113646841189</v>
      </c>
      <c r="AQ1182" s="277">
        <f>SUM(AQ1183:AQ1185)</f>
        <v>14.891974148387096</v>
      </c>
      <c r="AR1182" s="275">
        <f>AS1182-AQ1182</f>
        <v>58.978758624587698</v>
      </c>
      <c r="AS1182" s="276">
        <f>Потребление!O70</f>
        <v>73.87073277297479</v>
      </c>
      <c r="AT1182" s="277">
        <f>SUM(AT1183:AT1185)</f>
        <v>166.41109344838711</v>
      </c>
      <c r="AU1182" s="275">
        <f>AV1182-AT1182</f>
        <v>613.58890655161292</v>
      </c>
      <c r="AV1182" s="278">
        <f>L1182+O1182+R1182+U1182+X1182+AA1182+AD1182+AG1182+AJ1182+AM1182+AP1182+AS1182</f>
        <v>780</v>
      </c>
      <c r="AW1182" s="279"/>
      <c r="AX1182" s="1067">
        <v>763.64945799999998</v>
      </c>
      <c r="AY1182" s="298">
        <f>SUM(AY1183:AY1185)</f>
        <v>107.63772299999999</v>
      </c>
      <c r="AZ1182" s="357"/>
      <c r="BA1182" s="357"/>
      <c r="BB1182" s="357"/>
      <c r="BC1182" s="357"/>
    </row>
    <row r="1183" spans="1:55" s="24" customFormat="1">
      <c r="A1183" s="179"/>
      <c r="B1183" s="179"/>
      <c r="C1183" s="179"/>
      <c r="D1183" s="181"/>
      <c r="E1183" s="181"/>
      <c r="F1183" s="181"/>
      <c r="G1183" s="181"/>
      <c r="H1183" s="124" t="s">
        <v>56</v>
      </c>
      <c r="I1183" s="124"/>
      <c r="J1183" s="365">
        <f>J1186</f>
        <v>12.509600000000001</v>
      </c>
      <c r="K1183" s="363"/>
      <c r="L1183" s="364"/>
      <c r="M1183" s="365">
        <f>M1186</f>
        <v>11.6456</v>
      </c>
      <c r="N1183" s="363"/>
      <c r="O1183" s="364"/>
      <c r="P1183" s="365">
        <f>P1186</f>
        <v>12.509600000000001</v>
      </c>
      <c r="Q1183" s="363"/>
      <c r="R1183" s="364"/>
      <c r="S1183" s="365">
        <f>S1186</f>
        <v>8.5797000000000008</v>
      </c>
      <c r="T1183" s="363"/>
      <c r="U1183" s="364"/>
      <c r="V1183" s="365">
        <f>V1186</f>
        <v>5.6721000000000004</v>
      </c>
      <c r="W1183" s="363"/>
      <c r="X1183" s="364"/>
      <c r="Y1183" s="365">
        <f>Y1186</f>
        <v>5.0495000000000001</v>
      </c>
      <c r="Z1183" s="363"/>
      <c r="AA1183" s="364"/>
      <c r="AB1183" s="365">
        <f>AB1186</f>
        <v>4.7923999999999998</v>
      </c>
      <c r="AC1183" s="363"/>
      <c r="AD1183" s="364"/>
      <c r="AE1183" s="365">
        <f>AE1186</f>
        <v>5.1185999999999998</v>
      </c>
      <c r="AF1183" s="363"/>
      <c r="AG1183" s="364"/>
      <c r="AH1183" s="365">
        <f>AH1186</f>
        <v>5.4463999999999997</v>
      </c>
      <c r="AI1183" s="363"/>
      <c r="AJ1183" s="364"/>
      <c r="AK1183" s="365">
        <f>AK1186</f>
        <v>8.2490000000000006</v>
      </c>
      <c r="AL1183" s="363"/>
      <c r="AM1183" s="364"/>
      <c r="AN1183" s="365">
        <f>AN1186</f>
        <v>12.0776</v>
      </c>
      <c r="AO1183" s="363"/>
      <c r="AP1183" s="364"/>
      <c r="AQ1183" s="365">
        <f>AQ1186</f>
        <v>12.509600000000001</v>
      </c>
      <c r="AR1183" s="363"/>
      <c r="AS1183" s="364"/>
      <c r="AT1183" s="365">
        <f>AT1186</f>
        <v>104.1597</v>
      </c>
      <c r="AU1183" s="363"/>
      <c r="AV1183" s="229"/>
      <c r="AW1183" s="226"/>
      <c r="AX1183" s="366"/>
      <c r="AY1183" s="339">
        <f>AY1186</f>
        <v>106.07821199999999</v>
      </c>
      <c r="AZ1183" s="357"/>
      <c r="BA1183" s="357"/>
      <c r="BB1183" s="357"/>
      <c r="BC1183" s="357"/>
    </row>
    <row r="1184" spans="1:55" s="24" customFormat="1">
      <c r="A1184" s="179"/>
      <c r="B1184" s="179"/>
      <c r="C1184" s="179"/>
      <c r="D1184" s="181"/>
      <c r="E1184" s="181"/>
      <c r="F1184" s="181"/>
      <c r="G1184" s="181"/>
      <c r="H1184" s="467" t="s">
        <v>346</v>
      </c>
      <c r="I1184" s="467"/>
      <c r="J1184" s="365">
        <f>SUM(J1187:J1190)</f>
        <v>0.103412</v>
      </c>
      <c r="K1184" s="363"/>
      <c r="L1184" s="364"/>
      <c r="M1184" s="365">
        <f>SUM(M1187:M1190)</f>
        <v>0.192191</v>
      </c>
      <c r="N1184" s="363"/>
      <c r="O1184" s="364"/>
      <c r="P1184" s="365">
        <f>SUM(P1187:P1190)</f>
        <v>0.16316666666666665</v>
      </c>
      <c r="Q1184" s="363"/>
      <c r="R1184" s="364"/>
      <c r="S1184" s="365">
        <f>SUM(S1187:S1190)</f>
        <v>0.24207400000000001</v>
      </c>
      <c r="T1184" s="363"/>
      <c r="U1184" s="364"/>
      <c r="V1184" s="365">
        <f>SUM(V1187:V1190)</f>
        <v>0.16338666666666665</v>
      </c>
      <c r="W1184" s="363"/>
      <c r="X1184" s="364"/>
      <c r="Y1184" s="365">
        <f>SUM(Y1187:Y1190)</f>
        <v>0.14076933333333333</v>
      </c>
      <c r="Z1184" s="363"/>
      <c r="AA1184" s="364"/>
      <c r="AB1184" s="365">
        <f>SUM(AB1187:AB1190)</f>
        <v>0.13144533333333333</v>
      </c>
      <c r="AC1184" s="363"/>
      <c r="AD1184" s="364"/>
      <c r="AE1184" s="365">
        <f>SUM(AE1187:AE1190)</f>
        <v>0.16356799999999999</v>
      </c>
      <c r="AF1184" s="363"/>
      <c r="AG1184" s="364"/>
      <c r="AH1184" s="365">
        <f>SUM(AH1187:AH1190)</f>
        <v>0.16834933333333332</v>
      </c>
      <c r="AI1184" s="363"/>
      <c r="AJ1184" s="364"/>
      <c r="AK1184" s="365">
        <f>SUM(AK1187:AK1190)</f>
        <v>0.15478133333333333</v>
      </c>
      <c r="AL1184" s="363"/>
      <c r="AM1184" s="364"/>
      <c r="AN1184" s="365">
        <f>SUM(AN1187:AN1190)</f>
        <v>0.18233200000000002</v>
      </c>
      <c r="AO1184" s="363"/>
      <c r="AP1184" s="364"/>
      <c r="AQ1184" s="365">
        <f>SUM(AQ1187:AQ1190)</f>
        <v>0.20531200000000002</v>
      </c>
      <c r="AR1184" s="363"/>
      <c r="AS1184" s="364"/>
      <c r="AT1184" s="365">
        <f>SUM(AT1187:AT1190)</f>
        <v>2.0107876666666664</v>
      </c>
      <c r="AU1184" s="363"/>
      <c r="AV1184" s="229"/>
      <c r="AW1184" s="226"/>
      <c r="AX1184" s="366"/>
      <c r="AY1184" s="339">
        <f>SUM(AY1187:AY1189)</f>
        <v>1.5595110000000001</v>
      </c>
      <c r="AZ1184" s="357"/>
      <c r="BA1184" s="357"/>
      <c r="BB1184" s="357"/>
      <c r="BC1184" s="357"/>
    </row>
    <row r="1185" spans="1:55" s="24" customFormat="1">
      <c r="A1185" s="179"/>
      <c r="B1185" s="179"/>
      <c r="C1185" s="179"/>
      <c r="D1185" s="181"/>
      <c r="E1185" s="181"/>
      <c r="F1185" s="181"/>
      <c r="G1185" s="181"/>
      <c r="H1185" s="467" t="s">
        <v>347</v>
      </c>
      <c r="I1185" s="467"/>
      <c r="J1185" s="365">
        <f>SUM(J1191:J1195)</f>
        <v>1.6101127</v>
      </c>
      <c r="K1185" s="363"/>
      <c r="L1185" s="364"/>
      <c r="M1185" s="365">
        <f>SUM(M1191:M1195)</f>
        <v>3.0561143333333334</v>
      </c>
      <c r="N1185" s="363"/>
      <c r="O1185" s="364"/>
      <c r="P1185" s="365">
        <f>SUM(P1191:P1195)</f>
        <v>4.8499999999999996</v>
      </c>
      <c r="Q1185" s="363"/>
      <c r="R1185" s="364"/>
      <c r="S1185" s="365">
        <f>SUM(S1191:S1195)</f>
        <v>6.4666666666666659</v>
      </c>
      <c r="T1185" s="363"/>
      <c r="U1185" s="364"/>
      <c r="V1185" s="365">
        <f>SUM(V1191:V1195)</f>
        <v>9.0791967666666675</v>
      </c>
      <c r="W1185" s="363"/>
      <c r="X1185" s="364"/>
      <c r="Y1185" s="365">
        <f>SUM(Y1191:Y1195)</f>
        <v>8.8008067666666676</v>
      </c>
      <c r="Z1185" s="363"/>
      <c r="AA1185" s="364"/>
      <c r="AB1185" s="365">
        <f>SUM(AB1191:AB1195)</f>
        <v>7.4408311999999999</v>
      </c>
      <c r="AC1185" s="363"/>
      <c r="AD1185" s="364"/>
      <c r="AE1185" s="365">
        <f>SUM(AE1191:AE1195)</f>
        <v>7.1705956666666655</v>
      </c>
      <c r="AF1185" s="363"/>
      <c r="AG1185" s="364"/>
      <c r="AH1185" s="365">
        <f>SUM(AH1191:AH1195)</f>
        <v>6.7896896000000009</v>
      </c>
      <c r="AI1185" s="363"/>
      <c r="AJ1185" s="364"/>
      <c r="AK1185" s="365">
        <f>SUM(AK1191:AK1195)</f>
        <v>0</v>
      </c>
      <c r="AL1185" s="363"/>
      <c r="AM1185" s="364"/>
      <c r="AN1185" s="365">
        <f>SUM(AN1191:AN1195)</f>
        <v>2.799529933333333</v>
      </c>
      <c r="AO1185" s="363"/>
      <c r="AP1185" s="364"/>
      <c r="AQ1185" s="365">
        <f>SUM(AQ1191:AQ1195)</f>
        <v>2.1770621483870967</v>
      </c>
      <c r="AR1185" s="363"/>
      <c r="AS1185" s="364"/>
      <c r="AT1185" s="365">
        <f>SUM(AT1191:AT1195)</f>
        <v>60.240605781720433</v>
      </c>
      <c r="AU1185" s="363"/>
      <c r="AV1185" s="229"/>
      <c r="AW1185" s="226"/>
      <c r="AX1185" s="366"/>
      <c r="AY1185" s="339"/>
      <c r="AZ1185" s="357"/>
      <c r="BA1185" s="357"/>
      <c r="BB1185" s="357"/>
      <c r="BC1185" s="357"/>
    </row>
    <row r="1186" spans="1:55" s="24" customFormat="1">
      <c r="A1186" s="179"/>
      <c r="B1186" s="179"/>
      <c r="C1186" s="179"/>
      <c r="D1186" s="181">
        <v>328184</v>
      </c>
      <c r="E1186" s="181"/>
      <c r="F1186" s="181"/>
      <c r="G1186" s="1110">
        <v>328184</v>
      </c>
      <c r="H1186" s="122" t="s">
        <v>1449</v>
      </c>
      <c r="I1186" s="516" t="s">
        <v>364</v>
      </c>
      <c r="J1186" s="281">
        <v>12.509600000000001</v>
      </c>
      <c r="K1186" s="246"/>
      <c r="L1186" s="282"/>
      <c r="M1186" s="244">
        <v>11.6456</v>
      </c>
      <c r="N1186" s="246"/>
      <c r="O1186" s="282"/>
      <c r="P1186" s="244">
        <v>12.509600000000001</v>
      </c>
      <c r="Q1186" s="246"/>
      <c r="R1186" s="282"/>
      <c r="S1186" s="244">
        <v>8.5797000000000008</v>
      </c>
      <c r="T1186" s="246"/>
      <c r="U1186" s="282"/>
      <c r="V1186" s="244">
        <v>5.6721000000000004</v>
      </c>
      <c r="W1186" s="246"/>
      <c r="X1186" s="282"/>
      <c r="Y1186" s="244">
        <v>5.0495000000000001</v>
      </c>
      <c r="Z1186" s="246"/>
      <c r="AA1186" s="282"/>
      <c r="AB1186" s="244">
        <v>4.7923999999999998</v>
      </c>
      <c r="AC1186" s="246"/>
      <c r="AD1186" s="282"/>
      <c r="AE1186" s="244">
        <v>5.1185999999999998</v>
      </c>
      <c r="AF1186" s="246"/>
      <c r="AG1186" s="282"/>
      <c r="AH1186" s="244">
        <v>5.4463999999999997</v>
      </c>
      <c r="AI1186" s="246"/>
      <c r="AJ1186" s="282"/>
      <c r="AK1186" s="244">
        <v>8.2490000000000006</v>
      </c>
      <c r="AL1186" s="246"/>
      <c r="AM1186" s="282"/>
      <c r="AN1186" s="244">
        <v>12.0776</v>
      </c>
      <c r="AO1186" s="246"/>
      <c r="AP1186" s="282"/>
      <c r="AQ1186" s="244">
        <v>12.509600000000001</v>
      </c>
      <c r="AR1186" s="246"/>
      <c r="AS1186" s="282"/>
      <c r="AT1186" s="244">
        <f>J1186+M1186+P1186+S1186+V1186+Y1186+AB1186+AE1186+AH1186+AK1186+AN1186+AQ1186</f>
        <v>104.1597</v>
      </c>
      <c r="AU1186" s="246"/>
      <c r="AV1186" s="336"/>
      <c r="AW1186" s="285"/>
      <c r="AX1186" s="249"/>
      <c r="AY1186" s="438">
        <v>106.07821199999999</v>
      </c>
      <c r="AZ1186" s="357"/>
      <c r="BA1186" s="357"/>
      <c r="BB1186" s="357"/>
      <c r="BC1186" s="357"/>
    </row>
    <row r="1187" spans="1:55" s="24" customFormat="1">
      <c r="A1187" s="179"/>
      <c r="B1187" s="179"/>
      <c r="C1187" s="179"/>
      <c r="D1187" s="181"/>
      <c r="E1187" s="181"/>
      <c r="F1187" s="181"/>
      <c r="G1187" s="1211">
        <v>328140</v>
      </c>
      <c r="H1187" s="122" t="s">
        <v>679</v>
      </c>
      <c r="I1187" s="533" t="s">
        <v>365</v>
      </c>
      <c r="J1187" s="281">
        <v>0</v>
      </c>
      <c r="K1187" s="246"/>
      <c r="L1187" s="282"/>
      <c r="M1187" s="244">
        <v>0</v>
      </c>
      <c r="N1187" s="246"/>
      <c r="O1187" s="282"/>
      <c r="P1187" s="244">
        <v>0</v>
      </c>
      <c r="Q1187" s="246"/>
      <c r="R1187" s="282"/>
      <c r="S1187" s="244">
        <v>0</v>
      </c>
      <c r="T1187" s="246"/>
      <c r="U1187" s="282"/>
      <c r="V1187" s="244">
        <v>0</v>
      </c>
      <c r="W1187" s="246"/>
      <c r="X1187" s="282"/>
      <c r="Y1187" s="244">
        <v>0</v>
      </c>
      <c r="Z1187" s="246"/>
      <c r="AA1187" s="282"/>
      <c r="AB1187" s="244">
        <v>0</v>
      </c>
      <c r="AC1187" s="246"/>
      <c r="AD1187" s="282"/>
      <c r="AE1187" s="244">
        <v>0</v>
      </c>
      <c r="AF1187" s="246"/>
      <c r="AG1187" s="282"/>
      <c r="AH1187" s="244">
        <v>0</v>
      </c>
      <c r="AI1187" s="246"/>
      <c r="AJ1187" s="282"/>
      <c r="AK1187" s="244">
        <v>0</v>
      </c>
      <c r="AL1187" s="246"/>
      <c r="AM1187" s="282"/>
      <c r="AN1187" s="244">
        <v>0</v>
      </c>
      <c r="AO1187" s="246"/>
      <c r="AP1187" s="282"/>
      <c r="AQ1187" s="244">
        <v>0</v>
      </c>
      <c r="AR1187" s="246"/>
      <c r="AS1187" s="282"/>
      <c r="AT1187" s="244">
        <f>J1187+M1187+P1187+S1187+V1187+Y1187+AB1187+AE1187+AH1187+AK1187+AN1187+AQ1187</f>
        <v>0</v>
      </c>
      <c r="AU1187" s="246"/>
      <c r="AV1187" s="336"/>
      <c r="AW1187" s="285"/>
      <c r="AX1187" s="249"/>
      <c r="AY1187" s="441">
        <v>0</v>
      </c>
      <c r="AZ1187" s="357"/>
      <c r="BA1187" s="357"/>
      <c r="BB1187" s="357"/>
      <c r="BC1187" s="357"/>
    </row>
    <row r="1188" spans="1:55" s="24" customFormat="1">
      <c r="A1188" s="179"/>
      <c r="B1188" s="179"/>
      <c r="C1188" s="179"/>
      <c r="D1188" s="181">
        <v>328140</v>
      </c>
      <c r="E1188" s="181"/>
      <c r="F1188" s="181"/>
      <c r="G1188" s="1110">
        <v>316217</v>
      </c>
      <c r="H1188" s="122" t="s">
        <v>486</v>
      </c>
      <c r="I1188" s="516" t="s">
        <v>364</v>
      </c>
      <c r="J1188" s="281">
        <v>0.103412</v>
      </c>
      <c r="K1188" s="246"/>
      <c r="L1188" s="282"/>
      <c r="M1188" s="244">
        <v>0.192191</v>
      </c>
      <c r="N1188" s="246"/>
      <c r="O1188" s="282"/>
      <c r="P1188" s="244">
        <v>0.16316666666666665</v>
      </c>
      <c r="Q1188" s="246"/>
      <c r="R1188" s="282"/>
      <c r="S1188" s="244">
        <v>0.24207400000000001</v>
      </c>
      <c r="T1188" s="246"/>
      <c r="U1188" s="282"/>
      <c r="V1188" s="244">
        <v>0.16338666666666665</v>
      </c>
      <c r="W1188" s="246"/>
      <c r="X1188" s="282"/>
      <c r="Y1188" s="244">
        <v>0.14076933333333333</v>
      </c>
      <c r="Z1188" s="246"/>
      <c r="AA1188" s="282"/>
      <c r="AB1188" s="244">
        <v>0.13144533333333333</v>
      </c>
      <c r="AC1188" s="246"/>
      <c r="AD1188" s="282"/>
      <c r="AE1188" s="244">
        <v>0.16356799999999999</v>
      </c>
      <c r="AF1188" s="246"/>
      <c r="AG1188" s="282"/>
      <c r="AH1188" s="244">
        <v>0.16834933333333332</v>
      </c>
      <c r="AI1188" s="246"/>
      <c r="AJ1188" s="282"/>
      <c r="AK1188" s="244">
        <v>0.15478133333333333</v>
      </c>
      <c r="AL1188" s="246"/>
      <c r="AM1188" s="282"/>
      <c r="AN1188" s="244">
        <v>0.18233200000000002</v>
      </c>
      <c r="AO1188" s="246"/>
      <c r="AP1188" s="282"/>
      <c r="AQ1188" s="244">
        <v>0.20531200000000002</v>
      </c>
      <c r="AR1188" s="246"/>
      <c r="AS1188" s="282"/>
      <c r="AT1188" s="244">
        <f>J1188+M1188+P1188+S1188+V1188+Y1188+AB1188+AE1188+AH1188+AK1188+AN1188+AQ1188</f>
        <v>2.0107876666666664</v>
      </c>
      <c r="AU1188" s="246"/>
      <c r="AV1188" s="336"/>
      <c r="AW1188" s="285"/>
      <c r="AX1188" s="249"/>
      <c r="AY1188" s="438">
        <v>0</v>
      </c>
      <c r="AZ1188" s="357"/>
      <c r="BA1188" s="357"/>
      <c r="BB1188" s="357"/>
      <c r="BC1188" s="357"/>
    </row>
    <row r="1189" spans="1:55" s="24" customFormat="1">
      <c r="A1189" s="179"/>
      <c r="B1189" s="179"/>
      <c r="C1189" s="179"/>
      <c r="D1189" s="181"/>
      <c r="E1189" s="181"/>
      <c r="F1189" s="181"/>
      <c r="G1189" s="1110">
        <v>316217</v>
      </c>
      <c r="H1189" s="122" t="s">
        <v>487</v>
      </c>
      <c r="I1189" s="516" t="s">
        <v>364</v>
      </c>
      <c r="J1189" s="548">
        <v>0</v>
      </c>
      <c r="K1189" s="545"/>
      <c r="L1189" s="546"/>
      <c r="M1189" s="547">
        <v>0</v>
      </c>
      <c r="N1189" s="545"/>
      <c r="O1189" s="546"/>
      <c r="P1189" s="547">
        <v>0</v>
      </c>
      <c r="Q1189" s="545"/>
      <c r="R1189" s="546"/>
      <c r="S1189" s="547">
        <v>0</v>
      </c>
      <c r="T1189" s="545"/>
      <c r="U1189" s="546"/>
      <c r="V1189" s="548">
        <v>0</v>
      </c>
      <c r="W1189" s="545"/>
      <c r="X1189" s="546"/>
      <c r="Y1189" s="548">
        <v>0</v>
      </c>
      <c r="Z1189" s="545"/>
      <c r="AA1189" s="546"/>
      <c r="AB1189" s="548">
        <v>0</v>
      </c>
      <c r="AC1189" s="545"/>
      <c r="AD1189" s="546"/>
      <c r="AE1189" s="548">
        <v>0</v>
      </c>
      <c r="AF1189" s="545"/>
      <c r="AG1189" s="546"/>
      <c r="AH1189" s="548">
        <v>0</v>
      </c>
      <c r="AI1189" s="545"/>
      <c r="AJ1189" s="546"/>
      <c r="AK1189" s="548">
        <v>0</v>
      </c>
      <c r="AL1189" s="545"/>
      <c r="AM1189" s="546"/>
      <c r="AN1189" s="548">
        <v>0</v>
      </c>
      <c r="AO1189" s="545"/>
      <c r="AP1189" s="546"/>
      <c r="AQ1189" s="548">
        <v>0</v>
      </c>
      <c r="AR1189" s="246"/>
      <c r="AS1189" s="282"/>
      <c r="AT1189" s="244">
        <f>J1189+M1189+P1189+S1189+V1189+Y1189+AB1189+AE1189+AH1189+AK1189+AN1189+AQ1189</f>
        <v>0</v>
      </c>
      <c r="AU1189" s="246"/>
      <c r="AV1189" s="336"/>
      <c r="AW1189" s="285"/>
      <c r="AX1189" s="249"/>
      <c r="AY1189" s="438">
        <v>1.5595110000000001</v>
      </c>
      <c r="AZ1189" s="357"/>
      <c r="BA1189" s="357"/>
      <c r="BB1189" s="357"/>
      <c r="BC1189" s="357"/>
    </row>
    <row r="1190" spans="1:55" s="24" customFormat="1">
      <c r="A1190" s="179"/>
      <c r="B1190" s="179"/>
      <c r="C1190" s="179"/>
      <c r="D1190" s="181"/>
      <c r="E1190" s="181"/>
      <c r="F1190" s="181"/>
      <c r="G1190" s="1211">
        <v>777264</v>
      </c>
      <c r="H1190" s="122" t="s">
        <v>1744</v>
      </c>
      <c r="I1190" s="992" t="s">
        <v>364</v>
      </c>
      <c r="J1190" s="547">
        <v>0</v>
      </c>
      <c r="K1190" s="545"/>
      <c r="L1190" s="546"/>
      <c r="M1190" s="547">
        <v>0</v>
      </c>
      <c r="N1190" s="545"/>
      <c r="O1190" s="546"/>
      <c r="P1190" s="547">
        <v>0</v>
      </c>
      <c r="Q1190" s="545"/>
      <c r="R1190" s="546"/>
      <c r="S1190" s="547">
        <v>0</v>
      </c>
      <c r="T1190" s="545"/>
      <c r="U1190" s="546"/>
      <c r="V1190" s="547">
        <v>0</v>
      </c>
      <c r="W1190" s="545"/>
      <c r="X1190" s="546"/>
      <c r="Y1190" s="547">
        <v>0</v>
      </c>
      <c r="Z1190" s="545"/>
      <c r="AA1190" s="546"/>
      <c r="AB1190" s="547">
        <v>0</v>
      </c>
      <c r="AC1190" s="545"/>
      <c r="AD1190" s="546"/>
      <c r="AE1190" s="547">
        <v>0</v>
      </c>
      <c r="AF1190" s="545"/>
      <c r="AG1190" s="546"/>
      <c r="AH1190" s="547">
        <v>0</v>
      </c>
      <c r="AI1190" s="545"/>
      <c r="AJ1190" s="546"/>
      <c r="AK1190" s="547">
        <v>0</v>
      </c>
      <c r="AL1190" s="545"/>
      <c r="AM1190" s="546"/>
      <c r="AN1190" s="547">
        <v>0</v>
      </c>
      <c r="AO1190" s="545"/>
      <c r="AP1190" s="546"/>
      <c r="AQ1190" s="547">
        <v>0</v>
      </c>
      <c r="AR1190" s="246"/>
      <c r="AS1190" s="282"/>
      <c r="AT1190" s="244">
        <f t="shared" ref="AT1190:AT1195" si="47">J1190+M1190+P1190+S1190+V1190+Y1190+AB1190+AE1190+AH1190+AK1190+AN1190+AQ1190</f>
        <v>0</v>
      </c>
      <c r="AU1190" s="246"/>
      <c r="AV1190" s="336"/>
      <c r="AW1190" s="285"/>
      <c r="AX1190" s="249"/>
      <c r="AY1190" s="438"/>
      <c r="AZ1190" s="357"/>
      <c r="BA1190" s="357"/>
      <c r="BB1190" s="357"/>
      <c r="BC1190" s="357"/>
    </row>
    <row r="1191" spans="1:55" s="24" customFormat="1">
      <c r="A1191" s="179"/>
      <c r="B1191" s="179"/>
      <c r="C1191" s="179"/>
      <c r="D1191" s="181"/>
      <c r="E1191" s="181"/>
      <c r="F1191" s="181"/>
      <c r="G1191" s="1211">
        <v>777817</v>
      </c>
      <c r="H1191" s="122" t="s">
        <v>1745</v>
      </c>
      <c r="I1191" s="992" t="s">
        <v>364</v>
      </c>
      <c r="J1191" s="547">
        <v>0.497973</v>
      </c>
      <c r="K1191" s="545"/>
      <c r="L1191" s="546"/>
      <c r="M1191" s="547">
        <v>0.94518999999999997</v>
      </c>
      <c r="N1191" s="545"/>
      <c r="O1191" s="546"/>
      <c r="P1191" s="547">
        <v>1.5</v>
      </c>
      <c r="Q1191" s="545"/>
      <c r="R1191" s="546"/>
      <c r="S1191" s="547">
        <v>2</v>
      </c>
      <c r="T1191" s="545"/>
      <c r="U1191" s="546"/>
      <c r="V1191" s="547">
        <v>2.8079990000000001</v>
      </c>
      <c r="W1191" s="545"/>
      <c r="X1191" s="546"/>
      <c r="Y1191" s="547">
        <v>2.7218990000000001</v>
      </c>
      <c r="Z1191" s="545"/>
      <c r="AA1191" s="546"/>
      <c r="AB1191" s="547">
        <v>2.301288</v>
      </c>
      <c r="AC1191" s="545"/>
      <c r="AD1191" s="546"/>
      <c r="AE1191" s="547">
        <v>2.2177099999999998</v>
      </c>
      <c r="AF1191" s="545"/>
      <c r="AG1191" s="546"/>
      <c r="AH1191" s="547">
        <v>2.099904</v>
      </c>
      <c r="AI1191" s="545"/>
      <c r="AJ1191" s="546"/>
      <c r="AK1191" s="547">
        <v>0</v>
      </c>
      <c r="AL1191" s="545"/>
      <c r="AM1191" s="546"/>
      <c r="AN1191" s="547">
        <v>0.86583399999999999</v>
      </c>
      <c r="AO1191" s="545"/>
      <c r="AP1191" s="546"/>
      <c r="AQ1191" s="547">
        <v>0.317994</v>
      </c>
      <c r="AR1191" s="246"/>
      <c r="AS1191" s="282"/>
      <c r="AT1191" s="244">
        <f t="shared" si="47"/>
        <v>18.275790999999998</v>
      </c>
      <c r="AU1191" s="246"/>
      <c r="AV1191" s="336"/>
      <c r="AW1191" s="285"/>
      <c r="AX1191" s="249"/>
      <c r="AY1191" s="438"/>
      <c r="AZ1191" s="357"/>
      <c r="BA1191" s="357"/>
      <c r="BB1191" s="357"/>
      <c r="BC1191" s="357"/>
    </row>
    <row r="1192" spans="1:55" s="24" customFormat="1">
      <c r="A1192" s="179"/>
      <c r="B1192" s="179"/>
      <c r="C1192" s="179"/>
      <c r="D1192" s="181"/>
      <c r="E1192" s="181"/>
      <c r="F1192" s="181"/>
      <c r="G1192" s="1211">
        <v>777784</v>
      </c>
      <c r="H1192" s="122" t="s">
        <v>1746</v>
      </c>
      <c r="I1192" s="992" t="s">
        <v>364</v>
      </c>
      <c r="J1192" s="547">
        <v>0</v>
      </c>
      <c r="K1192" s="545"/>
      <c r="L1192" s="546"/>
      <c r="M1192" s="547">
        <v>0</v>
      </c>
      <c r="N1192" s="545"/>
      <c r="O1192" s="546"/>
      <c r="P1192" s="547">
        <v>0</v>
      </c>
      <c r="Q1192" s="545"/>
      <c r="R1192" s="546"/>
      <c r="S1192" s="547">
        <v>0</v>
      </c>
      <c r="T1192" s="545"/>
      <c r="U1192" s="546"/>
      <c r="V1192" s="547">
        <v>0</v>
      </c>
      <c r="W1192" s="545"/>
      <c r="X1192" s="546"/>
      <c r="Y1192" s="547">
        <v>0</v>
      </c>
      <c r="Z1192" s="545"/>
      <c r="AA1192" s="546"/>
      <c r="AB1192" s="547">
        <v>0</v>
      </c>
      <c r="AC1192" s="545"/>
      <c r="AD1192" s="546"/>
      <c r="AE1192" s="547">
        <v>0</v>
      </c>
      <c r="AF1192" s="545"/>
      <c r="AG1192" s="546"/>
      <c r="AH1192" s="547">
        <v>0</v>
      </c>
      <c r="AI1192" s="545"/>
      <c r="AJ1192" s="546"/>
      <c r="AK1192" s="547">
        <v>0</v>
      </c>
      <c r="AL1192" s="545"/>
      <c r="AM1192" s="546"/>
      <c r="AN1192" s="547">
        <v>0</v>
      </c>
      <c r="AO1192" s="545"/>
      <c r="AP1192" s="546"/>
      <c r="AQ1192" s="547">
        <v>0.73856670967741933</v>
      </c>
      <c r="AR1192" s="246"/>
      <c r="AS1192" s="282"/>
      <c r="AT1192" s="244">
        <f t="shared" si="47"/>
        <v>0.73856670967741933</v>
      </c>
      <c r="AU1192" s="246"/>
      <c r="AV1192" s="336"/>
      <c r="AW1192" s="285"/>
      <c r="AX1192" s="249"/>
      <c r="AY1192" s="438"/>
      <c r="AZ1192" s="357"/>
      <c r="BA1192" s="357"/>
      <c r="BB1192" s="357"/>
      <c r="BC1192" s="357"/>
    </row>
    <row r="1193" spans="1:55" s="24" customFormat="1">
      <c r="A1193" s="179"/>
      <c r="B1193" s="179"/>
      <c r="C1193" s="179"/>
      <c r="D1193" s="181"/>
      <c r="E1193" s="181"/>
      <c r="F1193" s="181"/>
      <c r="G1193" s="1211">
        <v>777407</v>
      </c>
      <c r="H1193" s="122" t="s">
        <v>1747</v>
      </c>
      <c r="I1193" s="992" t="s">
        <v>364</v>
      </c>
      <c r="J1193" s="547">
        <v>0.78015769999999995</v>
      </c>
      <c r="K1193" s="545"/>
      <c r="L1193" s="546"/>
      <c r="M1193" s="547">
        <v>1.4807976666666667</v>
      </c>
      <c r="N1193" s="545"/>
      <c r="O1193" s="546"/>
      <c r="P1193" s="547">
        <v>2.35</v>
      </c>
      <c r="Q1193" s="545"/>
      <c r="R1193" s="546"/>
      <c r="S1193" s="547">
        <v>3.1333333333333333</v>
      </c>
      <c r="T1193" s="545"/>
      <c r="U1193" s="546"/>
      <c r="V1193" s="547">
        <v>4.3991984333333338</v>
      </c>
      <c r="W1193" s="545"/>
      <c r="X1193" s="546"/>
      <c r="Y1193" s="547">
        <v>4.2643084333333334</v>
      </c>
      <c r="Z1193" s="545"/>
      <c r="AA1193" s="546"/>
      <c r="AB1193" s="547">
        <v>3.6053511999999999</v>
      </c>
      <c r="AC1193" s="545"/>
      <c r="AD1193" s="546"/>
      <c r="AE1193" s="547">
        <v>3.474412333333333</v>
      </c>
      <c r="AF1193" s="545"/>
      <c r="AG1193" s="546"/>
      <c r="AH1193" s="547">
        <v>3.2898496000000002</v>
      </c>
      <c r="AI1193" s="545"/>
      <c r="AJ1193" s="546"/>
      <c r="AK1193" s="547">
        <v>0</v>
      </c>
      <c r="AL1193" s="545"/>
      <c r="AM1193" s="546"/>
      <c r="AN1193" s="547">
        <v>1.3564732666666666</v>
      </c>
      <c r="AO1193" s="545"/>
      <c r="AP1193" s="546"/>
      <c r="AQ1193" s="547">
        <v>0.49819059999999998</v>
      </c>
      <c r="AR1193" s="246"/>
      <c r="AS1193" s="282"/>
      <c r="AT1193" s="244">
        <f t="shared" si="47"/>
        <v>28.632072566666668</v>
      </c>
      <c r="AU1193" s="246"/>
      <c r="AV1193" s="336"/>
      <c r="AW1193" s="285"/>
      <c r="AX1193" s="249"/>
      <c r="AY1193" s="438"/>
      <c r="AZ1193" s="357"/>
      <c r="BA1193" s="357"/>
      <c r="BB1193" s="357"/>
      <c r="BC1193" s="357"/>
    </row>
    <row r="1194" spans="1:55" s="24" customFormat="1">
      <c r="A1194" s="179"/>
      <c r="B1194" s="179"/>
      <c r="C1194" s="179"/>
      <c r="D1194" s="181"/>
      <c r="E1194" s="181"/>
      <c r="F1194" s="181"/>
      <c r="G1194" s="1211">
        <v>777820</v>
      </c>
      <c r="H1194" s="122" t="s">
        <v>1748</v>
      </c>
      <c r="I1194" s="992" t="s">
        <v>364</v>
      </c>
      <c r="J1194" s="547">
        <v>0.331982</v>
      </c>
      <c r="K1194" s="545"/>
      <c r="L1194" s="546"/>
      <c r="M1194" s="547">
        <v>0.63012666666666661</v>
      </c>
      <c r="N1194" s="545"/>
      <c r="O1194" s="546"/>
      <c r="P1194" s="547">
        <v>1</v>
      </c>
      <c r="Q1194" s="545"/>
      <c r="R1194" s="546"/>
      <c r="S1194" s="547">
        <v>1.3333333333333333</v>
      </c>
      <c r="T1194" s="545"/>
      <c r="U1194" s="546"/>
      <c r="V1194" s="547">
        <v>1.8719993333333333</v>
      </c>
      <c r="W1194" s="545"/>
      <c r="X1194" s="546"/>
      <c r="Y1194" s="547">
        <v>1.8145993333333332</v>
      </c>
      <c r="Z1194" s="545"/>
      <c r="AA1194" s="546"/>
      <c r="AB1194" s="547">
        <v>1.534192</v>
      </c>
      <c r="AC1194" s="545"/>
      <c r="AD1194" s="546"/>
      <c r="AE1194" s="547">
        <v>1.4784733333333331</v>
      </c>
      <c r="AF1194" s="545"/>
      <c r="AG1194" s="546"/>
      <c r="AH1194" s="547">
        <v>1.3999359999999998</v>
      </c>
      <c r="AI1194" s="545"/>
      <c r="AJ1194" s="546"/>
      <c r="AK1194" s="547">
        <v>0</v>
      </c>
      <c r="AL1194" s="545"/>
      <c r="AM1194" s="546"/>
      <c r="AN1194" s="547">
        <v>0.57722266666666666</v>
      </c>
      <c r="AO1194" s="545"/>
      <c r="AP1194" s="546"/>
      <c r="AQ1194" s="547">
        <v>0.21199599999999999</v>
      </c>
      <c r="AR1194" s="246"/>
      <c r="AS1194" s="282"/>
      <c r="AT1194" s="244">
        <f t="shared" si="47"/>
        <v>12.183860666666668</v>
      </c>
      <c r="AU1194" s="246"/>
      <c r="AV1194" s="336"/>
      <c r="AW1194" s="285"/>
      <c r="AX1194" s="249"/>
      <c r="AY1194" s="438"/>
      <c r="AZ1194" s="357"/>
      <c r="BA1194" s="357"/>
      <c r="BB1194" s="357"/>
      <c r="BC1194" s="357"/>
    </row>
    <row r="1195" spans="1:55" s="24" customFormat="1">
      <c r="A1195" s="179"/>
      <c r="B1195" s="179"/>
      <c r="C1195" s="179"/>
      <c r="D1195" s="181"/>
      <c r="E1195" s="181"/>
      <c r="F1195" s="181"/>
      <c r="G1195" s="1211">
        <v>777819</v>
      </c>
      <c r="H1195" s="122" t="s">
        <v>1749</v>
      </c>
      <c r="I1195" s="992" t="s">
        <v>364</v>
      </c>
      <c r="J1195" s="547">
        <v>0</v>
      </c>
      <c r="K1195" s="545"/>
      <c r="L1195" s="546"/>
      <c r="M1195" s="547">
        <v>0</v>
      </c>
      <c r="N1195" s="545"/>
      <c r="O1195" s="546"/>
      <c r="P1195" s="547">
        <v>0</v>
      </c>
      <c r="Q1195" s="545"/>
      <c r="R1195" s="546"/>
      <c r="S1195" s="547">
        <v>0</v>
      </c>
      <c r="T1195" s="545"/>
      <c r="U1195" s="546"/>
      <c r="V1195" s="547">
        <v>0</v>
      </c>
      <c r="W1195" s="545"/>
      <c r="X1195" s="546"/>
      <c r="Y1195" s="547">
        <v>0</v>
      </c>
      <c r="Z1195" s="545"/>
      <c r="AA1195" s="546"/>
      <c r="AB1195" s="547">
        <v>0</v>
      </c>
      <c r="AC1195" s="545"/>
      <c r="AD1195" s="546"/>
      <c r="AE1195" s="547">
        <v>0</v>
      </c>
      <c r="AF1195" s="545"/>
      <c r="AG1195" s="546"/>
      <c r="AH1195" s="547">
        <v>0</v>
      </c>
      <c r="AI1195" s="545"/>
      <c r="AJ1195" s="546"/>
      <c r="AK1195" s="547">
        <v>0</v>
      </c>
      <c r="AL1195" s="545"/>
      <c r="AM1195" s="546"/>
      <c r="AN1195" s="547">
        <v>0</v>
      </c>
      <c r="AO1195" s="545"/>
      <c r="AP1195" s="546"/>
      <c r="AQ1195" s="547">
        <v>0.41031483870967739</v>
      </c>
      <c r="AR1195" s="246"/>
      <c r="AS1195" s="282"/>
      <c r="AT1195" s="244">
        <f t="shared" si="47"/>
        <v>0.41031483870967739</v>
      </c>
      <c r="AU1195" s="246"/>
      <c r="AV1195" s="336"/>
      <c r="AW1195" s="285"/>
      <c r="AX1195" s="249"/>
      <c r="AY1195" s="438"/>
      <c r="AZ1195" s="357"/>
      <c r="BA1195" s="357"/>
      <c r="BB1195" s="357"/>
      <c r="BC1195" s="357"/>
    </row>
    <row r="1196" spans="1:55" s="24" customFormat="1" ht="18.75">
      <c r="A1196" s="179"/>
      <c r="B1196" s="179"/>
      <c r="C1196" s="179"/>
      <c r="D1196" s="181">
        <v>323400</v>
      </c>
      <c r="E1196" s="181"/>
      <c r="F1196" s="181"/>
      <c r="G1196" s="181">
        <v>323400</v>
      </c>
      <c r="H1196" s="474" t="s">
        <v>1628</v>
      </c>
      <c r="I1196" s="474"/>
      <c r="J1196" s="277">
        <f>SUM(J1197:J1199)</f>
        <v>16.282052288472656</v>
      </c>
      <c r="K1196" s="275">
        <f>L1196-J1196</f>
        <v>128.09358046918783</v>
      </c>
      <c r="L1196" s="276">
        <f>Потребление!D71</f>
        <v>144.3756327576605</v>
      </c>
      <c r="M1196" s="274">
        <f>SUM(M1197:M1199)</f>
        <v>15.131990721940996</v>
      </c>
      <c r="N1196" s="275">
        <f>O1196-M1196</f>
        <v>116.35310111240945</v>
      </c>
      <c r="O1196" s="276">
        <f>Потребление!E71</f>
        <v>131.48509183435044</v>
      </c>
      <c r="P1196" s="274">
        <f>SUM(P1197:P1199)</f>
        <v>16.966954860806467</v>
      </c>
      <c r="Q1196" s="275">
        <f>R1196-P1196</f>
        <v>120.07908519927553</v>
      </c>
      <c r="R1196" s="276">
        <f>Потребление!F71</f>
        <v>137.04604006008199</v>
      </c>
      <c r="S1196" s="274">
        <f>SUM(S1197:S1199)</f>
        <v>30.819447148406027</v>
      </c>
      <c r="T1196" s="275">
        <f>U1196-S1196</f>
        <v>88.511985308686974</v>
      </c>
      <c r="U1196" s="276">
        <f>Потребление!G71</f>
        <v>119.331432457093</v>
      </c>
      <c r="V1196" s="274">
        <f>SUM(V1197:V1199)</f>
        <v>81.838559856568338</v>
      </c>
      <c r="W1196" s="275">
        <f>X1196-V1196</f>
        <v>14.275170591135151</v>
      </c>
      <c r="X1196" s="276">
        <f>Потребление!H71</f>
        <v>96.113730447703489</v>
      </c>
      <c r="Y1196" s="274">
        <f>SUM(Y1197:Y1199)</f>
        <v>93.959787997802749</v>
      </c>
      <c r="Z1196" s="275">
        <f>AA1196-Y1196</f>
        <v>-1.464644125099241</v>
      </c>
      <c r="AA1196" s="276">
        <f>Потребление!I71</f>
        <v>92.495143872703508</v>
      </c>
      <c r="AB1196" s="274">
        <f>SUM(AB1197:AB1199)</f>
        <v>90.914308902028623</v>
      </c>
      <c r="AC1196" s="275">
        <f>AD1196-AB1196</f>
        <v>3.9690417298608764</v>
      </c>
      <c r="AD1196" s="276">
        <f>Потребление!J71</f>
        <v>94.883350631889499</v>
      </c>
      <c r="AE1196" s="274">
        <f>SUM(AE1197:AE1199)</f>
        <v>73.356256571705799</v>
      </c>
      <c r="AF1196" s="275">
        <f>AG1196-AE1196</f>
        <v>18.433509800997697</v>
      </c>
      <c r="AG1196" s="276">
        <f>Потребление!K71</f>
        <v>91.789766372703497</v>
      </c>
      <c r="AH1196" s="274">
        <f>SUM(AH1197:AH1199)</f>
        <v>53.762152808923645</v>
      </c>
      <c r="AI1196" s="275">
        <f>AJ1196-AH1196</f>
        <v>43.408636186483363</v>
      </c>
      <c r="AJ1196" s="276">
        <f>Потребление!L71</f>
        <v>97.170788995407008</v>
      </c>
      <c r="AK1196" s="274">
        <f>SUM(AK1197:AK1199)</f>
        <v>32.659577814820693</v>
      </c>
      <c r="AL1196" s="275">
        <f>AM1196-AK1196</f>
        <v>88.831821275179308</v>
      </c>
      <c r="AM1196" s="276">
        <f>Потребление!M71</f>
        <v>121.49139909</v>
      </c>
      <c r="AN1196" s="274">
        <f>SUM(AN1197:AN1199)</f>
        <v>22.628487712144853</v>
      </c>
      <c r="AO1196" s="275">
        <f>AP1196-AN1196</f>
        <v>116.43749251826216</v>
      </c>
      <c r="AP1196" s="276">
        <f>Потребление!N71</f>
        <v>139.06598023040701</v>
      </c>
      <c r="AQ1196" s="274">
        <f>SUM(AQ1197:AQ1199)</f>
        <v>22.789726043698863</v>
      </c>
      <c r="AR1196" s="275">
        <f>AS1196-AQ1196</f>
        <v>126.96191720630114</v>
      </c>
      <c r="AS1196" s="276">
        <f>Потребление!O71</f>
        <v>149.75164325</v>
      </c>
      <c r="AT1196" s="274">
        <f>SUM(AT1197:AT1199)</f>
        <v>551.1093027273198</v>
      </c>
      <c r="AU1196" s="275">
        <f>AV1196-AT1196</f>
        <v>863.89069727267974</v>
      </c>
      <c r="AV1196" s="278">
        <f>L1196+O1196+R1196+U1196+X1196+AA1196+AD1196+AG1196+AJ1196+AM1196+AP1196+AS1196</f>
        <v>1414.9999999999995</v>
      </c>
      <c r="AW1196" s="279"/>
      <c r="AX1196" s="1067">
        <v>1354.3069109999999</v>
      </c>
      <c r="AY1196" s="298">
        <f>SUM(AY1197:AY1199)</f>
        <v>523.59988899999996</v>
      </c>
      <c r="AZ1196" s="357"/>
      <c r="BA1196" s="357"/>
      <c r="BB1196" s="357"/>
      <c r="BC1196" s="357"/>
    </row>
    <row r="1197" spans="1:55" s="24" customFormat="1">
      <c r="A1197" s="179"/>
      <c r="B1197" s="179"/>
      <c r="C1197" s="179"/>
      <c r="D1197" s="181"/>
      <c r="E1197" s="181"/>
      <c r="F1197" s="181"/>
      <c r="G1197" s="181"/>
      <c r="H1197" s="124" t="s">
        <v>56</v>
      </c>
      <c r="I1197" s="124"/>
      <c r="J1197" s="365">
        <f>J1202</f>
        <v>2.08</v>
      </c>
      <c r="K1197" s="363"/>
      <c r="L1197" s="364"/>
      <c r="M1197" s="362">
        <f>M1202</f>
        <v>2.08</v>
      </c>
      <c r="N1197" s="363"/>
      <c r="O1197" s="364"/>
      <c r="P1197" s="362">
        <f>P1202</f>
        <v>2.08</v>
      </c>
      <c r="Q1197" s="363"/>
      <c r="R1197" s="364"/>
      <c r="S1197" s="362">
        <f>S1202</f>
        <v>2.08</v>
      </c>
      <c r="T1197" s="363"/>
      <c r="U1197" s="364"/>
      <c r="V1197" s="362">
        <f>V1202</f>
        <v>2.08</v>
      </c>
      <c r="W1197" s="363"/>
      <c r="X1197" s="364"/>
      <c r="Y1197" s="362">
        <f>Y1202</f>
        <v>2.08</v>
      </c>
      <c r="Z1197" s="363"/>
      <c r="AA1197" s="364"/>
      <c r="AB1197" s="362">
        <f>AB1202</f>
        <v>2.08</v>
      </c>
      <c r="AC1197" s="363"/>
      <c r="AD1197" s="364"/>
      <c r="AE1197" s="362">
        <f>AE1202</f>
        <v>2.08</v>
      </c>
      <c r="AF1197" s="363"/>
      <c r="AG1197" s="364"/>
      <c r="AH1197" s="362">
        <f>AH1202</f>
        <v>2.08</v>
      </c>
      <c r="AI1197" s="363"/>
      <c r="AJ1197" s="364"/>
      <c r="AK1197" s="362">
        <f>AK1202</f>
        <v>2.08</v>
      </c>
      <c r="AL1197" s="363"/>
      <c r="AM1197" s="364"/>
      <c r="AN1197" s="362">
        <f>AN1202</f>
        <v>2.08</v>
      </c>
      <c r="AO1197" s="363"/>
      <c r="AP1197" s="364"/>
      <c r="AQ1197" s="362">
        <f>AQ1202</f>
        <v>2.08</v>
      </c>
      <c r="AR1197" s="363"/>
      <c r="AS1197" s="364"/>
      <c r="AT1197" s="362">
        <f>AT1202</f>
        <v>24.959999999999994</v>
      </c>
      <c r="AU1197" s="363"/>
      <c r="AV1197" s="229"/>
      <c r="AW1197" s="226"/>
      <c r="AX1197" s="366"/>
      <c r="AY1197" s="339">
        <f>AY1202</f>
        <v>45.144458</v>
      </c>
      <c r="AZ1197" s="357"/>
      <c r="BA1197" s="357"/>
      <c r="BB1197" s="357"/>
      <c r="BC1197" s="357"/>
    </row>
    <row r="1198" spans="1:55" s="24" customFormat="1">
      <c r="A1198" s="179"/>
      <c r="B1198" s="179"/>
      <c r="C1198" s="179"/>
      <c r="D1198" s="181"/>
      <c r="E1198" s="181"/>
      <c r="F1198" s="181"/>
      <c r="G1198" s="181"/>
      <c r="H1198" s="124" t="s">
        <v>55</v>
      </c>
      <c r="I1198" s="124"/>
      <c r="J1198" s="365">
        <f>SUM(J1200:J1201,J1203:J1207)</f>
        <v>14.202052288472654</v>
      </c>
      <c r="K1198" s="363"/>
      <c r="L1198" s="364"/>
      <c r="M1198" s="365">
        <f>SUM(M1200:M1201,M1203:M1207)</f>
        <v>13.051990721940996</v>
      </c>
      <c r="N1198" s="363"/>
      <c r="O1198" s="364"/>
      <c r="P1198" s="365">
        <f>SUM(P1200:P1201,P1203:P1207)</f>
        <v>14.886954860806465</v>
      </c>
      <c r="Q1198" s="363"/>
      <c r="R1198" s="364"/>
      <c r="S1198" s="365">
        <f>SUM(S1200:S1201,S1203:S1207)</f>
        <v>28.739447148406025</v>
      </c>
      <c r="T1198" s="363"/>
      <c r="U1198" s="364"/>
      <c r="V1198" s="365">
        <f>SUM(V1200:V1201,V1203:V1207)</f>
        <v>79.75855985656834</v>
      </c>
      <c r="W1198" s="363"/>
      <c r="X1198" s="364"/>
      <c r="Y1198" s="365">
        <f>SUM(Y1200:Y1201,Y1203:Y1207)</f>
        <v>91.879787997802751</v>
      </c>
      <c r="Z1198" s="363"/>
      <c r="AA1198" s="364"/>
      <c r="AB1198" s="365">
        <f>SUM(AB1200:AB1201,AB1203:AB1207)</f>
        <v>88.834308902028624</v>
      </c>
      <c r="AC1198" s="363"/>
      <c r="AD1198" s="364"/>
      <c r="AE1198" s="365">
        <f>SUM(AE1200:AE1201,AE1203:AE1207)</f>
        <v>71.276256571705801</v>
      </c>
      <c r="AF1198" s="363"/>
      <c r="AG1198" s="364"/>
      <c r="AH1198" s="365">
        <f>SUM(AH1200:AH1201,AH1203:AH1207)</f>
        <v>45.202152808923643</v>
      </c>
      <c r="AI1198" s="363"/>
      <c r="AJ1198" s="364"/>
      <c r="AK1198" s="365">
        <f>SUM(AK1200:AK1201,AK1203:AK1207)</f>
        <v>24.539577814820692</v>
      </c>
      <c r="AL1198" s="363"/>
      <c r="AM1198" s="364"/>
      <c r="AN1198" s="365">
        <f>SUM(AN1200:AN1201,AN1203:AN1207)</f>
        <v>14.51848771214485</v>
      </c>
      <c r="AO1198" s="363"/>
      <c r="AP1198" s="364"/>
      <c r="AQ1198" s="365">
        <f>SUM(AQ1200:AQ1201,AQ1203:AQ1207)</f>
        <v>14.679726043698864</v>
      </c>
      <c r="AR1198" s="363"/>
      <c r="AS1198" s="364"/>
      <c r="AT1198" s="365">
        <f>SUM(AT1200:AT1201,AT1203:AT1207)</f>
        <v>501.56930272731972</v>
      </c>
      <c r="AU1198" s="363"/>
      <c r="AV1198" s="229"/>
      <c r="AW1198" s="226"/>
      <c r="AX1198" s="366"/>
      <c r="AY1198" s="339">
        <f>SUM(AY1200:AY1201,AY1203:AY1207)</f>
        <v>472.696281</v>
      </c>
      <c r="AZ1198" s="357"/>
      <c r="BA1198" s="357"/>
      <c r="BB1198" s="357"/>
      <c r="BC1198" s="357"/>
    </row>
    <row r="1199" spans="1:55" s="24" customFormat="1">
      <c r="A1199" s="179"/>
      <c r="B1199" s="179"/>
      <c r="C1199" s="179"/>
      <c r="D1199" s="181"/>
      <c r="E1199" s="181"/>
      <c r="F1199" s="181"/>
      <c r="G1199" s="181"/>
      <c r="H1199" s="124" t="s">
        <v>183</v>
      </c>
      <c r="I1199" s="124"/>
      <c r="J1199" s="365">
        <f>J1208</f>
        <v>0</v>
      </c>
      <c r="K1199" s="363"/>
      <c r="L1199" s="364"/>
      <c r="M1199" s="362">
        <f>M1208</f>
        <v>0</v>
      </c>
      <c r="N1199" s="363"/>
      <c r="O1199" s="364"/>
      <c r="P1199" s="362">
        <f>P1208</f>
        <v>0</v>
      </c>
      <c r="Q1199" s="363"/>
      <c r="R1199" s="364"/>
      <c r="S1199" s="362">
        <f>S1208</f>
        <v>0</v>
      </c>
      <c r="T1199" s="363"/>
      <c r="U1199" s="364"/>
      <c r="V1199" s="362">
        <f>V1208</f>
        <v>0</v>
      </c>
      <c r="W1199" s="363"/>
      <c r="X1199" s="364"/>
      <c r="Y1199" s="362">
        <f>Y1208</f>
        <v>0</v>
      </c>
      <c r="Z1199" s="363"/>
      <c r="AA1199" s="364"/>
      <c r="AB1199" s="362">
        <f>AB1208</f>
        <v>0</v>
      </c>
      <c r="AC1199" s="363"/>
      <c r="AD1199" s="364"/>
      <c r="AE1199" s="362">
        <f>AE1208</f>
        <v>0</v>
      </c>
      <c r="AF1199" s="363"/>
      <c r="AG1199" s="364"/>
      <c r="AH1199" s="362">
        <f>AH1208</f>
        <v>6.48</v>
      </c>
      <c r="AI1199" s="363"/>
      <c r="AJ1199" s="364"/>
      <c r="AK1199" s="362">
        <f>AK1208</f>
        <v>6.04</v>
      </c>
      <c r="AL1199" s="363"/>
      <c r="AM1199" s="364"/>
      <c r="AN1199" s="362">
        <f>AN1208</f>
        <v>6.03</v>
      </c>
      <c r="AO1199" s="363"/>
      <c r="AP1199" s="364"/>
      <c r="AQ1199" s="362">
        <f>AQ1208</f>
        <v>6.03</v>
      </c>
      <c r="AR1199" s="363"/>
      <c r="AS1199" s="364"/>
      <c r="AT1199" s="362">
        <f>AT1208</f>
        <v>24.580000000000002</v>
      </c>
      <c r="AU1199" s="363"/>
      <c r="AV1199" s="229"/>
      <c r="AW1199" s="226"/>
      <c r="AX1199" s="366"/>
      <c r="AY1199" s="339">
        <f>AY1208</f>
        <v>5.75915</v>
      </c>
      <c r="AZ1199" s="357"/>
      <c r="BA1199" s="357"/>
      <c r="BB1199" s="357"/>
      <c r="BC1199" s="357"/>
    </row>
    <row r="1200" spans="1:55" s="24" customFormat="1">
      <c r="A1200" s="179"/>
      <c r="B1200" s="179"/>
      <c r="C1200" s="179"/>
      <c r="D1200" s="181">
        <v>323430</v>
      </c>
      <c r="E1200" s="181"/>
      <c r="F1200" s="181"/>
      <c r="G1200" s="1110">
        <v>323430</v>
      </c>
      <c r="H1200" s="122" t="s">
        <v>680</v>
      </c>
      <c r="I1200" s="516" t="s">
        <v>364</v>
      </c>
      <c r="J1200" s="638">
        <f>ГЭС!C137+12</f>
        <v>12</v>
      </c>
      <c r="K1200" s="521"/>
      <c r="L1200" s="522"/>
      <c r="M1200" s="638">
        <f>ГЭС!D137+10.8</f>
        <v>10.8</v>
      </c>
      <c r="N1200" s="521"/>
      <c r="O1200" s="522"/>
      <c r="P1200" s="638">
        <f>ГЭС!E137+12</f>
        <v>12</v>
      </c>
      <c r="Q1200" s="521"/>
      <c r="R1200" s="522"/>
      <c r="S1200" s="638">
        <f>ГЭС!G137+11.6</f>
        <v>25.689187</v>
      </c>
      <c r="T1200" s="521"/>
      <c r="U1200" s="522"/>
      <c r="V1200" s="638">
        <f>ГЭС!H137+12.4</f>
        <v>75.755836000000002</v>
      </c>
      <c r="W1200" s="521"/>
      <c r="X1200" s="522"/>
      <c r="Y1200" s="638">
        <f>ГЭС!I137+12.4</f>
        <v>87.018284000000008</v>
      </c>
      <c r="Z1200" s="521"/>
      <c r="AA1200" s="522"/>
      <c r="AB1200" s="638">
        <f>ГЭС!K137+12.4</f>
        <v>83.68408633</v>
      </c>
      <c r="AC1200" s="521"/>
      <c r="AD1200" s="522"/>
      <c r="AE1200" s="638">
        <f>ГЭС!L137+12.4</f>
        <v>67.034082999999995</v>
      </c>
      <c r="AF1200" s="521"/>
      <c r="AG1200" s="522"/>
      <c r="AH1200" s="638">
        <f>ГЭС!M137+12</f>
        <v>42.042424670000003</v>
      </c>
      <c r="AI1200" s="521"/>
      <c r="AJ1200" s="522"/>
      <c r="AK1200" s="638">
        <f>ГЭС!O137+12</f>
        <v>21.40827067</v>
      </c>
      <c r="AL1200" s="521"/>
      <c r="AM1200" s="522"/>
      <c r="AN1200" s="638">
        <f>ГЭС!P137+11.6</f>
        <v>11.6</v>
      </c>
      <c r="AO1200" s="521"/>
      <c r="AP1200" s="522"/>
      <c r="AQ1200" s="638">
        <f>ГЭС!Q137+12</f>
        <v>12.00240533</v>
      </c>
      <c r="AR1200" s="246"/>
      <c r="AS1200" s="282"/>
      <c r="AT1200" s="638">
        <f>J1200+M1200+P1200+S1200+V1200+Y1200+AB1200+AE1200+AH1200+AK1200+AN1200+AQ1200</f>
        <v>461.03457700000001</v>
      </c>
      <c r="AU1200" s="246"/>
      <c r="AV1200" s="336"/>
      <c r="AW1200" s="285"/>
      <c r="AX1200" s="249"/>
      <c r="AY1200" s="438">
        <v>461.14202899999998</v>
      </c>
      <c r="AZ1200" s="357"/>
      <c r="BA1200" s="357"/>
      <c r="BB1200" s="357"/>
      <c r="BC1200" s="357"/>
    </row>
    <row r="1201" spans="1:55" s="24" customFormat="1">
      <c r="A1201" s="179"/>
      <c r="B1201" s="179"/>
      <c r="C1201" s="179"/>
      <c r="D1201" s="181">
        <v>777178</v>
      </c>
      <c r="E1201" s="181"/>
      <c r="F1201" s="181"/>
      <c r="G1201" s="1121"/>
      <c r="H1201" s="122" t="s">
        <v>842</v>
      </c>
      <c r="I1201" s="516" t="s">
        <v>364</v>
      </c>
      <c r="J1201" s="638">
        <v>0</v>
      </c>
      <c r="K1201" s="521"/>
      <c r="L1201" s="522"/>
      <c r="M1201" s="638">
        <v>0</v>
      </c>
      <c r="N1201" s="521"/>
      <c r="O1201" s="522"/>
      <c r="P1201" s="638">
        <v>0</v>
      </c>
      <c r="Q1201" s="521"/>
      <c r="R1201" s="522"/>
      <c r="S1201" s="638">
        <v>0</v>
      </c>
      <c r="T1201" s="521"/>
      <c r="U1201" s="522"/>
      <c r="V1201" s="638">
        <v>0</v>
      </c>
      <c r="W1201" s="521"/>
      <c r="X1201" s="522"/>
      <c r="Y1201" s="638">
        <v>0</v>
      </c>
      <c r="Z1201" s="521"/>
      <c r="AA1201" s="522"/>
      <c r="AB1201" s="638">
        <v>0</v>
      </c>
      <c r="AC1201" s="521"/>
      <c r="AD1201" s="522"/>
      <c r="AE1201" s="638">
        <v>0</v>
      </c>
      <c r="AF1201" s="521"/>
      <c r="AG1201" s="522"/>
      <c r="AH1201" s="638">
        <v>0</v>
      </c>
      <c r="AI1201" s="521"/>
      <c r="AJ1201" s="522"/>
      <c r="AK1201" s="638">
        <v>0</v>
      </c>
      <c r="AL1201" s="521"/>
      <c r="AM1201" s="522"/>
      <c r="AN1201" s="638">
        <v>0</v>
      </c>
      <c r="AO1201" s="521"/>
      <c r="AP1201" s="522"/>
      <c r="AQ1201" s="638">
        <v>0</v>
      </c>
      <c r="AR1201" s="246"/>
      <c r="AS1201" s="282"/>
      <c r="AT1201" s="638">
        <f>J1201+M1201+P1201+S1201+V1201+Y1201+AB1201+AE1201+AH1201+AK1201+AN1201+AQ1201</f>
        <v>0</v>
      </c>
      <c r="AU1201" s="246"/>
      <c r="AV1201" s="336"/>
      <c r="AW1201" s="285"/>
      <c r="AX1201" s="249"/>
      <c r="AY1201" s="438">
        <v>0</v>
      </c>
      <c r="AZ1201" s="357"/>
      <c r="BA1201" s="357"/>
      <c r="BB1201" s="357"/>
      <c r="BC1201" s="357"/>
    </row>
    <row r="1202" spans="1:55" s="24" customFormat="1">
      <c r="A1202" s="179"/>
      <c r="B1202" s="179"/>
      <c r="C1202" s="179"/>
      <c r="D1202" s="181">
        <v>323436</v>
      </c>
      <c r="E1202" s="181"/>
      <c r="F1202" s="181"/>
      <c r="G1202" s="1110">
        <v>323436</v>
      </c>
      <c r="H1202" s="122" t="s">
        <v>461</v>
      </c>
      <c r="I1202" s="533" t="s">
        <v>365</v>
      </c>
      <c r="J1202" s="281">
        <v>2.08</v>
      </c>
      <c r="K1202" s="246"/>
      <c r="L1202" s="282"/>
      <c r="M1202" s="244">
        <v>2.08</v>
      </c>
      <c r="N1202" s="246"/>
      <c r="O1202" s="282"/>
      <c r="P1202" s="244">
        <v>2.08</v>
      </c>
      <c r="Q1202" s="246"/>
      <c r="R1202" s="282"/>
      <c r="S1202" s="244">
        <v>2.08</v>
      </c>
      <c r="T1202" s="246"/>
      <c r="U1202" s="282"/>
      <c r="V1202" s="244">
        <v>2.08</v>
      </c>
      <c r="W1202" s="246"/>
      <c r="X1202" s="282"/>
      <c r="Y1202" s="244">
        <v>2.08</v>
      </c>
      <c r="Z1202" s="246"/>
      <c r="AA1202" s="282"/>
      <c r="AB1202" s="244">
        <v>2.08</v>
      </c>
      <c r="AC1202" s="246"/>
      <c r="AD1202" s="282"/>
      <c r="AE1202" s="244">
        <v>2.08</v>
      </c>
      <c r="AF1202" s="246"/>
      <c r="AG1202" s="282"/>
      <c r="AH1202" s="244">
        <v>2.08</v>
      </c>
      <c r="AI1202" s="246"/>
      <c r="AJ1202" s="282"/>
      <c r="AK1202" s="244">
        <v>2.08</v>
      </c>
      <c r="AL1202" s="246"/>
      <c r="AM1202" s="282"/>
      <c r="AN1202" s="244">
        <v>2.08</v>
      </c>
      <c r="AO1202" s="246"/>
      <c r="AP1202" s="282"/>
      <c r="AQ1202" s="244">
        <v>2.08</v>
      </c>
      <c r="AR1202" s="246"/>
      <c r="AS1202" s="282"/>
      <c r="AT1202" s="244">
        <f>J1202+M1202+P1202+S1202+V1202+Y1202+AB1202+AE1202+AH1202+AK1202+AN1202+AQ1202</f>
        <v>24.959999999999994</v>
      </c>
      <c r="AU1202" s="246"/>
      <c r="AV1202" s="336"/>
      <c r="AW1202" s="285"/>
      <c r="AX1202" s="249"/>
      <c r="AY1202" s="438">
        <v>45.144458</v>
      </c>
      <c r="AZ1202" s="357"/>
      <c r="BA1202" s="357"/>
      <c r="BB1202" s="357"/>
      <c r="BC1202" s="357"/>
    </row>
    <row r="1203" spans="1:55" s="24" customFormat="1">
      <c r="A1203" s="179"/>
      <c r="B1203" s="179"/>
      <c r="C1203" s="179"/>
      <c r="D1203" s="181">
        <v>323431</v>
      </c>
      <c r="E1203" s="181"/>
      <c r="F1203" s="181"/>
      <c r="G1203" s="1110">
        <v>323431</v>
      </c>
      <c r="H1203" s="125" t="s">
        <v>681</v>
      </c>
      <c r="I1203" s="533" t="s">
        <v>365</v>
      </c>
      <c r="J1203" s="587">
        <v>7.0052288472652435E-2</v>
      </c>
      <c r="K1203" s="246"/>
      <c r="L1203" s="282"/>
      <c r="M1203" s="587">
        <v>0.13499072194099426</v>
      </c>
      <c r="N1203" s="246"/>
      <c r="O1203" s="282"/>
      <c r="P1203" s="587">
        <v>0.15995486080646515</v>
      </c>
      <c r="Q1203" s="246"/>
      <c r="R1203" s="282"/>
      <c r="S1203" s="587">
        <v>0.14926014840602875</v>
      </c>
      <c r="T1203" s="246"/>
      <c r="U1203" s="282"/>
      <c r="V1203" s="587">
        <v>9.7723856568336487E-2</v>
      </c>
      <c r="W1203" s="246"/>
      <c r="X1203" s="282"/>
      <c r="Y1203" s="587">
        <v>0.14550399780273438</v>
      </c>
      <c r="Z1203" s="246"/>
      <c r="AA1203" s="282"/>
      <c r="AB1203" s="587">
        <v>9.6222572028636932E-2</v>
      </c>
      <c r="AC1203" s="246"/>
      <c r="AD1203" s="282"/>
      <c r="AE1203" s="587">
        <v>7.5173571705818176E-2</v>
      </c>
      <c r="AF1203" s="246"/>
      <c r="AG1203" s="282"/>
      <c r="AH1203" s="587">
        <v>0.16672813892364502</v>
      </c>
      <c r="AI1203" s="246"/>
      <c r="AJ1203" s="282"/>
      <c r="AK1203" s="587">
        <v>0.11530714482069016</v>
      </c>
      <c r="AL1203" s="246"/>
      <c r="AM1203" s="282"/>
      <c r="AN1203" s="587">
        <v>0.15348771214485168</v>
      </c>
      <c r="AO1203" s="246"/>
      <c r="AP1203" s="282"/>
      <c r="AQ1203" s="587">
        <v>0.11232071369886398</v>
      </c>
      <c r="AR1203" s="246"/>
      <c r="AS1203" s="282"/>
      <c r="AT1203" s="587">
        <f>J1203+M1203+P1203+S1203+V1203+Y1203+AB1203+AE1203+AH1203+AK1203+AN1203+AQ1203</f>
        <v>1.4767257273197174</v>
      </c>
      <c r="AU1203" s="246"/>
      <c r="AV1203" s="336"/>
      <c r="AW1203" s="285"/>
      <c r="AX1203" s="249"/>
      <c r="AY1203" s="438">
        <v>2.7567539999999999</v>
      </c>
      <c r="AZ1203" s="357"/>
      <c r="BA1203" s="357"/>
      <c r="BB1203" s="357"/>
      <c r="BC1203" s="357"/>
    </row>
    <row r="1204" spans="1:55" s="24" customFormat="1">
      <c r="A1204" s="179"/>
      <c r="B1204" s="179"/>
      <c r="C1204" s="179"/>
      <c r="D1204" s="181"/>
      <c r="E1204" s="181"/>
      <c r="F1204" s="181"/>
      <c r="G1204" s="1110">
        <v>777043</v>
      </c>
      <c r="H1204" s="125" t="s">
        <v>509</v>
      </c>
      <c r="I1204" s="533" t="s">
        <v>365</v>
      </c>
      <c r="J1204" s="587">
        <v>0.34599999999999997</v>
      </c>
      <c r="K1204" s="246"/>
      <c r="L1204" s="282"/>
      <c r="M1204" s="587">
        <v>0.42699999999999999</v>
      </c>
      <c r="N1204" s="246"/>
      <c r="O1204" s="282"/>
      <c r="P1204" s="587">
        <v>0.76</v>
      </c>
      <c r="Q1204" s="246"/>
      <c r="R1204" s="282"/>
      <c r="S1204" s="587">
        <v>0.76100000000000001</v>
      </c>
      <c r="T1204" s="246"/>
      <c r="U1204" s="282"/>
      <c r="V1204" s="587">
        <v>0.74099999999999999</v>
      </c>
      <c r="W1204" s="246"/>
      <c r="X1204" s="282"/>
      <c r="Y1204" s="587">
        <v>0.65600000000000003</v>
      </c>
      <c r="Z1204" s="246"/>
      <c r="AA1204" s="282"/>
      <c r="AB1204" s="587">
        <v>0.66</v>
      </c>
      <c r="AC1204" s="246"/>
      <c r="AD1204" s="282"/>
      <c r="AE1204" s="587">
        <v>0.63300000000000001</v>
      </c>
      <c r="AF1204" s="246"/>
      <c r="AG1204" s="282"/>
      <c r="AH1204" s="587">
        <v>0.63100000000000001</v>
      </c>
      <c r="AI1204" s="246"/>
      <c r="AJ1204" s="282"/>
      <c r="AK1204" s="587">
        <v>0.69199999999999995</v>
      </c>
      <c r="AL1204" s="246"/>
      <c r="AM1204" s="282"/>
      <c r="AN1204" s="587">
        <v>0.68500000000000005</v>
      </c>
      <c r="AO1204" s="246"/>
      <c r="AP1204" s="282"/>
      <c r="AQ1204" s="587">
        <v>0.58099999999999996</v>
      </c>
      <c r="AR1204" s="246"/>
      <c r="AS1204" s="282"/>
      <c r="AT1204" s="587">
        <f t="shared" ref="AT1204:AT1207" si="48">J1204+M1204+P1204+S1204+V1204+Y1204+AB1204+AE1204+AH1204+AK1204+AN1204+AQ1204</f>
        <v>7.5730000000000004</v>
      </c>
      <c r="AU1204" s="246"/>
      <c r="AV1204" s="336"/>
      <c r="AW1204" s="285"/>
      <c r="AX1204" s="249"/>
      <c r="AY1204" s="438">
        <v>8.7974979999999992</v>
      </c>
      <c r="AZ1204" s="357"/>
      <c r="BA1204" s="357"/>
      <c r="BB1204" s="357"/>
      <c r="BC1204" s="357"/>
    </row>
    <row r="1205" spans="1:55" s="24" customFormat="1">
      <c r="A1205" s="179"/>
      <c r="B1205" s="179"/>
      <c r="C1205" s="179"/>
      <c r="D1205" s="181"/>
      <c r="E1205" s="181"/>
      <c r="F1205" s="181"/>
      <c r="G1205" s="1211">
        <v>777986</v>
      </c>
      <c r="H1205" s="125" t="s">
        <v>1750</v>
      </c>
      <c r="I1205" s="533" t="s">
        <v>365</v>
      </c>
      <c r="J1205" s="587">
        <v>0.28399999999999997</v>
      </c>
      <c r="K1205" s="246"/>
      <c r="L1205" s="282"/>
      <c r="M1205" s="587">
        <v>0.27400000000000002</v>
      </c>
      <c r="N1205" s="246"/>
      <c r="O1205" s="282"/>
      <c r="P1205" s="587">
        <v>0.29499999999999998</v>
      </c>
      <c r="Q1205" s="246"/>
      <c r="R1205" s="282"/>
      <c r="S1205" s="587">
        <v>0.28999999999999998</v>
      </c>
      <c r="T1205" s="246"/>
      <c r="U1205" s="282"/>
      <c r="V1205" s="587">
        <v>0.3</v>
      </c>
      <c r="W1205" s="246"/>
      <c r="X1205" s="282"/>
      <c r="Y1205" s="587">
        <v>0.31</v>
      </c>
      <c r="Z1205" s="246"/>
      <c r="AA1205" s="282"/>
      <c r="AB1205" s="587">
        <v>0.3</v>
      </c>
      <c r="AC1205" s="246"/>
      <c r="AD1205" s="282"/>
      <c r="AE1205" s="587">
        <v>0.3</v>
      </c>
      <c r="AF1205" s="246"/>
      <c r="AG1205" s="282"/>
      <c r="AH1205" s="587">
        <v>0.28199999999999997</v>
      </c>
      <c r="AI1205" s="246"/>
      <c r="AJ1205" s="282"/>
      <c r="AK1205" s="587">
        <v>0.29199999999999998</v>
      </c>
      <c r="AL1205" s="246"/>
      <c r="AM1205" s="282"/>
      <c r="AN1205" s="587">
        <v>0.28999999999999998</v>
      </c>
      <c r="AO1205" s="246"/>
      <c r="AP1205" s="282"/>
      <c r="AQ1205" s="587">
        <v>0.28199999999999997</v>
      </c>
      <c r="AR1205" s="246"/>
      <c r="AS1205" s="282"/>
      <c r="AT1205" s="587">
        <f t="shared" si="48"/>
        <v>3.4989999999999997</v>
      </c>
      <c r="AU1205" s="246"/>
      <c r="AV1205" s="336"/>
      <c r="AW1205" s="285"/>
      <c r="AX1205" s="249"/>
      <c r="AY1205" s="438"/>
      <c r="AZ1205" s="357"/>
      <c r="BA1205" s="357"/>
      <c r="BB1205" s="357"/>
      <c r="BC1205" s="357"/>
    </row>
    <row r="1206" spans="1:55" s="24" customFormat="1">
      <c r="A1206" s="179"/>
      <c r="B1206" s="179"/>
      <c r="C1206" s="179"/>
      <c r="D1206" s="181"/>
      <c r="E1206" s="181"/>
      <c r="F1206" s="181"/>
      <c r="G1206" s="1211">
        <v>777600</v>
      </c>
      <c r="H1206" s="125" t="s">
        <v>1269</v>
      </c>
      <c r="I1206" s="533" t="s">
        <v>365</v>
      </c>
      <c r="J1206" s="587">
        <v>0.372</v>
      </c>
      <c r="K1206" s="246"/>
      <c r="L1206" s="282"/>
      <c r="M1206" s="587">
        <v>0.33600000000000002</v>
      </c>
      <c r="N1206" s="246"/>
      <c r="O1206" s="282"/>
      <c r="P1206" s="587">
        <v>0.372</v>
      </c>
      <c r="Q1206" s="246"/>
      <c r="R1206" s="282"/>
      <c r="S1206" s="587">
        <v>0.36</v>
      </c>
      <c r="T1206" s="246"/>
      <c r="U1206" s="282"/>
      <c r="V1206" s="587">
        <v>0.74399999999999999</v>
      </c>
      <c r="W1206" s="246"/>
      <c r="X1206" s="282"/>
      <c r="Y1206" s="587">
        <v>0.72</v>
      </c>
      <c r="Z1206" s="246"/>
      <c r="AA1206" s="282"/>
      <c r="AB1206" s="587">
        <v>0.74399999999999999</v>
      </c>
      <c r="AC1206" s="246"/>
      <c r="AD1206" s="282"/>
      <c r="AE1206" s="587">
        <v>0.74399999999999999</v>
      </c>
      <c r="AF1206" s="246"/>
      <c r="AG1206" s="282"/>
      <c r="AH1206" s="587">
        <v>0.36</v>
      </c>
      <c r="AI1206" s="246"/>
      <c r="AJ1206" s="282"/>
      <c r="AK1206" s="587">
        <v>0.372</v>
      </c>
      <c r="AL1206" s="246"/>
      <c r="AM1206" s="282"/>
      <c r="AN1206" s="587">
        <v>0.36</v>
      </c>
      <c r="AO1206" s="246"/>
      <c r="AP1206" s="282"/>
      <c r="AQ1206" s="587">
        <v>0.372</v>
      </c>
      <c r="AR1206" s="246"/>
      <c r="AS1206" s="282"/>
      <c r="AT1206" s="587">
        <f t="shared" si="48"/>
        <v>5.8559999999999999</v>
      </c>
      <c r="AU1206" s="246"/>
      <c r="AV1206" s="336"/>
      <c r="AW1206" s="285"/>
      <c r="AX1206" s="249"/>
      <c r="AY1206" s="438">
        <v>0</v>
      </c>
      <c r="AZ1206" s="357"/>
      <c r="BA1206" s="357"/>
      <c r="BB1206" s="357"/>
      <c r="BC1206" s="357"/>
    </row>
    <row r="1207" spans="1:55" s="24" customFormat="1">
      <c r="A1207" s="179"/>
      <c r="B1207" s="179"/>
      <c r="C1207" s="179"/>
      <c r="D1207" s="181"/>
      <c r="E1207" s="181"/>
      <c r="F1207" s="181"/>
      <c r="G1207" s="1211">
        <v>777550</v>
      </c>
      <c r="H1207" s="125" t="s">
        <v>1270</v>
      </c>
      <c r="I1207" s="533" t="s">
        <v>364</v>
      </c>
      <c r="J1207" s="587">
        <v>1.1299999999999999</v>
      </c>
      <c r="K1207" s="246"/>
      <c r="L1207" s="282"/>
      <c r="M1207" s="587">
        <v>1.08</v>
      </c>
      <c r="N1207" s="246"/>
      <c r="O1207" s="282"/>
      <c r="P1207" s="587">
        <v>1.3</v>
      </c>
      <c r="Q1207" s="246"/>
      <c r="R1207" s="282"/>
      <c r="S1207" s="587">
        <v>1.49</v>
      </c>
      <c r="T1207" s="246"/>
      <c r="U1207" s="282"/>
      <c r="V1207" s="587">
        <v>2.12</v>
      </c>
      <c r="W1207" s="246"/>
      <c r="X1207" s="282"/>
      <c r="Y1207" s="587">
        <v>3.03</v>
      </c>
      <c r="Z1207" s="246"/>
      <c r="AA1207" s="282"/>
      <c r="AB1207" s="587">
        <v>3.35</v>
      </c>
      <c r="AC1207" s="246"/>
      <c r="AD1207" s="282"/>
      <c r="AE1207" s="587">
        <v>2.4900000000000002</v>
      </c>
      <c r="AF1207" s="246"/>
      <c r="AG1207" s="282"/>
      <c r="AH1207" s="587">
        <v>1.72</v>
      </c>
      <c r="AI1207" s="246"/>
      <c r="AJ1207" s="282"/>
      <c r="AK1207" s="587">
        <v>1.66</v>
      </c>
      <c r="AL1207" s="246"/>
      <c r="AM1207" s="282"/>
      <c r="AN1207" s="587">
        <v>1.43</v>
      </c>
      <c r="AO1207" s="246"/>
      <c r="AP1207" s="282"/>
      <c r="AQ1207" s="587">
        <v>1.33</v>
      </c>
      <c r="AR1207" s="246"/>
      <c r="AS1207" s="282"/>
      <c r="AT1207" s="587">
        <f t="shared" si="48"/>
        <v>22.130000000000003</v>
      </c>
      <c r="AU1207" s="246"/>
      <c r="AV1207" s="336"/>
      <c r="AW1207" s="285"/>
      <c r="AX1207" s="249"/>
      <c r="AY1207" s="438">
        <v>0</v>
      </c>
      <c r="AZ1207" s="357"/>
      <c r="BA1207" s="357"/>
      <c r="BB1207" s="357"/>
      <c r="BC1207" s="357"/>
    </row>
    <row r="1208" spans="1:55" s="24" customFormat="1">
      <c r="A1208" s="179"/>
      <c r="B1208" s="179"/>
      <c r="C1208" s="179"/>
      <c r="D1208" s="181"/>
      <c r="E1208" s="181"/>
      <c r="F1208" s="181"/>
      <c r="G1208" s="1110"/>
      <c r="H1208" s="138" t="s">
        <v>174</v>
      </c>
      <c r="I1208" s="138"/>
      <c r="J1208" s="319">
        <f>J1209</f>
        <v>0</v>
      </c>
      <c r="K1208" s="288"/>
      <c r="L1208" s="289"/>
      <c r="M1208" s="287">
        <f>M1209</f>
        <v>0</v>
      </c>
      <c r="N1208" s="288"/>
      <c r="O1208" s="289"/>
      <c r="P1208" s="287">
        <f>P1209</f>
        <v>0</v>
      </c>
      <c r="Q1208" s="288"/>
      <c r="R1208" s="289"/>
      <c r="S1208" s="287">
        <f>S1209</f>
        <v>0</v>
      </c>
      <c r="T1208" s="288"/>
      <c r="U1208" s="289"/>
      <c r="V1208" s="287">
        <f>V1209</f>
        <v>0</v>
      </c>
      <c r="W1208" s="288"/>
      <c r="X1208" s="289"/>
      <c r="Y1208" s="287">
        <f>Y1209</f>
        <v>0</v>
      </c>
      <c r="Z1208" s="288"/>
      <c r="AA1208" s="289"/>
      <c r="AB1208" s="287">
        <f>AB1209</f>
        <v>0</v>
      </c>
      <c r="AC1208" s="288"/>
      <c r="AD1208" s="289"/>
      <c r="AE1208" s="287">
        <f>AE1209</f>
        <v>0</v>
      </c>
      <c r="AF1208" s="288"/>
      <c r="AG1208" s="289"/>
      <c r="AH1208" s="287">
        <f>AH1209</f>
        <v>6.48</v>
      </c>
      <c r="AI1208" s="288"/>
      <c r="AJ1208" s="289"/>
      <c r="AK1208" s="287">
        <f>AK1209</f>
        <v>6.04</v>
      </c>
      <c r="AL1208" s="288"/>
      <c r="AM1208" s="289"/>
      <c r="AN1208" s="287">
        <f>AN1209</f>
        <v>6.03</v>
      </c>
      <c r="AO1208" s="288"/>
      <c r="AP1208" s="289"/>
      <c r="AQ1208" s="287">
        <f>AQ1209</f>
        <v>6.03</v>
      </c>
      <c r="AR1208" s="288"/>
      <c r="AS1208" s="289"/>
      <c r="AT1208" s="287">
        <f>AT1209</f>
        <v>24.580000000000002</v>
      </c>
      <c r="AU1208" s="288"/>
      <c r="AV1208" s="290"/>
      <c r="AW1208" s="285"/>
      <c r="AX1208" s="295"/>
      <c r="AY1208" s="436">
        <v>5.75915</v>
      </c>
      <c r="AZ1208" s="357"/>
      <c r="BA1208" s="357"/>
      <c r="BB1208" s="357"/>
      <c r="BC1208" s="357"/>
    </row>
    <row r="1209" spans="1:55" s="24" customFormat="1">
      <c r="A1209" s="179"/>
      <c r="B1209" s="179"/>
      <c r="C1209" s="179"/>
      <c r="D1209" s="181">
        <v>322641</v>
      </c>
      <c r="E1209" s="181"/>
      <c r="F1209" s="181"/>
      <c r="G1209" s="1110">
        <v>322641</v>
      </c>
      <c r="H1209" s="145" t="s">
        <v>227</v>
      </c>
      <c r="I1209" s="518" t="s">
        <v>365</v>
      </c>
      <c r="J1209" s="294">
        <v>0</v>
      </c>
      <c r="K1209" s="288"/>
      <c r="L1209" s="289"/>
      <c r="M1209" s="293">
        <v>0</v>
      </c>
      <c r="N1209" s="288"/>
      <c r="O1209" s="289"/>
      <c r="P1209" s="293">
        <v>0</v>
      </c>
      <c r="Q1209" s="288"/>
      <c r="R1209" s="289"/>
      <c r="S1209" s="293">
        <v>0</v>
      </c>
      <c r="T1209" s="288"/>
      <c r="U1209" s="289"/>
      <c r="V1209" s="293">
        <v>0</v>
      </c>
      <c r="W1209" s="288"/>
      <c r="X1209" s="289"/>
      <c r="Y1209" s="293">
        <v>0</v>
      </c>
      <c r="Z1209" s="288"/>
      <c r="AA1209" s="289"/>
      <c r="AB1209" s="293">
        <v>0</v>
      </c>
      <c r="AC1209" s="288"/>
      <c r="AD1209" s="289"/>
      <c r="AE1209" s="293">
        <v>0</v>
      </c>
      <c r="AF1209" s="288"/>
      <c r="AG1209" s="289"/>
      <c r="AH1209" s="293">
        <v>6.48</v>
      </c>
      <c r="AI1209" s="288"/>
      <c r="AJ1209" s="289"/>
      <c r="AK1209" s="293">
        <v>6.04</v>
      </c>
      <c r="AL1209" s="288"/>
      <c r="AM1209" s="289"/>
      <c r="AN1209" s="293">
        <v>6.03</v>
      </c>
      <c r="AO1209" s="288"/>
      <c r="AP1209" s="289"/>
      <c r="AQ1209" s="293">
        <v>6.03</v>
      </c>
      <c r="AR1209" s="288"/>
      <c r="AS1209" s="289"/>
      <c r="AT1209" s="294">
        <f>J1209+M1209+P1209+S1209+V1209+Y1209+AB1209+AE1209+AH1209+AK1209+AN1209+AQ1209</f>
        <v>24.580000000000002</v>
      </c>
      <c r="AU1209" s="288"/>
      <c r="AV1209" s="290"/>
      <c r="AW1209" s="285"/>
      <c r="AX1209" s="295"/>
      <c r="AY1209" s="313"/>
      <c r="AZ1209" s="357"/>
      <c r="BA1209" s="357"/>
      <c r="BB1209" s="357"/>
      <c r="BC1209" s="357"/>
    </row>
    <row r="1210" spans="1:55" s="24" customFormat="1" ht="18.75">
      <c r="A1210" s="179"/>
      <c r="B1210" s="179"/>
      <c r="C1210" s="179"/>
      <c r="D1210" s="181">
        <v>322500</v>
      </c>
      <c r="E1210" s="181"/>
      <c r="F1210" s="181"/>
      <c r="G1210" s="181">
        <v>322500</v>
      </c>
      <c r="H1210" s="474" t="s">
        <v>1629</v>
      </c>
      <c r="I1210" s="474"/>
      <c r="J1210" s="277">
        <f>SUM(J1211:J1214)</f>
        <v>1154.9586900000002</v>
      </c>
      <c r="K1210" s="275">
        <f>L1210-J1210</f>
        <v>1489.2651978338365</v>
      </c>
      <c r="L1210" s="276">
        <f>Потребление!D72</f>
        <v>2644.2238878338367</v>
      </c>
      <c r="M1210" s="274">
        <f>SUM(M1211:M1214)</f>
        <v>1085.384978</v>
      </c>
      <c r="N1210" s="275">
        <f>O1210-M1210</f>
        <v>1367.9582835358142</v>
      </c>
      <c r="O1210" s="276">
        <f>Потребление!E72</f>
        <v>2453.3432615358142</v>
      </c>
      <c r="P1210" s="274">
        <f>SUM(P1211:P1214)</f>
        <v>1071.4466000000002</v>
      </c>
      <c r="Q1210" s="275">
        <f>R1210-P1210</f>
        <v>1431.981183747685</v>
      </c>
      <c r="R1210" s="276">
        <f>Потребление!F72</f>
        <v>2503.4277837476852</v>
      </c>
      <c r="S1210" s="274">
        <f>SUM(S1211:S1214)</f>
        <v>1032.0737899999999</v>
      </c>
      <c r="T1210" s="275">
        <f>U1210-S1210</f>
        <v>1133.1047930595651</v>
      </c>
      <c r="U1210" s="276">
        <f>Потребление!G72</f>
        <v>2165.178583059565</v>
      </c>
      <c r="V1210" s="274">
        <f>SUM(V1211:V1214)</f>
        <v>697.15542000000005</v>
      </c>
      <c r="W1210" s="275">
        <f>X1210-V1210</f>
        <v>1370.7170715342841</v>
      </c>
      <c r="X1210" s="276">
        <f>Потребление!H72</f>
        <v>2067.8724915342841</v>
      </c>
      <c r="Y1210" s="274">
        <f>SUM(Y1211:Y1214)</f>
        <v>774.05232999999987</v>
      </c>
      <c r="Z1210" s="275">
        <f>AA1210-Y1210</f>
        <v>1403.2038449659126</v>
      </c>
      <c r="AA1210" s="276">
        <f>Потребление!I72</f>
        <v>2177.2561749659126</v>
      </c>
      <c r="AB1210" s="274">
        <f>SUM(AB1211:AB1214)</f>
        <v>967.66270000000009</v>
      </c>
      <c r="AC1210" s="275">
        <f>AD1210-AB1210</f>
        <v>1584.6232467302505</v>
      </c>
      <c r="AD1210" s="276">
        <f>Потребление!J72</f>
        <v>2552.2859467302505</v>
      </c>
      <c r="AE1210" s="274">
        <f>SUM(AE1211:AE1214)</f>
        <v>1193.2697599999999</v>
      </c>
      <c r="AF1210" s="275">
        <f>AG1210-AE1210</f>
        <v>1525.6960852921791</v>
      </c>
      <c r="AG1210" s="276">
        <f>Потребление!K72</f>
        <v>2718.965845292179</v>
      </c>
      <c r="AH1210" s="274">
        <f>SUM(AH1211:AH1214)</f>
        <v>996.17725000000007</v>
      </c>
      <c r="AI1210" s="275">
        <f>AJ1210-AH1210</f>
        <v>1222.7488996063939</v>
      </c>
      <c r="AJ1210" s="276">
        <f>Потребление!L72</f>
        <v>2218.9261496063941</v>
      </c>
      <c r="AK1210" s="274">
        <f>SUM(AK1211:AK1214)</f>
        <v>974.61862199999996</v>
      </c>
      <c r="AL1210" s="275">
        <f>AM1210-AK1210</f>
        <v>1327.6474768873586</v>
      </c>
      <c r="AM1210" s="276">
        <f>Потребление!M72</f>
        <v>2302.2660988873586</v>
      </c>
      <c r="AN1210" s="274">
        <f>SUM(AN1211:AN1214)</f>
        <v>1192.0661679999998</v>
      </c>
      <c r="AO1210" s="275">
        <f>AP1210-AN1210</f>
        <v>1302.9235635999507</v>
      </c>
      <c r="AP1210" s="276">
        <f>Потребление!N72</f>
        <v>2494.9897315999506</v>
      </c>
      <c r="AQ1210" s="274">
        <f>SUM(AQ1211:AQ1214)</f>
        <v>1228.1010899999999</v>
      </c>
      <c r="AR1210" s="275">
        <f>AS1210-AQ1210</f>
        <v>1573.1629552067686</v>
      </c>
      <c r="AS1210" s="276">
        <f>Потребление!O72</f>
        <v>2801.2640452067685</v>
      </c>
      <c r="AT1210" s="274">
        <f>SUM(AT1211:AT1214)</f>
        <v>12366.967397999997</v>
      </c>
      <c r="AU1210" s="275">
        <f>AV1210-AT1210</f>
        <v>16733.032602000003</v>
      </c>
      <c r="AV1210" s="278">
        <f>L1210+O1210+R1210+U1210+X1210+AA1210+AD1210+AG1210+AJ1210+AM1210+AP1210+AS1210</f>
        <v>29100</v>
      </c>
      <c r="AW1210" s="279"/>
      <c r="AX1210" s="1067">
        <v>27708.3673175</v>
      </c>
      <c r="AY1210" s="298">
        <f>SUM(AY1211:AY1214)</f>
        <v>12275.908288600001</v>
      </c>
      <c r="AZ1210" s="357"/>
      <c r="BA1210" s="357"/>
      <c r="BB1210" s="357"/>
      <c r="BC1210" s="357"/>
    </row>
    <row r="1211" spans="1:55" s="24" customFormat="1">
      <c r="A1211" s="179"/>
      <c r="B1211" s="179"/>
      <c r="C1211" s="179"/>
      <c r="D1211" s="181"/>
      <c r="E1211" s="181"/>
      <c r="F1211" s="181"/>
      <c r="G1211" s="181"/>
      <c r="H1211" s="124" t="s">
        <v>56</v>
      </c>
      <c r="I1211" s="124"/>
      <c r="J1211" s="365">
        <f>SUM(J1215,J1223:J1232,J1235)</f>
        <v>1039.41336</v>
      </c>
      <c r="K1211" s="363"/>
      <c r="L1211" s="364"/>
      <c r="M1211" s="365">
        <f>SUM(M1215,M1223:M1232,M1235)</f>
        <v>977.85725000000002</v>
      </c>
      <c r="N1211" s="363"/>
      <c r="O1211" s="364"/>
      <c r="P1211" s="365">
        <f>SUM(P1215,P1223:P1232,P1235)</f>
        <v>940.81089000000009</v>
      </c>
      <c r="Q1211" s="363"/>
      <c r="R1211" s="364"/>
      <c r="S1211" s="365">
        <f>SUM(S1215,S1223:S1232,S1235)</f>
        <v>887.8972</v>
      </c>
      <c r="T1211" s="363"/>
      <c r="U1211" s="364"/>
      <c r="V1211" s="365">
        <f>SUM(V1215,V1223:V1232,V1235)</f>
        <v>553.42393000000004</v>
      </c>
      <c r="W1211" s="363"/>
      <c r="X1211" s="364"/>
      <c r="Y1211" s="365">
        <f>SUM(Y1215,Y1223:Y1232,Y1235)</f>
        <v>627.62116999999989</v>
      </c>
      <c r="Z1211" s="363"/>
      <c r="AA1211" s="364"/>
      <c r="AB1211" s="365">
        <f>SUM(AB1215,AB1223:AB1232,AB1235)</f>
        <v>824.22774000000004</v>
      </c>
      <c r="AC1211" s="363"/>
      <c r="AD1211" s="364"/>
      <c r="AE1211" s="365">
        <f>SUM(AE1215,AE1223:AE1232,AE1235)</f>
        <v>954.17582999999991</v>
      </c>
      <c r="AF1211" s="363"/>
      <c r="AG1211" s="364"/>
      <c r="AH1211" s="365">
        <f>SUM(AH1215,AH1223:AH1232,AH1235)</f>
        <v>759.45225000000005</v>
      </c>
      <c r="AI1211" s="363"/>
      <c r="AJ1211" s="364"/>
      <c r="AK1211" s="365">
        <f>SUM(AK1215,AK1223:AK1232,AK1235)</f>
        <v>719.25298999999995</v>
      </c>
      <c r="AL1211" s="363"/>
      <c r="AM1211" s="364"/>
      <c r="AN1211" s="365">
        <f>SUM(AN1215,AN1223:AN1232,AN1235)</f>
        <v>955.42241999999999</v>
      </c>
      <c r="AO1211" s="363"/>
      <c r="AP1211" s="364"/>
      <c r="AQ1211" s="365">
        <f>SUM(AQ1215,AQ1223:AQ1232,AQ1235)</f>
        <v>962.31097</v>
      </c>
      <c r="AR1211" s="363"/>
      <c r="AS1211" s="364"/>
      <c r="AT1211" s="365">
        <f>SUM(AT1215,AT1223:AT1232,AT1235)</f>
        <v>10201.865999999998</v>
      </c>
      <c r="AU1211" s="363"/>
      <c r="AV1211" s="229"/>
      <c r="AW1211" s="226"/>
      <c r="AX1211" s="366"/>
      <c r="AY1211" s="339">
        <f>SUM(AY1215,AY1222,AY1225:AY1232,AY1235,AY1238:AY1238)</f>
        <v>11061.196650600001</v>
      </c>
      <c r="AZ1211" s="357"/>
      <c r="BA1211" s="357"/>
      <c r="BB1211" s="357"/>
      <c r="BC1211" s="357"/>
    </row>
    <row r="1212" spans="1:55" s="24" customFormat="1">
      <c r="A1212" s="179"/>
      <c r="B1212" s="179"/>
      <c r="C1212" s="179"/>
      <c r="D1212" s="181"/>
      <c r="E1212" s="181"/>
      <c r="F1212" s="181"/>
      <c r="G1212" s="181"/>
      <c r="H1212" s="124" t="s">
        <v>55</v>
      </c>
      <c r="I1212" s="124"/>
      <c r="J1212" s="365">
        <f>SUM(J1218:J1221)</f>
        <v>26.93534</v>
      </c>
      <c r="K1212" s="363"/>
      <c r="L1212" s="364"/>
      <c r="M1212" s="362">
        <f>SUM(M1218:M1221)</f>
        <v>23.760160000000003</v>
      </c>
      <c r="N1212" s="363"/>
      <c r="O1212" s="364"/>
      <c r="P1212" s="362">
        <f>SUM(P1218:P1221)</f>
        <v>37.311540000000001</v>
      </c>
      <c r="Q1212" s="363"/>
      <c r="R1212" s="364"/>
      <c r="S1212" s="362">
        <f>SUM(S1218:S1221)</f>
        <v>51.08</v>
      </c>
      <c r="T1212" s="363"/>
      <c r="U1212" s="364"/>
      <c r="V1212" s="362">
        <f>SUM(V1218:V1221)</f>
        <v>56.51648999999999</v>
      </c>
      <c r="W1212" s="363"/>
      <c r="X1212" s="364"/>
      <c r="Y1212" s="362">
        <f>SUM(Y1218:Y1221)</f>
        <v>51.157159999999998</v>
      </c>
      <c r="Z1212" s="363"/>
      <c r="AA1212" s="364"/>
      <c r="AB1212" s="362">
        <f>SUM(AB1218:AB1221)</f>
        <v>41.288679999999999</v>
      </c>
      <c r="AC1212" s="363"/>
      <c r="AD1212" s="364"/>
      <c r="AE1212" s="362">
        <f>SUM(AE1218:AE1221)</f>
        <v>13.98204</v>
      </c>
      <c r="AF1212" s="363"/>
      <c r="AG1212" s="364"/>
      <c r="AH1212" s="362">
        <f>SUM(AH1218:AH1221)</f>
        <v>10.25178</v>
      </c>
      <c r="AI1212" s="363"/>
      <c r="AJ1212" s="364"/>
      <c r="AK1212" s="362">
        <f>SUM(AK1218:AK1221)</f>
        <v>23.631070000000001</v>
      </c>
      <c r="AL1212" s="363"/>
      <c r="AM1212" s="364"/>
      <c r="AN1212" s="362">
        <f>SUM(AN1218:AN1221)</f>
        <v>30.688469999999995</v>
      </c>
      <c r="AO1212" s="229"/>
      <c r="AP1212" s="364"/>
      <c r="AQ1212" s="362">
        <f>SUM(AQ1218:AQ1221)</f>
        <v>31.98169</v>
      </c>
      <c r="AR1212" s="363"/>
      <c r="AS1212" s="364"/>
      <c r="AT1212" s="362">
        <f>SUM(AT1218:AT1221)</f>
        <v>398.58442000000002</v>
      </c>
      <c r="AU1212" s="363"/>
      <c r="AV1212" s="229"/>
      <c r="AW1212" s="226"/>
      <c r="AX1212" s="366"/>
      <c r="AY1212" s="339">
        <f>SUM(AY1218:AY1221)</f>
        <v>357.79507100000001</v>
      </c>
      <c r="AZ1212" s="357"/>
      <c r="BA1212" s="357"/>
      <c r="BB1212" s="357"/>
      <c r="BC1212" s="357"/>
    </row>
    <row r="1213" spans="1:55" s="24" customFormat="1">
      <c r="A1213" s="179"/>
      <c r="B1213" s="179"/>
      <c r="C1213" s="179"/>
      <c r="D1213" s="181"/>
      <c r="E1213" s="181"/>
      <c r="F1213" s="181"/>
      <c r="G1213" s="181"/>
      <c r="H1213" s="124" t="s">
        <v>346</v>
      </c>
      <c r="I1213" s="124"/>
      <c r="J1213" s="365">
        <f>J1238+J1243</f>
        <v>30.13</v>
      </c>
      <c r="K1213" s="363"/>
      <c r="L1213" s="364"/>
      <c r="M1213" s="365">
        <f>M1238+M1243</f>
        <v>27.74</v>
      </c>
      <c r="N1213" s="363"/>
      <c r="O1213" s="364"/>
      <c r="P1213" s="365">
        <f>P1238+P1243</f>
        <v>30.13</v>
      </c>
      <c r="Q1213" s="363"/>
      <c r="R1213" s="364"/>
      <c r="S1213" s="365">
        <f>S1238+S1243</f>
        <v>29.16</v>
      </c>
      <c r="T1213" s="363"/>
      <c r="U1213" s="364"/>
      <c r="V1213" s="365">
        <f>V1238+V1243</f>
        <v>30.13</v>
      </c>
      <c r="W1213" s="363"/>
      <c r="X1213" s="364"/>
      <c r="Y1213" s="365">
        <f>Y1238+Y1243</f>
        <v>29.16</v>
      </c>
      <c r="Z1213" s="363"/>
      <c r="AA1213" s="364"/>
      <c r="AB1213" s="365">
        <f>AB1238+AB1243</f>
        <v>30.13</v>
      </c>
      <c r="AC1213" s="363"/>
      <c r="AD1213" s="364"/>
      <c r="AE1213" s="365">
        <f>AE1238+AE1243</f>
        <v>30.13</v>
      </c>
      <c r="AF1213" s="363"/>
      <c r="AG1213" s="364"/>
      <c r="AH1213" s="365">
        <f>AH1238+AH1243</f>
        <v>29.16</v>
      </c>
      <c r="AI1213" s="363"/>
      <c r="AJ1213" s="364"/>
      <c r="AK1213" s="365">
        <f>AK1238+AK1243</f>
        <v>30.13</v>
      </c>
      <c r="AL1213" s="363"/>
      <c r="AM1213" s="364"/>
      <c r="AN1213" s="365">
        <f>AN1238+AN1243</f>
        <v>29.16</v>
      </c>
      <c r="AO1213" s="229"/>
      <c r="AP1213" s="364"/>
      <c r="AQ1213" s="365">
        <f>AQ1238+AQ1243</f>
        <v>90.429999999999978</v>
      </c>
      <c r="AR1213" s="363"/>
      <c r="AS1213" s="364"/>
      <c r="AT1213" s="365">
        <f>AT1238+AT1243</f>
        <v>415.59</v>
      </c>
      <c r="AU1213" s="363"/>
      <c r="AV1213" s="229"/>
      <c r="AW1213" s="226"/>
      <c r="AX1213" s="366"/>
      <c r="AY1213" s="339">
        <f>AY1238+AY1243</f>
        <v>0</v>
      </c>
      <c r="AZ1213" s="357"/>
      <c r="BA1213" s="357"/>
      <c r="BB1213" s="357"/>
      <c r="BC1213" s="357"/>
    </row>
    <row r="1214" spans="1:55" s="24" customFormat="1">
      <c r="A1214" s="179"/>
      <c r="B1214" s="179"/>
      <c r="C1214" s="179"/>
      <c r="D1214" s="181"/>
      <c r="E1214" s="181"/>
      <c r="F1214" s="181"/>
      <c r="G1214" s="181"/>
      <c r="H1214" s="124" t="s">
        <v>99</v>
      </c>
      <c r="I1214" s="124"/>
      <c r="J1214" s="365">
        <f>J1257</f>
        <v>58.479990000000001</v>
      </c>
      <c r="K1214" s="363"/>
      <c r="L1214" s="364"/>
      <c r="M1214" s="362">
        <f>M1257</f>
        <v>56.027568000000002</v>
      </c>
      <c r="N1214" s="363"/>
      <c r="O1214" s="364"/>
      <c r="P1214" s="362">
        <f>P1257</f>
        <v>63.194170000000007</v>
      </c>
      <c r="Q1214" s="363"/>
      <c r="R1214" s="364"/>
      <c r="S1214" s="362">
        <f>S1257</f>
        <v>63.936589999999995</v>
      </c>
      <c r="T1214" s="363"/>
      <c r="U1214" s="364"/>
      <c r="V1214" s="362">
        <f>V1257</f>
        <v>57.085000000000008</v>
      </c>
      <c r="W1214" s="363"/>
      <c r="X1214" s="364"/>
      <c r="Y1214" s="362">
        <f>Y1257</f>
        <v>66.114000000000004</v>
      </c>
      <c r="Z1214" s="363"/>
      <c r="AA1214" s="364"/>
      <c r="AB1214" s="362">
        <f>AB1257</f>
        <v>72.016280000000009</v>
      </c>
      <c r="AC1214" s="363"/>
      <c r="AD1214" s="364"/>
      <c r="AE1214" s="362">
        <f>AE1257</f>
        <v>194.98189000000002</v>
      </c>
      <c r="AF1214" s="363"/>
      <c r="AG1214" s="364"/>
      <c r="AH1214" s="362">
        <f>AH1257</f>
        <v>197.31322</v>
      </c>
      <c r="AI1214" s="363"/>
      <c r="AJ1214" s="364"/>
      <c r="AK1214" s="362">
        <f>AK1257</f>
        <v>201.60456199999999</v>
      </c>
      <c r="AL1214" s="363"/>
      <c r="AM1214" s="364"/>
      <c r="AN1214" s="362">
        <f>AN1257</f>
        <v>176.79527800000002</v>
      </c>
      <c r="AO1214" s="363"/>
      <c r="AP1214" s="364"/>
      <c r="AQ1214" s="362">
        <f>AQ1257</f>
        <v>143.37843000000001</v>
      </c>
      <c r="AR1214" s="363"/>
      <c r="AS1214" s="364"/>
      <c r="AT1214" s="362">
        <f>AT1257</f>
        <v>1350.926978</v>
      </c>
      <c r="AU1214" s="363"/>
      <c r="AV1214" s="229"/>
      <c r="AW1214" s="226"/>
      <c r="AX1214" s="366"/>
      <c r="AY1214" s="339">
        <f>AY1257</f>
        <v>856.91656699999999</v>
      </c>
      <c r="AZ1214" s="357"/>
      <c r="BA1214" s="357"/>
      <c r="BB1214" s="357"/>
      <c r="BC1214" s="357"/>
    </row>
    <row r="1215" spans="1:55" s="24" customFormat="1">
      <c r="A1215" s="179"/>
      <c r="B1215" s="179"/>
      <c r="C1215" s="181"/>
      <c r="D1215" s="181">
        <v>322526</v>
      </c>
      <c r="E1215" s="181"/>
      <c r="F1215" s="181"/>
      <c r="G1215" s="1110">
        <v>322526</v>
      </c>
      <c r="H1215" s="141" t="s">
        <v>682</v>
      </c>
      <c r="I1215" s="516" t="s">
        <v>364</v>
      </c>
      <c r="J1215" s="262">
        <f>J1216+J1217</f>
        <v>674.39</v>
      </c>
      <c r="K1215" s="246"/>
      <c r="L1215" s="282"/>
      <c r="M1215" s="262">
        <f>M1216+M1217</f>
        <v>609.66399999999999</v>
      </c>
      <c r="N1215" s="246"/>
      <c r="O1215" s="282"/>
      <c r="P1215" s="262">
        <f>P1216+P1217</f>
        <v>584.14400000000001</v>
      </c>
      <c r="Q1215" s="246"/>
      <c r="R1215" s="282"/>
      <c r="S1215" s="262">
        <f>S1216+S1217</f>
        <v>558.03399999999999</v>
      </c>
      <c r="T1215" s="246"/>
      <c r="U1215" s="282"/>
      <c r="V1215" s="262">
        <f>V1216+V1217</f>
        <v>307.62199999999996</v>
      </c>
      <c r="W1215" s="246"/>
      <c r="X1215" s="282"/>
      <c r="Y1215" s="262">
        <f>Y1216+Y1217</f>
        <v>366.90699999999998</v>
      </c>
      <c r="Z1215" s="246"/>
      <c r="AA1215" s="282"/>
      <c r="AB1215" s="262">
        <f>AB1216+AB1217</f>
        <v>537.92899999999997</v>
      </c>
      <c r="AC1215" s="246"/>
      <c r="AD1215" s="282"/>
      <c r="AE1215" s="262">
        <f>AE1216+AE1217</f>
        <v>611.55899999999997</v>
      </c>
      <c r="AF1215" s="246"/>
      <c r="AG1215" s="282"/>
      <c r="AH1215" s="262">
        <f>AH1216+AH1217</f>
        <v>488.637</v>
      </c>
      <c r="AI1215" s="246"/>
      <c r="AJ1215" s="282"/>
      <c r="AK1215" s="262">
        <f>AK1216+AK1217</f>
        <v>475.21100000000001</v>
      </c>
      <c r="AL1215" s="246"/>
      <c r="AM1215" s="282"/>
      <c r="AN1215" s="262">
        <f>AN1216+AN1217</f>
        <v>617.56399999999996</v>
      </c>
      <c r="AO1215" s="246"/>
      <c r="AP1215" s="282"/>
      <c r="AQ1215" s="262">
        <f>AQ1216+AQ1217</f>
        <v>646.60500000000002</v>
      </c>
      <c r="AR1215" s="246"/>
      <c r="AS1215" s="282"/>
      <c r="AT1215" s="262">
        <f>AT1216+AT1217</f>
        <v>6478.2659999999996</v>
      </c>
      <c r="AU1215" s="246"/>
      <c r="AV1215" s="336"/>
      <c r="AW1215" s="285"/>
      <c r="AX1215" s="249"/>
      <c r="AY1215" s="1068">
        <v>6887.2351509999999</v>
      </c>
      <c r="AZ1215" s="357"/>
      <c r="BA1215" s="357"/>
      <c r="BB1215" s="357"/>
      <c r="BC1215" s="357"/>
    </row>
    <row r="1216" spans="1:55" s="24" customFormat="1">
      <c r="A1216" s="179"/>
      <c r="B1216" s="179"/>
      <c r="C1216" s="181"/>
      <c r="D1216" s="181"/>
      <c r="E1216" s="181"/>
      <c r="F1216" s="181"/>
      <c r="G1216" s="1110"/>
      <c r="H1216" s="125" t="s">
        <v>868</v>
      </c>
      <c r="I1216" s="125"/>
      <c r="J1216" s="1172">
        <f>350.8+29</f>
        <v>379.8</v>
      </c>
      <c r="K1216" s="343"/>
      <c r="L1216" s="344"/>
      <c r="M1216" s="1180">
        <f>320+33</f>
        <v>353</v>
      </c>
      <c r="N1216" s="343"/>
      <c r="O1216" s="344"/>
      <c r="P1216" s="1180">
        <f>265+25</f>
        <v>290</v>
      </c>
      <c r="Q1216" s="343"/>
      <c r="R1216" s="344"/>
      <c r="S1216" s="1180">
        <f>245+30</f>
        <v>275</v>
      </c>
      <c r="T1216" s="343"/>
      <c r="U1216" s="344"/>
      <c r="V1216" s="1178">
        <f>225-100-20</f>
        <v>105</v>
      </c>
      <c r="W1216" s="343"/>
      <c r="X1216" s="344"/>
      <c r="Y1216" s="1195">
        <f>227-30</f>
        <v>197</v>
      </c>
      <c r="Z1216" s="343"/>
      <c r="AA1216" s="344"/>
      <c r="AB1216" s="1153">
        <v>286</v>
      </c>
      <c r="AC1216" s="343"/>
      <c r="AD1216" s="344"/>
      <c r="AE1216" s="1153">
        <v>325</v>
      </c>
      <c r="AF1216" s="343"/>
      <c r="AG1216" s="344"/>
      <c r="AH1216" s="1153">
        <v>245</v>
      </c>
      <c r="AI1216" s="343"/>
      <c r="AJ1216" s="344"/>
      <c r="AK1216" s="1178">
        <f>280-40</f>
        <v>240</v>
      </c>
      <c r="AL1216" s="343"/>
      <c r="AM1216" s="344"/>
      <c r="AN1216" s="1180">
        <f>315+41.03</f>
        <v>356.03</v>
      </c>
      <c r="AO1216" s="343"/>
      <c r="AP1216" s="344"/>
      <c r="AQ1216" s="1180">
        <f>355+9.25</f>
        <v>364.25</v>
      </c>
      <c r="AR1216" s="246"/>
      <c r="AS1216" s="282"/>
      <c r="AT1216" s="244">
        <f t="shared" ref="AT1216:AT1281" si="49">J1216+M1216+P1216+S1216+V1216+Y1216+AB1216+AE1216+AH1216+AK1216+AN1216+AQ1216</f>
        <v>3416.08</v>
      </c>
      <c r="AU1216" s="246"/>
      <c r="AV1216" s="336"/>
      <c r="AW1216" s="285"/>
      <c r="AX1216" s="249"/>
      <c r="AY1216" s="338"/>
      <c r="AZ1216" s="357"/>
      <c r="BA1216" s="357"/>
      <c r="BB1216" s="357"/>
      <c r="BC1216" s="357"/>
    </row>
    <row r="1217" spans="1:55" s="24" customFormat="1">
      <c r="A1217" s="179"/>
      <c r="B1217" s="179"/>
      <c r="C1217" s="181"/>
      <c r="D1217" s="181"/>
      <c r="E1217" s="181"/>
      <c r="F1217" s="181"/>
      <c r="G1217" s="1110"/>
      <c r="H1217" s="125" t="s">
        <v>462</v>
      </c>
      <c r="I1217" s="125"/>
      <c r="J1217" s="1173">
        <f>313.59-19</f>
        <v>294.58999999999997</v>
      </c>
      <c r="K1217" s="343"/>
      <c r="L1217" s="344"/>
      <c r="M1217" s="1178">
        <f>267.664-11</f>
        <v>256.66399999999999</v>
      </c>
      <c r="N1217" s="343"/>
      <c r="O1217" s="344"/>
      <c r="P1217" s="1178">
        <f>299.144-5</f>
        <v>294.14400000000001</v>
      </c>
      <c r="Q1217" s="343"/>
      <c r="R1217" s="344"/>
      <c r="S1217" s="1180">
        <f>254.544+28.49</f>
        <v>283.03399999999999</v>
      </c>
      <c r="T1217" s="343"/>
      <c r="U1217" s="344"/>
      <c r="V1217" s="1178">
        <f>250.022-30-17.4</f>
        <v>202.62199999999999</v>
      </c>
      <c r="W1217" s="343"/>
      <c r="X1217" s="344"/>
      <c r="Y1217" s="1178">
        <f>225.487-55.58</f>
        <v>169.90699999999998</v>
      </c>
      <c r="Z1217" s="343"/>
      <c r="AA1217" s="344"/>
      <c r="AB1217" s="1178">
        <f>255.989-4.06</f>
        <v>251.929</v>
      </c>
      <c r="AC1217" s="343"/>
      <c r="AD1217" s="344"/>
      <c r="AE1217" s="1180">
        <f>255.989+30.57</f>
        <v>286.55900000000003</v>
      </c>
      <c r="AF1217" s="343"/>
      <c r="AG1217" s="344"/>
      <c r="AH1217" s="1180">
        <f>241.897+1.74</f>
        <v>243.637</v>
      </c>
      <c r="AI1217" s="343"/>
      <c r="AJ1217" s="344"/>
      <c r="AK1217" s="1178">
        <f>291.921-56.71</f>
        <v>235.21099999999998</v>
      </c>
      <c r="AL1217" s="343"/>
      <c r="AM1217" s="344"/>
      <c r="AN1217" s="1153">
        <v>261.53399999999999</v>
      </c>
      <c r="AO1217" s="343"/>
      <c r="AP1217" s="344"/>
      <c r="AQ1217" s="1153">
        <v>282.35500000000002</v>
      </c>
      <c r="AR1217" s="246"/>
      <c r="AS1217" s="282"/>
      <c r="AT1217" s="244">
        <f t="shared" si="49"/>
        <v>3062.1859999999997</v>
      </c>
      <c r="AU1217" s="246"/>
      <c r="AV1217" s="336"/>
      <c r="AW1217" s="285"/>
      <c r="AX1217" s="249"/>
      <c r="AY1217" s="338"/>
      <c r="AZ1217" s="357"/>
      <c r="BA1217" s="357"/>
      <c r="BB1217" s="357"/>
      <c r="BC1217" s="357"/>
    </row>
    <row r="1218" spans="1:55" s="24" customFormat="1">
      <c r="A1218" s="179"/>
      <c r="B1218" s="179"/>
      <c r="C1218" s="181"/>
      <c r="D1218" s="181">
        <v>322531</v>
      </c>
      <c r="E1218" s="181"/>
      <c r="F1218" s="181"/>
      <c r="G1218" s="1110">
        <v>322531</v>
      </c>
      <c r="H1218" s="127" t="s">
        <v>195</v>
      </c>
      <c r="I1218" s="516" t="s">
        <v>364</v>
      </c>
      <c r="J1218" s="638">
        <f>ГЭС!C144</f>
        <v>15.73401</v>
      </c>
      <c r="K1218" s="521"/>
      <c r="L1218" s="522"/>
      <c r="M1218" s="638">
        <f>ГЭС!D144</f>
        <v>14.22082</v>
      </c>
      <c r="N1218" s="521"/>
      <c r="O1218" s="522"/>
      <c r="P1218" s="638">
        <f>ГЭС!E144</f>
        <v>22.465720000000001</v>
      </c>
      <c r="Q1218" s="521"/>
      <c r="R1218" s="522"/>
      <c r="S1218" s="638">
        <f>ГЭС!G144</f>
        <v>29.023589999999999</v>
      </c>
      <c r="T1218" s="521"/>
      <c r="U1218" s="522"/>
      <c r="V1218" s="638">
        <f>ГЭС!H144</f>
        <v>31.99166</v>
      </c>
      <c r="W1218" s="521"/>
      <c r="X1218" s="522"/>
      <c r="Y1218" s="638">
        <f>ГЭС!I144</f>
        <v>27.497530000000001</v>
      </c>
      <c r="Z1218" s="521"/>
      <c r="AA1218" s="522"/>
      <c r="AB1218" s="638">
        <f>ГЭС!K144</f>
        <v>19.808399999999999</v>
      </c>
      <c r="AC1218" s="521"/>
      <c r="AD1218" s="522"/>
      <c r="AE1218" s="638">
        <f>ГЭС!L144</f>
        <v>0</v>
      </c>
      <c r="AF1218" s="521"/>
      <c r="AG1218" s="522"/>
      <c r="AH1218" s="638">
        <f>ГЭС!M144</f>
        <v>7.1422999999999996</v>
      </c>
      <c r="AI1218" s="521"/>
      <c r="AJ1218" s="522"/>
      <c r="AK1218" s="638">
        <f>ГЭС!O144</f>
        <v>12.352880000000001</v>
      </c>
      <c r="AL1218" s="521"/>
      <c r="AM1218" s="522"/>
      <c r="AN1218" s="638">
        <f>ГЭС!P144</f>
        <v>16.844729999999998</v>
      </c>
      <c r="AO1218" s="521"/>
      <c r="AP1218" s="522"/>
      <c r="AQ1218" s="638">
        <f>ГЭС!Q144</f>
        <v>18.506489999999999</v>
      </c>
      <c r="AR1218" s="246"/>
      <c r="AS1218" s="282"/>
      <c r="AT1218" s="638">
        <f t="shared" si="49"/>
        <v>215.58813000000004</v>
      </c>
      <c r="AU1218" s="246"/>
      <c r="AV1218" s="336"/>
      <c r="AW1218" s="285"/>
      <c r="AX1218" s="249"/>
      <c r="AY1218" s="441">
        <v>157.703596</v>
      </c>
      <c r="AZ1218" s="357"/>
      <c r="BA1218" s="357"/>
      <c r="BB1218" s="357"/>
      <c r="BC1218" s="357"/>
    </row>
    <row r="1219" spans="1:55" s="24" customFormat="1">
      <c r="A1219" s="179"/>
      <c r="B1219" s="179"/>
      <c r="C1219" s="181"/>
      <c r="D1219" s="181">
        <v>322533</v>
      </c>
      <c r="E1219" s="181"/>
      <c r="F1219" s="181"/>
      <c r="G1219" s="1110">
        <v>322533</v>
      </c>
      <c r="H1219" s="127" t="s">
        <v>196</v>
      </c>
      <c r="I1219" s="516" t="s">
        <v>364</v>
      </c>
      <c r="J1219" s="638">
        <f>ГЭС!C145</f>
        <v>8.6567600000000002</v>
      </c>
      <c r="K1219" s="521"/>
      <c r="L1219" s="522"/>
      <c r="M1219" s="638">
        <f>ГЭС!D145</f>
        <v>7.35236</v>
      </c>
      <c r="N1219" s="521"/>
      <c r="O1219" s="522"/>
      <c r="P1219" s="638">
        <f>ГЭС!E145</f>
        <v>10.660830000000001</v>
      </c>
      <c r="Q1219" s="521"/>
      <c r="R1219" s="522"/>
      <c r="S1219" s="638">
        <f>ГЭС!G145</f>
        <v>15.91015</v>
      </c>
      <c r="T1219" s="521"/>
      <c r="U1219" s="522"/>
      <c r="V1219" s="638">
        <f>ГЭС!H145</f>
        <v>17.87764</v>
      </c>
      <c r="W1219" s="521"/>
      <c r="X1219" s="522"/>
      <c r="Y1219" s="638">
        <f>ГЭС!I145</f>
        <v>17.31644</v>
      </c>
      <c r="Z1219" s="521"/>
      <c r="AA1219" s="522"/>
      <c r="AB1219" s="638">
        <f>ГЭС!K145</f>
        <v>16.25318</v>
      </c>
      <c r="AC1219" s="521"/>
      <c r="AD1219" s="522"/>
      <c r="AE1219" s="638">
        <f>ГЭС!L145</f>
        <v>11.126749999999999</v>
      </c>
      <c r="AF1219" s="521"/>
      <c r="AG1219" s="522"/>
      <c r="AH1219" s="638">
        <f>ГЭС!M145</f>
        <v>1.3</v>
      </c>
      <c r="AI1219" s="521"/>
      <c r="AJ1219" s="522"/>
      <c r="AK1219" s="638">
        <f>ГЭС!O145</f>
        <v>9.2920200000000008</v>
      </c>
      <c r="AL1219" s="521"/>
      <c r="AM1219" s="522"/>
      <c r="AN1219" s="638">
        <f>ГЭС!P145</f>
        <v>10.53684</v>
      </c>
      <c r="AO1219" s="521"/>
      <c r="AP1219" s="522"/>
      <c r="AQ1219" s="638">
        <f>ГЭС!Q145</f>
        <v>10.02345</v>
      </c>
      <c r="AR1219" s="246"/>
      <c r="AS1219" s="282"/>
      <c r="AT1219" s="638">
        <f t="shared" si="49"/>
        <v>136.30642</v>
      </c>
      <c r="AU1219" s="246"/>
      <c r="AV1219" s="336"/>
      <c r="AW1219" s="285"/>
      <c r="AX1219" s="249"/>
      <c r="AY1219" s="441">
        <v>148.5404351</v>
      </c>
      <c r="AZ1219" s="357"/>
      <c r="BA1219" s="357"/>
      <c r="BB1219" s="357"/>
      <c r="BC1219" s="357"/>
    </row>
    <row r="1220" spans="1:55" s="24" customFormat="1">
      <c r="A1220" s="179"/>
      <c r="B1220" s="179"/>
      <c r="C1220" s="181"/>
      <c r="D1220" s="181">
        <v>322532</v>
      </c>
      <c r="E1220" s="181"/>
      <c r="F1220" s="181"/>
      <c r="G1220" s="1110">
        <v>322532</v>
      </c>
      <c r="H1220" s="127" t="s">
        <v>197</v>
      </c>
      <c r="I1220" s="533" t="s">
        <v>365</v>
      </c>
      <c r="J1220" s="638">
        <f>ГЭС!C146</f>
        <v>2.2995100000000002</v>
      </c>
      <c r="K1220" s="521"/>
      <c r="L1220" s="522"/>
      <c r="M1220" s="638">
        <f>ГЭС!D146</f>
        <v>1.9997100000000001</v>
      </c>
      <c r="N1220" s="521"/>
      <c r="O1220" s="522"/>
      <c r="P1220" s="638">
        <f>ГЭС!E146</f>
        <v>3.98807</v>
      </c>
      <c r="Q1220" s="521"/>
      <c r="R1220" s="522"/>
      <c r="S1220" s="638">
        <f>ГЭС!G146</f>
        <v>5.9666199999999998</v>
      </c>
      <c r="T1220" s="521"/>
      <c r="U1220" s="522"/>
      <c r="V1220" s="638">
        <f>ГЭС!H146</f>
        <v>6.4575899999999997</v>
      </c>
      <c r="W1220" s="521"/>
      <c r="X1220" s="522"/>
      <c r="Y1220" s="638">
        <f>ГЭС!I146</f>
        <v>6.1553699999999996</v>
      </c>
      <c r="Z1220" s="521"/>
      <c r="AA1220" s="522"/>
      <c r="AB1220" s="638">
        <f>ГЭС!K146</f>
        <v>5.0270999999999999</v>
      </c>
      <c r="AC1220" s="521"/>
      <c r="AD1220" s="522"/>
      <c r="AE1220" s="638">
        <f>ГЭС!L146</f>
        <v>2.6746099999999999</v>
      </c>
      <c r="AF1220" s="521"/>
      <c r="AG1220" s="522"/>
      <c r="AH1220" s="638">
        <f>ГЭС!M146</f>
        <v>1.71329</v>
      </c>
      <c r="AI1220" s="521"/>
      <c r="AJ1220" s="522"/>
      <c r="AK1220" s="638">
        <f>ГЭС!O146</f>
        <v>1.8791</v>
      </c>
      <c r="AL1220" s="521"/>
      <c r="AM1220" s="522"/>
      <c r="AN1220" s="638">
        <f>ГЭС!P146</f>
        <v>3.1101299999999998</v>
      </c>
      <c r="AO1220" s="521"/>
      <c r="AP1220" s="522"/>
      <c r="AQ1220" s="638">
        <f>ГЭС!Q146</f>
        <v>3.1545800000000002</v>
      </c>
      <c r="AR1220" s="246"/>
      <c r="AS1220" s="282"/>
      <c r="AT1220" s="638">
        <f t="shared" si="49"/>
        <v>44.42568</v>
      </c>
      <c r="AU1220" s="246"/>
      <c r="AV1220" s="336"/>
      <c r="AW1220" s="285"/>
      <c r="AX1220" s="249"/>
      <c r="AY1220" s="441">
        <v>49.4925499</v>
      </c>
      <c r="AZ1220" s="357"/>
      <c r="BA1220" s="357"/>
      <c r="BB1220" s="357"/>
      <c r="BC1220" s="357"/>
    </row>
    <row r="1221" spans="1:55" s="24" customFormat="1">
      <c r="A1221" s="179"/>
      <c r="B1221" s="179"/>
      <c r="C1221" s="181"/>
      <c r="D1221" s="181">
        <v>322584</v>
      </c>
      <c r="E1221" s="181"/>
      <c r="F1221" s="181"/>
      <c r="G1221" s="1110">
        <v>322584</v>
      </c>
      <c r="H1221" s="127" t="s">
        <v>241</v>
      </c>
      <c r="I1221" s="533" t="s">
        <v>365</v>
      </c>
      <c r="J1221" s="587">
        <v>0.24506</v>
      </c>
      <c r="K1221" s="246"/>
      <c r="L1221" s="282"/>
      <c r="M1221" s="587">
        <v>0.18726999999999999</v>
      </c>
      <c r="N1221" s="246"/>
      <c r="O1221" s="282"/>
      <c r="P1221" s="587">
        <v>0.19692000000000001</v>
      </c>
      <c r="Q1221" s="246"/>
      <c r="R1221" s="282"/>
      <c r="S1221" s="587">
        <v>0.17963999999999999</v>
      </c>
      <c r="T1221" s="246"/>
      <c r="U1221" s="282"/>
      <c r="V1221" s="587">
        <v>0.18959999999999999</v>
      </c>
      <c r="W1221" s="246"/>
      <c r="X1221" s="282"/>
      <c r="Y1221" s="587">
        <v>0.18781999999999999</v>
      </c>
      <c r="Z1221" s="246"/>
      <c r="AA1221" s="282"/>
      <c r="AB1221" s="587">
        <v>0.2</v>
      </c>
      <c r="AC1221" s="246"/>
      <c r="AD1221" s="282"/>
      <c r="AE1221" s="587">
        <v>0.18068000000000001</v>
      </c>
      <c r="AF1221" s="246"/>
      <c r="AG1221" s="282"/>
      <c r="AH1221" s="587">
        <v>9.6189999999999998E-2</v>
      </c>
      <c r="AI1221" s="246"/>
      <c r="AJ1221" s="282"/>
      <c r="AK1221" s="587">
        <v>0.10707</v>
      </c>
      <c r="AL1221" s="246"/>
      <c r="AM1221" s="282"/>
      <c r="AN1221" s="587">
        <v>0.19677</v>
      </c>
      <c r="AO1221" s="246"/>
      <c r="AP1221" s="282"/>
      <c r="AQ1221" s="587">
        <v>0.29716999999999999</v>
      </c>
      <c r="AR1221" s="246"/>
      <c r="AS1221" s="282"/>
      <c r="AT1221" s="587">
        <f t="shared" si="49"/>
        <v>2.2641899999999997</v>
      </c>
      <c r="AU1221" s="246"/>
      <c r="AV1221" s="336"/>
      <c r="AW1221" s="285"/>
      <c r="AX1221" s="249"/>
      <c r="AY1221" s="441">
        <v>2.0584899999999999</v>
      </c>
      <c r="AZ1221" s="357"/>
      <c r="BA1221" s="357"/>
      <c r="BB1221" s="357"/>
      <c r="BC1221" s="357"/>
    </row>
    <row r="1222" spans="1:55" s="24" customFormat="1">
      <c r="A1222" s="179"/>
      <c r="B1222" s="179"/>
      <c r="C1222" s="181"/>
      <c r="D1222" s="181">
        <v>322515</v>
      </c>
      <c r="E1222" s="181"/>
      <c r="F1222" s="181"/>
      <c r="G1222" s="1110">
        <v>322515</v>
      </c>
      <c r="H1222" s="134" t="s">
        <v>683</v>
      </c>
      <c r="I1222" s="516" t="s">
        <v>364</v>
      </c>
      <c r="J1222" s="262">
        <f>SUM(J1223:J1224)</f>
        <v>96.1</v>
      </c>
      <c r="K1222" s="246"/>
      <c r="L1222" s="282"/>
      <c r="M1222" s="317">
        <f>SUM(M1223:M1224)</f>
        <v>90.5</v>
      </c>
      <c r="N1222" s="246"/>
      <c r="O1222" s="282"/>
      <c r="P1222" s="317">
        <f>SUM(P1223:P1224)</f>
        <v>99.1</v>
      </c>
      <c r="Q1222" s="246"/>
      <c r="R1222" s="282"/>
      <c r="S1222" s="317">
        <f>SUM(S1223:S1224)</f>
        <v>70.7</v>
      </c>
      <c r="T1222" s="246"/>
      <c r="U1222" s="282"/>
      <c r="V1222" s="317">
        <f>SUM(V1223:V1224)</f>
        <v>52.2</v>
      </c>
      <c r="W1222" s="246"/>
      <c r="X1222" s="282"/>
      <c r="Y1222" s="317">
        <f>SUM(Y1223:Y1224)</f>
        <v>56.2</v>
      </c>
      <c r="Z1222" s="246"/>
      <c r="AA1222" s="282"/>
      <c r="AB1222" s="317">
        <f>SUM(AB1223:AB1224)</f>
        <v>62.5</v>
      </c>
      <c r="AC1222" s="246"/>
      <c r="AD1222" s="282"/>
      <c r="AE1222" s="317">
        <f>SUM(AE1223:AE1224)</f>
        <v>62.6</v>
      </c>
      <c r="AF1222" s="246"/>
      <c r="AG1222" s="282"/>
      <c r="AH1222" s="317">
        <f>SUM(AH1223:AH1224)</f>
        <v>48.73</v>
      </c>
      <c r="AI1222" s="246"/>
      <c r="AJ1222" s="282"/>
      <c r="AK1222" s="317">
        <f>SUM(AK1223:AK1224)</f>
        <v>60.4</v>
      </c>
      <c r="AL1222" s="246"/>
      <c r="AM1222" s="282"/>
      <c r="AN1222" s="317">
        <f>SUM(AN1223:AN1224)</f>
        <v>70</v>
      </c>
      <c r="AO1222" s="246"/>
      <c r="AP1222" s="282"/>
      <c r="AQ1222" s="317">
        <f>SUM(AQ1223:AQ1224)</f>
        <v>73</v>
      </c>
      <c r="AR1222" s="246"/>
      <c r="AS1222" s="282"/>
      <c r="AT1222" s="317">
        <f>SUM(AT1223:AT1224)</f>
        <v>842.03000000000009</v>
      </c>
      <c r="AU1222" s="246"/>
      <c r="AV1222" s="336"/>
      <c r="AW1222" s="285"/>
      <c r="AX1222" s="249"/>
      <c r="AY1222" s="440">
        <v>993.11411499999997</v>
      </c>
      <c r="AZ1222" s="357"/>
      <c r="BA1222" s="357"/>
      <c r="BB1222" s="357"/>
      <c r="BC1222" s="357"/>
    </row>
    <row r="1223" spans="1:55" s="24" customFormat="1">
      <c r="A1223" s="179"/>
      <c r="B1223" s="179"/>
      <c r="C1223" s="181"/>
      <c r="D1223" s="181"/>
      <c r="E1223" s="181"/>
      <c r="F1223" s="181"/>
      <c r="G1223" s="1110"/>
      <c r="H1223" s="122" t="s">
        <v>683</v>
      </c>
      <c r="I1223" s="122"/>
      <c r="J1223" s="1152">
        <v>47.5</v>
      </c>
      <c r="K1223" s="343"/>
      <c r="L1223" s="344"/>
      <c r="M1223" s="1153">
        <v>44.4</v>
      </c>
      <c r="N1223" s="343"/>
      <c r="O1223" s="344"/>
      <c r="P1223" s="1180">
        <f>38+10</f>
        <v>48</v>
      </c>
      <c r="Q1223" s="343"/>
      <c r="R1223" s="344"/>
      <c r="S1223" s="1153">
        <v>25.3</v>
      </c>
      <c r="T1223" s="343"/>
      <c r="U1223" s="344"/>
      <c r="V1223" s="1153">
        <v>23.8</v>
      </c>
      <c r="W1223" s="343"/>
      <c r="X1223" s="344"/>
      <c r="Y1223" s="1153">
        <v>23</v>
      </c>
      <c r="Z1223" s="343"/>
      <c r="AA1223" s="344"/>
      <c r="AB1223" s="1153">
        <v>23.8</v>
      </c>
      <c r="AC1223" s="343"/>
      <c r="AD1223" s="344"/>
      <c r="AE1223" s="1153">
        <v>17.399999999999999</v>
      </c>
      <c r="AF1223" s="343"/>
      <c r="AG1223" s="344"/>
      <c r="AH1223" s="244">
        <v>13.57</v>
      </c>
      <c r="AI1223" s="343"/>
      <c r="AJ1223" s="344"/>
      <c r="AK1223" s="1153">
        <v>34.799999999999997</v>
      </c>
      <c r="AL1223" s="343"/>
      <c r="AM1223" s="344"/>
      <c r="AN1223" s="1153">
        <v>45.9</v>
      </c>
      <c r="AO1223" s="343"/>
      <c r="AP1223" s="344"/>
      <c r="AQ1223" s="1153">
        <v>39.6</v>
      </c>
      <c r="AR1223" s="246"/>
      <c r="AS1223" s="282"/>
      <c r="AT1223" s="244">
        <f t="shared" si="49"/>
        <v>387.07000000000005</v>
      </c>
      <c r="AU1223" s="246"/>
      <c r="AV1223" s="336"/>
      <c r="AW1223" s="285"/>
      <c r="AX1223" s="249"/>
      <c r="AY1223" s="249"/>
      <c r="AZ1223" s="357"/>
      <c r="BA1223" s="357"/>
      <c r="BB1223" s="357"/>
      <c r="BC1223" s="357"/>
    </row>
    <row r="1224" spans="1:55" s="24" customFormat="1">
      <c r="A1224" s="179"/>
      <c r="B1224" s="179"/>
      <c r="C1224" s="181"/>
      <c r="D1224" s="181"/>
      <c r="E1224" s="181"/>
      <c r="F1224" s="181"/>
      <c r="G1224" s="1110"/>
      <c r="H1224" s="122" t="s">
        <v>684</v>
      </c>
      <c r="I1224" s="122"/>
      <c r="J1224" s="1172">
        <f>33.6+15</f>
        <v>48.6</v>
      </c>
      <c r="K1224" s="343"/>
      <c r="L1224" s="344"/>
      <c r="M1224" s="1180">
        <f>36.1+10</f>
        <v>46.1</v>
      </c>
      <c r="N1224" s="343"/>
      <c r="O1224" s="344"/>
      <c r="P1224" s="1180">
        <f>36.1+15</f>
        <v>51.1</v>
      </c>
      <c r="Q1224" s="343"/>
      <c r="R1224" s="344"/>
      <c r="S1224" s="1180">
        <f>32.4+13</f>
        <v>45.4</v>
      </c>
      <c r="T1224" s="343"/>
      <c r="U1224" s="344"/>
      <c r="V1224" s="1153">
        <v>28.4</v>
      </c>
      <c r="W1224" s="343"/>
      <c r="X1224" s="344"/>
      <c r="Y1224" s="1153">
        <v>33.200000000000003</v>
      </c>
      <c r="Z1224" s="343"/>
      <c r="AA1224" s="344"/>
      <c r="AB1224" s="1153">
        <v>38.700000000000003</v>
      </c>
      <c r="AC1224" s="343"/>
      <c r="AD1224" s="344"/>
      <c r="AE1224" s="1180">
        <f>27.2+18</f>
        <v>45.2</v>
      </c>
      <c r="AF1224" s="343"/>
      <c r="AG1224" s="344"/>
      <c r="AH1224" s="244">
        <v>35.159999999999997</v>
      </c>
      <c r="AI1224" s="343"/>
      <c r="AJ1224" s="344"/>
      <c r="AK1224" s="1153">
        <v>25.6</v>
      </c>
      <c r="AL1224" s="343"/>
      <c r="AM1224" s="344"/>
      <c r="AN1224" s="1153">
        <v>24.1</v>
      </c>
      <c r="AO1224" s="343"/>
      <c r="AP1224" s="344"/>
      <c r="AQ1224" s="1153">
        <v>33.4</v>
      </c>
      <c r="AR1224" s="246"/>
      <c r="AS1224" s="282"/>
      <c r="AT1224" s="244">
        <f t="shared" si="49"/>
        <v>454.96000000000004</v>
      </c>
      <c r="AU1224" s="246"/>
      <c r="AV1224" s="336"/>
      <c r="AW1224" s="285"/>
      <c r="AX1224" s="249"/>
      <c r="AY1224" s="249"/>
      <c r="AZ1224" s="357"/>
      <c r="BA1224" s="357"/>
      <c r="BB1224" s="357"/>
      <c r="BC1224" s="357"/>
    </row>
    <row r="1225" spans="1:55" s="24" customFormat="1">
      <c r="A1225" s="179"/>
      <c r="B1225" s="179"/>
      <c r="C1225" s="181"/>
      <c r="D1225" s="181">
        <v>322506</v>
      </c>
      <c r="E1225" s="181"/>
      <c r="F1225" s="181"/>
      <c r="G1225" s="1110">
        <v>322506</v>
      </c>
      <c r="H1225" s="122" t="s">
        <v>1450</v>
      </c>
      <c r="I1225" s="533" t="s">
        <v>365</v>
      </c>
      <c r="J1225" s="931">
        <v>6.64</v>
      </c>
      <c r="K1225" s="932"/>
      <c r="L1225" s="933"/>
      <c r="M1225" s="931">
        <v>7.5</v>
      </c>
      <c r="N1225" s="932"/>
      <c r="O1225" s="933"/>
      <c r="P1225" s="931">
        <v>5.76</v>
      </c>
      <c r="Q1225" s="932"/>
      <c r="R1225" s="933"/>
      <c r="S1225" s="931">
        <v>6.65</v>
      </c>
      <c r="T1225" s="932"/>
      <c r="U1225" s="933"/>
      <c r="V1225" s="931">
        <v>5.91</v>
      </c>
      <c r="W1225" s="932"/>
      <c r="X1225" s="933"/>
      <c r="Y1225" s="931">
        <v>7.06</v>
      </c>
      <c r="Z1225" s="932"/>
      <c r="AA1225" s="933"/>
      <c r="AB1225" s="931">
        <v>7.63</v>
      </c>
      <c r="AC1225" s="932"/>
      <c r="AD1225" s="933"/>
      <c r="AE1225" s="931">
        <v>6.88</v>
      </c>
      <c r="AF1225" s="932"/>
      <c r="AG1225" s="933"/>
      <c r="AH1225" s="931">
        <v>7.71</v>
      </c>
      <c r="AI1225" s="932"/>
      <c r="AJ1225" s="933"/>
      <c r="AK1225" s="931">
        <v>8.25</v>
      </c>
      <c r="AL1225" s="932"/>
      <c r="AM1225" s="933"/>
      <c r="AN1225" s="931">
        <v>7.41</v>
      </c>
      <c r="AO1225" s="932"/>
      <c r="AP1225" s="933"/>
      <c r="AQ1225" s="931">
        <v>9.2100000000000009</v>
      </c>
      <c r="AR1225" s="246"/>
      <c r="AS1225" s="282"/>
      <c r="AT1225" s="244">
        <f t="shared" si="49"/>
        <v>86.610000000000014</v>
      </c>
      <c r="AU1225" s="246"/>
      <c r="AV1225" s="336"/>
      <c r="AW1225" s="285"/>
      <c r="AX1225" s="249"/>
      <c r="AY1225" s="441">
        <v>84.329091599999998</v>
      </c>
      <c r="AZ1225" s="357"/>
      <c r="BA1225" s="357"/>
      <c r="BB1225" s="357"/>
      <c r="BC1225" s="357"/>
    </row>
    <row r="1226" spans="1:55" s="24" customFormat="1">
      <c r="A1226" s="179"/>
      <c r="B1226" s="179"/>
      <c r="C1226" s="181"/>
      <c r="D1226" s="181">
        <v>322582</v>
      </c>
      <c r="E1226" s="181"/>
      <c r="F1226" s="181"/>
      <c r="G1226" s="1110">
        <v>322582</v>
      </c>
      <c r="H1226" s="123" t="s">
        <v>230</v>
      </c>
      <c r="I1226" s="519" t="s">
        <v>365</v>
      </c>
      <c r="J1226" s="931">
        <v>1.1000000000000001</v>
      </c>
      <c r="K1226" s="932"/>
      <c r="L1226" s="933"/>
      <c r="M1226" s="931">
        <v>1</v>
      </c>
      <c r="N1226" s="932"/>
      <c r="O1226" s="933"/>
      <c r="P1226" s="931">
        <v>1.1000000000000001</v>
      </c>
      <c r="Q1226" s="932"/>
      <c r="R1226" s="933"/>
      <c r="S1226" s="931">
        <v>0.86</v>
      </c>
      <c r="T1226" s="932"/>
      <c r="U1226" s="933"/>
      <c r="V1226" s="931">
        <v>0.8</v>
      </c>
      <c r="W1226" s="932"/>
      <c r="X1226" s="933"/>
      <c r="Y1226" s="931">
        <v>0.55000000000000004</v>
      </c>
      <c r="Z1226" s="932"/>
      <c r="AA1226" s="933"/>
      <c r="AB1226" s="931">
        <v>0.6</v>
      </c>
      <c r="AC1226" s="932"/>
      <c r="AD1226" s="933"/>
      <c r="AE1226" s="931">
        <v>0.5</v>
      </c>
      <c r="AF1226" s="932"/>
      <c r="AG1226" s="933"/>
      <c r="AH1226" s="931">
        <v>1.1000000000000001</v>
      </c>
      <c r="AI1226" s="932"/>
      <c r="AJ1226" s="933"/>
      <c r="AK1226" s="931">
        <v>1.3</v>
      </c>
      <c r="AL1226" s="932"/>
      <c r="AM1226" s="933"/>
      <c r="AN1226" s="931">
        <v>1.1000000000000001</v>
      </c>
      <c r="AO1226" s="932"/>
      <c r="AP1226" s="933"/>
      <c r="AQ1226" s="931">
        <v>1.3</v>
      </c>
      <c r="AR1226" s="246"/>
      <c r="AS1226" s="282"/>
      <c r="AT1226" s="244">
        <f t="shared" si="49"/>
        <v>11.31</v>
      </c>
      <c r="AU1226" s="246"/>
      <c r="AV1226" s="336"/>
      <c r="AW1226" s="285"/>
      <c r="AX1226" s="249"/>
      <c r="AY1226" s="441">
        <v>10.88359</v>
      </c>
      <c r="AZ1226" s="357"/>
      <c r="BA1226" s="357"/>
      <c r="BB1226" s="357"/>
      <c r="BC1226" s="357"/>
    </row>
    <row r="1227" spans="1:55" s="24" customFormat="1">
      <c r="A1227" s="179"/>
      <c r="B1227" s="179"/>
      <c r="C1227" s="181"/>
      <c r="D1227" s="181">
        <v>322537</v>
      </c>
      <c r="E1227" s="181"/>
      <c r="F1227" s="181"/>
      <c r="G1227" s="1110">
        <v>322537</v>
      </c>
      <c r="H1227" s="122" t="s">
        <v>869</v>
      </c>
      <c r="I1227" s="533" t="s">
        <v>365</v>
      </c>
      <c r="J1227" s="931">
        <v>1.54</v>
      </c>
      <c r="K1227" s="932"/>
      <c r="L1227" s="933"/>
      <c r="M1227" s="931">
        <v>1.39</v>
      </c>
      <c r="N1227" s="932"/>
      <c r="O1227" s="933"/>
      <c r="P1227" s="931">
        <v>1.49</v>
      </c>
      <c r="Q1227" s="932"/>
      <c r="R1227" s="933"/>
      <c r="S1227" s="931">
        <v>1.46</v>
      </c>
      <c r="T1227" s="932"/>
      <c r="U1227" s="933"/>
      <c r="V1227" s="931">
        <v>1.66</v>
      </c>
      <c r="W1227" s="932"/>
      <c r="X1227" s="933"/>
      <c r="Y1227" s="931">
        <v>1.69</v>
      </c>
      <c r="Z1227" s="932"/>
      <c r="AA1227" s="933"/>
      <c r="AB1227" s="931">
        <v>1.84</v>
      </c>
      <c r="AC1227" s="932"/>
      <c r="AD1227" s="933"/>
      <c r="AE1227" s="931">
        <v>1.81</v>
      </c>
      <c r="AF1227" s="932"/>
      <c r="AG1227" s="933"/>
      <c r="AH1227" s="931">
        <v>1.86</v>
      </c>
      <c r="AI1227" s="932"/>
      <c r="AJ1227" s="933"/>
      <c r="AK1227" s="931">
        <v>1.74</v>
      </c>
      <c r="AL1227" s="932"/>
      <c r="AM1227" s="933"/>
      <c r="AN1227" s="931">
        <v>1.76</v>
      </c>
      <c r="AO1227" s="932"/>
      <c r="AP1227" s="933"/>
      <c r="AQ1227" s="931">
        <v>1.81</v>
      </c>
      <c r="AR1227" s="246"/>
      <c r="AS1227" s="282"/>
      <c r="AT1227" s="244">
        <f t="shared" si="49"/>
        <v>20.05</v>
      </c>
      <c r="AU1227" s="246"/>
      <c r="AV1227" s="336"/>
      <c r="AW1227" s="285"/>
      <c r="AX1227" s="249"/>
      <c r="AY1227" s="441">
        <v>20.016949</v>
      </c>
      <c r="AZ1227" s="357"/>
      <c r="BA1227" s="357"/>
      <c r="BB1227" s="357"/>
      <c r="BC1227" s="357"/>
    </row>
    <row r="1228" spans="1:55" s="24" customFormat="1">
      <c r="A1228" s="179"/>
      <c r="B1228" s="179"/>
      <c r="C1228" s="181"/>
      <c r="D1228" s="181">
        <v>322520</v>
      </c>
      <c r="E1228" s="181"/>
      <c r="F1228" s="181"/>
      <c r="G1228" s="1110">
        <v>322520</v>
      </c>
      <c r="H1228" s="122" t="s">
        <v>463</v>
      </c>
      <c r="I1228" s="533" t="s">
        <v>365</v>
      </c>
      <c r="J1228" s="931">
        <v>7.54</v>
      </c>
      <c r="K1228" s="932"/>
      <c r="L1228" s="933"/>
      <c r="M1228" s="931">
        <v>10.89</v>
      </c>
      <c r="N1228" s="932"/>
      <c r="O1228" s="933"/>
      <c r="P1228" s="931">
        <v>12.15</v>
      </c>
      <c r="Q1228" s="932"/>
      <c r="R1228" s="933"/>
      <c r="S1228" s="931">
        <v>11.74</v>
      </c>
      <c r="T1228" s="932"/>
      <c r="U1228" s="933"/>
      <c r="V1228" s="931">
        <v>9.2200000000000006</v>
      </c>
      <c r="W1228" s="932"/>
      <c r="X1228" s="933"/>
      <c r="Y1228" s="931">
        <v>10.89</v>
      </c>
      <c r="Z1228" s="932"/>
      <c r="AA1228" s="933"/>
      <c r="AB1228" s="931">
        <v>12.15</v>
      </c>
      <c r="AC1228" s="932"/>
      <c r="AD1228" s="933"/>
      <c r="AE1228" s="931">
        <v>12.15</v>
      </c>
      <c r="AF1228" s="932"/>
      <c r="AG1228" s="933"/>
      <c r="AH1228" s="931">
        <v>11.74</v>
      </c>
      <c r="AI1228" s="932"/>
      <c r="AJ1228" s="933"/>
      <c r="AK1228" s="931">
        <v>12.15</v>
      </c>
      <c r="AL1228" s="932"/>
      <c r="AM1228" s="933"/>
      <c r="AN1228" s="931">
        <v>11.31</v>
      </c>
      <c r="AO1228" s="932"/>
      <c r="AP1228" s="933"/>
      <c r="AQ1228" s="931">
        <v>12.57</v>
      </c>
      <c r="AR1228" s="246"/>
      <c r="AS1228" s="282"/>
      <c r="AT1228" s="244">
        <f t="shared" si="49"/>
        <v>134.5</v>
      </c>
      <c r="AU1228" s="246"/>
      <c r="AV1228" s="336"/>
      <c r="AW1228" s="285"/>
      <c r="AX1228" s="249"/>
      <c r="AY1228" s="441">
        <v>61.058517000000002</v>
      </c>
      <c r="AZ1228" s="357"/>
      <c r="BA1228" s="357"/>
      <c r="BB1228" s="357"/>
      <c r="BC1228" s="357"/>
    </row>
    <row r="1229" spans="1:55" s="24" customFormat="1">
      <c r="A1229" s="179"/>
      <c r="B1229" s="179"/>
      <c r="C1229" s="181"/>
      <c r="D1229" s="181">
        <v>322507</v>
      </c>
      <c r="E1229" s="181"/>
      <c r="F1229" s="181"/>
      <c r="G1229" s="1110">
        <v>322507</v>
      </c>
      <c r="H1229" s="122" t="s">
        <v>464</v>
      </c>
      <c r="I1229" s="533" t="s">
        <v>365</v>
      </c>
      <c r="J1229" s="931">
        <v>4</v>
      </c>
      <c r="K1229" s="932"/>
      <c r="L1229" s="933"/>
      <c r="M1229" s="931">
        <v>3.6</v>
      </c>
      <c r="N1229" s="932"/>
      <c r="O1229" s="933"/>
      <c r="P1229" s="931">
        <v>3.7</v>
      </c>
      <c r="Q1229" s="932"/>
      <c r="R1229" s="933"/>
      <c r="S1229" s="931">
        <v>3.9</v>
      </c>
      <c r="T1229" s="932"/>
      <c r="U1229" s="933"/>
      <c r="V1229" s="931">
        <v>3.9</v>
      </c>
      <c r="W1229" s="932"/>
      <c r="X1229" s="933"/>
      <c r="Y1229" s="931">
        <v>3.9</v>
      </c>
      <c r="Z1229" s="932"/>
      <c r="AA1229" s="933"/>
      <c r="AB1229" s="931">
        <v>4</v>
      </c>
      <c r="AC1229" s="932"/>
      <c r="AD1229" s="933"/>
      <c r="AE1229" s="931">
        <v>4</v>
      </c>
      <c r="AF1229" s="932"/>
      <c r="AG1229" s="933"/>
      <c r="AH1229" s="931">
        <v>3.83</v>
      </c>
      <c r="AI1229" s="932"/>
      <c r="AJ1229" s="933"/>
      <c r="AK1229" s="931">
        <v>3.6</v>
      </c>
      <c r="AL1229" s="932"/>
      <c r="AM1229" s="933"/>
      <c r="AN1229" s="931">
        <v>3.7</v>
      </c>
      <c r="AO1229" s="932"/>
      <c r="AP1229" s="933"/>
      <c r="AQ1229" s="931">
        <v>3.86</v>
      </c>
      <c r="AR1229" s="246"/>
      <c r="AS1229" s="282"/>
      <c r="AT1229" s="244">
        <f t="shared" si="49"/>
        <v>45.99</v>
      </c>
      <c r="AU1229" s="246"/>
      <c r="AV1229" s="336"/>
      <c r="AW1229" s="285"/>
      <c r="AX1229" s="249"/>
      <c r="AY1229" s="441">
        <v>49.133150000000001</v>
      </c>
      <c r="AZ1229" s="357"/>
      <c r="BA1229" s="357"/>
      <c r="BB1229" s="357"/>
      <c r="BC1229" s="357"/>
    </row>
    <row r="1230" spans="1:55" s="24" customFormat="1">
      <c r="A1230" s="179"/>
      <c r="B1230" s="179"/>
      <c r="C1230" s="181"/>
      <c r="D1230" s="181">
        <v>322588</v>
      </c>
      <c r="E1230" s="181"/>
      <c r="F1230" s="181"/>
      <c r="G1230" s="1110">
        <v>322588</v>
      </c>
      <c r="H1230" s="122" t="s">
        <v>465</v>
      </c>
      <c r="I1230" s="533" t="s">
        <v>365</v>
      </c>
      <c r="J1230" s="931">
        <v>1.8033600000000001</v>
      </c>
      <c r="K1230" s="932"/>
      <c r="L1230" s="933"/>
      <c r="M1230" s="931">
        <v>2.06325</v>
      </c>
      <c r="N1230" s="932"/>
      <c r="O1230" s="933"/>
      <c r="P1230" s="931">
        <v>2.16689</v>
      </c>
      <c r="Q1230" s="932"/>
      <c r="R1230" s="933"/>
      <c r="S1230" s="931">
        <v>2.0632000000000001</v>
      </c>
      <c r="T1230" s="932"/>
      <c r="U1230" s="933"/>
      <c r="V1230" s="931">
        <v>2.3619300000000001</v>
      </c>
      <c r="W1230" s="932"/>
      <c r="X1230" s="933"/>
      <c r="Y1230" s="931">
        <v>1.8241700000000001</v>
      </c>
      <c r="Z1230" s="932"/>
      <c r="AA1230" s="933"/>
      <c r="AB1230" s="931">
        <v>1.57874</v>
      </c>
      <c r="AC1230" s="932"/>
      <c r="AD1230" s="933"/>
      <c r="AE1230" s="931">
        <v>1.12683</v>
      </c>
      <c r="AF1230" s="932"/>
      <c r="AG1230" s="933"/>
      <c r="AH1230" s="931">
        <v>0.93525000000000003</v>
      </c>
      <c r="AI1230" s="932"/>
      <c r="AJ1230" s="933"/>
      <c r="AK1230" s="931">
        <v>0.98199000000000003</v>
      </c>
      <c r="AL1230" s="932"/>
      <c r="AM1230" s="933"/>
      <c r="AN1230" s="931">
        <v>1.3384199999999999</v>
      </c>
      <c r="AO1230" s="932"/>
      <c r="AP1230" s="933"/>
      <c r="AQ1230" s="931">
        <v>1.8559699999999999</v>
      </c>
      <c r="AR1230" s="246"/>
      <c r="AS1230" s="282"/>
      <c r="AT1230" s="244">
        <f t="shared" si="49"/>
        <v>20.099999999999998</v>
      </c>
      <c r="AU1230" s="246"/>
      <c r="AV1230" s="336"/>
      <c r="AW1230" s="285"/>
      <c r="AX1230" s="249"/>
      <c r="AY1230" s="441">
        <v>22.848790000000001</v>
      </c>
      <c r="AZ1230" s="357"/>
      <c r="BA1230" s="357"/>
      <c r="BB1230" s="357"/>
      <c r="BC1230" s="357"/>
    </row>
    <row r="1231" spans="1:55" s="24" customFormat="1">
      <c r="A1231" s="179"/>
      <c r="B1231" s="179"/>
      <c r="C1231" s="181"/>
      <c r="D1231" s="181">
        <v>530052</v>
      </c>
      <c r="E1231" s="181"/>
      <c r="F1231" s="181"/>
      <c r="G1231" s="1110">
        <v>530052</v>
      </c>
      <c r="H1231" s="125" t="s">
        <v>172</v>
      </c>
      <c r="I1231" s="516" t="s">
        <v>364</v>
      </c>
      <c r="J1231" s="931">
        <v>0.1</v>
      </c>
      <c r="K1231" s="932"/>
      <c r="L1231" s="933"/>
      <c r="M1231" s="931">
        <v>0.05</v>
      </c>
      <c r="N1231" s="932"/>
      <c r="O1231" s="933"/>
      <c r="P1231" s="931">
        <v>0.7</v>
      </c>
      <c r="Q1231" s="932"/>
      <c r="R1231" s="933"/>
      <c r="S1231" s="931">
        <v>0.09</v>
      </c>
      <c r="T1231" s="932"/>
      <c r="U1231" s="933"/>
      <c r="V1231" s="931">
        <v>0.15</v>
      </c>
      <c r="W1231" s="932"/>
      <c r="X1231" s="933"/>
      <c r="Y1231" s="931">
        <v>0.8</v>
      </c>
      <c r="Z1231" s="932"/>
      <c r="AA1231" s="933"/>
      <c r="AB1231" s="931">
        <v>2</v>
      </c>
      <c r="AC1231" s="932"/>
      <c r="AD1231" s="933"/>
      <c r="AE1231" s="931">
        <v>0.05</v>
      </c>
      <c r="AF1231" s="932"/>
      <c r="AG1231" s="933"/>
      <c r="AH1231" s="931">
        <v>0.01</v>
      </c>
      <c r="AI1231" s="932"/>
      <c r="AJ1231" s="933"/>
      <c r="AK1231" s="931">
        <v>0.02</v>
      </c>
      <c r="AL1231" s="932"/>
      <c r="AM1231" s="933"/>
      <c r="AN1231" s="931">
        <v>0.04</v>
      </c>
      <c r="AO1231" s="932"/>
      <c r="AP1231" s="933"/>
      <c r="AQ1231" s="931">
        <v>0.2</v>
      </c>
      <c r="AR1231" s="246"/>
      <c r="AS1231" s="282"/>
      <c r="AT1231" s="244">
        <f t="shared" si="49"/>
        <v>4.2099999999999991</v>
      </c>
      <c r="AU1231" s="246"/>
      <c r="AV1231" s="336"/>
      <c r="AW1231" s="285"/>
      <c r="AX1231" s="249"/>
      <c r="AY1231" s="441">
        <v>4.1758499999999996</v>
      </c>
      <c r="AZ1231" s="357"/>
      <c r="BA1231" s="357"/>
      <c r="BB1231" s="357"/>
      <c r="BC1231" s="357"/>
    </row>
    <row r="1232" spans="1:55" s="24" customFormat="1">
      <c r="A1232" s="179"/>
      <c r="B1232" s="179"/>
      <c r="C1232" s="179"/>
      <c r="D1232" s="181">
        <v>322516</v>
      </c>
      <c r="E1232" s="181"/>
      <c r="F1232" s="181"/>
      <c r="G1232" s="1110">
        <v>322516</v>
      </c>
      <c r="H1232" s="141" t="s">
        <v>685</v>
      </c>
      <c r="I1232" s="516" t="s">
        <v>364</v>
      </c>
      <c r="J1232" s="262">
        <f>SUM(J1233:J1234)</f>
        <v>184</v>
      </c>
      <c r="K1232" s="246"/>
      <c r="L1232" s="282"/>
      <c r="M1232" s="262">
        <f>SUM(M1233:M1234)</f>
        <v>189</v>
      </c>
      <c r="N1232" s="246"/>
      <c r="O1232" s="282"/>
      <c r="P1232" s="262">
        <f>SUM(P1233:P1234)</f>
        <v>171</v>
      </c>
      <c r="Q1232" s="246"/>
      <c r="R1232" s="282"/>
      <c r="S1232" s="262">
        <f>SUM(S1233:S1234)</f>
        <v>180</v>
      </c>
      <c r="T1232" s="246"/>
      <c r="U1232" s="282"/>
      <c r="V1232" s="262">
        <f>SUM(V1233:V1234)</f>
        <v>150</v>
      </c>
      <c r="W1232" s="246"/>
      <c r="X1232" s="282"/>
      <c r="Y1232" s="262">
        <f>SUM(Y1233:Y1234)</f>
        <v>153</v>
      </c>
      <c r="Z1232" s="246"/>
      <c r="AA1232" s="282"/>
      <c r="AB1232" s="262">
        <f>SUM(AB1233:AB1234)</f>
        <v>178</v>
      </c>
      <c r="AC1232" s="246"/>
      <c r="AD1232" s="282"/>
      <c r="AE1232" s="262">
        <f>SUM(AE1233:AE1234)</f>
        <v>193</v>
      </c>
      <c r="AF1232" s="246"/>
      <c r="AG1232" s="282"/>
      <c r="AH1232" s="262">
        <f>SUM(AH1233:AH1234)</f>
        <v>171</v>
      </c>
      <c r="AI1232" s="246"/>
      <c r="AJ1232" s="282"/>
      <c r="AK1232" s="262">
        <f>SUM(AK1233:AK1234)</f>
        <v>129</v>
      </c>
      <c r="AL1232" s="246"/>
      <c r="AM1232" s="282"/>
      <c r="AN1232" s="262">
        <f>SUM(AN1233:AN1234)</f>
        <v>179</v>
      </c>
      <c r="AO1232" s="246"/>
      <c r="AP1232" s="282"/>
      <c r="AQ1232" s="262">
        <f>SUM(AQ1233:AQ1234)</f>
        <v>188</v>
      </c>
      <c r="AR1232" s="246"/>
      <c r="AS1232" s="282"/>
      <c r="AT1232" s="262">
        <f>SUM(AT1233:AT1234)</f>
        <v>2065</v>
      </c>
      <c r="AU1232" s="246"/>
      <c r="AV1232" s="336"/>
      <c r="AW1232" s="285"/>
      <c r="AX1232" s="249"/>
      <c r="AY1232" s="440">
        <v>2471.6393830000002</v>
      </c>
      <c r="AZ1232" s="357"/>
      <c r="BA1232" s="357"/>
      <c r="BB1232" s="357"/>
      <c r="BC1232" s="357"/>
    </row>
    <row r="1233" spans="1:55" s="24" customFormat="1">
      <c r="A1233" s="179"/>
      <c r="B1233" s="179"/>
      <c r="C1233" s="179"/>
      <c r="D1233" s="181"/>
      <c r="E1233" s="181"/>
      <c r="F1233" s="181"/>
      <c r="G1233" s="1110"/>
      <c r="H1233" s="125" t="s">
        <v>686</v>
      </c>
      <c r="I1233" s="125"/>
      <c r="J1233" s="1172">
        <f>60+30</f>
        <v>90</v>
      </c>
      <c r="K1233" s="343"/>
      <c r="L1233" s="344"/>
      <c r="M1233" s="1180">
        <f>66+30</f>
        <v>96</v>
      </c>
      <c r="N1233" s="343"/>
      <c r="O1233" s="344"/>
      <c r="P1233" s="1180">
        <f>42+35</f>
        <v>77</v>
      </c>
      <c r="Q1233" s="343"/>
      <c r="R1233" s="344"/>
      <c r="S1233" s="1153">
        <v>86</v>
      </c>
      <c r="T1233" s="343"/>
      <c r="U1233" s="344"/>
      <c r="V1233" s="1153">
        <v>92</v>
      </c>
      <c r="W1233" s="343"/>
      <c r="X1233" s="344"/>
      <c r="Y1233" s="1178">
        <f>87-10</f>
        <v>77</v>
      </c>
      <c r="Z1233" s="343"/>
      <c r="AA1233" s="344"/>
      <c r="AB1233" s="1153">
        <v>89</v>
      </c>
      <c r="AC1233" s="343"/>
      <c r="AD1233" s="344"/>
      <c r="AE1233" s="1180">
        <f>84+10</f>
        <v>94</v>
      </c>
      <c r="AF1233" s="343"/>
      <c r="AG1233" s="344"/>
      <c r="AH1233" s="1153">
        <v>83</v>
      </c>
      <c r="AI1233" s="343"/>
      <c r="AJ1233" s="344"/>
      <c r="AK1233" s="1153">
        <v>90</v>
      </c>
      <c r="AL1233" s="343"/>
      <c r="AM1233" s="344"/>
      <c r="AN1233" s="1153">
        <v>91</v>
      </c>
      <c r="AO1233" s="343"/>
      <c r="AP1233" s="344"/>
      <c r="AQ1233" s="1153">
        <v>94</v>
      </c>
      <c r="AR1233" s="246"/>
      <c r="AS1233" s="282"/>
      <c r="AT1233" s="244">
        <f t="shared" si="49"/>
        <v>1059</v>
      </c>
      <c r="AU1233" s="246"/>
      <c r="AV1233" s="336"/>
      <c r="AW1233" s="285"/>
      <c r="AX1233" s="249"/>
      <c r="AY1233" s="249"/>
      <c r="AZ1233" s="357"/>
      <c r="BA1233" s="357"/>
      <c r="BB1233" s="357"/>
      <c r="BC1233" s="357"/>
    </row>
    <row r="1234" spans="1:55" s="24" customFormat="1">
      <c r="A1234" s="179"/>
      <c r="B1234" s="179"/>
      <c r="C1234" s="179"/>
      <c r="D1234" s="181"/>
      <c r="E1234" s="181"/>
      <c r="F1234" s="181"/>
      <c r="G1234" s="1110"/>
      <c r="H1234" s="125" t="s">
        <v>687</v>
      </c>
      <c r="I1234" s="125"/>
      <c r="J1234" s="1152">
        <v>94</v>
      </c>
      <c r="K1234" s="343"/>
      <c r="L1234" s="344"/>
      <c r="M1234" s="1179">
        <f>88+5</f>
        <v>93</v>
      </c>
      <c r="N1234" s="343"/>
      <c r="O1234" s="344"/>
      <c r="P1234" s="1153">
        <v>94</v>
      </c>
      <c r="Q1234" s="343"/>
      <c r="R1234" s="344"/>
      <c r="S1234" s="1180">
        <f>64+30</f>
        <v>94</v>
      </c>
      <c r="T1234" s="343"/>
      <c r="U1234" s="344"/>
      <c r="V1234" s="1153">
        <v>58</v>
      </c>
      <c r="W1234" s="343"/>
      <c r="X1234" s="344"/>
      <c r="Y1234" s="1153">
        <v>76</v>
      </c>
      <c r="Z1234" s="343"/>
      <c r="AA1234" s="344"/>
      <c r="AB1234" s="1153">
        <v>89</v>
      </c>
      <c r="AC1234" s="343"/>
      <c r="AD1234" s="344"/>
      <c r="AE1234" s="1180">
        <f>89+10</f>
        <v>99</v>
      </c>
      <c r="AF1234" s="343"/>
      <c r="AG1234" s="344"/>
      <c r="AH1234" s="1153">
        <v>88</v>
      </c>
      <c r="AI1234" s="343"/>
      <c r="AJ1234" s="344"/>
      <c r="AK1234" s="1153">
        <v>39</v>
      </c>
      <c r="AL1234" s="343"/>
      <c r="AM1234" s="344"/>
      <c r="AN1234" s="1153">
        <v>88</v>
      </c>
      <c r="AO1234" s="343"/>
      <c r="AP1234" s="344"/>
      <c r="AQ1234" s="1153">
        <v>94</v>
      </c>
      <c r="AR1234" s="246"/>
      <c r="AS1234" s="282"/>
      <c r="AT1234" s="244">
        <f t="shared" si="49"/>
        <v>1006</v>
      </c>
      <c r="AU1234" s="246"/>
      <c r="AV1234" s="336"/>
      <c r="AW1234" s="285"/>
      <c r="AX1234" s="249"/>
      <c r="AY1234" s="249"/>
      <c r="AZ1234" s="357"/>
      <c r="BA1234" s="357"/>
      <c r="BB1234" s="357"/>
      <c r="BC1234" s="357"/>
    </row>
    <row r="1235" spans="1:55" s="24" customFormat="1">
      <c r="A1235" s="179"/>
      <c r="B1235" s="179"/>
      <c r="C1235" s="179"/>
      <c r="D1235" s="181">
        <v>322519</v>
      </c>
      <c r="E1235" s="181"/>
      <c r="F1235" s="181"/>
      <c r="G1235" s="1110">
        <v>322519</v>
      </c>
      <c r="H1235" s="141" t="s">
        <v>688</v>
      </c>
      <c r="I1235" s="516" t="s">
        <v>364</v>
      </c>
      <c r="J1235" s="262">
        <f>SUM(J1236:J1237)</f>
        <v>62.2</v>
      </c>
      <c r="K1235" s="246"/>
      <c r="L1235" s="282"/>
      <c r="M1235" s="317">
        <f>SUM(M1236:M1237)</f>
        <v>62.2</v>
      </c>
      <c r="N1235" s="246"/>
      <c r="O1235" s="282"/>
      <c r="P1235" s="317">
        <f>SUM(P1236:P1237)</f>
        <v>59.5</v>
      </c>
      <c r="Q1235" s="246"/>
      <c r="R1235" s="282"/>
      <c r="S1235" s="317">
        <f>SUM(S1236:S1237)</f>
        <v>52.4</v>
      </c>
      <c r="T1235" s="246"/>
      <c r="U1235" s="282"/>
      <c r="V1235" s="317">
        <f>SUM(V1236:V1237)</f>
        <v>19.600000000000001</v>
      </c>
      <c r="W1235" s="246"/>
      <c r="X1235" s="282"/>
      <c r="Y1235" s="317">
        <f>SUM(Y1236:Y1237)</f>
        <v>24.8</v>
      </c>
      <c r="Z1235" s="246"/>
      <c r="AA1235" s="282"/>
      <c r="AB1235" s="317">
        <f>SUM(AB1236:AB1237)</f>
        <v>16</v>
      </c>
      <c r="AC1235" s="246"/>
      <c r="AD1235" s="282"/>
      <c r="AE1235" s="317">
        <f>SUM(AE1236:AE1237)</f>
        <v>60.5</v>
      </c>
      <c r="AF1235" s="246"/>
      <c r="AG1235" s="282"/>
      <c r="AH1235" s="317">
        <f>SUM(AH1236:AH1237)</f>
        <v>23.9</v>
      </c>
      <c r="AI1235" s="246"/>
      <c r="AJ1235" s="282"/>
      <c r="AK1235" s="317">
        <f>SUM(AK1236:AK1237)</f>
        <v>26.6</v>
      </c>
      <c r="AL1235" s="246"/>
      <c r="AM1235" s="282"/>
      <c r="AN1235" s="317">
        <f>SUM(AN1236:AN1237)</f>
        <v>62.2</v>
      </c>
      <c r="AO1235" s="246"/>
      <c r="AP1235" s="282"/>
      <c r="AQ1235" s="317">
        <f>SUM(AQ1236:AQ1237)</f>
        <v>23.9</v>
      </c>
      <c r="AR1235" s="246"/>
      <c r="AS1235" s="282"/>
      <c r="AT1235" s="317">
        <f>SUM(AT1236:AT1237)</f>
        <v>493.79999999999995</v>
      </c>
      <c r="AU1235" s="246"/>
      <c r="AV1235" s="336"/>
      <c r="AW1235" s="285"/>
      <c r="AX1235" s="249"/>
      <c r="AY1235" s="440">
        <v>456.76206400000001</v>
      </c>
      <c r="AZ1235" s="357"/>
      <c r="BA1235" s="357"/>
      <c r="BB1235" s="357"/>
      <c r="BC1235" s="357"/>
    </row>
    <row r="1236" spans="1:55" s="24" customFormat="1">
      <c r="A1236" s="179"/>
      <c r="B1236" s="179"/>
      <c r="C1236" s="179"/>
      <c r="D1236" s="181"/>
      <c r="E1236" s="181"/>
      <c r="F1236" s="181"/>
      <c r="G1236" s="1110"/>
      <c r="H1236" s="125" t="s">
        <v>689</v>
      </c>
      <c r="I1236" s="125"/>
      <c r="J1236" s="1172">
        <f>11.5+20</f>
        <v>31.5</v>
      </c>
      <c r="K1236" s="343"/>
      <c r="L1236" s="344"/>
      <c r="M1236" s="1180">
        <f>10.7+20</f>
        <v>30.7</v>
      </c>
      <c r="N1236" s="343"/>
      <c r="O1236" s="344"/>
      <c r="P1236" s="1180">
        <f>11.5+20</f>
        <v>31.5</v>
      </c>
      <c r="Q1236" s="343"/>
      <c r="R1236" s="344"/>
      <c r="S1236" s="1180">
        <f>8+22</f>
        <v>30</v>
      </c>
      <c r="T1236" s="343"/>
      <c r="U1236" s="344"/>
      <c r="V1236" s="1153">
        <v>9.8000000000000007</v>
      </c>
      <c r="W1236" s="343"/>
      <c r="X1236" s="344"/>
      <c r="Y1236" s="1153">
        <v>12.4</v>
      </c>
      <c r="Z1236" s="343"/>
      <c r="AA1236" s="344"/>
      <c r="AB1236" s="1153">
        <v>8</v>
      </c>
      <c r="AC1236" s="343"/>
      <c r="AD1236" s="344"/>
      <c r="AE1236" s="1180">
        <f>9.8+20</f>
        <v>29.8</v>
      </c>
      <c r="AF1236" s="343"/>
      <c r="AG1236" s="344"/>
      <c r="AH1236" s="1153">
        <v>12.4</v>
      </c>
      <c r="AI1236" s="343"/>
      <c r="AJ1236" s="344"/>
      <c r="AK1236" s="1153">
        <v>12.4</v>
      </c>
      <c r="AL1236" s="343"/>
      <c r="AM1236" s="344"/>
      <c r="AN1236" s="1180">
        <f>10.7+20</f>
        <v>30.7</v>
      </c>
      <c r="AO1236" s="343"/>
      <c r="AP1236" s="344"/>
      <c r="AQ1236" s="1153">
        <v>12.4</v>
      </c>
      <c r="AR1236" s="246"/>
      <c r="AS1236" s="282"/>
      <c r="AT1236" s="244">
        <f t="shared" si="49"/>
        <v>251.60000000000002</v>
      </c>
      <c r="AU1236" s="246"/>
      <c r="AV1236" s="336"/>
      <c r="AW1236" s="285"/>
      <c r="AX1236" s="249"/>
      <c r="AY1236" s="249"/>
      <c r="AZ1236" s="357"/>
      <c r="BA1236" s="357"/>
      <c r="BB1236" s="357"/>
      <c r="BC1236" s="357"/>
    </row>
    <row r="1237" spans="1:55" s="24" customFormat="1">
      <c r="A1237" s="179"/>
      <c r="B1237" s="179"/>
      <c r="C1237" s="179"/>
      <c r="D1237" s="181"/>
      <c r="E1237" s="181"/>
      <c r="F1237" s="181"/>
      <c r="G1237" s="1110"/>
      <c r="H1237" s="125" t="s">
        <v>690</v>
      </c>
      <c r="I1237" s="125"/>
      <c r="J1237" s="1172">
        <f>10.7+20</f>
        <v>30.7</v>
      </c>
      <c r="K1237" s="343"/>
      <c r="L1237" s="344"/>
      <c r="M1237" s="1179">
        <f>11.5+20</f>
        <v>31.5</v>
      </c>
      <c r="N1237" s="343"/>
      <c r="O1237" s="344"/>
      <c r="P1237" s="1180">
        <f>8+20</f>
        <v>28</v>
      </c>
      <c r="Q1237" s="343"/>
      <c r="R1237" s="344"/>
      <c r="S1237" s="1180">
        <f>12.4+10</f>
        <v>22.4</v>
      </c>
      <c r="T1237" s="343"/>
      <c r="U1237" s="344"/>
      <c r="V1237" s="1153">
        <v>9.8000000000000007</v>
      </c>
      <c r="W1237" s="343"/>
      <c r="X1237" s="344"/>
      <c r="Y1237" s="1153">
        <v>12.4</v>
      </c>
      <c r="Z1237" s="343"/>
      <c r="AA1237" s="344"/>
      <c r="AB1237" s="1153">
        <v>8</v>
      </c>
      <c r="AC1237" s="343"/>
      <c r="AD1237" s="344"/>
      <c r="AE1237" s="1180">
        <f>10.7+20</f>
        <v>30.7</v>
      </c>
      <c r="AF1237" s="343"/>
      <c r="AG1237" s="344"/>
      <c r="AH1237" s="1153">
        <v>11.5</v>
      </c>
      <c r="AI1237" s="343"/>
      <c r="AJ1237" s="344"/>
      <c r="AK1237" s="1153">
        <v>14.2</v>
      </c>
      <c r="AL1237" s="343"/>
      <c r="AM1237" s="344"/>
      <c r="AN1237" s="1180">
        <f>11.5+20</f>
        <v>31.5</v>
      </c>
      <c r="AO1237" s="343"/>
      <c r="AP1237" s="344"/>
      <c r="AQ1237" s="1153">
        <v>11.5</v>
      </c>
      <c r="AR1237" s="246"/>
      <c r="AS1237" s="282"/>
      <c r="AT1237" s="244">
        <f t="shared" si="49"/>
        <v>242.19999999999996</v>
      </c>
      <c r="AU1237" s="246"/>
      <c r="AV1237" s="336"/>
      <c r="AW1237" s="285"/>
      <c r="AX1237" s="249"/>
      <c r="AY1237" s="249"/>
      <c r="AZ1237" s="357"/>
      <c r="BA1237" s="357"/>
      <c r="BB1237" s="357"/>
      <c r="BC1237" s="357"/>
    </row>
    <row r="1238" spans="1:55" s="24" customFormat="1">
      <c r="A1238" s="179"/>
      <c r="B1238" s="179"/>
      <c r="C1238" s="179"/>
      <c r="D1238" s="181"/>
      <c r="E1238" s="181"/>
      <c r="F1238" s="181"/>
      <c r="G1238" s="1211">
        <v>777348</v>
      </c>
      <c r="H1238" s="944" t="s">
        <v>1751</v>
      </c>
      <c r="I1238" s="992" t="s">
        <v>364</v>
      </c>
      <c r="J1238" s="262">
        <f>J1239+J1240+J1241+J1242</f>
        <v>30.13</v>
      </c>
      <c r="K1238" s="246"/>
      <c r="L1238" s="282"/>
      <c r="M1238" s="262">
        <f>M1239+M1240+M1241+M1242</f>
        <v>27.74</v>
      </c>
      <c r="N1238" s="246"/>
      <c r="O1238" s="282"/>
      <c r="P1238" s="262">
        <f>P1239+P1240+P1241+P1242</f>
        <v>30.13</v>
      </c>
      <c r="Q1238" s="246"/>
      <c r="R1238" s="282"/>
      <c r="S1238" s="262">
        <f>S1239+S1240+S1241+S1242</f>
        <v>29.16</v>
      </c>
      <c r="T1238" s="246"/>
      <c r="U1238" s="282"/>
      <c r="V1238" s="262">
        <f>V1239+V1240+V1241+V1242</f>
        <v>30.13</v>
      </c>
      <c r="W1238" s="246"/>
      <c r="X1238" s="282"/>
      <c r="Y1238" s="262">
        <f>Y1239+Y1240+Y1241+Y1242</f>
        <v>29.16</v>
      </c>
      <c r="Z1238" s="246"/>
      <c r="AA1238" s="282"/>
      <c r="AB1238" s="262">
        <f>AB1239+AB1240+AB1241+AB1242</f>
        <v>30.13</v>
      </c>
      <c r="AC1238" s="246"/>
      <c r="AD1238" s="282"/>
      <c r="AE1238" s="262">
        <f>AE1239+AE1240+AE1241+AE1242</f>
        <v>30.13</v>
      </c>
      <c r="AF1238" s="246"/>
      <c r="AG1238" s="282"/>
      <c r="AH1238" s="262">
        <f>AH1239+AH1240+AH1241+AH1242</f>
        <v>29.16</v>
      </c>
      <c r="AI1238" s="246"/>
      <c r="AJ1238" s="282"/>
      <c r="AK1238" s="262">
        <f>AK1239+AK1240+AK1241+AK1242</f>
        <v>30.13</v>
      </c>
      <c r="AL1238" s="246"/>
      <c r="AM1238" s="282"/>
      <c r="AN1238" s="262">
        <f>AN1239+AN1240+AN1241+AN1242</f>
        <v>29.16</v>
      </c>
      <c r="AO1238" s="246"/>
      <c r="AP1238" s="282"/>
      <c r="AQ1238" s="262">
        <f>AQ1239+AQ1240+AQ1241+AQ1242</f>
        <v>38.17</v>
      </c>
      <c r="AR1238" s="246"/>
      <c r="AS1238" s="282"/>
      <c r="AT1238" s="262">
        <f>AT1239+AT1240+AT1241+AT1242</f>
        <v>363.33</v>
      </c>
      <c r="AU1238" s="246"/>
      <c r="AV1238" s="336"/>
      <c r="AW1238" s="285"/>
      <c r="AX1238" s="249"/>
      <c r="AY1238" s="440">
        <v>0</v>
      </c>
      <c r="AZ1238" s="357"/>
      <c r="BA1238" s="357"/>
      <c r="BB1238" s="357"/>
      <c r="BC1238" s="357"/>
    </row>
    <row r="1239" spans="1:55" s="24" customFormat="1">
      <c r="A1239" s="179"/>
      <c r="B1239" s="179"/>
      <c r="C1239" s="179"/>
      <c r="D1239" s="181"/>
      <c r="E1239" s="181"/>
      <c r="F1239" s="181"/>
      <c r="G1239" s="1110"/>
      <c r="H1239" s="945" t="s">
        <v>1752</v>
      </c>
      <c r="I1239" s="125"/>
      <c r="J1239" s="1153">
        <v>6.53</v>
      </c>
      <c r="K1239" s="343"/>
      <c r="L1239" s="344"/>
      <c r="M1239" s="1153">
        <v>6.11</v>
      </c>
      <c r="N1239" s="343"/>
      <c r="O1239" s="344"/>
      <c r="P1239" s="1153">
        <v>6.53</v>
      </c>
      <c r="Q1239" s="343"/>
      <c r="R1239" s="344"/>
      <c r="S1239" s="1153">
        <v>6.32</v>
      </c>
      <c r="T1239" s="343"/>
      <c r="U1239" s="344"/>
      <c r="V1239" s="1153">
        <v>6.53</v>
      </c>
      <c r="W1239" s="343"/>
      <c r="X1239" s="344"/>
      <c r="Y1239" s="1153">
        <v>6.32</v>
      </c>
      <c r="Z1239" s="343"/>
      <c r="AA1239" s="344"/>
      <c r="AB1239" s="1153">
        <v>6.53</v>
      </c>
      <c r="AC1239" s="343"/>
      <c r="AD1239" s="344"/>
      <c r="AE1239" s="1153">
        <v>6.53</v>
      </c>
      <c r="AF1239" s="343"/>
      <c r="AG1239" s="344"/>
      <c r="AH1239" s="1153">
        <v>6.32</v>
      </c>
      <c r="AI1239" s="343"/>
      <c r="AJ1239" s="344"/>
      <c r="AK1239" s="1153">
        <v>6.53</v>
      </c>
      <c r="AL1239" s="343"/>
      <c r="AM1239" s="344"/>
      <c r="AN1239" s="1153">
        <v>6.32</v>
      </c>
      <c r="AO1239" s="343"/>
      <c r="AP1239" s="344"/>
      <c r="AQ1239" s="1153">
        <v>6.53</v>
      </c>
      <c r="AR1239" s="246"/>
      <c r="AS1239" s="282"/>
      <c r="AT1239" s="244">
        <f t="shared" si="49"/>
        <v>77.099999999999994</v>
      </c>
      <c r="AU1239" s="246"/>
      <c r="AV1239" s="336"/>
      <c r="AW1239" s="285"/>
      <c r="AX1239" s="249"/>
      <c r="AY1239" s="249"/>
      <c r="AZ1239" s="357"/>
      <c r="BA1239" s="357"/>
      <c r="BB1239" s="357"/>
      <c r="BC1239" s="357"/>
    </row>
    <row r="1240" spans="1:55" s="24" customFormat="1">
      <c r="A1240" s="179"/>
      <c r="B1240" s="179"/>
      <c r="C1240" s="179"/>
      <c r="D1240" s="181"/>
      <c r="E1240" s="181"/>
      <c r="F1240" s="181"/>
      <c r="G1240" s="1110"/>
      <c r="H1240" s="945" t="s">
        <v>1753</v>
      </c>
      <c r="I1240" s="125"/>
      <c r="J1240" s="1153">
        <v>14.06</v>
      </c>
      <c r="K1240" s="343"/>
      <c r="L1240" s="344"/>
      <c r="M1240" s="1153">
        <v>12.7</v>
      </c>
      <c r="N1240" s="343"/>
      <c r="O1240" s="344"/>
      <c r="P1240" s="1153">
        <v>14.06</v>
      </c>
      <c r="Q1240" s="343"/>
      <c r="R1240" s="344"/>
      <c r="S1240" s="1153">
        <v>13.61</v>
      </c>
      <c r="T1240" s="343"/>
      <c r="U1240" s="344"/>
      <c r="V1240" s="1153">
        <v>14.06</v>
      </c>
      <c r="W1240" s="343"/>
      <c r="X1240" s="344"/>
      <c r="Y1240" s="1153">
        <v>13.61</v>
      </c>
      <c r="Z1240" s="343"/>
      <c r="AA1240" s="344"/>
      <c r="AB1240" s="1153">
        <v>14.06</v>
      </c>
      <c r="AC1240" s="343"/>
      <c r="AD1240" s="344"/>
      <c r="AE1240" s="1153">
        <v>14.06</v>
      </c>
      <c r="AF1240" s="343"/>
      <c r="AG1240" s="344"/>
      <c r="AH1240" s="1153">
        <v>13.61</v>
      </c>
      <c r="AI1240" s="343"/>
      <c r="AJ1240" s="344"/>
      <c r="AK1240" s="1153">
        <v>14.06</v>
      </c>
      <c r="AL1240" s="343"/>
      <c r="AM1240" s="344"/>
      <c r="AN1240" s="1153">
        <v>13.61</v>
      </c>
      <c r="AO1240" s="343"/>
      <c r="AP1240" s="344"/>
      <c r="AQ1240" s="1153">
        <v>14.06</v>
      </c>
      <c r="AR1240" s="246"/>
      <c r="AS1240" s="282"/>
      <c r="AT1240" s="244">
        <f t="shared" si="49"/>
        <v>165.56</v>
      </c>
      <c r="AU1240" s="246"/>
      <c r="AV1240" s="336"/>
      <c r="AW1240" s="285"/>
      <c r="AX1240" s="249"/>
      <c r="AY1240" s="249"/>
      <c r="AZ1240" s="357"/>
      <c r="BA1240" s="357"/>
      <c r="BB1240" s="357"/>
      <c r="BC1240" s="357"/>
    </row>
    <row r="1241" spans="1:55" s="24" customFormat="1">
      <c r="A1241" s="179"/>
      <c r="B1241" s="179"/>
      <c r="C1241" s="179"/>
      <c r="D1241" s="181"/>
      <c r="E1241" s="181"/>
      <c r="F1241" s="181"/>
      <c r="G1241" s="1110"/>
      <c r="H1241" s="945" t="s">
        <v>1754</v>
      </c>
      <c r="I1241" s="125"/>
      <c r="J1241" s="1153">
        <v>9.5399999999999991</v>
      </c>
      <c r="K1241" s="343"/>
      <c r="L1241" s="344"/>
      <c r="M1241" s="1153">
        <v>8.93</v>
      </c>
      <c r="N1241" s="343"/>
      <c r="O1241" s="344"/>
      <c r="P1241" s="1153">
        <v>9.5399999999999991</v>
      </c>
      <c r="Q1241" s="343"/>
      <c r="R1241" s="344"/>
      <c r="S1241" s="1153">
        <v>9.23</v>
      </c>
      <c r="T1241" s="343"/>
      <c r="U1241" s="344"/>
      <c r="V1241" s="1153">
        <v>9.5399999999999991</v>
      </c>
      <c r="W1241" s="343"/>
      <c r="X1241" s="344"/>
      <c r="Y1241" s="1153">
        <v>9.23</v>
      </c>
      <c r="Z1241" s="343"/>
      <c r="AA1241" s="344"/>
      <c r="AB1241" s="1153">
        <v>9.5399999999999991</v>
      </c>
      <c r="AC1241" s="343"/>
      <c r="AD1241" s="344"/>
      <c r="AE1241" s="1153">
        <v>9.5399999999999991</v>
      </c>
      <c r="AF1241" s="343"/>
      <c r="AG1241" s="344"/>
      <c r="AH1241" s="1153">
        <v>9.23</v>
      </c>
      <c r="AI1241" s="343"/>
      <c r="AJ1241" s="344"/>
      <c r="AK1241" s="1153">
        <v>9.5399999999999991</v>
      </c>
      <c r="AL1241" s="343"/>
      <c r="AM1241" s="344"/>
      <c r="AN1241" s="1153">
        <v>9.23</v>
      </c>
      <c r="AO1241" s="343"/>
      <c r="AP1241" s="344"/>
      <c r="AQ1241" s="1153">
        <v>9.5399999999999991</v>
      </c>
      <c r="AR1241" s="246"/>
      <c r="AS1241" s="282"/>
      <c r="AT1241" s="244">
        <f t="shared" si="49"/>
        <v>112.63</v>
      </c>
      <c r="AU1241" s="246"/>
      <c r="AV1241" s="336"/>
      <c r="AW1241" s="285"/>
      <c r="AX1241" s="249"/>
      <c r="AY1241" s="249"/>
      <c r="AZ1241" s="357"/>
      <c r="BA1241" s="357"/>
      <c r="BB1241" s="357"/>
      <c r="BC1241" s="357"/>
    </row>
    <row r="1242" spans="1:55" s="24" customFormat="1">
      <c r="A1242" s="179"/>
      <c r="B1242" s="179"/>
      <c r="C1242" s="179"/>
      <c r="D1242" s="181"/>
      <c r="E1242" s="181"/>
      <c r="F1242" s="181"/>
      <c r="G1242" s="1110"/>
      <c r="H1242" s="945" t="s">
        <v>1755</v>
      </c>
      <c r="I1242" s="125"/>
      <c r="J1242" s="1153">
        <v>0</v>
      </c>
      <c r="K1242" s="343"/>
      <c r="L1242" s="344"/>
      <c r="M1242" s="1153">
        <v>0</v>
      </c>
      <c r="N1242" s="343"/>
      <c r="O1242" s="344"/>
      <c r="P1242" s="1153">
        <v>0</v>
      </c>
      <c r="Q1242" s="343"/>
      <c r="R1242" s="344"/>
      <c r="S1242" s="1153">
        <v>0</v>
      </c>
      <c r="T1242" s="343"/>
      <c r="U1242" s="344"/>
      <c r="V1242" s="1153">
        <v>0</v>
      </c>
      <c r="W1242" s="343"/>
      <c r="X1242" s="344"/>
      <c r="Y1242" s="1153">
        <v>0</v>
      </c>
      <c r="Z1242" s="343"/>
      <c r="AA1242" s="344"/>
      <c r="AB1242" s="1153">
        <v>0</v>
      </c>
      <c r="AC1242" s="343"/>
      <c r="AD1242" s="344"/>
      <c r="AE1242" s="1153">
        <v>0</v>
      </c>
      <c r="AF1242" s="343"/>
      <c r="AG1242" s="344"/>
      <c r="AH1242" s="1153">
        <v>0</v>
      </c>
      <c r="AI1242" s="343"/>
      <c r="AJ1242" s="344"/>
      <c r="AK1242" s="1153">
        <v>0</v>
      </c>
      <c r="AL1242" s="343"/>
      <c r="AM1242" s="344"/>
      <c r="AN1242" s="1153">
        <v>0</v>
      </c>
      <c r="AO1242" s="343"/>
      <c r="AP1242" s="344"/>
      <c r="AQ1242" s="1153">
        <v>8.0399999999999991</v>
      </c>
      <c r="AR1242" s="246"/>
      <c r="AS1242" s="282"/>
      <c r="AT1242" s="244">
        <f t="shared" si="49"/>
        <v>8.0399999999999991</v>
      </c>
      <c r="AU1242" s="246"/>
      <c r="AV1242" s="336"/>
      <c r="AW1242" s="285"/>
      <c r="AX1242" s="249"/>
      <c r="AY1242" s="249"/>
      <c r="AZ1242" s="357"/>
      <c r="BA1242" s="357"/>
      <c r="BB1242" s="357"/>
      <c r="BC1242" s="357"/>
    </row>
    <row r="1243" spans="1:55" s="24" customFormat="1">
      <c r="A1243" s="179"/>
      <c r="B1243" s="179"/>
      <c r="C1243" s="179"/>
      <c r="D1243" s="181"/>
      <c r="E1243" s="181"/>
      <c r="F1243" s="181"/>
      <c r="G1243" s="1211">
        <v>777349</v>
      </c>
      <c r="H1243" s="944" t="s">
        <v>1451</v>
      </c>
      <c r="I1243" s="516" t="s">
        <v>364</v>
      </c>
      <c r="J1243" s="262">
        <f>SUM(J1244:J1256)</f>
        <v>0</v>
      </c>
      <c r="K1243" s="246"/>
      <c r="L1243" s="282"/>
      <c r="M1243" s="262">
        <f>SUM(M1244:M1256)</f>
        <v>0</v>
      </c>
      <c r="N1243" s="246"/>
      <c r="O1243" s="282"/>
      <c r="P1243" s="262">
        <f>SUM(P1244:P1256)</f>
        <v>0</v>
      </c>
      <c r="Q1243" s="246"/>
      <c r="R1243" s="282"/>
      <c r="S1243" s="262">
        <f>SUM(S1244:S1256)</f>
        <v>0</v>
      </c>
      <c r="T1243" s="246"/>
      <c r="U1243" s="282"/>
      <c r="V1243" s="262">
        <f>SUM(V1244:V1256)</f>
        <v>0</v>
      </c>
      <c r="W1243" s="246"/>
      <c r="X1243" s="282"/>
      <c r="Y1243" s="262">
        <f>SUM(Y1244:Y1256)</f>
        <v>0</v>
      </c>
      <c r="Z1243" s="246"/>
      <c r="AA1243" s="282"/>
      <c r="AB1243" s="262">
        <f>SUM(AB1244:AB1256)</f>
        <v>0</v>
      </c>
      <c r="AC1243" s="246"/>
      <c r="AD1243" s="282"/>
      <c r="AE1243" s="262">
        <f>SUM(AE1244:AE1256)</f>
        <v>0</v>
      </c>
      <c r="AF1243" s="246"/>
      <c r="AG1243" s="282"/>
      <c r="AH1243" s="262">
        <f>SUM(AH1244:AH1256)</f>
        <v>0</v>
      </c>
      <c r="AI1243" s="246"/>
      <c r="AJ1243" s="282"/>
      <c r="AK1243" s="262">
        <f>SUM(AK1244:AK1256)</f>
        <v>0</v>
      </c>
      <c r="AL1243" s="246"/>
      <c r="AM1243" s="282"/>
      <c r="AN1243" s="262">
        <f>SUM(AN1244:AN1256)</f>
        <v>0</v>
      </c>
      <c r="AO1243" s="246"/>
      <c r="AP1243" s="282"/>
      <c r="AQ1243" s="262">
        <f>SUM(AQ1244:AQ1256)</f>
        <v>52.259999999999977</v>
      </c>
      <c r="AR1243" s="246"/>
      <c r="AS1243" s="282"/>
      <c r="AT1243" s="262">
        <f>SUM(AT1244:AT1256)</f>
        <v>52.259999999999977</v>
      </c>
      <c r="AU1243" s="246"/>
      <c r="AV1243" s="336"/>
      <c r="AW1243" s="285"/>
      <c r="AX1243" s="249"/>
      <c r="AY1243" s="440">
        <v>0</v>
      </c>
      <c r="AZ1243" s="357"/>
      <c r="BA1243" s="357"/>
      <c r="BB1243" s="357"/>
      <c r="BC1243" s="357"/>
    </row>
    <row r="1244" spans="1:55" s="24" customFormat="1">
      <c r="A1244" s="179"/>
      <c r="B1244" s="179"/>
      <c r="C1244" s="179"/>
      <c r="D1244" s="181"/>
      <c r="E1244" s="181"/>
      <c r="F1244" s="181"/>
      <c r="G1244" s="1110"/>
      <c r="H1244" s="945" t="s">
        <v>1756</v>
      </c>
      <c r="I1244" s="125"/>
      <c r="J1244" s="1153">
        <v>0</v>
      </c>
      <c r="K1244" s="343"/>
      <c r="L1244" s="344"/>
      <c r="M1244" s="1153">
        <v>0</v>
      </c>
      <c r="N1244" s="343"/>
      <c r="O1244" s="344"/>
      <c r="P1244" s="1153">
        <v>0</v>
      </c>
      <c r="Q1244" s="343"/>
      <c r="R1244" s="344"/>
      <c r="S1244" s="1153">
        <v>0</v>
      </c>
      <c r="T1244" s="343"/>
      <c r="U1244" s="344"/>
      <c r="V1244" s="1153">
        <v>0</v>
      </c>
      <c r="W1244" s="343"/>
      <c r="X1244" s="344"/>
      <c r="Y1244" s="1153">
        <v>0</v>
      </c>
      <c r="Z1244" s="343"/>
      <c r="AA1244" s="344"/>
      <c r="AB1244" s="1153">
        <v>0</v>
      </c>
      <c r="AC1244" s="343"/>
      <c r="AD1244" s="344"/>
      <c r="AE1244" s="1153">
        <v>0</v>
      </c>
      <c r="AF1244" s="343"/>
      <c r="AG1244" s="344"/>
      <c r="AH1244" s="1153">
        <v>0</v>
      </c>
      <c r="AI1244" s="343"/>
      <c r="AJ1244" s="344"/>
      <c r="AK1244" s="1153">
        <v>0</v>
      </c>
      <c r="AL1244" s="343"/>
      <c r="AM1244" s="344"/>
      <c r="AN1244" s="1153">
        <v>0</v>
      </c>
      <c r="AO1244" s="343"/>
      <c r="AP1244" s="344"/>
      <c r="AQ1244" s="1153">
        <v>4.0199999999999996</v>
      </c>
      <c r="AR1244" s="246"/>
      <c r="AS1244" s="282"/>
      <c r="AT1244" s="244">
        <f t="shared" si="49"/>
        <v>4.0199999999999996</v>
      </c>
      <c r="AU1244" s="246"/>
      <c r="AV1244" s="336"/>
      <c r="AW1244" s="285"/>
      <c r="AX1244" s="249"/>
      <c r="AY1244" s="249"/>
      <c r="AZ1244" s="357"/>
      <c r="BA1244" s="357"/>
      <c r="BB1244" s="357"/>
      <c r="BC1244" s="357"/>
    </row>
    <row r="1245" spans="1:55" s="24" customFormat="1">
      <c r="A1245" s="179"/>
      <c r="B1245" s="179"/>
      <c r="C1245" s="179"/>
      <c r="D1245" s="181"/>
      <c r="E1245" s="181"/>
      <c r="F1245" s="181"/>
      <c r="G1245" s="1110"/>
      <c r="H1245" s="945" t="s">
        <v>1757</v>
      </c>
      <c r="I1245" s="125"/>
      <c r="J1245" s="1153">
        <v>0</v>
      </c>
      <c r="K1245" s="343"/>
      <c r="L1245" s="344"/>
      <c r="M1245" s="1153">
        <v>0</v>
      </c>
      <c r="N1245" s="343"/>
      <c r="O1245" s="344"/>
      <c r="P1245" s="1153">
        <v>0</v>
      </c>
      <c r="Q1245" s="343"/>
      <c r="R1245" s="344"/>
      <c r="S1245" s="1153">
        <v>0</v>
      </c>
      <c r="T1245" s="343"/>
      <c r="U1245" s="344"/>
      <c r="V1245" s="1153">
        <v>0</v>
      </c>
      <c r="W1245" s="343"/>
      <c r="X1245" s="344"/>
      <c r="Y1245" s="1153">
        <v>0</v>
      </c>
      <c r="Z1245" s="343"/>
      <c r="AA1245" s="344"/>
      <c r="AB1245" s="1153">
        <v>0</v>
      </c>
      <c r="AC1245" s="343"/>
      <c r="AD1245" s="344"/>
      <c r="AE1245" s="1153">
        <v>0</v>
      </c>
      <c r="AF1245" s="343"/>
      <c r="AG1245" s="344"/>
      <c r="AH1245" s="1153">
        <v>0</v>
      </c>
      <c r="AI1245" s="343"/>
      <c r="AJ1245" s="344"/>
      <c r="AK1245" s="1153">
        <v>0</v>
      </c>
      <c r="AL1245" s="343"/>
      <c r="AM1245" s="344"/>
      <c r="AN1245" s="1153">
        <v>0</v>
      </c>
      <c r="AO1245" s="343"/>
      <c r="AP1245" s="344"/>
      <c r="AQ1245" s="1153">
        <v>4.0199999999999996</v>
      </c>
      <c r="AR1245" s="246"/>
      <c r="AS1245" s="282"/>
      <c r="AT1245" s="244">
        <f t="shared" si="49"/>
        <v>4.0199999999999996</v>
      </c>
      <c r="AU1245" s="246"/>
      <c r="AV1245" s="336"/>
      <c r="AW1245" s="285"/>
      <c r="AX1245" s="249"/>
      <c r="AY1245" s="249"/>
      <c r="AZ1245" s="357"/>
      <c r="BA1245" s="357"/>
      <c r="BB1245" s="357"/>
      <c r="BC1245" s="357"/>
    </row>
    <row r="1246" spans="1:55" s="24" customFormat="1">
      <c r="A1246" s="179"/>
      <c r="B1246" s="179"/>
      <c r="C1246" s="179"/>
      <c r="D1246" s="181"/>
      <c r="E1246" s="181"/>
      <c r="F1246" s="181"/>
      <c r="G1246" s="1110"/>
      <c r="H1246" s="945" t="s">
        <v>1758</v>
      </c>
      <c r="I1246" s="125"/>
      <c r="J1246" s="1153">
        <v>0</v>
      </c>
      <c r="K1246" s="343"/>
      <c r="L1246" s="344"/>
      <c r="M1246" s="1153">
        <v>0</v>
      </c>
      <c r="N1246" s="343"/>
      <c r="O1246" s="344"/>
      <c r="P1246" s="1153">
        <v>0</v>
      </c>
      <c r="Q1246" s="343"/>
      <c r="R1246" s="344"/>
      <c r="S1246" s="1153">
        <v>0</v>
      </c>
      <c r="T1246" s="343"/>
      <c r="U1246" s="344"/>
      <c r="V1246" s="1153">
        <v>0</v>
      </c>
      <c r="W1246" s="343"/>
      <c r="X1246" s="344"/>
      <c r="Y1246" s="1153">
        <v>0</v>
      </c>
      <c r="Z1246" s="343"/>
      <c r="AA1246" s="344"/>
      <c r="AB1246" s="1153">
        <v>0</v>
      </c>
      <c r="AC1246" s="343"/>
      <c r="AD1246" s="344"/>
      <c r="AE1246" s="1153">
        <v>0</v>
      </c>
      <c r="AF1246" s="343"/>
      <c r="AG1246" s="344"/>
      <c r="AH1246" s="1153">
        <v>0</v>
      </c>
      <c r="AI1246" s="343"/>
      <c r="AJ1246" s="344"/>
      <c r="AK1246" s="1153">
        <v>0</v>
      </c>
      <c r="AL1246" s="343"/>
      <c r="AM1246" s="344"/>
      <c r="AN1246" s="1153">
        <v>0</v>
      </c>
      <c r="AO1246" s="343"/>
      <c r="AP1246" s="344"/>
      <c r="AQ1246" s="1153">
        <v>4.0199999999999996</v>
      </c>
      <c r="AR1246" s="246"/>
      <c r="AS1246" s="282"/>
      <c r="AT1246" s="244">
        <f t="shared" si="49"/>
        <v>4.0199999999999996</v>
      </c>
      <c r="AU1246" s="246"/>
      <c r="AV1246" s="336"/>
      <c r="AW1246" s="285"/>
      <c r="AX1246" s="249"/>
      <c r="AY1246" s="249"/>
      <c r="AZ1246" s="357"/>
      <c r="BA1246" s="357"/>
      <c r="BB1246" s="357"/>
      <c r="BC1246" s="357"/>
    </row>
    <row r="1247" spans="1:55" s="24" customFormat="1">
      <c r="A1247" s="179"/>
      <c r="B1247" s="179"/>
      <c r="C1247" s="179"/>
      <c r="D1247" s="181"/>
      <c r="E1247" s="181"/>
      <c r="F1247" s="181"/>
      <c r="G1247" s="1110"/>
      <c r="H1247" s="945" t="s">
        <v>1759</v>
      </c>
      <c r="I1247" s="125"/>
      <c r="J1247" s="1153">
        <v>0</v>
      </c>
      <c r="K1247" s="343"/>
      <c r="L1247" s="344"/>
      <c r="M1247" s="1153">
        <v>0</v>
      </c>
      <c r="N1247" s="343"/>
      <c r="O1247" s="344"/>
      <c r="P1247" s="1153">
        <v>0</v>
      </c>
      <c r="Q1247" s="343"/>
      <c r="R1247" s="344"/>
      <c r="S1247" s="1153">
        <v>0</v>
      </c>
      <c r="T1247" s="343"/>
      <c r="U1247" s="344"/>
      <c r="V1247" s="1153">
        <v>0</v>
      </c>
      <c r="W1247" s="343"/>
      <c r="X1247" s="344"/>
      <c r="Y1247" s="1153">
        <v>0</v>
      </c>
      <c r="Z1247" s="343"/>
      <c r="AA1247" s="344"/>
      <c r="AB1247" s="1153">
        <v>0</v>
      </c>
      <c r="AC1247" s="343"/>
      <c r="AD1247" s="344"/>
      <c r="AE1247" s="1153">
        <v>0</v>
      </c>
      <c r="AF1247" s="343"/>
      <c r="AG1247" s="344"/>
      <c r="AH1247" s="1153">
        <v>0</v>
      </c>
      <c r="AI1247" s="343"/>
      <c r="AJ1247" s="344"/>
      <c r="AK1247" s="1153">
        <v>0</v>
      </c>
      <c r="AL1247" s="343"/>
      <c r="AM1247" s="344"/>
      <c r="AN1247" s="1153">
        <v>0</v>
      </c>
      <c r="AO1247" s="343"/>
      <c r="AP1247" s="344"/>
      <c r="AQ1247" s="1153">
        <v>4.0199999999999996</v>
      </c>
      <c r="AR1247" s="246"/>
      <c r="AS1247" s="282"/>
      <c r="AT1247" s="244">
        <f t="shared" si="49"/>
        <v>4.0199999999999996</v>
      </c>
      <c r="AU1247" s="246"/>
      <c r="AV1247" s="336"/>
      <c r="AW1247" s="285"/>
      <c r="AX1247" s="249"/>
      <c r="AY1247" s="249"/>
      <c r="AZ1247" s="357"/>
      <c r="BA1247" s="357"/>
      <c r="BB1247" s="357"/>
      <c r="BC1247" s="357"/>
    </row>
    <row r="1248" spans="1:55" s="24" customFormat="1">
      <c r="A1248" s="179"/>
      <c r="B1248" s="179"/>
      <c r="C1248" s="179"/>
      <c r="D1248" s="181"/>
      <c r="E1248" s="181"/>
      <c r="F1248" s="181"/>
      <c r="G1248" s="1110"/>
      <c r="H1248" s="945" t="s">
        <v>1760</v>
      </c>
      <c r="I1248" s="125"/>
      <c r="J1248" s="1153">
        <v>0</v>
      </c>
      <c r="K1248" s="343"/>
      <c r="L1248" s="344"/>
      <c r="M1248" s="1153">
        <v>0</v>
      </c>
      <c r="N1248" s="343"/>
      <c r="O1248" s="344"/>
      <c r="P1248" s="1153">
        <v>0</v>
      </c>
      <c r="Q1248" s="343"/>
      <c r="R1248" s="344"/>
      <c r="S1248" s="1153">
        <v>0</v>
      </c>
      <c r="T1248" s="343"/>
      <c r="U1248" s="344"/>
      <c r="V1248" s="1153">
        <v>0</v>
      </c>
      <c r="W1248" s="343"/>
      <c r="X1248" s="344"/>
      <c r="Y1248" s="1153">
        <v>0</v>
      </c>
      <c r="Z1248" s="343"/>
      <c r="AA1248" s="344"/>
      <c r="AB1248" s="1153">
        <v>0</v>
      </c>
      <c r="AC1248" s="343"/>
      <c r="AD1248" s="344"/>
      <c r="AE1248" s="1153">
        <v>0</v>
      </c>
      <c r="AF1248" s="343"/>
      <c r="AG1248" s="344"/>
      <c r="AH1248" s="1153">
        <v>0</v>
      </c>
      <c r="AI1248" s="343"/>
      <c r="AJ1248" s="344"/>
      <c r="AK1248" s="1153">
        <v>0</v>
      </c>
      <c r="AL1248" s="343"/>
      <c r="AM1248" s="344"/>
      <c r="AN1248" s="1153">
        <v>0</v>
      </c>
      <c r="AO1248" s="343"/>
      <c r="AP1248" s="344"/>
      <c r="AQ1248" s="1153">
        <v>4.0199999999999996</v>
      </c>
      <c r="AR1248" s="246"/>
      <c r="AS1248" s="282"/>
      <c r="AT1248" s="244">
        <f t="shared" si="49"/>
        <v>4.0199999999999996</v>
      </c>
      <c r="AU1248" s="246"/>
      <c r="AV1248" s="336"/>
      <c r="AW1248" s="285"/>
      <c r="AX1248" s="249"/>
      <c r="AY1248" s="249"/>
      <c r="AZ1248" s="357"/>
      <c r="BA1248" s="357"/>
      <c r="BB1248" s="357"/>
      <c r="BC1248" s="357"/>
    </row>
    <row r="1249" spans="1:55" s="24" customFormat="1">
      <c r="A1249" s="179"/>
      <c r="B1249" s="179"/>
      <c r="C1249" s="179"/>
      <c r="D1249" s="181"/>
      <c r="E1249" s="181"/>
      <c r="F1249" s="181"/>
      <c r="G1249" s="1110"/>
      <c r="H1249" s="945" t="s">
        <v>1761</v>
      </c>
      <c r="I1249" s="125"/>
      <c r="J1249" s="1153">
        <v>0</v>
      </c>
      <c r="K1249" s="343"/>
      <c r="L1249" s="344"/>
      <c r="M1249" s="1153">
        <v>0</v>
      </c>
      <c r="N1249" s="343"/>
      <c r="O1249" s="344"/>
      <c r="P1249" s="1153">
        <v>0</v>
      </c>
      <c r="Q1249" s="343"/>
      <c r="R1249" s="344"/>
      <c r="S1249" s="1153">
        <v>0</v>
      </c>
      <c r="T1249" s="343"/>
      <c r="U1249" s="344"/>
      <c r="V1249" s="1153">
        <v>0</v>
      </c>
      <c r="W1249" s="343"/>
      <c r="X1249" s="344"/>
      <c r="Y1249" s="1153">
        <v>0</v>
      </c>
      <c r="Z1249" s="343"/>
      <c r="AA1249" s="344"/>
      <c r="AB1249" s="1153">
        <v>0</v>
      </c>
      <c r="AC1249" s="343"/>
      <c r="AD1249" s="344"/>
      <c r="AE1249" s="1153">
        <v>0</v>
      </c>
      <c r="AF1249" s="343"/>
      <c r="AG1249" s="344"/>
      <c r="AH1249" s="1153">
        <v>0</v>
      </c>
      <c r="AI1249" s="343"/>
      <c r="AJ1249" s="344"/>
      <c r="AK1249" s="1153">
        <v>0</v>
      </c>
      <c r="AL1249" s="343"/>
      <c r="AM1249" s="344"/>
      <c r="AN1249" s="1153">
        <v>0</v>
      </c>
      <c r="AO1249" s="343"/>
      <c r="AP1249" s="344"/>
      <c r="AQ1249" s="1153">
        <v>4.0199999999999996</v>
      </c>
      <c r="AR1249" s="246"/>
      <c r="AS1249" s="282"/>
      <c r="AT1249" s="244">
        <f t="shared" si="49"/>
        <v>4.0199999999999996</v>
      </c>
      <c r="AU1249" s="246"/>
      <c r="AV1249" s="336"/>
      <c r="AW1249" s="285"/>
      <c r="AX1249" s="249"/>
      <c r="AY1249" s="249"/>
      <c r="AZ1249" s="357"/>
      <c r="BA1249" s="357"/>
      <c r="BB1249" s="357"/>
      <c r="BC1249" s="357"/>
    </row>
    <row r="1250" spans="1:55" s="24" customFormat="1">
      <c r="A1250" s="179"/>
      <c r="B1250" s="179"/>
      <c r="C1250" s="179"/>
      <c r="D1250" s="181"/>
      <c r="E1250" s="181"/>
      <c r="F1250" s="181"/>
      <c r="G1250" s="1110"/>
      <c r="H1250" s="945" t="s">
        <v>1762</v>
      </c>
      <c r="I1250" s="125"/>
      <c r="J1250" s="1153">
        <v>0</v>
      </c>
      <c r="K1250" s="343"/>
      <c r="L1250" s="344"/>
      <c r="M1250" s="1153">
        <v>0</v>
      </c>
      <c r="N1250" s="343"/>
      <c r="O1250" s="344"/>
      <c r="P1250" s="1153">
        <v>0</v>
      </c>
      <c r="Q1250" s="343"/>
      <c r="R1250" s="344"/>
      <c r="S1250" s="1153">
        <v>0</v>
      </c>
      <c r="T1250" s="343"/>
      <c r="U1250" s="344"/>
      <c r="V1250" s="1153">
        <v>0</v>
      </c>
      <c r="W1250" s="343"/>
      <c r="X1250" s="344"/>
      <c r="Y1250" s="1153">
        <v>0</v>
      </c>
      <c r="Z1250" s="343"/>
      <c r="AA1250" s="344"/>
      <c r="AB1250" s="1153">
        <v>0</v>
      </c>
      <c r="AC1250" s="343"/>
      <c r="AD1250" s="344"/>
      <c r="AE1250" s="1153">
        <v>0</v>
      </c>
      <c r="AF1250" s="343"/>
      <c r="AG1250" s="344"/>
      <c r="AH1250" s="1153">
        <v>0</v>
      </c>
      <c r="AI1250" s="343"/>
      <c r="AJ1250" s="344"/>
      <c r="AK1250" s="1153">
        <v>0</v>
      </c>
      <c r="AL1250" s="343"/>
      <c r="AM1250" s="344"/>
      <c r="AN1250" s="1153">
        <v>0</v>
      </c>
      <c r="AO1250" s="343"/>
      <c r="AP1250" s="344"/>
      <c r="AQ1250" s="1153">
        <v>4.0199999999999996</v>
      </c>
      <c r="AR1250" s="246"/>
      <c r="AS1250" s="282"/>
      <c r="AT1250" s="244">
        <f t="shared" si="49"/>
        <v>4.0199999999999996</v>
      </c>
      <c r="AU1250" s="246"/>
      <c r="AV1250" s="336"/>
      <c r="AW1250" s="285"/>
      <c r="AX1250" s="249"/>
      <c r="AY1250" s="249"/>
      <c r="AZ1250" s="357"/>
      <c r="BA1250" s="357"/>
      <c r="BB1250" s="357"/>
      <c r="BC1250" s="357"/>
    </row>
    <row r="1251" spans="1:55" s="24" customFormat="1">
      <c r="A1251" s="179"/>
      <c r="B1251" s="179"/>
      <c r="C1251" s="179"/>
      <c r="D1251" s="181"/>
      <c r="E1251" s="181"/>
      <c r="F1251" s="181"/>
      <c r="G1251" s="1110"/>
      <c r="H1251" s="945" t="s">
        <v>1763</v>
      </c>
      <c r="I1251" s="125"/>
      <c r="J1251" s="1153">
        <v>0</v>
      </c>
      <c r="K1251" s="343"/>
      <c r="L1251" s="344"/>
      <c r="M1251" s="1153">
        <v>0</v>
      </c>
      <c r="N1251" s="343"/>
      <c r="O1251" s="344"/>
      <c r="P1251" s="1153">
        <v>0</v>
      </c>
      <c r="Q1251" s="343"/>
      <c r="R1251" s="344"/>
      <c r="S1251" s="1153">
        <v>0</v>
      </c>
      <c r="T1251" s="343"/>
      <c r="U1251" s="344"/>
      <c r="V1251" s="1153">
        <v>0</v>
      </c>
      <c r="W1251" s="343"/>
      <c r="X1251" s="344"/>
      <c r="Y1251" s="1153">
        <v>0</v>
      </c>
      <c r="Z1251" s="343"/>
      <c r="AA1251" s="344"/>
      <c r="AB1251" s="1153">
        <v>0</v>
      </c>
      <c r="AC1251" s="343"/>
      <c r="AD1251" s="344"/>
      <c r="AE1251" s="1153">
        <v>0</v>
      </c>
      <c r="AF1251" s="343"/>
      <c r="AG1251" s="344"/>
      <c r="AH1251" s="1153">
        <v>0</v>
      </c>
      <c r="AI1251" s="343"/>
      <c r="AJ1251" s="344"/>
      <c r="AK1251" s="1153">
        <v>0</v>
      </c>
      <c r="AL1251" s="343"/>
      <c r="AM1251" s="344"/>
      <c r="AN1251" s="1153">
        <v>0</v>
      </c>
      <c r="AO1251" s="343"/>
      <c r="AP1251" s="344"/>
      <c r="AQ1251" s="1153">
        <v>4.0199999999999996</v>
      </c>
      <c r="AR1251" s="246"/>
      <c r="AS1251" s="282"/>
      <c r="AT1251" s="244">
        <f t="shared" si="49"/>
        <v>4.0199999999999996</v>
      </c>
      <c r="AU1251" s="246"/>
      <c r="AV1251" s="336"/>
      <c r="AW1251" s="285"/>
      <c r="AX1251" s="249"/>
      <c r="AY1251" s="249"/>
      <c r="AZ1251" s="357"/>
      <c r="BA1251" s="357"/>
      <c r="BB1251" s="357"/>
      <c r="BC1251" s="357"/>
    </row>
    <row r="1252" spans="1:55" s="24" customFormat="1">
      <c r="A1252" s="179"/>
      <c r="B1252" s="179"/>
      <c r="C1252" s="179"/>
      <c r="D1252" s="181"/>
      <c r="E1252" s="181"/>
      <c r="F1252" s="181"/>
      <c r="G1252" s="1110"/>
      <c r="H1252" s="945" t="s">
        <v>1764</v>
      </c>
      <c r="I1252" s="125"/>
      <c r="J1252" s="1153">
        <v>0</v>
      </c>
      <c r="K1252" s="343"/>
      <c r="L1252" s="344"/>
      <c r="M1252" s="1153">
        <v>0</v>
      </c>
      <c r="N1252" s="343"/>
      <c r="O1252" s="344"/>
      <c r="P1252" s="1153">
        <v>0</v>
      </c>
      <c r="Q1252" s="343"/>
      <c r="R1252" s="344"/>
      <c r="S1252" s="1153">
        <v>0</v>
      </c>
      <c r="T1252" s="343"/>
      <c r="U1252" s="344"/>
      <c r="V1252" s="1153">
        <v>0</v>
      </c>
      <c r="W1252" s="343"/>
      <c r="X1252" s="344"/>
      <c r="Y1252" s="1153">
        <v>0</v>
      </c>
      <c r="Z1252" s="343"/>
      <c r="AA1252" s="344"/>
      <c r="AB1252" s="1153">
        <v>0</v>
      </c>
      <c r="AC1252" s="343"/>
      <c r="AD1252" s="344"/>
      <c r="AE1252" s="1153">
        <v>0</v>
      </c>
      <c r="AF1252" s="343"/>
      <c r="AG1252" s="344"/>
      <c r="AH1252" s="1153">
        <v>0</v>
      </c>
      <c r="AI1252" s="343"/>
      <c r="AJ1252" s="344"/>
      <c r="AK1252" s="1153">
        <v>0</v>
      </c>
      <c r="AL1252" s="343"/>
      <c r="AM1252" s="344"/>
      <c r="AN1252" s="1153">
        <v>0</v>
      </c>
      <c r="AO1252" s="343"/>
      <c r="AP1252" s="344"/>
      <c r="AQ1252" s="1153">
        <v>4.0199999999999996</v>
      </c>
      <c r="AR1252" s="246"/>
      <c r="AS1252" s="282"/>
      <c r="AT1252" s="244">
        <f t="shared" si="49"/>
        <v>4.0199999999999996</v>
      </c>
      <c r="AU1252" s="246"/>
      <c r="AV1252" s="336"/>
      <c r="AW1252" s="285"/>
      <c r="AX1252" s="249"/>
      <c r="AY1252" s="249"/>
      <c r="AZ1252" s="357"/>
      <c r="BA1252" s="357"/>
      <c r="BB1252" s="357"/>
      <c r="BC1252" s="357"/>
    </row>
    <row r="1253" spans="1:55" s="24" customFormat="1">
      <c r="A1253" s="179"/>
      <c r="B1253" s="179"/>
      <c r="C1253" s="179"/>
      <c r="D1253" s="181"/>
      <c r="E1253" s="181"/>
      <c r="F1253" s="181"/>
      <c r="G1253" s="1110"/>
      <c r="H1253" s="945" t="s">
        <v>1765</v>
      </c>
      <c r="I1253" s="125"/>
      <c r="J1253" s="1153">
        <v>0</v>
      </c>
      <c r="K1253" s="343"/>
      <c r="L1253" s="344"/>
      <c r="M1253" s="1153">
        <v>0</v>
      </c>
      <c r="N1253" s="343"/>
      <c r="O1253" s="344"/>
      <c r="P1253" s="1153">
        <v>0</v>
      </c>
      <c r="Q1253" s="343"/>
      <c r="R1253" s="344"/>
      <c r="S1253" s="1153">
        <v>0</v>
      </c>
      <c r="T1253" s="343"/>
      <c r="U1253" s="344"/>
      <c r="V1253" s="1153">
        <v>0</v>
      </c>
      <c r="W1253" s="343"/>
      <c r="X1253" s="344"/>
      <c r="Y1253" s="1153">
        <v>0</v>
      </c>
      <c r="Z1253" s="343"/>
      <c r="AA1253" s="344"/>
      <c r="AB1253" s="1153">
        <v>0</v>
      </c>
      <c r="AC1253" s="343"/>
      <c r="AD1253" s="344"/>
      <c r="AE1253" s="1153">
        <v>0</v>
      </c>
      <c r="AF1253" s="343"/>
      <c r="AG1253" s="344"/>
      <c r="AH1253" s="1153">
        <v>0</v>
      </c>
      <c r="AI1253" s="343"/>
      <c r="AJ1253" s="344"/>
      <c r="AK1253" s="1153">
        <v>0</v>
      </c>
      <c r="AL1253" s="343"/>
      <c r="AM1253" s="344"/>
      <c r="AN1253" s="1153">
        <v>0</v>
      </c>
      <c r="AO1253" s="343"/>
      <c r="AP1253" s="344"/>
      <c r="AQ1253" s="1153">
        <v>4.0199999999999996</v>
      </c>
      <c r="AR1253" s="246"/>
      <c r="AS1253" s="282"/>
      <c r="AT1253" s="244">
        <f t="shared" si="49"/>
        <v>4.0199999999999996</v>
      </c>
      <c r="AU1253" s="246"/>
      <c r="AV1253" s="336"/>
      <c r="AW1253" s="285"/>
      <c r="AX1253" s="249"/>
      <c r="AY1253" s="249"/>
      <c r="AZ1253" s="357"/>
      <c r="BA1253" s="357"/>
      <c r="BB1253" s="357"/>
      <c r="BC1253" s="357"/>
    </row>
    <row r="1254" spans="1:55" s="24" customFormat="1">
      <c r="A1254" s="179"/>
      <c r="B1254" s="179"/>
      <c r="C1254" s="179"/>
      <c r="D1254" s="181"/>
      <c r="E1254" s="181"/>
      <c r="F1254" s="181"/>
      <c r="G1254" s="1110"/>
      <c r="H1254" s="945" t="s">
        <v>1766</v>
      </c>
      <c r="I1254" s="125"/>
      <c r="J1254" s="1153">
        <v>0</v>
      </c>
      <c r="K1254" s="343"/>
      <c r="L1254" s="344"/>
      <c r="M1254" s="1153">
        <v>0</v>
      </c>
      <c r="N1254" s="343"/>
      <c r="O1254" s="344"/>
      <c r="P1254" s="1153">
        <v>0</v>
      </c>
      <c r="Q1254" s="343"/>
      <c r="R1254" s="344"/>
      <c r="S1254" s="1153">
        <v>0</v>
      </c>
      <c r="T1254" s="343"/>
      <c r="U1254" s="344"/>
      <c r="V1254" s="1153">
        <v>0</v>
      </c>
      <c r="W1254" s="343"/>
      <c r="X1254" s="344"/>
      <c r="Y1254" s="1153">
        <v>0</v>
      </c>
      <c r="Z1254" s="343"/>
      <c r="AA1254" s="344"/>
      <c r="AB1254" s="1153">
        <v>0</v>
      </c>
      <c r="AC1254" s="343"/>
      <c r="AD1254" s="344"/>
      <c r="AE1254" s="1153">
        <v>0</v>
      </c>
      <c r="AF1254" s="343"/>
      <c r="AG1254" s="344"/>
      <c r="AH1254" s="1153">
        <v>0</v>
      </c>
      <c r="AI1254" s="343"/>
      <c r="AJ1254" s="344"/>
      <c r="AK1254" s="1153">
        <v>0</v>
      </c>
      <c r="AL1254" s="343"/>
      <c r="AM1254" s="344"/>
      <c r="AN1254" s="1153">
        <v>0</v>
      </c>
      <c r="AO1254" s="343"/>
      <c r="AP1254" s="344"/>
      <c r="AQ1254" s="1153">
        <v>4.0199999999999996</v>
      </c>
      <c r="AR1254" s="246"/>
      <c r="AS1254" s="282"/>
      <c r="AT1254" s="244">
        <f t="shared" si="49"/>
        <v>4.0199999999999996</v>
      </c>
      <c r="AU1254" s="246"/>
      <c r="AV1254" s="336"/>
      <c r="AW1254" s="285"/>
      <c r="AX1254" s="249"/>
      <c r="AY1254" s="249"/>
      <c r="AZ1254" s="357"/>
      <c r="BA1254" s="357"/>
      <c r="BB1254" s="357"/>
      <c r="BC1254" s="357"/>
    </row>
    <row r="1255" spans="1:55" s="24" customFormat="1">
      <c r="A1255" s="179"/>
      <c r="B1255" s="179"/>
      <c r="C1255" s="179"/>
      <c r="D1255" s="181"/>
      <c r="E1255" s="181"/>
      <c r="F1255" s="181"/>
      <c r="G1255" s="1110"/>
      <c r="H1255" s="945" t="s">
        <v>1767</v>
      </c>
      <c r="I1255" s="125"/>
      <c r="J1255" s="1153">
        <v>0</v>
      </c>
      <c r="K1255" s="343"/>
      <c r="L1255" s="344"/>
      <c r="M1255" s="1153">
        <v>0</v>
      </c>
      <c r="N1255" s="343"/>
      <c r="O1255" s="344"/>
      <c r="P1255" s="1153">
        <v>0</v>
      </c>
      <c r="Q1255" s="343"/>
      <c r="R1255" s="344"/>
      <c r="S1255" s="1153">
        <v>0</v>
      </c>
      <c r="T1255" s="343"/>
      <c r="U1255" s="344"/>
      <c r="V1255" s="1153">
        <v>0</v>
      </c>
      <c r="W1255" s="343"/>
      <c r="X1255" s="344"/>
      <c r="Y1255" s="1153">
        <v>0</v>
      </c>
      <c r="Z1255" s="343"/>
      <c r="AA1255" s="344"/>
      <c r="AB1255" s="1153">
        <v>0</v>
      </c>
      <c r="AC1255" s="343"/>
      <c r="AD1255" s="344"/>
      <c r="AE1255" s="1153">
        <v>0</v>
      </c>
      <c r="AF1255" s="343"/>
      <c r="AG1255" s="344"/>
      <c r="AH1255" s="1153">
        <v>0</v>
      </c>
      <c r="AI1255" s="343"/>
      <c r="AJ1255" s="344"/>
      <c r="AK1255" s="1153">
        <v>0</v>
      </c>
      <c r="AL1255" s="343"/>
      <c r="AM1255" s="344"/>
      <c r="AN1255" s="1153">
        <v>0</v>
      </c>
      <c r="AO1255" s="343"/>
      <c r="AP1255" s="344"/>
      <c r="AQ1255" s="1153">
        <v>4.0199999999999996</v>
      </c>
      <c r="AR1255" s="246"/>
      <c r="AS1255" s="282"/>
      <c r="AT1255" s="244">
        <f t="shared" si="49"/>
        <v>4.0199999999999996</v>
      </c>
      <c r="AU1255" s="246"/>
      <c r="AV1255" s="336"/>
      <c r="AW1255" s="285"/>
      <c r="AX1255" s="249"/>
      <c r="AY1255" s="249"/>
      <c r="AZ1255" s="357"/>
      <c r="BA1255" s="357"/>
      <c r="BB1255" s="357"/>
      <c r="BC1255" s="357"/>
    </row>
    <row r="1256" spans="1:55" s="24" customFormat="1">
      <c r="A1256" s="179"/>
      <c r="B1256" s="179"/>
      <c r="C1256" s="179"/>
      <c r="D1256" s="181"/>
      <c r="E1256" s="181"/>
      <c r="F1256" s="181"/>
      <c r="G1256" s="1110"/>
      <c r="H1256" s="945" t="s">
        <v>1768</v>
      </c>
      <c r="I1256" s="125"/>
      <c r="J1256" s="1153">
        <v>0</v>
      </c>
      <c r="K1256" s="343"/>
      <c r="L1256" s="344"/>
      <c r="M1256" s="1153">
        <v>0</v>
      </c>
      <c r="N1256" s="343"/>
      <c r="O1256" s="344"/>
      <c r="P1256" s="1153">
        <v>0</v>
      </c>
      <c r="Q1256" s="343"/>
      <c r="R1256" s="344"/>
      <c r="S1256" s="1153">
        <v>0</v>
      </c>
      <c r="T1256" s="343"/>
      <c r="U1256" s="344"/>
      <c r="V1256" s="1153">
        <v>0</v>
      </c>
      <c r="W1256" s="343"/>
      <c r="X1256" s="344"/>
      <c r="Y1256" s="1153">
        <v>0</v>
      </c>
      <c r="Z1256" s="343"/>
      <c r="AA1256" s="344"/>
      <c r="AB1256" s="1153">
        <v>0</v>
      </c>
      <c r="AC1256" s="343"/>
      <c r="AD1256" s="344"/>
      <c r="AE1256" s="1153">
        <v>0</v>
      </c>
      <c r="AF1256" s="343"/>
      <c r="AG1256" s="344"/>
      <c r="AH1256" s="1153">
        <v>0</v>
      </c>
      <c r="AI1256" s="343"/>
      <c r="AJ1256" s="344"/>
      <c r="AK1256" s="1153">
        <v>0</v>
      </c>
      <c r="AL1256" s="343"/>
      <c r="AM1256" s="344"/>
      <c r="AN1256" s="1153">
        <v>0</v>
      </c>
      <c r="AO1256" s="343"/>
      <c r="AP1256" s="344"/>
      <c r="AQ1256" s="1153">
        <v>4.0199999999999996</v>
      </c>
      <c r="AR1256" s="246"/>
      <c r="AS1256" s="282"/>
      <c r="AT1256" s="244">
        <f t="shared" si="49"/>
        <v>4.0199999999999996</v>
      </c>
      <c r="AU1256" s="246"/>
      <c r="AV1256" s="336"/>
      <c r="AW1256" s="285"/>
      <c r="AX1256" s="249"/>
      <c r="AY1256" s="249"/>
      <c r="AZ1256" s="357"/>
      <c r="BA1256" s="357"/>
      <c r="BB1256" s="357"/>
      <c r="BC1256" s="357"/>
    </row>
    <row r="1257" spans="1:55" s="24" customFormat="1">
      <c r="A1257" s="179"/>
      <c r="B1257" s="179"/>
      <c r="C1257" s="179"/>
      <c r="D1257" s="181"/>
      <c r="E1257" s="181"/>
      <c r="F1257" s="181"/>
      <c r="G1257" s="1110"/>
      <c r="H1257" s="138" t="s">
        <v>174</v>
      </c>
      <c r="I1257" s="138"/>
      <c r="J1257" s="319">
        <f>SUM(J1258:J1282)</f>
        <v>58.479990000000001</v>
      </c>
      <c r="K1257" s="288"/>
      <c r="L1257" s="289"/>
      <c r="M1257" s="319">
        <f>SUM(M1258:M1282)</f>
        <v>56.027568000000002</v>
      </c>
      <c r="N1257" s="288"/>
      <c r="O1257" s="289" t="s">
        <v>90</v>
      </c>
      <c r="P1257" s="319">
        <f>SUM(P1258:P1282)</f>
        <v>63.194170000000007</v>
      </c>
      <c r="Q1257" s="288"/>
      <c r="R1257" s="289"/>
      <c r="S1257" s="319">
        <f>SUM(S1258:S1282)</f>
        <v>63.936589999999995</v>
      </c>
      <c r="T1257" s="288"/>
      <c r="U1257" s="289"/>
      <c r="V1257" s="319">
        <f>SUM(V1258:V1282)</f>
        <v>57.085000000000008</v>
      </c>
      <c r="W1257" s="288"/>
      <c r="X1257" s="289"/>
      <c r="Y1257" s="319">
        <f>SUM(Y1258:Y1282)</f>
        <v>66.114000000000004</v>
      </c>
      <c r="Z1257" s="288"/>
      <c r="AA1257" s="289"/>
      <c r="AB1257" s="319">
        <f>SUM(AB1258:AB1282)</f>
        <v>72.016280000000009</v>
      </c>
      <c r="AC1257" s="288"/>
      <c r="AD1257" s="289"/>
      <c r="AE1257" s="319">
        <f>SUM(AE1258:AE1282)</f>
        <v>194.98189000000002</v>
      </c>
      <c r="AF1257" s="288"/>
      <c r="AG1257" s="289"/>
      <c r="AH1257" s="319">
        <f>SUM(AH1258:AH1282)</f>
        <v>197.31322</v>
      </c>
      <c r="AI1257" s="288"/>
      <c r="AJ1257" s="289"/>
      <c r="AK1257" s="319">
        <f>SUM(AK1258:AK1282)</f>
        <v>201.60456199999999</v>
      </c>
      <c r="AL1257" s="288"/>
      <c r="AM1257" s="289"/>
      <c r="AN1257" s="319">
        <f>SUM(AN1258:AN1282)</f>
        <v>176.79527800000002</v>
      </c>
      <c r="AO1257" s="288"/>
      <c r="AP1257" s="289"/>
      <c r="AQ1257" s="319">
        <f>SUM(AQ1258:AQ1282)</f>
        <v>143.37843000000001</v>
      </c>
      <c r="AR1257" s="288"/>
      <c r="AS1257" s="289"/>
      <c r="AT1257" s="319">
        <f>SUM(AT1258:AT1282)</f>
        <v>1350.926978</v>
      </c>
      <c r="AU1257" s="288"/>
      <c r="AV1257" s="290"/>
      <c r="AW1257" s="285"/>
      <c r="AX1257" s="295"/>
      <c r="AY1257" s="1066">
        <v>856.91656699999999</v>
      </c>
      <c r="AZ1257" s="357"/>
      <c r="BA1257" s="357"/>
      <c r="BB1257" s="357"/>
      <c r="BC1257" s="357"/>
    </row>
    <row r="1258" spans="1:55" s="24" customFormat="1">
      <c r="A1258" s="179"/>
      <c r="B1258" s="179"/>
      <c r="C1258" s="179"/>
      <c r="D1258" s="181">
        <v>322569</v>
      </c>
      <c r="E1258" s="181"/>
      <c r="F1258" s="181"/>
      <c r="G1258" s="1110">
        <v>322569</v>
      </c>
      <c r="H1258" s="135" t="s">
        <v>228</v>
      </c>
      <c r="I1258" s="518" t="s">
        <v>365</v>
      </c>
      <c r="J1258" s="736">
        <v>0</v>
      </c>
      <c r="K1258" s="734"/>
      <c r="L1258" s="735"/>
      <c r="M1258" s="736">
        <v>0</v>
      </c>
      <c r="N1258" s="734"/>
      <c r="O1258" s="735"/>
      <c r="P1258" s="736">
        <v>0</v>
      </c>
      <c r="Q1258" s="734"/>
      <c r="R1258" s="735"/>
      <c r="S1258" s="736">
        <v>0</v>
      </c>
      <c r="T1258" s="734"/>
      <c r="U1258" s="735"/>
      <c r="V1258" s="736">
        <v>0</v>
      </c>
      <c r="W1258" s="734"/>
      <c r="X1258" s="735"/>
      <c r="Y1258" s="736">
        <v>0</v>
      </c>
      <c r="Z1258" s="734"/>
      <c r="AA1258" s="735"/>
      <c r="AB1258" s="736">
        <v>0</v>
      </c>
      <c r="AC1258" s="734"/>
      <c r="AD1258" s="735"/>
      <c r="AE1258" s="736">
        <v>4.4000000000000004</v>
      </c>
      <c r="AF1258" s="734"/>
      <c r="AG1258" s="735"/>
      <c r="AH1258" s="736">
        <v>4.47</v>
      </c>
      <c r="AI1258" s="734"/>
      <c r="AJ1258" s="735"/>
      <c r="AK1258" s="736">
        <v>4.28</v>
      </c>
      <c r="AL1258" s="734"/>
      <c r="AM1258" s="735"/>
      <c r="AN1258" s="736">
        <v>4.28</v>
      </c>
      <c r="AO1258" s="734"/>
      <c r="AP1258" s="735"/>
      <c r="AQ1258" s="736">
        <v>0</v>
      </c>
      <c r="AR1258" s="288"/>
      <c r="AS1258" s="289"/>
      <c r="AT1258" s="294">
        <f t="shared" si="49"/>
        <v>17.430000000000003</v>
      </c>
      <c r="AU1258" s="288"/>
      <c r="AV1258" s="290"/>
      <c r="AW1258" s="285"/>
      <c r="AX1258" s="295"/>
      <c r="AY1258" s="295"/>
      <c r="AZ1258" s="357"/>
      <c r="BA1258" s="357"/>
      <c r="BB1258" s="357"/>
      <c r="BC1258" s="357"/>
    </row>
    <row r="1259" spans="1:55" s="24" customFormat="1">
      <c r="A1259" s="179"/>
      <c r="B1259" s="179"/>
      <c r="C1259" s="179"/>
      <c r="D1259" s="181">
        <v>322546</v>
      </c>
      <c r="E1259" s="181"/>
      <c r="F1259" s="181"/>
      <c r="G1259" s="1110">
        <v>322546</v>
      </c>
      <c r="H1259" s="135" t="s">
        <v>229</v>
      </c>
      <c r="I1259" s="518" t="s">
        <v>365</v>
      </c>
      <c r="J1259" s="736">
        <v>0</v>
      </c>
      <c r="K1259" s="734"/>
      <c r="L1259" s="735"/>
      <c r="M1259" s="736">
        <v>0</v>
      </c>
      <c r="N1259" s="734"/>
      <c r="O1259" s="735"/>
      <c r="P1259" s="736">
        <v>0</v>
      </c>
      <c r="Q1259" s="734"/>
      <c r="R1259" s="735"/>
      <c r="S1259" s="736">
        <v>0</v>
      </c>
      <c r="T1259" s="734"/>
      <c r="U1259" s="735"/>
      <c r="V1259" s="736">
        <v>0</v>
      </c>
      <c r="W1259" s="734"/>
      <c r="X1259" s="735"/>
      <c r="Y1259" s="736">
        <v>0</v>
      </c>
      <c r="Z1259" s="734"/>
      <c r="AA1259" s="735"/>
      <c r="AB1259" s="736">
        <v>0</v>
      </c>
      <c r="AC1259" s="734"/>
      <c r="AD1259" s="735"/>
      <c r="AE1259" s="736">
        <v>0</v>
      </c>
      <c r="AF1259" s="734"/>
      <c r="AG1259" s="735"/>
      <c r="AH1259" s="736">
        <v>0</v>
      </c>
      <c r="AI1259" s="734"/>
      <c r="AJ1259" s="735"/>
      <c r="AK1259" s="736">
        <v>0</v>
      </c>
      <c r="AL1259" s="734"/>
      <c r="AM1259" s="735"/>
      <c r="AN1259" s="736">
        <v>0</v>
      </c>
      <c r="AO1259" s="734"/>
      <c r="AP1259" s="735"/>
      <c r="AQ1259" s="736">
        <v>0</v>
      </c>
      <c r="AR1259" s="288"/>
      <c r="AS1259" s="289"/>
      <c r="AT1259" s="294">
        <f t="shared" si="49"/>
        <v>0</v>
      </c>
      <c r="AU1259" s="288"/>
      <c r="AV1259" s="290"/>
      <c r="AW1259" s="285"/>
      <c r="AX1259" s="295"/>
      <c r="AY1259" s="295"/>
      <c r="AZ1259" s="357"/>
      <c r="BA1259" s="357"/>
      <c r="BB1259" s="357"/>
      <c r="BC1259" s="357"/>
    </row>
    <row r="1260" spans="1:55" s="24" customFormat="1">
      <c r="A1260" s="179"/>
      <c r="B1260" s="179"/>
      <c r="C1260" s="179"/>
      <c r="D1260" s="181">
        <v>322541</v>
      </c>
      <c r="E1260" s="181"/>
      <c r="F1260" s="181"/>
      <c r="G1260" s="1110">
        <v>322541</v>
      </c>
      <c r="H1260" s="135" t="s">
        <v>1771</v>
      </c>
      <c r="I1260" s="518" t="s">
        <v>365</v>
      </c>
      <c r="J1260" s="736">
        <v>0.86799000000000004</v>
      </c>
      <c r="K1260" s="734"/>
      <c r="L1260" s="735"/>
      <c r="M1260" s="736">
        <v>0.74927999999999995</v>
      </c>
      <c r="N1260" s="734"/>
      <c r="O1260" s="735"/>
      <c r="P1260" s="736">
        <v>0.79488999999999999</v>
      </c>
      <c r="Q1260" s="734"/>
      <c r="R1260" s="735"/>
      <c r="S1260" s="736">
        <v>0.31658999999999998</v>
      </c>
      <c r="T1260" s="734"/>
      <c r="U1260" s="735"/>
      <c r="V1260" s="736">
        <v>0</v>
      </c>
      <c r="W1260" s="734"/>
      <c r="X1260" s="735"/>
      <c r="Y1260" s="736">
        <v>0</v>
      </c>
      <c r="Z1260" s="734"/>
      <c r="AA1260" s="735"/>
      <c r="AB1260" s="736">
        <v>0</v>
      </c>
      <c r="AC1260" s="734"/>
      <c r="AD1260" s="735"/>
      <c r="AE1260" s="736">
        <v>6.4758899999999997</v>
      </c>
      <c r="AF1260" s="734"/>
      <c r="AG1260" s="735"/>
      <c r="AH1260" s="736">
        <v>6.1768999999999998</v>
      </c>
      <c r="AI1260" s="734"/>
      <c r="AJ1260" s="735"/>
      <c r="AK1260" s="736">
        <v>5.8725620000000003</v>
      </c>
      <c r="AL1260" s="734"/>
      <c r="AM1260" s="735"/>
      <c r="AN1260" s="736">
        <v>1.538958</v>
      </c>
      <c r="AO1260" s="734"/>
      <c r="AP1260" s="735"/>
      <c r="AQ1260" s="736">
        <v>0.76114999999999999</v>
      </c>
      <c r="AR1260" s="288"/>
      <c r="AS1260" s="289"/>
      <c r="AT1260" s="294">
        <f t="shared" si="49"/>
        <v>23.554210000000001</v>
      </c>
      <c r="AU1260" s="288"/>
      <c r="AV1260" s="290"/>
      <c r="AW1260" s="285"/>
      <c r="AX1260" s="295"/>
      <c r="AY1260" s="295"/>
      <c r="AZ1260" s="357"/>
      <c r="BA1260" s="357"/>
      <c r="BB1260" s="357"/>
      <c r="BC1260" s="357"/>
    </row>
    <row r="1261" spans="1:55" s="24" customFormat="1">
      <c r="A1261" s="179"/>
      <c r="B1261" s="179"/>
      <c r="C1261" s="179"/>
      <c r="D1261" s="181">
        <v>322545</v>
      </c>
      <c r="E1261" s="181"/>
      <c r="F1261" s="181"/>
      <c r="G1261" s="1110">
        <v>322545</v>
      </c>
      <c r="H1261" s="135" t="s">
        <v>1772</v>
      </c>
      <c r="I1261" s="518" t="s">
        <v>365</v>
      </c>
      <c r="J1261" s="736">
        <v>0</v>
      </c>
      <c r="K1261" s="734"/>
      <c r="L1261" s="735"/>
      <c r="M1261" s="736">
        <v>0</v>
      </c>
      <c r="N1261" s="734"/>
      <c r="O1261" s="735"/>
      <c r="P1261" s="736">
        <v>0</v>
      </c>
      <c r="Q1261" s="734"/>
      <c r="R1261" s="735"/>
      <c r="S1261" s="736">
        <v>0</v>
      </c>
      <c r="T1261" s="734"/>
      <c r="U1261" s="735"/>
      <c r="V1261" s="736">
        <v>0</v>
      </c>
      <c r="W1261" s="734"/>
      <c r="X1261" s="735"/>
      <c r="Y1261" s="736">
        <v>0</v>
      </c>
      <c r="Z1261" s="734"/>
      <c r="AA1261" s="735"/>
      <c r="AB1261" s="736">
        <v>0</v>
      </c>
      <c r="AC1261" s="734"/>
      <c r="AD1261" s="735"/>
      <c r="AE1261" s="736">
        <v>5.18</v>
      </c>
      <c r="AF1261" s="734"/>
      <c r="AG1261" s="735"/>
      <c r="AH1261" s="736">
        <v>5.32</v>
      </c>
      <c r="AI1261" s="734"/>
      <c r="AJ1261" s="735"/>
      <c r="AK1261" s="736">
        <v>4.83</v>
      </c>
      <c r="AL1261" s="734"/>
      <c r="AM1261" s="735"/>
      <c r="AN1261" s="736">
        <v>2.4500000000000002</v>
      </c>
      <c r="AO1261" s="734"/>
      <c r="AP1261" s="735"/>
      <c r="AQ1261" s="736">
        <v>0</v>
      </c>
      <c r="AR1261" s="288"/>
      <c r="AS1261" s="289"/>
      <c r="AT1261" s="294">
        <f t="shared" si="49"/>
        <v>17.78</v>
      </c>
      <c r="AU1261" s="288"/>
      <c r="AV1261" s="290"/>
      <c r="AW1261" s="285"/>
      <c r="AX1261" s="295"/>
      <c r="AY1261" s="295"/>
      <c r="AZ1261" s="357"/>
      <c r="BA1261" s="357"/>
      <c r="BB1261" s="357"/>
      <c r="BC1261" s="357"/>
    </row>
    <row r="1262" spans="1:55" s="24" customFormat="1">
      <c r="A1262" s="179"/>
      <c r="B1262" s="179"/>
      <c r="C1262" s="179"/>
      <c r="D1262" s="181">
        <v>322567</v>
      </c>
      <c r="E1262" s="181"/>
      <c r="F1262" s="181"/>
      <c r="G1262" s="1110">
        <v>322567</v>
      </c>
      <c r="H1262" s="135" t="s">
        <v>1773</v>
      </c>
      <c r="I1262" s="518" t="s">
        <v>365</v>
      </c>
      <c r="J1262" s="736">
        <v>0</v>
      </c>
      <c r="K1262" s="734"/>
      <c r="L1262" s="735"/>
      <c r="M1262" s="736">
        <v>0</v>
      </c>
      <c r="N1262" s="734"/>
      <c r="O1262" s="735"/>
      <c r="P1262" s="736">
        <v>0</v>
      </c>
      <c r="Q1262" s="734"/>
      <c r="R1262" s="735"/>
      <c r="S1262" s="736">
        <v>0</v>
      </c>
      <c r="T1262" s="734"/>
      <c r="U1262" s="735"/>
      <c r="V1262" s="736">
        <v>0</v>
      </c>
      <c r="W1262" s="734"/>
      <c r="X1262" s="735"/>
      <c r="Y1262" s="736">
        <v>0</v>
      </c>
      <c r="Z1262" s="734"/>
      <c r="AA1262" s="735"/>
      <c r="AB1262" s="736">
        <v>0.1</v>
      </c>
      <c r="AC1262" s="734"/>
      <c r="AD1262" s="735"/>
      <c r="AE1262" s="736">
        <v>3.6</v>
      </c>
      <c r="AF1262" s="734"/>
      <c r="AG1262" s="735"/>
      <c r="AH1262" s="736">
        <v>3.7</v>
      </c>
      <c r="AI1262" s="734"/>
      <c r="AJ1262" s="735"/>
      <c r="AK1262" s="736">
        <v>3.5</v>
      </c>
      <c r="AL1262" s="734"/>
      <c r="AM1262" s="735"/>
      <c r="AN1262" s="736">
        <v>3.55</v>
      </c>
      <c r="AO1262" s="734"/>
      <c r="AP1262" s="735"/>
      <c r="AQ1262" s="736">
        <v>0</v>
      </c>
      <c r="AR1262" s="288"/>
      <c r="AS1262" s="289"/>
      <c r="AT1262" s="294">
        <f t="shared" si="49"/>
        <v>14.45</v>
      </c>
      <c r="AU1262" s="288"/>
      <c r="AV1262" s="290"/>
      <c r="AW1262" s="285"/>
      <c r="AX1262" s="295"/>
      <c r="AY1262" s="295"/>
      <c r="AZ1262" s="357"/>
      <c r="BA1262" s="357"/>
      <c r="BB1262" s="357"/>
      <c r="BC1262" s="357"/>
    </row>
    <row r="1263" spans="1:55" s="24" customFormat="1">
      <c r="A1263" s="179"/>
      <c r="B1263" s="179"/>
      <c r="C1263" s="179"/>
      <c r="D1263" s="181">
        <v>322543</v>
      </c>
      <c r="E1263" s="181"/>
      <c r="F1263" s="181"/>
      <c r="G1263" s="1110">
        <v>322543</v>
      </c>
      <c r="H1263" s="135" t="s">
        <v>1774</v>
      </c>
      <c r="I1263" s="518" t="s">
        <v>365</v>
      </c>
      <c r="J1263" s="736">
        <v>2.7</v>
      </c>
      <c r="K1263" s="734"/>
      <c r="L1263" s="735"/>
      <c r="M1263" s="736">
        <v>0.1</v>
      </c>
      <c r="N1263" s="734"/>
      <c r="O1263" s="735"/>
      <c r="P1263" s="736">
        <v>0.4</v>
      </c>
      <c r="Q1263" s="734"/>
      <c r="R1263" s="735"/>
      <c r="S1263" s="736">
        <v>0.4</v>
      </c>
      <c r="T1263" s="734"/>
      <c r="U1263" s="735"/>
      <c r="V1263" s="736">
        <v>0.4</v>
      </c>
      <c r="W1263" s="734"/>
      <c r="X1263" s="735"/>
      <c r="Y1263" s="736">
        <v>0.4</v>
      </c>
      <c r="Z1263" s="734"/>
      <c r="AA1263" s="735"/>
      <c r="AB1263" s="736">
        <v>0.3</v>
      </c>
      <c r="AC1263" s="734"/>
      <c r="AD1263" s="735"/>
      <c r="AE1263" s="736">
        <v>7</v>
      </c>
      <c r="AF1263" s="734"/>
      <c r="AG1263" s="735"/>
      <c r="AH1263" s="736">
        <v>7</v>
      </c>
      <c r="AI1263" s="734"/>
      <c r="AJ1263" s="735"/>
      <c r="AK1263" s="736">
        <v>7.5</v>
      </c>
      <c r="AL1263" s="734"/>
      <c r="AM1263" s="735"/>
      <c r="AN1263" s="736">
        <v>7</v>
      </c>
      <c r="AO1263" s="734"/>
      <c r="AP1263" s="735"/>
      <c r="AQ1263" s="736">
        <v>5</v>
      </c>
      <c r="AR1263" s="288"/>
      <c r="AS1263" s="289"/>
      <c r="AT1263" s="294">
        <f t="shared" si="49"/>
        <v>38.200000000000003</v>
      </c>
      <c r="AU1263" s="288"/>
      <c r="AV1263" s="290"/>
      <c r="AW1263" s="285"/>
      <c r="AX1263" s="295"/>
      <c r="AY1263" s="295"/>
      <c r="AZ1263" s="357"/>
      <c r="BA1263" s="357"/>
      <c r="BB1263" s="357"/>
      <c r="BC1263" s="357"/>
    </row>
    <row r="1264" spans="1:55" s="24" customFormat="1">
      <c r="A1264" s="179"/>
      <c r="B1264" s="179"/>
      <c r="C1264" s="179"/>
      <c r="D1264" s="181">
        <v>322571</v>
      </c>
      <c r="E1264" s="181"/>
      <c r="F1264" s="181"/>
      <c r="G1264" s="1110">
        <v>322571</v>
      </c>
      <c r="H1264" s="135" t="s">
        <v>1775</v>
      </c>
      <c r="I1264" s="518" t="s">
        <v>365</v>
      </c>
      <c r="J1264" s="736">
        <v>1.85</v>
      </c>
      <c r="K1264" s="734"/>
      <c r="L1264" s="735"/>
      <c r="M1264" s="736">
        <v>0.27</v>
      </c>
      <c r="N1264" s="734"/>
      <c r="O1264" s="735"/>
      <c r="P1264" s="736">
        <v>0.06</v>
      </c>
      <c r="Q1264" s="734"/>
      <c r="R1264" s="735"/>
      <c r="S1264" s="736">
        <v>0.01</v>
      </c>
      <c r="T1264" s="734"/>
      <c r="U1264" s="735"/>
      <c r="V1264" s="736">
        <v>0</v>
      </c>
      <c r="W1264" s="734"/>
      <c r="X1264" s="735"/>
      <c r="Y1264" s="736">
        <v>0</v>
      </c>
      <c r="Z1264" s="734"/>
      <c r="AA1264" s="735"/>
      <c r="AB1264" s="736">
        <v>0.47</v>
      </c>
      <c r="AC1264" s="734"/>
      <c r="AD1264" s="735"/>
      <c r="AE1264" s="736">
        <v>3.99</v>
      </c>
      <c r="AF1264" s="734"/>
      <c r="AG1264" s="735"/>
      <c r="AH1264" s="736">
        <v>3.61</v>
      </c>
      <c r="AI1264" s="734"/>
      <c r="AJ1264" s="735"/>
      <c r="AK1264" s="736">
        <v>4.16</v>
      </c>
      <c r="AL1264" s="734"/>
      <c r="AM1264" s="735"/>
      <c r="AN1264" s="736">
        <v>4.25</v>
      </c>
      <c r="AO1264" s="734"/>
      <c r="AP1264" s="735"/>
      <c r="AQ1264" s="736">
        <v>1.05</v>
      </c>
      <c r="AR1264" s="288"/>
      <c r="AS1264" s="289"/>
      <c r="AT1264" s="294">
        <f t="shared" si="49"/>
        <v>19.720000000000002</v>
      </c>
      <c r="AU1264" s="288"/>
      <c r="AV1264" s="290"/>
      <c r="AW1264" s="285"/>
      <c r="AX1264" s="295"/>
      <c r="AY1264" s="295"/>
      <c r="AZ1264" s="357"/>
      <c r="BA1264" s="357"/>
      <c r="BB1264" s="357"/>
      <c r="BC1264" s="357"/>
    </row>
    <row r="1265" spans="1:55" s="24" customFormat="1">
      <c r="A1265" s="179"/>
      <c r="B1265" s="179"/>
      <c r="C1265" s="179"/>
      <c r="D1265" s="181">
        <v>322572</v>
      </c>
      <c r="E1265" s="181"/>
      <c r="F1265" s="181"/>
      <c r="G1265" s="1110">
        <v>322572</v>
      </c>
      <c r="H1265" s="135" t="s">
        <v>1776</v>
      </c>
      <c r="I1265" s="518" t="s">
        <v>365</v>
      </c>
      <c r="J1265" s="736">
        <v>0</v>
      </c>
      <c r="K1265" s="734"/>
      <c r="L1265" s="735"/>
      <c r="M1265" s="736">
        <v>0</v>
      </c>
      <c r="N1265" s="734"/>
      <c r="O1265" s="735"/>
      <c r="P1265" s="736">
        <v>0</v>
      </c>
      <c r="Q1265" s="734"/>
      <c r="R1265" s="735"/>
      <c r="S1265" s="736">
        <v>0</v>
      </c>
      <c r="T1265" s="734"/>
      <c r="U1265" s="735"/>
      <c r="V1265" s="736">
        <v>0</v>
      </c>
      <c r="W1265" s="734"/>
      <c r="X1265" s="735"/>
      <c r="Y1265" s="736">
        <v>0</v>
      </c>
      <c r="Z1265" s="734"/>
      <c r="AA1265" s="735"/>
      <c r="AB1265" s="736">
        <v>0</v>
      </c>
      <c r="AC1265" s="734"/>
      <c r="AD1265" s="735"/>
      <c r="AE1265" s="736">
        <v>4.2</v>
      </c>
      <c r="AF1265" s="734"/>
      <c r="AG1265" s="735"/>
      <c r="AH1265" s="736">
        <v>8.5</v>
      </c>
      <c r="AI1265" s="734"/>
      <c r="AJ1265" s="735"/>
      <c r="AK1265" s="736">
        <v>8.7899999999999991</v>
      </c>
      <c r="AL1265" s="734"/>
      <c r="AM1265" s="735"/>
      <c r="AN1265" s="736">
        <v>7.51</v>
      </c>
      <c r="AO1265" s="734"/>
      <c r="AP1265" s="735"/>
      <c r="AQ1265" s="736">
        <v>5.3</v>
      </c>
      <c r="AR1265" s="288"/>
      <c r="AS1265" s="289"/>
      <c r="AT1265" s="294">
        <f t="shared" si="49"/>
        <v>34.299999999999997</v>
      </c>
      <c r="AU1265" s="288"/>
      <c r="AV1265" s="290"/>
      <c r="AW1265" s="285"/>
      <c r="AX1265" s="295"/>
      <c r="AY1265" s="295"/>
      <c r="AZ1265" s="357"/>
      <c r="BA1265" s="357"/>
      <c r="BB1265" s="357"/>
      <c r="BC1265" s="357"/>
    </row>
    <row r="1266" spans="1:55" s="24" customFormat="1">
      <c r="A1266" s="179"/>
      <c r="B1266" s="179"/>
      <c r="C1266" s="179"/>
      <c r="D1266" s="181">
        <v>322577</v>
      </c>
      <c r="E1266" s="181"/>
      <c r="F1266" s="181"/>
      <c r="G1266" s="1110">
        <v>322577</v>
      </c>
      <c r="H1266" s="135" t="s">
        <v>1777</v>
      </c>
      <c r="I1266" s="518" t="s">
        <v>365</v>
      </c>
      <c r="J1266" s="736">
        <v>0</v>
      </c>
      <c r="K1266" s="734"/>
      <c r="L1266" s="735"/>
      <c r="M1266" s="736">
        <v>0</v>
      </c>
      <c r="N1266" s="734"/>
      <c r="O1266" s="735"/>
      <c r="P1266" s="736">
        <v>0</v>
      </c>
      <c r="Q1266" s="734"/>
      <c r="R1266" s="735"/>
      <c r="S1266" s="736">
        <v>0</v>
      </c>
      <c r="T1266" s="734"/>
      <c r="U1266" s="735"/>
      <c r="V1266" s="736">
        <v>0</v>
      </c>
      <c r="W1266" s="734"/>
      <c r="X1266" s="735"/>
      <c r="Y1266" s="736">
        <v>0</v>
      </c>
      <c r="Z1266" s="734"/>
      <c r="AA1266" s="735"/>
      <c r="AB1266" s="736">
        <v>0.09</v>
      </c>
      <c r="AC1266" s="734"/>
      <c r="AD1266" s="735"/>
      <c r="AE1266" s="736">
        <v>6.46</v>
      </c>
      <c r="AF1266" s="734"/>
      <c r="AG1266" s="735"/>
      <c r="AH1266" s="736">
        <v>6.45</v>
      </c>
      <c r="AI1266" s="734"/>
      <c r="AJ1266" s="735"/>
      <c r="AK1266" s="736">
        <v>6.77</v>
      </c>
      <c r="AL1266" s="734"/>
      <c r="AM1266" s="735"/>
      <c r="AN1266" s="736">
        <v>3.71</v>
      </c>
      <c r="AO1266" s="734"/>
      <c r="AP1266" s="735"/>
      <c r="AQ1266" s="736">
        <v>0</v>
      </c>
      <c r="AR1266" s="288"/>
      <c r="AS1266" s="289"/>
      <c r="AT1266" s="294">
        <f t="shared" si="49"/>
        <v>23.48</v>
      </c>
      <c r="AU1266" s="288"/>
      <c r="AV1266" s="290"/>
      <c r="AW1266" s="285"/>
      <c r="AX1266" s="295"/>
      <c r="AY1266" s="295"/>
      <c r="AZ1266" s="357"/>
      <c r="BA1266" s="357"/>
      <c r="BB1266" s="357"/>
      <c r="BC1266" s="357"/>
    </row>
    <row r="1267" spans="1:55" s="24" customFormat="1">
      <c r="A1267" s="179"/>
      <c r="B1267" s="179"/>
      <c r="C1267" s="179"/>
      <c r="D1267" s="181">
        <v>322548</v>
      </c>
      <c r="E1267" s="181"/>
      <c r="F1267" s="181"/>
      <c r="G1267" s="1110">
        <v>322548</v>
      </c>
      <c r="H1267" s="135" t="s">
        <v>1778</v>
      </c>
      <c r="I1267" s="518" t="s">
        <v>365</v>
      </c>
      <c r="J1267" s="736">
        <v>0.25</v>
      </c>
      <c r="K1267" s="734"/>
      <c r="L1267" s="735"/>
      <c r="M1267" s="736">
        <v>0.25</v>
      </c>
      <c r="N1267" s="734"/>
      <c r="O1267" s="735"/>
      <c r="P1267" s="736">
        <v>0.28000000000000003</v>
      </c>
      <c r="Q1267" s="734"/>
      <c r="R1267" s="735"/>
      <c r="S1267" s="736">
        <v>0.27</v>
      </c>
      <c r="T1267" s="734"/>
      <c r="U1267" s="735"/>
      <c r="V1267" s="736">
        <v>0.22</v>
      </c>
      <c r="W1267" s="734"/>
      <c r="X1267" s="735"/>
      <c r="Y1267" s="736">
        <v>0.25</v>
      </c>
      <c r="Z1267" s="734"/>
      <c r="AA1267" s="735"/>
      <c r="AB1267" s="736">
        <v>0.7</v>
      </c>
      <c r="AC1267" s="734"/>
      <c r="AD1267" s="735"/>
      <c r="AE1267" s="736">
        <v>3.92</v>
      </c>
      <c r="AF1267" s="734"/>
      <c r="AG1267" s="735"/>
      <c r="AH1267" s="736">
        <v>3.81</v>
      </c>
      <c r="AI1267" s="734"/>
      <c r="AJ1267" s="735"/>
      <c r="AK1267" s="736">
        <v>3.97</v>
      </c>
      <c r="AL1267" s="734"/>
      <c r="AM1267" s="735"/>
      <c r="AN1267" s="736">
        <v>3.35</v>
      </c>
      <c r="AO1267" s="734"/>
      <c r="AP1267" s="735"/>
      <c r="AQ1267" s="736">
        <v>0.25</v>
      </c>
      <c r="AR1267" s="288"/>
      <c r="AS1267" s="289"/>
      <c r="AT1267" s="294">
        <f t="shared" si="49"/>
        <v>17.52</v>
      </c>
      <c r="AU1267" s="288"/>
      <c r="AV1267" s="290"/>
      <c r="AW1267" s="285"/>
      <c r="AX1267" s="295"/>
      <c r="AY1267" s="295"/>
      <c r="AZ1267" s="357"/>
      <c r="BA1267" s="357"/>
      <c r="BB1267" s="357"/>
      <c r="BC1267" s="357"/>
    </row>
    <row r="1268" spans="1:55" s="24" customFormat="1">
      <c r="A1268" s="179"/>
      <c r="B1268" s="179"/>
      <c r="C1268" s="179"/>
      <c r="D1268" s="181">
        <v>322566</v>
      </c>
      <c r="E1268" s="181"/>
      <c r="F1268" s="181"/>
      <c r="G1268" s="1110">
        <v>322566</v>
      </c>
      <c r="H1268" s="135" t="s">
        <v>1779</v>
      </c>
      <c r="I1268" s="518" t="s">
        <v>365</v>
      </c>
      <c r="J1268" s="736">
        <v>0</v>
      </c>
      <c r="K1268" s="734"/>
      <c r="L1268" s="735"/>
      <c r="M1268" s="736">
        <v>0</v>
      </c>
      <c r="N1268" s="734"/>
      <c r="O1268" s="735"/>
      <c r="P1268" s="736">
        <v>0</v>
      </c>
      <c r="Q1268" s="734"/>
      <c r="R1268" s="735"/>
      <c r="S1268" s="736">
        <v>0</v>
      </c>
      <c r="T1268" s="734"/>
      <c r="U1268" s="735"/>
      <c r="V1268" s="736">
        <v>0</v>
      </c>
      <c r="W1268" s="734"/>
      <c r="X1268" s="735"/>
      <c r="Y1268" s="736">
        <v>0.21</v>
      </c>
      <c r="Z1268" s="734"/>
      <c r="AA1268" s="735"/>
      <c r="AB1268" s="736">
        <v>0.6</v>
      </c>
      <c r="AC1268" s="734"/>
      <c r="AD1268" s="735"/>
      <c r="AE1268" s="736">
        <v>3.94</v>
      </c>
      <c r="AF1268" s="734"/>
      <c r="AG1268" s="735"/>
      <c r="AH1268" s="736">
        <v>3.94</v>
      </c>
      <c r="AI1268" s="734"/>
      <c r="AJ1268" s="735"/>
      <c r="AK1268" s="736">
        <v>4.21</v>
      </c>
      <c r="AL1268" s="734"/>
      <c r="AM1268" s="735"/>
      <c r="AN1268" s="736">
        <v>2.1</v>
      </c>
      <c r="AO1268" s="734"/>
      <c r="AP1268" s="735"/>
      <c r="AQ1268" s="736">
        <v>0</v>
      </c>
      <c r="AR1268" s="288"/>
      <c r="AS1268" s="289"/>
      <c r="AT1268" s="294">
        <f t="shared" si="49"/>
        <v>14.999999999999998</v>
      </c>
      <c r="AU1268" s="288"/>
      <c r="AV1268" s="290"/>
      <c r="AW1268" s="285"/>
      <c r="AX1268" s="295"/>
      <c r="AY1268" s="295"/>
      <c r="AZ1268" s="357"/>
      <c r="BA1268" s="357"/>
      <c r="BB1268" s="357"/>
      <c r="BC1268" s="357"/>
    </row>
    <row r="1269" spans="1:55" s="156" customFormat="1">
      <c r="A1269" s="179"/>
      <c r="B1269" s="179"/>
      <c r="C1269" s="179"/>
      <c r="D1269" s="181">
        <v>322540</v>
      </c>
      <c r="E1269" s="181"/>
      <c r="F1269" s="181"/>
      <c r="G1269" s="1110">
        <v>322540</v>
      </c>
      <c r="H1269" s="135" t="s">
        <v>1780</v>
      </c>
      <c r="I1269" s="518" t="s">
        <v>365</v>
      </c>
      <c r="J1269" s="736">
        <v>0</v>
      </c>
      <c r="K1269" s="734"/>
      <c r="L1269" s="735"/>
      <c r="M1269" s="736">
        <v>0</v>
      </c>
      <c r="N1269" s="734"/>
      <c r="O1269" s="735"/>
      <c r="P1269" s="736">
        <v>0</v>
      </c>
      <c r="Q1269" s="734"/>
      <c r="R1269" s="735"/>
      <c r="S1269" s="736">
        <v>0</v>
      </c>
      <c r="T1269" s="734"/>
      <c r="U1269" s="735"/>
      <c r="V1269" s="736">
        <v>0</v>
      </c>
      <c r="W1269" s="734"/>
      <c r="X1269" s="735"/>
      <c r="Y1269" s="736">
        <v>0</v>
      </c>
      <c r="Z1269" s="734"/>
      <c r="AA1269" s="735"/>
      <c r="AB1269" s="736">
        <v>0</v>
      </c>
      <c r="AC1269" s="734"/>
      <c r="AD1269" s="735"/>
      <c r="AE1269" s="736">
        <v>0</v>
      </c>
      <c r="AF1269" s="734"/>
      <c r="AG1269" s="735"/>
      <c r="AH1269" s="736">
        <v>0</v>
      </c>
      <c r="AI1269" s="734"/>
      <c r="AJ1269" s="735"/>
      <c r="AK1269" s="736">
        <v>0</v>
      </c>
      <c r="AL1269" s="734"/>
      <c r="AM1269" s="735"/>
      <c r="AN1269" s="736">
        <v>0</v>
      </c>
      <c r="AO1269" s="734"/>
      <c r="AP1269" s="735"/>
      <c r="AQ1269" s="736">
        <v>0</v>
      </c>
      <c r="AR1269" s="288"/>
      <c r="AS1269" s="289"/>
      <c r="AT1269" s="294">
        <f t="shared" si="49"/>
        <v>0</v>
      </c>
      <c r="AU1269" s="288"/>
      <c r="AV1269" s="290"/>
      <c r="AW1269" s="285"/>
      <c r="AX1269" s="295"/>
      <c r="AY1269" s="295"/>
      <c r="AZ1269" s="403"/>
      <c r="BA1269" s="403"/>
      <c r="BB1269" s="403"/>
      <c r="BC1269" s="403"/>
    </row>
    <row r="1270" spans="1:55" s="24" customFormat="1">
      <c r="A1270" s="179"/>
      <c r="B1270" s="179"/>
      <c r="C1270" s="179"/>
      <c r="D1270" s="181">
        <v>322542</v>
      </c>
      <c r="E1270" s="181"/>
      <c r="F1270" s="181"/>
      <c r="G1270" s="1110">
        <v>322542</v>
      </c>
      <c r="H1270" s="135" t="s">
        <v>1781</v>
      </c>
      <c r="I1270" s="518" t="s">
        <v>365</v>
      </c>
      <c r="J1270" s="736">
        <v>0</v>
      </c>
      <c r="K1270" s="734"/>
      <c r="L1270" s="735"/>
      <c r="M1270" s="736">
        <v>0</v>
      </c>
      <c r="N1270" s="734"/>
      <c r="O1270" s="735"/>
      <c r="P1270" s="736">
        <v>0</v>
      </c>
      <c r="Q1270" s="734"/>
      <c r="R1270" s="735"/>
      <c r="S1270" s="736">
        <v>0</v>
      </c>
      <c r="T1270" s="734"/>
      <c r="U1270" s="735"/>
      <c r="V1270" s="736">
        <v>0</v>
      </c>
      <c r="W1270" s="734"/>
      <c r="X1270" s="735"/>
      <c r="Y1270" s="736">
        <v>0</v>
      </c>
      <c r="Z1270" s="734"/>
      <c r="AA1270" s="735"/>
      <c r="AB1270" s="736">
        <v>0</v>
      </c>
      <c r="AC1270" s="734"/>
      <c r="AD1270" s="735"/>
      <c r="AE1270" s="736">
        <v>5.5</v>
      </c>
      <c r="AF1270" s="734"/>
      <c r="AG1270" s="735"/>
      <c r="AH1270" s="736">
        <v>5.85</v>
      </c>
      <c r="AI1270" s="734"/>
      <c r="AJ1270" s="735"/>
      <c r="AK1270" s="736">
        <v>6.3</v>
      </c>
      <c r="AL1270" s="734"/>
      <c r="AM1270" s="735"/>
      <c r="AN1270" s="736">
        <v>1.5</v>
      </c>
      <c r="AO1270" s="734"/>
      <c r="AP1270" s="735"/>
      <c r="AQ1270" s="736">
        <v>0</v>
      </c>
      <c r="AR1270" s="288"/>
      <c r="AS1270" s="289"/>
      <c r="AT1270" s="294">
        <f t="shared" si="49"/>
        <v>19.149999999999999</v>
      </c>
      <c r="AU1270" s="288"/>
      <c r="AV1270" s="290"/>
      <c r="AW1270" s="285"/>
      <c r="AX1270" s="295"/>
      <c r="AY1270" s="295"/>
      <c r="AZ1270" s="357"/>
      <c r="BA1270" s="357"/>
      <c r="BB1270" s="357"/>
      <c r="BC1270" s="357"/>
    </row>
    <row r="1271" spans="1:55" s="24" customFormat="1">
      <c r="A1271" s="179"/>
      <c r="B1271" s="179"/>
      <c r="C1271" s="179"/>
      <c r="D1271" s="181">
        <v>322549</v>
      </c>
      <c r="E1271" s="181"/>
      <c r="F1271" s="181"/>
      <c r="G1271" s="1110">
        <v>322549</v>
      </c>
      <c r="H1271" s="135" t="s">
        <v>1782</v>
      </c>
      <c r="I1271" s="518" t="s">
        <v>365</v>
      </c>
      <c r="J1271" s="736">
        <v>0</v>
      </c>
      <c r="K1271" s="734"/>
      <c r="L1271" s="735"/>
      <c r="M1271" s="736">
        <v>0</v>
      </c>
      <c r="N1271" s="734"/>
      <c r="O1271" s="735"/>
      <c r="P1271" s="736">
        <v>0</v>
      </c>
      <c r="Q1271" s="734"/>
      <c r="R1271" s="735"/>
      <c r="S1271" s="736">
        <v>0</v>
      </c>
      <c r="T1271" s="734"/>
      <c r="U1271" s="735"/>
      <c r="V1271" s="736">
        <v>0</v>
      </c>
      <c r="W1271" s="734"/>
      <c r="X1271" s="735"/>
      <c r="Y1271" s="736">
        <v>0</v>
      </c>
      <c r="Z1271" s="734"/>
      <c r="AA1271" s="735"/>
      <c r="AB1271" s="736">
        <v>0</v>
      </c>
      <c r="AC1271" s="734"/>
      <c r="AD1271" s="735"/>
      <c r="AE1271" s="736">
        <v>0</v>
      </c>
      <c r="AF1271" s="734"/>
      <c r="AG1271" s="735"/>
      <c r="AH1271" s="736">
        <v>0</v>
      </c>
      <c r="AI1271" s="734"/>
      <c r="AJ1271" s="735"/>
      <c r="AK1271" s="736">
        <v>0</v>
      </c>
      <c r="AL1271" s="734"/>
      <c r="AM1271" s="735"/>
      <c r="AN1271" s="736">
        <v>0</v>
      </c>
      <c r="AO1271" s="734"/>
      <c r="AP1271" s="735"/>
      <c r="AQ1271" s="736">
        <v>0</v>
      </c>
      <c r="AR1271" s="288"/>
      <c r="AS1271" s="289"/>
      <c r="AT1271" s="294">
        <f t="shared" si="49"/>
        <v>0</v>
      </c>
      <c r="AU1271" s="288"/>
      <c r="AV1271" s="290"/>
      <c r="AW1271" s="285"/>
      <c r="AX1271" s="295"/>
      <c r="AY1271" s="295"/>
      <c r="AZ1271" s="357"/>
      <c r="BA1271" s="357"/>
      <c r="BB1271" s="357"/>
      <c r="BC1271" s="357"/>
    </row>
    <row r="1272" spans="1:55" s="24" customFormat="1">
      <c r="A1272" s="179"/>
      <c r="B1272" s="179"/>
      <c r="C1272" s="179"/>
      <c r="D1272" s="181">
        <v>322547</v>
      </c>
      <c r="E1272" s="181"/>
      <c r="F1272" s="181"/>
      <c r="G1272" s="1110">
        <v>322547</v>
      </c>
      <c r="H1272" s="135" t="s">
        <v>1783</v>
      </c>
      <c r="I1272" s="518" t="s">
        <v>365</v>
      </c>
      <c r="J1272" s="736">
        <v>0</v>
      </c>
      <c r="K1272" s="734"/>
      <c r="L1272" s="735"/>
      <c r="M1272" s="736">
        <v>0</v>
      </c>
      <c r="N1272" s="734"/>
      <c r="O1272" s="735"/>
      <c r="P1272" s="736">
        <v>0</v>
      </c>
      <c r="Q1272" s="734"/>
      <c r="R1272" s="735"/>
      <c r="S1272" s="736">
        <v>0</v>
      </c>
      <c r="T1272" s="734"/>
      <c r="U1272" s="735"/>
      <c r="V1272" s="736">
        <v>0</v>
      </c>
      <c r="W1272" s="734"/>
      <c r="X1272" s="735"/>
      <c r="Y1272" s="736">
        <v>0</v>
      </c>
      <c r="Z1272" s="734"/>
      <c r="AA1272" s="735"/>
      <c r="AB1272" s="736">
        <v>0</v>
      </c>
      <c r="AC1272" s="734"/>
      <c r="AD1272" s="735"/>
      <c r="AE1272" s="736">
        <v>4</v>
      </c>
      <c r="AF1272" s="734"/>
      <c r="AG1272" s="735"/>
      <c r="AH1272" s="736">
        <v>4</v>
      </c>
      <c r="AI1272" s="734"/>
      <c r="AJ1272" s="735"/>
      <c r="AK1272" s="736">
        <v>4.0999999999999996</v>
      </c>
      <c r="AL1272" s="734"/>
      <c r="AM1272" s="735"/>
      <c r="AN1272" s="736">
        <v>2.6</v>
      </c>
      <c r="AO1272" s="734"/>
      <c r="AP1272" s="735"/>
      <c r="AQ1272" s="736">
        <v>0</v>
      </c>
      <c r="AR1272" s="288"/>
      <c r="AS1272" s="289"/>
      <c r="AT1272" s="294">
        <f t="shared" si="49"/>
        <v>14.7</v>
      </c>
      <c r="AU1272" s="288"/>
      <c r="AV1272" s="290"/>
      <c r="AW1272" s="285"/>
      <c r="AX1272" s="295"/>
      <c r="AY1272" s="295"/>
      <c r="AZ1272" s="357"/>
      <c r="BA1272" s="357"/>
      <c r="BB1272" s="357"/>
      <c r="BC1272" s="357"/>
    </row>
    <row r="1273" spans="1:55" s="24" customFormat="1">
      <c r="A1273" s="179"/>
      <c r="B1273" s="179"/>
      <c r="C1273" s="179"/>
      <c r="D1273" s="181">
        <v>322563</v>
      </c>
      <c r="E1273" s="181"/>
      <c r="F1273" s="181"/>
      <c r="G1273" s="1110">
        <v>322563</v>
      </c>
      <c r="H1273" s="135" t="s">
        <v>1784</v>
      </c>
      <c r="I1273" s="518" t="s">
        <v>365</v>
      </c>
      <c r="J1273" s="736">
        <v>0</v>
      </c>
      <c r="K1273" s="734"/>
      <c r="L1273" s="735"/>
      <c r="M1273" s="736">
        <v>0</v>
      </c>
      <c r="N1273" s="734"/>
      <c r="O1273" s="735"/>
      <c r="P1273" s="736">
        <v>0</v>
      </c>
      <c r="Q1273" s="734"/>
      <c r="R1273" s="735"/>
      <c r="S1273" s="736">
        <v>0</v>
      </c>
      <c r="T1273" s="734"/>
      <c r="U1273" s="735"/>
      <c r="V1273" s="736">
        <v>0</v>
      </c>
      <c r="W1273" s="734"/>
      <c r="X1273" s="735"/>
      <c r="Y1273" s="736">
        <v>0</v>
      </c>
      <c r="Z1273" s="734"/>
      <c r="AA1273" s="735"/>
      <c r="AB1273" s="736">
        <v>0</v>
      </c>
      <c r="AC1273" s="734"/>
      <c r="AD1273" s="735"/>
      <c r="AE1273" s="736">
        <v>0</v>
      </c>
      <c r="AF1273" s="734"/>
      <c r="AG1273" s="735"/>
      <c r="AH1273" s="736">
        <v>0</v>
      </c>
      <c r="AI1273" s="734"/>
      <c r="AJ1273" s="735"/>
      <c r="AK1273" s="736">
        <v>0</v>
      </c>
      <c r="AL1273" s="734"/>
      <c r="AM1273" s="735"/>
      <c r="AN1273" s="736">
        <v>0</v>
      </c>
      <c r="AO1273" s="734"/>
      <c r="AP1273" s="735"/>
      <c r="AQ1273" s="736">
        <v>0</v>
      </c>
      <c r="AR1273" s="288"/>
      <c r="AS1273" s="289"/>
      <c r="AT1273" s="294">
        <f t="shared" si="49"/>
        <v>0</v>
      </c>
      <c r="AU1273" s="288"/>
      <c r="AV1273" s="290"/>
      <c r="AW1273" s="285"/>
      <c r="AX1273" s="295"/>
      <c r="AY1273" s="295"/>
      <c r="AZ1273" s="357"/>
      <c r="BA1273" s="357"/>
      <c r="BB1273" s="357"/>
      <c r="BC1273" s="357"/>
    </row>
    <row r="1274" spans="1:55" s="110" customFormat="1">
      <c r="A1274" s="179"/>
      <c r="B1274" s="179"/>
      <c r="C1274" s="179"/>
      <c r="D1274" s="181">
        <v>322544</v>
      </c>
      <c r="E1274" s="181"/>
      <c r="F1274" s="181"/>
      <c r="G1274" s="1110">
        <v>322544</v>
      </c>
      <c r="H1274" s="135" t="s">
        <v>1785</v>
      </c>
      <c r="I1274" s="518" t="s">
        <v>365</v>
      </c>
      <c r="J1274" s="736">
        <v>0</v>
      </c>
      <c r="K1274" s="734"/>
      <c r="L1274" s="735"/>
      <c r="M1274" s="736">
        <v>0</v>
      </c>
      <c r="N1274" s="734"/>
      <c r="O1274" s="735"/>
      <c r="P1274" s="736">
        <v>0</v>
      </c>
      <c r="Q1274" s="734"/>
      <c r="R1274" s="735"/>
      <c r="S1274" s="736">
        <v>0</v>
      </c>
      <c r="T1274" s="734"/>
      <c r="U1274" s="735"/>
      <c r="V1274" s="736">
        <v>0</v>
      </c>
      <c r="W1274" s="734"/>
      <c r="X1274" s="735"/>
      <c r="Y1274" s="736">
        <v>0</v>
      </c>
      <c r="Z1274" s="734"/>
      <c r="AA1274" s="735"/>
      <c r="AB1274" s="736">
        <v>0.06</v>
      </c>
      <c r="AC1274" s="734"/>
      <c r="AD1274" s="735"/>
      <c r="AE1274" s="736">
        <v>5.2</v>
      </c>
      <c r="AF1274" s="734"/>
      <c r="AG1274" s="735"/>
      <c r="AH1274" s="736">
        <v>5.5</v>
      </c>
      <c r="AI1274" s="734"/>
      <c r="AJ1274" s="735"/>
      <c r="AK1274" s="736">
        <v>5.5</v>
      </c>
      <c r="AL1274" s="734"/>
      <c r="AM1274" s="735"/>
      <c r="AN1274" s="736">
        <v>5.0999999999999996</v>
      </c>
      <c r="AO1274" s="734"/>
      <c r="AP1274" s="735"/>
      <c r="AQ1274" s="736">
        <v>1.6</v>
      </c>
      <c r="AR1274" s="288"/>
      <c r="AS1274" s="289"/>
      <c r="AT1274" s="294">
        <f t="shared" si="49"/>
        <v>22.96</v>
      </c>
      <c r="AU1274" s="288"/>
      <c r="AV1274" s="290"/>
      <c r="AW1274" s="285"/>
      <c r="AX1274" s="295"/>
      <c r="AY1274" s="295"/>
      <c r="AZ1274" s="356"/>
      <c r="BA1274" s="356"/>
      <c r="BB1274" s="356"/>
      <c r="BC1274" s="356"/>
    </row>
    <row r="1275" spans="1:55" s="110" customFormat="1">
      <c r="A1275" s="179"/>
      <c r="B1275" s="179"/>
      <c r="C1275" s="179"/>
      <c r="D1275" s="181">
        <v>322568</v>
      </c>
      <c r="E1275" s="181"/>
      <c r="F1275" s="181"/>
      <c r="G1275" s="1110">
        <v>322568</v>
      </c>
      <c r="H1275" s="135" t="s">
        <v>1786</v>
      </c>
      <c r="I1275" s="518" t="s">
        <v>365</v>
      </c>
      <c r="J1275" s="736">
        <v>0</v>
      </c>
      <c r="K1275" s="734"/>
      <c r="L1275" s="735"/>
      <c r="M1275" s="736">
        <v>0</v>
      </c>
      <c r="N1275" s="734"/>
      <c r="O1275" s="735"/>
      <c r="P1275" s="736">
        <v>0</v>
      </c>
      <c r="Q1275" s="734"/>
      <c r="R1275" s="735"/>
      <c r="S1275" s="736">
        <v>0</v>
      </c>
      <c r="T1275" s="734"/>
      <c r="U1275" s="735"/>
      <c r="V1275" s="736">
        <v>0</v>
      </c>
      <c r="W1275" s="734"/>
      <c r="X1275" s="735"/>
      <c r="Y1275" s="736">
        <v>0</v>
      </c>
      <c r="Z1275" s="734"/>
      <c r="AA1275" s="735"/>
      <c r="AB1275" s="736">
        <v>0</v>
      </c>
      <c r="AC1275" s="734"/>
      <c r="AD1275" s="735"/>
      <c r="AE1275" s="736">
        <v>2.8</v>
      </c>
      <c r="AF1275" s="734"/>
      <c r="AG1275" s="735"/>
      <c r="AH1275" s="736">
        <v>3.9</v>
      </c>
      <c r="AI1275" s="734"/>
      <c r="AJ1275" s="735"/>
      <c r="AK1275" s="736">
        <v>3.8</v>
      </c>
      <c r="AL1275" s="734"/>
      <c r="AM1275" s="735"/>
      <c r="AN1275" s="736">
        <v>2.8</v>
      </c>
      <c r="AO1275" s="734"/>
      <c r="AP1275" s="735"/>
      <c r="AQ1275" s="736">
        <v>0</v>
      </c>
      <c r="AR1275" s="288"/>
      <c r="AS1275" s="289"/>
      <c r="AT1275" s="294">
        <f t="shared" si="49"/>
        <v>13.3</v>
      </c>
      <c r="AU1275" s="288"/>
      <c r="AV1275" s="290"/>
      <c r="AW1275" s="285"/>
      <c r="AX1275" s="295"/>
      <c r="AY1275" s="295"/>
      <c r="AZ1275" s="356"/>
      <c r="BA1275" s="356"/>
      <c r="BB1275" s="356"/>
      <c r="BC1275" s="356"/>
    </row>
    <row r="1276" spans="1:55" s="110" customFormat="1">
      <c r="A1276" s="179"/>
      <c r="B1276" s="179"/>
      <c r="C1276" s="179"/>
      <c r="D1276" s="181">
        <v>322503</v>
      </c>
      <c r="E1276" s="181"/>
      <c r="F1276" s="181"/>
      <c r="G1276" s="1110">
        <v>322536</v>
      </c>
      <c r="H1276" s="135" t="s">
        <v>1787</v>
      </c>
      <c r="I1276" s="518" t="s">
        <v>365</v>
      </c>
      <c r="J1276" s="736">
        <v>15.035</v>
      </c>
      <c r="K1276" s="734"/>
      <c r="L1276" s="735"/>
      <c r="M1276" s="736">
        <v>13.704288</v>
      </c>
      <c r="N1276" s="734"/>
      <c r="O1276" s="735"/>
      <c r="P1276" s="736">
        <v>15.03528</v>
      </c>
      <c r="Q1276" s="734"/>
      <c r="R1276" s="735"/>
      <c r="S1276" s="736">
        <v>14.69</v>
      </c>
      <c r="T1276" s="734"/>
      <c r="U1276" s="735"/>
      <c r="V1276" s="736">
        <v>13.224</v>
      </c>
      <c r="W1276" s="734"/>
      <c r="X1276" s="735"/>
      <c r="Y1276" s="736">
        <v>10.58</v>
      </c>
      <c r="Z1276" s="734"/>
      <c r="AA1276" s="735"/>
      <c r="AB1276" s="736">
        <v>15.03528</v>
      </c>
      <c r="AC1276" s="734"/>
      <c r="AD1276" s="735"/>
      <c r="AE1276" s="736">
        <v>15.04</v>
      </c>
      <c r="AF1276" s="734"/>
      <c r="AG1276" s="735"/>
      <c r="AH1276" s="736">
        <v>14.54232</v>
      </c>
      <c r="AI1276" s="734"/>
      <c r="AJ1276" s="735"/>
      <c r="AK1276" s="736">
        <v>15.04</v>
      </c>
      <c r="AL1276" s="734"/>
      <c r="AM1276" s="735"/>
      <c r="AN1276" s="736">
        <v>14.54232</v>
      </c>
      <c r="AO1276" s="734"/>
      <c r="AP1276" s="735"/>
      <c r="AQ1276" s="736">
        <v>15.03528</v>
      </c>
      <c r="AR1276" s="288"/>
      <c r="AS1276" s="289"/>
      <c r="AT1276" s="294">
        <f t="shared" si="49"/>
        <v>171.50376800000001</v>
      </c>
      <c r="AU1276" s="288"/>
      <c r="AV1276" s="290"/>
      <c r="AW1276" s="285"/>
      <c r="AX1276" s="295"/>
      <c r="AY1276" s="295"/>
      <c r="AZ1276" s="356"/>
      <c r="BA1276" s="356"/>
      <c r="BB1276" s="356"/>
      <c r="BC1276" s="356"/>
    </row>
    <row r="1277" spans="1:55" s="24" customFormat="1">
      <c r="A1277" s="179"/>
      <c r="B1277" s="179"/>
      <c r="C1277" s="179"/>
      <c r="D1277" s="181">
        <v>322511</v>
      </c>
      <c r="E1277" s="181"/>
      <c r="F1277" s="181"/>
      <c r="G1277" s="1110">
        <v>322503</v>
      </c>
      <c r="H1277" s="135" t="s">
        <v>1788</v>
      </c>
      <c r="I1277" s="518" t="s">
        <v>365</v>
      </c>
      <c r="J1277" s="736">
        <v>0</v>
      </c>
      <c r="K1277" s="734"/>
      <c r="L1277" s="735"/>
      <c r="M1277" s="736">
        <v>0</v>
      </c>
      <c r="N1277" s="734"/>
      <c r="O1277" s="735"/>
      <c r="P1277" s="736">
        <v>0</v>
      </c>
      <c r="Q1277" s="734"/>
      <c r="R1277" s="735"/>
      <c r="S1277" s="736">
        <v>0</v>
      </c>
      <c r="T1277" s="734"/>
      <c r="U1277" s="735"/>
      <c r="V1277" s="736">
        <v>0</v>
      </c>
      <c r="W1277" s="734"/>
      <c r="X1277" s="735"/>
      <c r="Y1277" s="736">
        <v>0</v>
      </c>
      <c r="Z1277" s="734"/>
      <c r="AA1277" s="735"/>
      <c r="AB1277" s="736">
        <v>0</v>
      </c>
      <c r="AC1277" s="734"/>
      <c r="AD1277" s="735"/>
      <c r="AE1277" s="736">
        <v>0</v>
      </c>
      <c r="AF1277" s="734"/>
      <c r="AG1277" s="735"/>
      <c r="AH1277" s="736">
        <v>0</v>
      </c>
      <c r="AI1277" s="734"/>
      <c r="AJ1277" s="735"/>
      <c r="AK1277" s="736">
        <v>0</v>
      </c>
      <c r="AL1277" s="734"/>
      <c r="AM1277" s="735"/>
      <c r="AN1277" s="736">
        <v>0</v>
      </c>
      <c r="AO1277" s="734"/>
      <c r="AP1277" s="735"/>
      <c r="AQ1277" s="736">
        <v>0</v>
      </c>
      <c r="AR1277" s="288"/>
      <c r="AS1277" s="289"/>
      <c r="AT1277" s="294">
        <f t="shared" si="49"/>
        <v>0</v>
      </c>
      <c r="AU1277" s="288"/>
      <c r="AV1277" s="290"/>
      <c r="AW1277" s="285"/>
      <c r="AX1277" s="295"/>
      <c r="AY1277" s="295"/>
      <c r="AZ1277" s="357"/>
      <c r="BA1277" s="357"/>
      <c r="BB1277" s="357"/>
      <c r="BC1277" s="357"/>
    </row>
    <row r="1278" spans="1:55" s="24" customFormat="1">
      <c r="A1278" s="179"/>
      <c r="B1278" s="179"/>
      <c r="C1278" s="179"/>
      <c r="D1278" s="181">
        <v>777134</v>
      </c>
      <c r="E1278" s="181"/>
      <c r="F1278" s="181"/>
      <c r="G1278" s="1110">
        <v>322511</v>
      </c>
      <c r="H1278" s="135" t="s">
        <v>1789</v>
      </c>
      <c r="I1278" s="518" t="s">
        <v>365</v>
      </c>
      <c r="J1278" s="736">
        <v>0</v>
      </c>
      <c r="K1278" s="734"/>
      <c r="L1278" s="735"/>
      <c r="M1278" s="736">
        <v>0</v>
      </c>
      <c r="N1278" s="734"/>
      <c r="O1278" s="735"/>
      <c r="P1278" s="736">
        <v>0</v>
      </c>
      <c r="Q1278" s="734"/>
      <c r="R1278" s="735"/>
      <c r="S1278" s="736">
        <v>0</v>
      </c>
      <c r="T1278" s="734"/>
      <c r="U1278" s="735"/>
      <c r="V1278" s="736">
        <v>0</v>
      </c>
      <c r="W1278" s="734"/>
      <c r="X1278" s="735"/>
      <c r="Y1278" s="736">
        <v>0</v>
      </c>
      <c r="Z1278" s="734"/>
      <c r="AA1278" s="735"/>
      <c r="AB1278" s="736">
        <v>0</v>
      </c>
      <c r="AC1278" s="734"/>
      <c r="AD1278" s="735"/>
      <c r="AE1278" s="736">
        <v>0</v>
      </c>
      <c r="AF1278" s="734"/>
      <c r="AG1278" s="735"/>
      <c r="AH1278" s="736">
        <v>0</v>
      </c>
      <c r="AI1278" s="734"/>
      <c r="AJ1278" s="735"/>
      <c r="AK1278" s="736">
        <v>0</v>
      </c>
      <c r="AL1278" s="734"/>
      <c r="AM1278" s="735"/>
      <c r="AN1278" s="736">
        <v>0</v>
      </c>
      <c r="AO1278" s="734"/>
      <c r="AP1278" s="735"/>
      <c r="AQ1278" s="736">
        <v>0</v>
      </c>
      <c r="AR1278" s="288"/>
      <c r="AS1278" s="289"/>
      <c r="AT1278" s="294">
        <f t="shared" si="49"/>
        <v>0</v>
      </c>
      <c r="AU1278" s="288"/>
      <c r="AV1278" s="290"/>
      <c r="AW1278" s="285"/>
      <c r="AX1278" s="295"/>
      <c r="AY1278" s="295"/>
      <c r="AZ1278" s="357"/>
      <c r="BA1278" s="357"/>
      <c r="BB1278" s="357"/>
      <c r="BC1278" s="357"/>
    </row>
    <row r="1279" spans="1:55" s="24" customFormat="1">
      <c r="A1279" s="179"/>
      <c r="B1279" s="179"/>
      <c r="C1279" s="179"/>
      <c r="D1279" s="181">
        <v>322575</v>
      </c>
      <c r="E1279" s="181"/>
      <c r="F1279" s="181"/>
      <c r="G1279" s="1110">
        <v>777134</v>
      </c>
      <c r="H1279" s="135" t="s">
        <v>1790</v>
      </c>
      <c r="I1279" s="518" t="s">
        <v>365</v>
      </c>
      <c r="J1279" s="736">
        <v>1.67</v>
      </c>
      <c r="K1279" s="734"/>
      <c r="L1279" s="735"/>
      <c r="M1279" s="736">
        <v>1.55</v>
      </c>
      <c r="N1279" s="734"/>
      <c r="O1279" s="735"/>
      <c r="P1279" s="736">
        <v>1.57</v>
      </c>
      <c r="Q1279" s="734"/>
      <c r="R1279" s="735"/>
      <c r="S1279" s="736">
        <v>1.48</v>
      </c>
      <c r="T1279" s="734"/>
      <c r="U1279" s="735"/>
      <c r="V1279" s="736">
        <v>1.94</v>
      </c>
      <c r="W1279" s="734"/>
      <c r="X1279" s="735"/>
      <c r="Y1279" s="736">
        <v>1.69</v>
      </c>
      <c r="Z1279" s="734"/>
      <c r="AA1279" s="735"/>
      <c r="AB1279" s="736">
        <v>1.65</v>
      </c>
      <c r="AC1279" s="734"/>
      <c r="AD1279" s="735"/>
      <c r="AE1279" s="736">
        <v>1.7</v>
      </c>
      <c r="AF1279" s="734"/>
      <c r="AG1279" s="735"/>
      <c r="AH1279" s="736">
        <v>0</v>
      </c>
      <c r="AI1279" s="734"/>
      <c r="AJ1279" s="735"/>
      <c r="AK1279" s="736">
        <v>1.8</v>
      </c>
      <c r="AL1279" s="734"/>
      <c r="AM1279" s="735"/>
      <c r="AN1279" s="736">
        <v>1.51</v>
      </c>
      <c r="AO1279" s="734"/>
      <c r="AP1279" s="735"/>
      <c r="AQ1279" s="736">
        <v>1.51</v>
      </c>
      <c r="AR1279" s="288"/>
      <c r="AS1279" s="289"/>
      <c r="AT1279" s="294">
        <f t="shared" si="49"/>
        <v>18.07</v>
      </c>
      <c r="AU1279" s="288"/>
      <c r="AV1279" s="290"/>
      <c r="AW1279" s="285"/>
      <c r="AX1279" s="295"/>
      <c r="AY1279" s="295"/>
      <c r="AZ1279" s="357"/>
      <c r="BA1279" s="357"/>
      <c r="BB1279" s="357"/>
      <c r="BC1279" s="357"/>
    </row>
    <row r="1280" spans="1:55" s="24" customFormat="1">
      <c r="A1280" s="179"/>
      <c r="B1280" s="179"/>
      <c r="C1280" s="179"/>
      <c r="D1280" s="181">
        <v>322573</v>
      </c>
      <c r="E1280" s="181"/>
      <c r="F1280" s="181"/>
      <c r="G1280" s="1110">
        <v>322575</v>
      </c>
      <c r="H1280" s="135" t="s">
        <v>870</v>
      </c>
      <c r="I1280" s="518" t="s">
        <v>365</v>
      </c>
      <c r="J1280" s="736">
        <v>11.12</v>
      </c>
      <c r="K1280" s="734"/>
      <c r="L1280" s="735"/>
      <c r="M1280" s="736">
        <v>14.72</v>
      </c>
      <c r="N1280" s="734"/>
      <c r="O1280" s="735"/>
      <c r="P1280" s="736">
        <v>20.3</v>
      </c>
      <c r="Q1280" s="734"/>
      <c r="R1280" s="735"/>
      <c r="S1280" s="736">
        <v>22.55</v>
      </c>
      <c r="T1280" s="734"/>
      <c r="U1280" s="735"/>
      <c r="V1280" s="736">
        <v>16.88</v>
      </c>
      <c r="W1280" s="734"/>
      <c r="X1280" s="735"/>
      <c r="Y1280" s="736">
        <v>28.22</v>
      </c>
      <c r="Z1280" s="734"/>
      <c r="AA1280" s="735"/>
      <c r="AB1280" s="736">
        <v>27.76</v>
      </c>
      <c r="AC1280" s="734"/>
      <c r="AD1280" s="735"/>
      <c r="AE1280" s="736">
        <v>86.27</v>
      </c>
      <c r="AF1280" s="734"/>
      <c r="AG1280" s="735"/>
      <c r="AH1280" s="736">
        <v>85.91</v>
      </c>
      <c r="AI1280" s="734"/>
      <c r="AJ1280" s="735"/>
      <c r="AK1280" s="736">
        <v>86.25</v>
      </c>
      <c r="AL1280" s="734"/>
      <c r="AM1280" s="735"/>
      <c r="AN1280" s="736">
        <v>83.9</v>
      </c>
      <c r="AO1280" s="734"/>
      <c r="AP1280" s="735"/>
      <c r="AQ1280" s="736">
        <v>87.69</v>
      </c>
      <c r="AR1280" s="288"/>
      <c r="AS1280" s="289"/>
      <c r="AT1280" s="294">
        <f t="shared" si="49"/>
        <v>571.56999999999994</v>
      </c>
      <c r="AU1280" s="288"/>
      <c r="AV1280" s="290"/>
      <c r="AW1280" s="285"/>
      <c r="AX1280" s="295"/>
      <c r="AY1280" s="295"/>
      <c r="AZ1280" s="357"/>
      <c r="BA1280" s="357"/>
      <c r="BB1280" s="357"/>
      <c r="BC1280" s="357"/>
    </row>
    <row r="1281" spans="1:55" s="24" customFormat="1">
      <c r="A1281" s="179"/>
      <c r="B1281" s="179"/>
      <c r="C1281" s="179"/>
      <c r="D1281" s="181"/>
      <c r="E1281" s="181"/>
      <c r="F1281" s="181"/>
      <c r="G1281" s="1110">
        <v>322573</v>
      </c>
      <c r="H1281" s="135" t="s">
        <v>1791</v>
      </c>
      <c r="I1281" s="518" t="s">
        <v>365</v>
      </c>
      <c r="J1281" s="736">
        <v>1.1000000000000001</v>
      </c>
      <c r="K1281" s="734"/>
      <c r="L1281" s="735"/>
      <c r="M1281" s="736">
        <v>1.1000000000000001</v>
      </c>
      <c r="N1281" s="734"/>
      <c r="O1281" s="735"/>
      <c r="P1281" s="736">
        <v>0.6</v>
      </c>
      <c r="Q1281" s="734"/>
      <c r="R1281" s="735"/>
      <c r="S1281" s="736">
        <v>0.15</v>
      </c>
      <c r="T1281" s="734"/>
      <c r="U1281" s="735"/>
      <c r="V1281" s="736">
        <v>0</v>
      </c>
      <c r="W1281" s="734"/>
      <c r="X1281" s="735"/>
      <c r="Y1281" s="736">
        <v>0</v>
      </c>
      <c r="Z1281" s="734"/>
      <c r="AA1281" s="735"/>
      <c r="AB1281" s="736">
        <v>0</v>
      </c>
      <c r="AC1281" s="734"/>
      <c r="AD1281" s="735"/>
      <c r="AE1281" s="736">
        <v>0</v>
      </c>
      <c r="AF1281" s="734"/>
      <c r="AG1281" s="735"/>
      <c r="AH1281" s="736">
        <v>0</v>
      </c>
      <c r="AI1281" s="734"/>
      <c r="AJ1281" s="735"/>
      <c r="AK1281" s="736">
        <v>0.5</v>
      </c>
      <c r="AL1281" s="734"/>
      <c r="AM1281" s="735"/>
      <c r="AN1281" s="736">
        <v>0.8</v>
      </c>
      <c r="AO1281" s="734"/>
      <c r="AP1281" s="735"/>
      <c r="AQ1281" s="736">
        <v>0.9</v>
      </c>
      <c r="AR1281" s="288"/>
      <c r="AS1281" s="289"/>
      <c r="AT1281" s="294">
        <f t="shared" si="49"/>
        <v>5.15</v>
      </c>
      <c r="AU1281" s="288"/>
      <c r="AV1281" s="290"/>
      <c r="AW1281" s="285"/>
      <c r="AX1281" s="295"/>
      <c r="AY1281" s="295"/>
      <c r="AZ1281" s="357"/>
      <c r="BA1281" s="357"/>
      <c r="BB1281" s="357"/>
      <c r="BC1281" s="357"/>
    </row>
    <row r="1282" spans="1:55" s="24" customFormat="1">
      <c r="A1282" s="179"/>
      <c r="B1282" s="179"/>
      <c r="C1282" s="179"/>
      <c r="D1282" s="181">
        <v>603</v>
      </c>
      <c r="E1282" s="181"/>
      <c r="F1282" s="181"/>
      <c r="G1282" s="1110">
        <v>603</v>
      </c>
      <c r="H1282" s="527" t="s">
        <v>242</v>
      </c>
      <c r="I1282" s="518" t="s">
        <v>365</v>
      </c>
      <c r="J1282" s="319">
        <f>SUM(J1283:J1287)</f>
        <v>23.887</v>
      </c>
      <c r="K1282" s="307"/>
      <c r="L1282" s="308"/>
      <c r="M1282" s="319">
        <f>SUM(M1283:M1287)</f>
        <v>23.584000000000003</v>
      </c>
      <c r="N1282" s="307"/>
      <c r="O1282" s="308"/>
      <c r="P1282" s="319">
        <f>SUM(P1283:P1287)</f>
        <v>24.154000000000003</v>
      </c>
      <c r="Q1282" s="307"/>
      <c r="R1282" s="308"/>
      <c r="S1282" s="319">
        <f>SUM(S1283:S1287)</f>
        <v>24.070000000000004</v>
      </c>
      <c r="T1282" s="307"/>
      <c r="U1282" s="308"/>
      <c r="V1282" s="319">
        <f>SUM(V1283:V1287)</f>
        <v>24.421000000000003</v>
      </c>
      <c r="W1282" s="307"/>
      <c r="X1282" s="308"/>
      <c r="Y1282" s="319">
        <f>SUM(Y1283:Y1287)</f>
        <v>24.764000000000003</v>
      </c>
      <c r="Z1282" s="307"/>
      <c r="AA1282" s="308"/>
      <c r="AB1282" s="319">
        <f>SUM(AB1283:AB1287)</f>
        <v>25.251000000000001</v>
      </c>
      <c r="AC1282" s="307"/>
      <c r="AD1282" s="308"/>
      <c r="AE1282" s="319">
        <f>SUM(AE1283:AE1287)</f>
        <v>25.306000000000004</v>
      </c>
      <c r="AF1282" s="307"/>
      <c r="AG1282" s="308"/>
      <c r="AH1282" s="319">
        <f>SUM(AH1283:AH1287)</f>
        <v>24.634000000000004</v>
      </c>
      <c r="AI1282" s="307"/>
      <c r="AJ1282" s="308"/>
      <c r="AK1282" s="319">
        <f>SUM(AK1283:AK1287)</f>
        <v>24.432000000000002</v>
      </c>
      <c r="AL1282" s="307"/>
      <c r="AM1282" s="308"/>
      <c r="AN1282" s="319">
        <f>SUM(AN1283:AN1287)</f>
        <v>24.304000000000002</v>
      </c>
      <c r="AO1282" s="307"/>
      <c r="AP1282" s="308"/>
      <c r="AQ1282" s="319">
        <f>SUM(AQ1283:AQ1287)</f>
        <v>24.282000000000004</v>
      </c>
      <c r="AR1282" s="307"/>
      <c r="AS1282" s="308"/>
      <c r="AT1282" s="319">
        <f>SUM(AT1283:AT1287)</f>
        <v>293.089</v>
      </c>
      <c r="AU1282" s="307"/>
      <c r="AV1282" s="309"/>
      <c r="AW1282" s="285"/>
      <c r="AX1282" s="292"/>
      <c r="AY1282" s="292"/>
      <c r="AZ1282" s="357"/>
      <c r="BA1282" s="357"/>
      <c r="BB1282" s="357"/>
      <c r="BC1282" s="357"/>
    </row>
    <row r="1283" spans="1:55" s="24" customFormat="1">
      <c r="A1283" s="179"/>
      <c r="B1283" s="179"/>
      <c r="C1283" s="179"/>
      <c r="D1283" s="181"/>
      <c r="E1283" s="181"/>
      <c r="F1283" s="181"/>
      <c r="G1283" s="1110"/>
      <c r="H1283" s="135" t="s">
        <v>232</v>
      </c>
      <c r="I1283" s="518" t="s">
        <v>365</v>
      </c>
      <c r="J1283" s="736">
        <v>0.377</v>
      </c>
      <c r="K1283" s="734"/>
      <c r="L1283" s="735"/>
      <c r="M1283" s="736">
        <v>0.34399999999999997</v>
      </c>
      <c r="N1283" s="734"/>
      <c r="O1283" s="735"/>
      <c r="P1283" s="736">
        <v>0.27400000000000002</v>
      </c>
      <c r="Q1283" s="734"/>
      <c r="R1283" s="735"/>
      <c r="S1283" s="736">
        <v>0.27</v>
      </c>
      <c r="T1283" s="734"/>
      <c r="U1283" s="735"/>
      <c r="V1283" s="736">
        <v>0.191</v>
      </c>
      <c r="W1283" s="734"/>
      <c r="X1283" s="735"/>
      <c r="Y1283" s="736">
        <v>0.28399999999999997</v>
      </c>
      <c r="Z1283" s="734"/>
      <c r="AA1283" s="735"/>
      <c r="AB1283" s="736">
        <v>0.21099999999999999</v>
      </c>
      <c r="AC1283" s="734"/>
      <c r="AD1283" s="735"/>
      <c r="AE1283" s="736">
        <v>0.34599999999999997</v>
      </c>
      <c r="AF1283" s="734"/>
      <c r="AG1283" s="735"/>
      <c r="AH1283" s="736">
        <v>0.28399999999999997</v>
      </c>
      <c r="AI1283" s="734"/>
      <c r="AJ1283" s="735"/>
      <c r="AK1283" s="736">
        <v>0.252</v>
      </c>
      <c r="AL1283" s="734"/>
      <c r="AM1283" s="735"/>
      <c r="AN1283" s="736">
        <v>0.27400000000000002</v>
      </c>
      <c r="AO1283" s="734"/>
      <c r="AP1283" s="735"/>
      <c r="AQ1283" s="736">
        <v>0.29199999999999998</v>
      </c>
      <c r="AR1283" s="288"/>
      <c r="AS1283" s="289"/>
      <c r="AT1283" s="294">
        <f>J1283+M1283+P1283+S1283+V1283+Y1283+AB1283+AE1283+AH1283+AK1283+AN1283+AQ1283</f>
        <v>3.399</v>
      </c>
      <c r="AU1283" s="288"/>
      <c r="AV1283" s="290"/>
      <c r="AW1283" s="285"/>
      <c r="AX1283" s="295"/>
      <c r="AY1283" s="295"/>
      <c r="AZ1283" s="357"/>
      <c r="BA1283" s="357"/>
      <c r="BB1283" s="357"/>
      <c r="BC1283" s="357"/>
    </row>
    <row r="1284" spans="1:55" s="24" customFormat="1">
      <c r="A1284" s="179"/>
      <c r="B1284" s="179"/>
      <c r="C1284" s="179"/>
      <c r="D1284" s="181"/>
      <c r="E1284" s="181"/>
      <c r="F1284" s="181"/>
      <c r="G1284" s="1110"/>
      <c r="H1284" s="135" t="s">
        <v>1160</v>
      </c>
      <c r="I1284" s="518" t="s">
        <v>365</v>
      </c>
      <c r="J1284" s="736">
        <v>1.41</v>
      </c>
      <c r="K1284" s="734"/>
      <c r="L1284" s="735"/>
      <c r="M1284" s="736">
        <v>1.1399999999999999</v>
      </c>
      <c r="N1284" s="734"/>
      <c r="O1284" s="735"/>
      <c r="P1284" s="736">
        <v>1.18</v>
      </c>
      <c r="Q1284" s="734"/>
      <c r="R1284" s="735"/>
      <c r="S1284" s="736">
        <v>1.1000000000000001</v>
      </c>
      <c r="T1284" s="734"/>
      <c r="U1284" s="735"/>
      <c r="V1284" s="736">
        <v>1.53</v>
      </c>
      <c r="W1284" s="734"/>
      <c r="X1284" s="735"/>
      <c r="Y1284" s="736">
        <v>1.78</v>
      </c>
      <c r="Z1284" s="734"/>
      <c r="AA1284" s="735"/>
      <c r="AB1284" s="736">
        <v>2.34</v>
      </c>
      <c r="AC1284" s="734"/>
      <c r="AD1284" s="735"/>
      <c r="AE1284" s="736">
        <v>2.2599999999999998</v>
      </c>
      <c r="AF1284" s="734"/>
      <c r="AG1284" s="735"/>
      <c r="AH1284" s="736">
        <v>1.65</v>
      </c>
      <c r="AI1284" s="734"/>
      <c r="AJ1284" s="735"/>
      <c r="AK1284" s="736">
        <v>1.48</v>
      </c>
      <c r="AL1284" s="734"/>
      <c r="AM1284" s="735"/>
      <c r="AN1284" s="736">
        <v>1.33</v>
      </c>
      <c r="AO1284" s="734"/>
      <c r="AP1284" s="735"/>
      <c r="AQ1284" s="736">
        <v>1.29</v>
      </c>
      <c r="AR1284" s="288"/>
      <c r="AS1284" s="289"/>
      <c r="AT1284" s="294">
        <f>J1284+M1284+P1284+S1284+V1284+Y1284+AB1284+AE1284+AH1284+AK1284+AN1284+AQ1284</f>
        <v>18.490000000000002</v>
      </c>
      <c r="AU1284" s="288"/>
      <c r="AV1284" s="290"/>
      <c r="AW1284" s="285"/>
      <c r="AX1284" s="295"/>
      <c r="AY1284" s="295"/>
      <c r="AZ1284" s="357"/>
      <c r="BA1284" s="357"/>
      <c r="BB1284" s="357"/>
      <c r="BC1284" s="357"/>
    </row>
    <row r="1285" spans="1:55" s="24" customFormat="1">
      <c r="A1285" s="179"/>
      <c r="B1285" s="179"/>
      <c r="C1285" s="179"/>
      <c r="D1285" s="181"/>
      <c r="E1285" s="181"/>
      <c r="F1285" s="181"/>
      <c r="G1285" s="1110"/>
      <c r="H1285" s="135" t="s">
        <v>231</v>
      </c>
      <c r="I1285" s="518" t="s">
        <v>365</v>
      </c>
      <c r="J1285" s="733">
        <v>0</v>
      </c>
      <c r="K1285" s="734"/>
      <c r="L1285" s="735"/>
      <c r="M1285" s="736">
        <v>0</v>
      </c>
      <c r="N1285" s="734"/>
      <c r="O1285" s="735"/>
      <c r="P1285" s="736">
        <v>0</v>
      </c>
      <c r="Q1285" s="734"/>
      <c r="R1285" s="735"/>
      <c r="S1285" s="736">
        <v>0</v>
      </c>
      <c r="T1285" s="734"/>
      <c r="U1285" s="735"/>
      <c r="V1285" s="736">
        <v>0</v>
      </c>
      <c r="W1285" s="734"/>
      <c r="X1285" s="735"/>
      <c r="Y1285" s="736">
        <v>0</v>
      </c>
      <c r="Z1285" s="734"/>
      <c r="AA1285" s="735"/>
      <c r="AB1285" s="736">
        <v>0</v>
      </c>
      <c r="AC1285" s="734"/>
      <c r="AD1285" s="735"/>
      <c r="AE1285" s="736">
        <v>0</v>
      </c>
      <c r="AF1285" s="734"/>
      <c r="AG1285" s="735"/>
      <c r="AH1285" s="736">
        <v>0</v>
      </c>
      <c r="AI1285" s="734"/>
      <c r="AJ1285" s="735"/>
      <c r="AK1285" s="736">
        <v>0</v>
      </c>
      <c r="AL1285" s="734"/>
      <c r="AM1285" s="735"/>
      <c r="AN1285" s="736">
        <v>0</v>
      </c>
      <c r="AO1285" s="734"/>
      <c r="AP1285" s="735"/>
      <c r="AQ1285" s="736">
        <v>0</v>
      </c>
      <c r="AR1285" s="288"/>
      <c r="AS1285" s="289"/>
      <c r="AT1285" s="294">
        <f>J1285+M1285+P1285+S1285+V1285+Y1285+AB1285+AE1285+AH1285+AK1285+AN1285+AQ1285</f>
        <v>0</v>
      </c>
      <c r="AU1285" s="288"/>
      <c r="AV1285" s="290"/>
      <c r="AW1285" s="285"/>
      <c r="AX1285" s="295"/>
      <c r="AY1285" s="295"/>
      <c r="AZ1285" s="357"/>
      <c r="BA1285" s="357"/>
      <c r="BB1285" s="357"/>
      <c r="BC1285" s="357"/>
    </row>
    <row r="1286" spans="1:55" s="24" customFormat="1">
      <c r="A1286" s="179"/>
      <c r="B1286" s="179"/>
      <c r="C1286" s="179"/>
      <c r="D1286" s="181"/>
      <c r="E1286" s="181"/>
      <c r="F1286" s="181"/>
      <c r="G1286" s="1110"/>
      <c r="H1286" s="135" t="s">
        <v>1769</v>
      </c>
      <c r="I1286" s="518" t="s">
        <v>365</v>
      </c>
      <c r="J1286" s="736">
        <v>21</v>
      </c>
      <c r="K1286" s="734"/>
      <c r="L1286" s="735"/>
      <c r="M1286" s="736">
        <v>21</v>
      </c>
      <c r="N1286" s="734"/>
      <c r="O1286" s="735"/>
      <c r="P1286" s="736">
        <v>21.6</v>
      </c>
      <c r="Q1286" s="734"/>
      <c r="R1286" s="735"/>
      <c r="S1286" s="736">
        <v>21.6</v>
      </c>
      <c r="T1286" s="734"/>
      <c r="U1286" s="735"/>
      <c r="V1286" s="736">
        <v>21.6</v>
      </c>
      <c r="W1286" s="734"/>
      <c r="X1286" s="735"/>
      <c r="Y1286" s="736">
        <v>21.6</v>
      </c>
      <c r="Z1286" s="734"/>
      <c r="AA1286" s="735"/>
      <c r="AB1286" s="736">
        <v>21.6</v>
      </c>
      <c r="AC1286" s="734"/>
      <c r="AD1286" s="735"/>
      <c r="AE1286" s="736">
        <v>21.6</v>
      </c>
      <c r="AF1286" s="734"/>
      <c r="AG1286" s="735"/>
      <c r="AH1286" s="736">
        <v>21.6</v>
      </c>
      <c r="AI1286" s="734"/>
      <c r="AJ1286" s="735"/>
      <c r="AK1286" s="736">
        <v>21.6</v>
      </c>
      <c r="AL1286" s="734"/>
      <c r="AM1286" s="735"/>
      <c r="AN1286" s="736">
        <v>21.6</v>
      </c>
      <c r="AO1286" s="734"/>
      <c r="AP1286" s="735"/>
      <c r="AQ1286" s="736">
        <v>21.6</v>
      </c>
      <c r="AR1286" s="288"/>
      <c r="AS1286" s="289"/>
      <c r="AT1286" s="294">
        <f t="shared" ref="AT1286:AT1287" si="50">J1286+M1286+P1286+S1286+V1286+Y1286+AB1286+AE1286+AH1286+AK1286+AN1286+AQ1286</f>
        <v>258</v>
      </c>
      <c r="AU1286" s="288"/>
      <c r="AV1286" s="290"/>
      <c r="AW1286" s="285"/>
      <c r="AX1286" s="295"/>
      <c r="AY1286" s="295"/>
      <c r="AZ1286" s="357"/>
      <c r="BA1286" s="357"/>
      <c r="BB1286" s="357"/>
      <c r="BC1286" s="357"/>
    </row>
    <row r="1287" spans="1:55" s="24" customFormat="1">
      <c r="A1287" s="179"/>
      <c r="B1287" s="179"/>
      <c r="C1287" s="179"/>
      <c r="D1287" s="181"/>
      <c r="E1287" s="181"/>
      <c r="F1287" s="181"/>
      <c r="G1287" s="1110"/>
      <c r="H1287" s="135" t="s">
        <v>1770</v>
      </c>
      <c r="I1287" s="518" t="s">
        <v>365</v>
      </c>
      <c r="J1287" s="736">
        <v>1.1000000000000001</v>
      </c>
      <c r="K1287" s="734"/>
      <c r="L1287" s="735"/>
      <c r="M1287" s="736">
        <v>1.1000000000000001</v>
      </c>
      <c r="N1287" s="734"/>
      <c r="O1287" s="735"/>
      <c r="P1287" s="736">
        <v>1.1000000000000001</v>
      </c>
      <c r="Q1287" s="734"/>
      <c r="R1287" s="735"/>
      <c r="S1287" s="736">
        <v>1.1000000000000001</v>
      </c>
      <c r="T1287" s="734"/>
      <c r="U1287" s="735"/>
      <c r="V1287" s="736">
        <v>1.1000000000000001</v>
      </c>
      <c r="W1287" s="734"/>
      <c r="X1287" s="735"/>
      <c r="Y1287" s="736">
        <v>1.1000000000000001</v>
      </c>
      <c r="Z1287" s="734"/>
      <c r="AA1287" s="735"/>
      <c r="AB1287" s="736">
        <v>1.1000000000000001</v>
      </c>
      <c r="AC1287" s="734"/>
      <c r="AD1287" s="735"/>
      <c r="AE1287" s="736">
        <v>1.1000000000000001</v>
      </c>
      <c r="AF1287" s="734"/>
      <c r="AG1287" s="735"/>
      <c r="AH1287" s="736">
        <v>1.1000000000000001</v>
      </c>
      <c r="AI1287" s="734"/>
      <c r="AJ1287" s="735"/>
      <c r="AK1287" s="736">
        <v>1.1000000000000001</v>
      </c>
      <c r="AL1287" s="734"/>
      <c r="AM1287" s="735"/>
      <c r="AN1287" s="736">
        <v>1.1000000000000001</v>
      </c>
      <c r="AO1287" s="734"/>
      <c r="AP1287" s="735"/>
      <c r="AQ1287" s="736">
        <v>1.1000000000000001</v>
      </c>
      <c r="AR1287" s="288"/>
      <c r="AS1287" s="289"/>
      <c r="AT1287" s="294">
        <f t="shared" si="50"/>
        <v>13.199999999999998</v>
      </c>
      <c r="AU1287" s="288"/>
      <c r="AV1287" s="290"/>
      <c r="AW1287" s="285"/>
      <c r="AX1287" s="295"/>
      <c r="AY1287" s="295"/>
      <c r="AZ1287" s="357"/>
      <c r="BA1287" s="357"/>
      <c r="BB1287" s="357"/>
      <c r="BC1287" s="357"/>
    </row>
    <row r="1288" spans="1:55" s="24" customFormat="1" ht="18.75">
      <c r="A1288" s="179"/>
      <c r="B1288" s="179"/>
      <c r="C1288" s="179"/>
      <c r="D1288" s="181">
        <v>323200</v>
      </c>
      <c r="E1288" s="181"/>
      <c r="F1288" s="181"/>
      <c r="G1288" s="181">
        <v>323200</v>
      </c>
      <c r="H1288" s="474" t="s">
        <v>1630</v>
      </c>
      <c r="I1288" s="474"/>
      <c r="J1288" s="277">
        <f>SUM(J1289:J1293)</f>
        <v>3390.8801936999998</v>
      </c>
      <c r="K1288" s="275">
        <f>L1288-J1288</f>
        <v>-1557.0428557888604</v>
      </c>
      <c r="L1288" s="276">
        <f>Потребление!D73</f>
        <v>1833.8373379111395</v>
      </c>
      <c r="M1288" s="274">
        <f>SUM(M1289:M1293)</f>
        <v>3140.9550170700004</v>
      </c>
      <c r="N1288" s="275">
        <f>O1288-M1288</f>
        <v>-1389.2614449654338</v>
      </c>
      <c r="O1288" s="276">
        <f>Потребление!E73</f>
        <v>1751.6935721045666</v>
      </c>
      <c r="P1288" s="274">
        <f>SUM(P1289:P1293)</f>
        <v>3524.4924360000005</v>
      </c>
      <c r="Q1288" s="275">
        <f>R1288-P1288</f>
        <v>-1753.3740293014457</v>
      </c>
      <c r="R1288" s="276">
        <f>Потребление!F73</f>
        <v>1771.1184066985547</v>
      </c>
      <c r="S1288" s="274">
        <f>SUM(S1289:S1293)</f>
        <v>3767.7292642700004</v>
      </c>
      <c r="T1288" s="275">
        <f>U1288-S1288</f>
        <v>-2280.7378701630546</v>
      </c>
      <c r="U1288" s="276">
        <f>Потребление!G73</f>
        <v>1486.9913941069458</v>
      </c>
      <c r="V1288" s="274">
        <f>SUM(V1289:V1293)</f>
        <v>3591.99897538</v>
      </c>
      <c r="W1288" s="275">
        <f>X1288-V1288</f>
        <v>-2232.0075810336466</v>
      </c>
      <c r="X1288" s="276">
        <f>Потребление!H73</f>
        <v>1359.9913943463534</v>
      </c>
      <c r="Y1288" s="274">
        <f>SUM(Y1289:Y1293)</f>
        <v>3391.90130757</v>
      </c>
      <c r="Z1288" s="275">
        <f>AA1288-Y1288</f>
        <v>-1948.7823713201715</v>
      </c>
      <c r="AA1288" s="276">
        <f>Потребление!I73</f>
        <v>1443.1189362498285</v>
      </c>
      <c r="AB1288" s="274">
        <f>SUM(AB1289:AB1293)</f>
        <v>3683.6731836500003</v>
      </c>
      <c r="AC1288" s="275">
        <f>AD1288-AB1288</f>
        <v>-2125.6869747496257</v>
      </c>
      <c r="AD1288" s="276">
        <f>Потребление!J73</f>
        <v>1557.9862089003743</v>
      </c>
      <c r="AE1288" s="274">
        <f>SUM(AE1289:AE1293)</f>
        <v>3715.31629432</v>
      </c>
      <c r="AF1288" s="275">
        <f>AG1288-AE1288</f>
        <v>-2167.6224351347532</v>
      </c>
      <c r="AG1288" s="276">
        <f>Потребление!K73</f>
        <v>1547.6938591852468</v>
      </c>
      <c r="AH1288" s="274">
        <f>SUM(AH1289:AH1293)</f>
        <v>3664.0888123499999</v>
      </c>
      <c r="AI1288" s="275">
        <f>AJ1288-AH1288</f>
        <v>-2285.8852611358898</v>
      </c>
      <c r="AJ1288" s="276">
        <f>Потребление!L73</f>
        <v>1378.2035512141103</v>
      </c>
      <c r="AK1288" s="274">
        <f>SUM(AK1289:AK1293)</f>
        <v>3862.08569102</v>
      </c>
      <c r="AL1288" s="275">
        <f>AM1288-AK1288</f>
        <v>-2289.1359866260459</v>
      </c>
      <c r="AM1288" s="276">
        <f>Потребление!M73</f>
        <v>1572.9497043939541</v>
      </c>
      <c r="AN1288" s="274">
        <f>SUM(AN1289:AN1293)</f>
        <v>3667.3140385900001</v>
      </c>
      <c r="AO1288" s="275">
        <f>AP1288-AN1288</f>
        <v>-1950.7819692895687</v>
      </c>
      <c r="AP1288" s="276">
        <f>Потребление!N73</f>
        <v>1716.5320693004314</v>
      </c>
      <c r="AQ1288" s="274">
        <f>SUM(AQ1289:AQ1293)</f>
        <v>4109.4205944099995</v>
      </c>
      <c r="AR1288" s="275">
        <f>AS1288-AQ1288</f>
        <v>-2198.4370288215068</v>
      </c>
      <c r="AS1288" s="276">
        <f>Потребление!O73</f>
        <v>1910.9835655884926</v>
      </c>
      <c r="AT1288" s="274">
        <f>SUM(AT1289:AT1293)</f>
        <v>43509.855808330001</v>
      </c>
      <c r="AU1288" s="275">
        <f>AV1288-AT1288</f>
        <v>-24178.755808330006</v>
      </c>
      <c r="AV1288" s="278">
        <f>L1288+O1288+R1288+U1288+X1288+AA1288+AD1288+AG1288+AJ1288+AM1288+AP1288+AS1288</f>
        <v>19331.099999999995</v>
      </c>
      <c r="AW1288" s="279"/>
      <c r="AX1288" s="1067">
        <v>19362.653159000001</v>
      </c>
      <c r="AY1288" s="298">
        <f>SUM(AY1289:AY1293)</f>
        <v>42132.429999000007</v>
      </c>
      <c r="AZ1288" s="357"/>
      <c r="BA1288" s="357"/>
      <c r="BB1288" s="357"/>
      <c r="BC1288" s="357"/>
    </row>
    <row r="1289" spans="1:55" s="24" customFormat="1">
      <c r="A1289" s="179"/>
      <c r="B1289" s="179"/>
      <c r="C1289" s="179"/>
      <c r="D1289" s="181"/>
      <c r="E1289" s="181"/>
      <c r="F1289" s="181"/>
      <c r="G1289" s="181"/>
      <c r="H1289" s="124" t="s">
        <v>56</v>
      </c>
      <c r="I1289" s="124"/>
      <c r="J1289" s="365">
        <f>SUM(J1299,J1308:J1308,J1311:J1315)</f>
        <v>1225.4349999999997</v>
      </c>
      <c r="K1289" s="363"/>
      <c r="L1289" s="364"/>
      <c r="M1289" s="362">
        <f>SUM(M1299,M1308:M1308,M1311:M1315)</f>
        <v>1232.5294000000001</v>
      </c>
      <c r="N1289" s="363"/>
      <c r="O1289" s="364"/>
      <c r="P1289" s="362">
        <f>SUM(P1299,P1308:P1308,P1311:P1315)</f>
        <v>1152.4555</v>
      </c>
      <c r="Q1289" s="363"/>
      <c r="R1289" s="364"/>
      <c r="S1289" s="362">
        <f>SUM(S1299,S1308:S1308,S1311:S1315)</f>
        <v>1017.2516999999999</v>
      </c>
      <c r="T1289" s="363"/>
      <c r="U1289" s="364"/>
      <c r="V1289" s="362">
        <f>SUM(V1299,V1308:V1308,V1311:V1315)</f>
        <v>536.12439999999992</v>
      </c>
      <c r="W1289" s="363"/>
      <c r="X1289" s="364"/>
      <c r="Y1289" s="362">
        <f>SUM(Y1299,Y1308:Y1308,Y1311:Y1315)</f>
        <v>556.30679999999995</v>
      </c>
      <c r="Z1289" s="363"/>
      <c r="AA1289" s="364"/>
      <c r="AB1289" s="362">
        <f>SUM(AB1299,AB1308:AB1308,AB1311:AB1315)</f>
        <v>839.46260000000007</v>
      </c>
      <c r="AC1289" s="363"/>
      <c r="AD1289" s="364"/>
      <c r="AE1289" s="362">
        <f>SUM(AE1299,AE1308:AE1308,AE1311:AE1315)</f>
        <v>876.16554999999994</v>
      </c>
      <c r="AF1289" s="363"/>
      <c r="AG1289" s="364"/>
      <c r="AH1289" s="362">
        <f>SUM(AH1299,AH1308:AH1308,AH1311:AH1315)</f>
        <v>819.04840000000002</v>
      </c>
      <c r="AI1289" s="363"/>
      <c r="AJ1289" s="364"/>
      <c r="AK1289" s="362">
        <f>SUM(AK1299,AK1308:AK1308,AK1311:AK1315)</f>
        <v>736.27139999999997</v>
      </c>
      <c r="AL1289" s="363"/>
      <c r="AM1289" s="364"/>
      <c r="AN1289" s="362">
        <f>SUM(AN1299,AN1308:AN1308,AN1311:AN1315)</f>
        <v>1108.8752000000002</v>
      </c>
      <c r="AO1289" s="363"/>
      <c r="AP1289" s="364"/>
      <c r="AQ1289" s="362">
        <f>SUM(AQ1299,AQ1308:AQ1308,AQ1311:AQ1315)</f>
        <v>1197.1431999999998</v>
      </c>
      <c r="AR1289" s="363"/>
      <c r="AS1289" s="364"/>
      <c r="AT1289" s="362">
        <f>SUM(AT1299,AT1308:AT1308,AT1311:AT1315)</f>
        <v>11297.069149999999</v>
      </c>
      <c r="AU1289" s="363"/>
      <c r="AV1289" s="229"/>
      <c r="AW1289" s="226"/>
      <c r="AX1289" s="366"/>
      <c r="AY1289" s="339">
        <f>SUM(AY1299,AY1308:AY1308,AY1310:AY1315)</f>
        <v>11949.030662000001</v>
      </c>
      <c r="AZ1289" s="357"/>
      <c r="BA1289" s="357"/>
      <c r="BB1289" s="357"/>
      <c r="BC1289" s="357"/>
    </row>
    <row r="1290" spans="1:55" s="24" customFormat="1">
      <c r="A1290" s="179"/>
      <c r="B1290" s="179"/>
      <c r="C1290" s="179"/>
      <c r="D1290" s="181"/>
      <c r="E1290" s="181"/>
      <c r="F1290" s="181"/>
      <c r="G1290" s="181"/>
      <c r="H1290" s="124" t="s">
        <v>55</v>
      </c>
      <c r="I1290" s="124"/>
      <c r="J1290" s="365">
        <f>J1309</f>
        <v>36.821193700000002</v>
      </c>
      <c r="K1290" s="363"/>
      <c r="L1290" s="364"/>
      <c r="M1290" s="362">
        <f>M1309</f>
        <v>33.085617069999998</v>
      </c>
      <c r="N1290" s="363"/>
      <c r="O1290" s="364"/>
      <c r="P1290" s="362">
        <f>P1309</f>
        <v>43.053936</v>
      </c>
      <c r="Q1290" s="363"/>
      <c r="R1290" s="364"/>
      <c r="S1290" s="362">
        <f>S1309</f>
        <v>65.195564270000006</v>
      </c>
      <c r="T1290" s="363"/>
      <c r="U1290" s="364"/>
      <c r="V1290" s="362">
        <f>V1309</f>
        <v>79.272575380000006</v>
      </c>
      <c r="W1290" s="363"/>
      <c r="X1290" s="364"/>
      <c r="Y1290" s="362">
        <f>Y1309</f>
        <v>65.326507570000004</v>
      </c>
      <c r="Z1290" s="363"/>
      <c r="AA1290" s="364"/>
      <c r="AB1290" s="362">
        <f>AB1309</f>
        <v>59.375583650000003</v>
      </c>
      <c r="AC1290" s="363"/>
      <c r="AD1290" s="364"/>
      <c r="AE1290" s="362">
        <f>AE1309</f>
        <v>57.895744319999999</v>
      </c>
      <c r="AF1290" s="363"/>
      <c r="AG1290" s="364"/>
      <c r="AH1290" s="362">
        <f>AH1309</f>
        <v>53.416412350000002</v>
      </c>
      <c r="AI1290" s="363"/>
      <c r="AJ1290" s="364"/>
      <c r="AK1290" s="362">
        <f>AK1309</f>
        <v>52.748291020000003</v>
      </c>
      <c r="AL1290" s="363"/>
      <c r="AM1290" s="364"/>
      <c r="AN1290" s="362">
        <f>AN1309</f>
        <v>47.522838589999999</v>
      </c>
      <c r="AO1290" s="363"/>
      <c r="AP1290" s="364"/>
      <c r="AQ1290" s="362">
        <f>AQ1309</f>
        <v>39.157394410000002</v>
      </c>
      <c r="AR1290" s="363"/>
      <c r="AS1290" s="364"/>
      <c r="AT1290" s="362">
        <f>AT1309</f>
        <v>632.87165833000006</v>
      </c>
      <c r="AU1290" s="363"/>
      <c r="AV1290" s="229"/>
      <c r="AW1290" s="226"/>
      <c r="AX1290" s="366"/>
      <c r="AY1290" s="339">
        <f>AY1309</f>
        <v>800.68237599999998</v>
      </c>
      <c r="AZ1290" s="357"/>
      <c r="BA1290" s="357"/>
      <c r="BB1290" s="357"/>
      <c r="BC1290" s="357"/>
    </row>
    <row r="1291" spans="1:55" s="24" customFormat="1">
      <c r="A1291" s="179"/>
      <c r="B1291" s="179"/>
      <c r="C1291" s="179"/>
      <c r="D1291" s="181"/>
      <c r="E1291" s="181"/>
      <c r="F1291" s="181"/>
      <c r="G1291" s="181"/>
      <c r="H1291" s="124" t="s">
        <v>98</v>
      </c>
      <c r="I1291" s="124"/>
      <c r="J1291" s="365">
        <f>J1294</f>
        <v>2067</v>
      </c>
      <c r="K1291" s="363"/>
      <c r="L1291" s="364"/>
      <c r="M1291" s="362">
        <f>M1294</f>
        <v>1836</v>
      </c>
      <c r="N1291" s="363"/>
      <c r="O1291" s="364"/>
      <c r="P1291" s="362">
        <f>P1294</f>
        <v>2258</v>
      </c>
      <c r="Q1291" s="363"/>
      <c r="R1291" s="364"/>
      <c r="S1291" s="362">
        <f>S1294</f>
        <v>2598</v>
      </c>
      <c r="T1291" s="363"/>
      <c r="U1291" s="364"/>
      <c r="V1291" s="362">
        <f>V1294</f>
        <v>2900</v>
      </c>
      <c r="W1291" s="363"/>
      <c r="X1291" s="364"/>
      <c r="Y1291" s="362">
        <f>Y1294</f>
        <v>2702</v>
      </c>
      <c r="Z1291" s="363"/>
      <c r="AA1291" s="364"/>
      <c r="AB1291" s="362">
        <f>AB1294</f>
        <v>2738</v>
      </c>
      <c r="AC1291" s="363"/>
      <c r="AD1291" s="364"/>
      <c r="AE1291" s="362">
        <f>AE1294</f>
        <v>2739</v>
      </c>
      <c r="AF1291" s="363"/>
      <c r="AG1291" s="364"/>
      <c r="AH1291" s="362">
        <f>AH1294</f>
        <v>2746</v>
      </c>
      <c r="AI1291" s="363"/>
      <c r="AJ1291" s="364"/>
      <c r="AK1291" s="362">
        <f>AK1294</f>
        <v>3028</v>
      </c>
      <c r="AL1291" s="363"/>
      <c r="AM1291" s="364"/>
      <c r="AN1291" s="362">
        <f>AN1294</f>
        <v>2452</v>
      </c>
      <c r="AO1291" s="363"/>
      <c r="AP1291" s="364"/>
      <c r="AQ1291" s="362">
        <f>AQ1294</f>
        <v>2786</v>
      </c>
      <c r="AR1291" s="363"/>
      <c r="AS1291" s="364"/>
      <c r="AT1291" s="362">
        <f>AT1294</f>
        <v>30850</v>
      </c>
      <c r="AU1291" s="363"/>
      <c r="AV1291" s="229"/>
      <c r="AW1291" s="226"/>
      <c r="AX1291" s="366"/>
      <c r="AY1291" s="339">
        <f>AY1294</f>
        <v>29369.594080999999</v>
      </c>
      <c r="AZ1291" s="357"/>
      <c r="BA1291" s="357"/>
      <c r="BB1291" s="357"/>
      <c r="BC1291" s="357"/>
    </row>
    <row r="1292" spans="1:55" s="24" customFormat="1">
      <c r="A1292" s="179"/>
      <c r="B1292" s="179"/>
      <c r="C1292" s="179"/>
      <c r="D1292" s="181"/>
      <c r="E1292" s="181"/>
      <c r="F1292" s="181"/>
      <c r="G1292" s="181"/>
      <c r="H1292" s="467" t="s">
        <v>346</v>
      </c>
      <c r="I1292" s="124"/>
      <c r="J1292" s="365">
        <f>SUM(J1316:J1319)</f>
        <v>58.124000000000002</v>
      </c>
      <c r="K1292" s="363"/>
      <c r="L1292" s="364"/>
      <c r="M1292" s="365">
        <f>SUM(M1316:M1319)</f>
        <v>36.840000000000003</v>
      </c>
      <c r="N1292" s="363"/>
      <c r="O1292" s="364"/>
      <c r="P1292" s="365">
        <f>SUM(P1316:P1319)</f>
        <v>68.483000000000004</v>
      </c>
      <c r="Q1292" s="363"/>
      <c r="R1292" s="364"/>
      <c r="S1292" s="365">
        <f>SUM(S1316:S1319)</f>
        <v>86.981999999999999</v>
      </c>
      <c r="T1292" s="363"/>
      <c r="U1292" s="364"/>
      <c r="V1292" s="365">
        <f>SUM(V1316:V1319)</f>
        <v>76.60199999999999</v>
      </c>
      <c r="W1292" s="363"/>
      <c r="X1292" s="364"/>
      <c r="Y1292" s="365">
        <f>SUM(Y1316:Y1319)</f>
        <v>68.268000000000001</v>
      </c>
      <c r="Z1292" s="363"/>
      <c r="AA1292" s="364"/>
      <c r="AB1292" s="365">
        <f>SUM(AB1316:AB1319)</f>
        <v>46.835000000000001</v>
      </c>
      <c r="AC1292" s="363"/>
      <c r="AD1292" s="364"/>
      <c r="AE1292" s="365">
        <f>SUM(AE1316:AE1319)</f>
        <v>42.254999999999995</v>
      </c>
      <c r="AF1292" s="363"/>
      <c r="AG1292" s="364"/>
      <c r="AH1292" s="365">
        <f>SUM(AH1316:AH1319)</f>
        <v>45.624000000000002</v>
      </c>
      <c r="AI1292" s="363"/>
      <c r="AJ1292" s="364"/>
      <c r="AK1292" s="365">
        <f>SUM(AK1316:AK1319)</f>
        <v>45.066000000000003</v>
      </c>
      <c r="AL1292" s="363"/>
      <c r="AM1292" s="364"/>
      <c r="AN1292" s="365">
        <f>SUM(AN1316:AN1319)</f>
        <v>57.215999999999994</v>
      </c>
      <c r="AO1292" s="363"/>
      <c r="AP1292" s="364"/>
      <c r="AQ1292" s="365">
        <f>SUM(AQ1316:AQ1319)</f>
        <v>84.62</v>
      </c>
      <c r="AR1292" s="363"/>
      <c r="AS1292" s="364"/>
      <c r="AT1292" s="365">
        <f>SUM(AT1316:AT1319)</f>
        <v>716.91499999999985</v>
      </c>
      <c r="AU1292" s="363"/>
      <c r="AV1292" s="229"/>
      <c r="AW1292" s="226"/>
      <c r="AX1292" s="366"/>
      <c r="AY1292" s="339"/>
      <c r="AZ1292" s="357"/>
      <c r="BA1292" s="357"/>
      <c r="BB1292" s="357"/>
      <c r="BC1292" s="357"/>
    </row>
    <row r="1293" spans="1:55" s="110" customFormat="1">
      <c r="A1293" s="179"/>
      <c r="B1293" s="179"/>
      <c r="C1293" s="179"/>
      <c r="D1293" s="181"/>
      <c r="E1293" s="181"/>
      <c r="F1293" s="181"/>
      <c r="G1293" s="181"/>
      <c r="H1293" s="124" t="s">
        <v>99</v>
      </c>
      <c r="I1293" s="124"/>
      <c r="J1293" s="365">
        <f>J1320</f>
        <v>3.5</v>
      </c>
      <c r="K1293" s="363"/>
      <c r="L1293" s="364"/>
      <c r="M1293" s="362">
        <f>M1320</f>
        <v>2.5</v>
      </c>
      <c r="N1293" s="363"/>
      <c r="O1293" s="364"/>
      <c r="P1293" s="362">
        <f>P1320</f>
        <v>2.5</v>
      </c>
      <c r="Q1293" s="363"/>
      <c r="R1293" s="364"/>
      <c r="S1293" s="362">
        <f>S1320</f>
        <v>0.3</v>
      </c>
      <c r="T1293" s="363"/>
      <c r="U1293" s="364"/>
      <c r="V1293" s="362">
        <f>V1320</f>
        <v>0</v>
      </c>
      <c r="W1293" s="363"/>
      <c r="X1293" s="364"/>
      <c r="Y1293" s="362">
        <f>Y1320</f>
        <v>0</v>
      </c>
      <c r="Z1293" s="363"/>
      <c r="AA1293" s="364"/>
      <c r="AB1293" s="362">
        <f>AB1320</f>
        <v>0</v>
      </c>
      <c r="AC1293" s="363"/>
      <c r="AD1293" s="364"/>
      <c r="AE1293" s="362">
        <f>AE1320</f>
        <v>0</v>
      </c>
      <c r="AF1293" s="363"/>
      <c r="AG1293" s="364"/>
      <c r="AH1293" s="362">
        <f>AH1320</f>
        <v>0</v>
      </c>
      <c r="AI1293" s="363"/>
      <c r="AJ1293" s="364"/>
      <c r="AK1293" s="362">
        <f>AK1320</f>
        <v>0</v>
      </c>
      <c r="AL1293" s="363"/>
      <c r="AM1293" s="364"/>
      <c r="AN1293" s="362">
        <f>AN1320</f>
        <v>1.7</v>
      </c>
      <c r="AO1293" s="363"/>
      <c r="AP1293" s="364"/>
      <c r="AQ1293" s="362">
        <f>AQ1320</f>
        <v>2.5</v>
      </c>
      <c r="AR1293" s="363"/>
      <c r="AS1293" s="364"/>
      <c r="AT1293" s="362">
        <f>AT1320</f>
        <v>13</v>
      </c>
      <c r="AU1293" s="363"/>
      <c r="AV1293" s="229"/>
      <c r="AW1293" s="226"/>
      <c r="AX1293" s="366"/>
      <c r="AY1293" s="339">
        <f>AY1320</f>
        <v>13.12288</v>
      </c>
      <c r="AZ1293" s="356"/>
      <c r="BA1293" s="356"/>
      <c r="BB1293" s="356"/>
      <c r="BC1293" s="356"/>
    </row>
    <row r="1294" spans="1:55" s="110" customFormat="1">
      <c r="A1294" s="1116"/>
      <c r="B1294" s="1116"/>
      <c r="C1294" s="1116"/>
      <c r="D1294" s="1110">
        <v>370097</v>
      </c>
      <c r="E1294" s="1110"/>
      <c r="F1294" s="1110"/>
      <c r="G1294" s="1110">
        <v>370097</v>
      </c>
      <c r="H1294" s="134" t="s">
        <v>1009</v>
      </c>
      <c r="I1294" s="516" t="s">
        <v>364</v>
      </c>
      <c r="J1294" s="262">
        <f>SUM(J1295:J1298)</f>
        <v>2067</v>
      </c>
      <c r="K1294" s="246"/>
      <c r="L1294" s="282"/>
      <c r="M1294" s="262">
        <f>SUM(M1295:M1298)</f>
        <v>1836</v>
      </c>
      <c r="N1294" s="246"/>
      <c r="O1294" s="282"/>
      <c r="P1294" s="262">
        <f>SUM(P1295:P1298)</f>
        <v>2258</v>
      </c>
      <c r="Q1294" s="246"/>
      <c r="R1294" s="282"/>
      <c r="S1294" s="262">
        <f>SUM(S1295:S1298)</f>
        <v>2598</v>
      </c>
      <c r="T1294" s="246"/>
      <c r="U1294" s="282"/>
      <c r="V1294" s="262">
        <f>SUM(V1295:V1298)</f>
        <v>2900</v>
      </c>
      <c r="W1294" s="246"/>
      <c r="X1294" s="282"/>
      <c r="Y1294" s="262">
        <f>SUM(Y1295:Y1298)</f>
        <v>2702</v>
      </c>
      <c r="Z1294" s="246"/>
      <c r="AA1294" s="282"/>
      <c r="AB1294" s="262">
        <f>SUM(AB1295:AB1298)</f>
        <v>2738</v>
      </c>
      <c r="AC1294" s="246"/>
      <c r="AD1294" s="282"/>
      <c r="AE1294" s="262">
        <f>SUM(AE1295:AE1298)</f>
        <v>2739</v>
      </c>
      <c r="AF1294" s="246"/>
      <c r="AG1294" s="282"/>
      <c r="AH1294" s="262">
        <f>SUM(AH1295:AH1298)</f>
        <v>2746</v>
      </c>
      <c r="AI1294" s="246"/>
      <c r="AJ1294" s="282"/>
      <c r="AK1294" s="262">
        <f>SUM(AK1295:AK1298)</f>
        <v>3028</v>
      </c>
      <c r="AL1294" s="246"/>
      <c r="AM1294" s="282"/>
      <c r="AN1294" s="262">
        <f>SUM(AN1295:AN1298)</f>
        <v>2452</v>
      </c>
      <c r="AO1294" s="246"/>
      <c r="AP1294" s="282"/>
      <c r="AQ1294" s="262">
        <f>SUM(AQ1295:AQ1298)</f>
        <v>2786</v>
      </c>
      <c r="AR1294" s="246"/>
      <c r="AS1294" s="282"/>
      <c r="AT1294" s="262">
        <f>SUM(AT1295:AT1298)</f>
        <v>30850</v>
      </c>
      <c r="AU1294" s="246"/>
      <c r="AV1294" s="336"/>
      <c r="AW1294" s="285"/>
      <c r="AX1294" s="249"/>
      <c r="AY1294" s="1068">
        <v>29369.594080999999</v>
      </c>
      <c r="AZ1294" s="356"/>
      <c r="BA1294" s="356"/>
      <c r="BB1294" s="356"/>
      <c r="BC1294" s="356"/>
    </row>
    <row r="1295" spans="1:55" s="24" customFormat="1">
      <c r="A1295" s="1116"/>
      <c r="B1295" s="1116"/>
      <c r="C1295" s="1116"/>
      <c r="D1295" s="1110"/>
      <c r="E1295" s="1110"/>
      <c r="F1295" s="1110"/>
      <c r="G1295" s="1110"/>
      <c r="H1295" s="122" t="s">
        <v>1008</v>
      </c>
      <c r="I1295" s="122"/>
      <c r="J1295" s="320">
        <f>АЭС!C37</f>
        <v>774</v>
      </c>
      <c r="K1295" s="246"/>
      <c r="L1295" s="282"/>
      <c r="M1295" s="320">
        <f>АЭС!D37</f>
        <v>620</v>
      </c>
      <c r="N1295" s="246"/>
      <c r="O1295" s="282"/>
      <c r="P1295" s="320">
        <f>АЭС!E37</f>
        <v>0</v>
      </c>
      <c r="Q1295" s="246"/>
      <c r="R1295" s="282"/>
      <c r="S1295" s="320">
        <f>АЭС!F37</f>
        <v>449</v>
      </c>
      <c r="T1295" s="246"/>
      <c r="U1295" s="282"/>
      <c r="V1295" s="320">
        <f>АЭС!G37</f>
        <v>762</v>
      </c>
      <c r="W1295" s="246"/>
      <c r="X1295" s="282"/>
      <c r="Y1295" s="320">
        <f>АЭС!H37</f>
        <v>729</v>
      </c>
      <c r="Z1295" s="246"/>
      <c r="AA1295" s="282"/>
      <c r="AB1295" s="320">
        <f>АЭС!I37</f>
        <v>733</v>
      </c>
      <c r="AC1295" s="246"/>
      <c r="AD1295" s="282"/>
      <c r="AE1295" s="320">
        <f>АЭС!J37</f>
        <v>733</v>
      </c>
      <c r="AF1295" s="246"/>
      <c r="AG1295" s="282"/>
      <c r="AH1295" s="320">
        <f>АЭС!K37</f>
        <v>713</v>
      </c>
      <c r="AI1295" s="246"/>
      <c r="AJ1295" s="282"/>
      <c r="AK1295" s="320">
        <f>АЭС!L37</f>
        <v>774</v>
      </c>
      <c r="AL1295" s="246"/>
      <c r="AM1295" s="282"/>
      <c r="AN1295" s="320">
        <f>АЭС!M37</f>
        <v>749</v>
      </c>
      <c r="AO1295" s="246"/>
      <c r="AP1295" s="282"/>
      <c r="AQ1295" s="320">
        <f>АЭС!N37</f>
        <v>774</v>
      </c>
      <c r="AR1295" s="246"/>
      <c r="AS1295" s="282"/>
      <c r="AT1295" s="320">
        <f t="shared" ref="AT1295:AT1319" si="51">J1295+M1295+P1295+S1295+V1295+Y1295+AB1295+AE1295+AH1295+AK1295+AN1295+AQ1295</f>
        <v>7810</v>
      </c>
      <c r="AU1295" s="246"/>
      <c r="AV1295" s="336"/>
      <c r="AW1295" s="285"/>
      <c r="AX1295" s="249"/>
      <c r="AY1295" s="338"/>
      <c r="AZ1295" s="357"/>
      <c r="BA1295" s="357"/>
      <c r="BB1295" s="357"/>
      <c r="BC1295" s="357"/>
    </row>
    <row r="1296" spans="1:55" s="24" customFormat="1">
      <c r="A1296" s="1116"/>
      <c r="B1296" s="1116"/>
      <c r="C1296" s="1116"/>
      <c r="D1296" s="1110"/>
      <c r="E1296" s="1110"/>
      <c r="F1296" s="1110"/>
      <c r="G1296" s="1110"/>
      <c r="H1296" s="122" t="s">
        <v>1010</v>
      </c>
      <c r="I1296" s="122"/>
      <c r="J1296" s="320">
        <f>АЭС!C39</f>
        <v>530</v>
      </c>
      <c r="K1296" s="246"/>
      <c r="L1296" s="282"/>
      <c r="M1296" s="320">
        <f>АЭС!D39</f>
        <v>148</v>
      </c>
      <c r="N1296" s="246"/>
      <c r="O1296" s="282"/>
      <c r="P1296" s="320">
        <f>АЭС!E39</f>
        <v>762</v>
      </c>
      <c r="Q1296" s="246"/>
      <c r="R1296" s="282"/>
      <c r="S1296" s="320">
        <f>АЭС!F39</f>
        <v>738</v>
      </c>
      <c r="T1296" s="246"/>
      <c r="U1296" s="282"/>
      <c r="V1296" s="320">
        <f>АЭС!G39</f>
        <v>751</v>
      </c>
      <c r="W1296" s="246"/>
      <c r="X1296" s="282"/>
      <c r="Y1296" s="320">
        <f>АЭС!H39</f>
        <v>710</v>
      </c>
      <c r="Z1296" s="246"/>
      <c r="AA1296" s="282"/>
      <c r="AB1296" s="320">
        <f>АЭС!I39</f>
        <v>717</v>
      </c>
      <c r="AC1296" s="246"/>
      <c r="AD1296" s="282"/>
      <c r="AE1296" s="320">
        <f>АЭС!J39</f>
        <v>717</v>
      </c>
      <c r="AF1296" s="246"/>
      <c r="AG1296" s="282"/>
      <c r="AH1296" s="320">
        <f>АЭС!K39</f>
        <v>695</v>
      </c>
      <c r="AI1296" s="246"/>
      <c r="AJ1296" s="282"/>
      <c r="AK1296" s="320">
        <f>АЭС!L39</f>
        <v>758</v>
      </c>
      <c r="AL1296" s="246"/>
      <c r="AM1296" s="282"/>
      <c r="AN1296" s="320">
        <f>АЭС!M39</f>
        <v>738</v>
      </c>
      <c r="AO1296" s="246"/>
      <c r="AP1296" s="282"/>
      <c r="AQ1296" s="320">
        <f>АЭС!N39</f>
        <v>516</v>
      </c>
      <c r="AR1296" s="246"/>
      <c r="AS1296" s="282"/>
      <c r="AT1296" s="320">
        <f t="shared" si="51"/>
        <v>7780</v>
      </c>
      <c r="AU1296" s="246"/>
      <c r="AV1296" s="336"/>
      <c r="AW1296" s="285"/>
      <c r="AX1296" s="249"/>
      <c r="AY1296" s="249"/>
      <c r="AZ1296" s="357"/>
      <c r="BA1296" s="357"/>
      <c r="BB1296" s="357"/>
      <c r="BC1296" s="357"/>
    </row>
    <row r="1297" spans="1:55" s="24" customFormat="1">
      <c r="A1297" s="1116"/>
      <c r="B1297" s="1116"/>
      <c r="C1297" s="1116"/>
      <c r="D1297" s="1110"/>
      <c r="E1297" s="1110"/>
      <c r="F1297" s="1110"/>
      <c r="G1297" s="1110"/>
      <c r="H1297" s="122" t="s">
        <v>1011</v>
      </c>
      <c r="I1297" s="122"/>
      <c r="J1297" s="320">
        <f>АЭС!C41</f>
        <v>0</v>
      </c>
      <c r="K1297" s="246"/>
      <c r="L1297" s="282"/>
      <c r="M1297" s="320">
        <f>АЭС!D41</f>
        <v>355</v>
      </c>
      <c r="N1297" s="246"/>
      <c r="O1297" s="282"/>
      <c r="P1297" s="320">
        <f>АЭС!E41</f>
        <v>733</v>
      </c>
      <c r="Q1297" s="246"/>
      <c r="R1297" s="282"/>
      <c r="S1297" s="320">
        <f>АЭС!F41</f>
        <v>709</v>
      </c>
      <c r="T1297" s="246"/>
      <c r="U1297" s="282"/>
      <c r="V1297" s="320">
        <f>АЭС!G41</f>
        <v>696</v>
      </c>
      <c r="W1297" s="246"/>
      <c r="X1297" s="282"/>
      <c r="Y1297" s="320">
        <f>АЭС!H41</f>
        <v>634</v>
      </c>
      <c r="Z1297" s="246"/>
      <c r="AA1297" s="282"/>
      <c r="AB1297" s="320">
        <f>АЭС!I41</f>
        <v>645</v>
      </c>
      <c r="AC1297" s="246"/>
      <c r="AD1297" s="282"/>
      <c r="AE1297" s="320">
        <f>АЭС!J41</f>
        <v>646</v>
      </c>
      <c r="AF1297" s="246"/>
      <c r="AG1297" s="282"/>
      <c r="AH1297" s="320">
        <f>АЭС!K41</f>
        <v>673</v>
      </c>
      <c r="AI1297" s="246"/>
      <c r="AJ1297" s="282"/>
      <c r="AK1297" s="320">
        <f>АЭС!L41</f>
        <v>733</v>
      </c>
      <c r="AL1297" s="246"/>
      <c r="AM1297" s="282"/>
      <c r="AN1297" s="320">
        <f>АЭС!M41</f>
        <v>473</v>
      </c>
      <c r="AO1297" s="246"/>
      <c r="AP1297" s="282"/>
      <c r="AQ1297" s="320">
        <f>АЭС!N41</f>
        <v>733</v>
      </c>
      <c r="AR1297" s="246"/>
      <c r="AS1297" s="282"/>
      <c r="AT1297" s="320">
        <f t="shared" si="51"/>
        <v>7030</v>
      </c>
      <c r="AU1297" s="246"/>
      <c r="AV1297" s="336"/>
      <c r="AW1297" s="285"/>
      <c r="AX1297" s="249"/>
      <c r="AY1297" s="249"/>
      <c r="AZ1297" s="357"/>
      <c r="BA1297" s="357"/>
      <c r="BB1297" s="357"/>
      <c r="BC1297" s="357"/>
    </row>
    <row r="1298" spans="1:55" s="24" customFormat="1">
      <c r="A1298" s="1116"/>
      <c r="B1298" s="1116"/>
      <c r="C1298" s="1116"/>
      <c r="D1298" s="1110"/>
      <c r="E1298" s="1110"/>
      <c r="F1298" s="1110"/>
      <c r="G1298" s="1110"/>
      <c r="H1298" s="122" t="s">
        <v>1161</v>
      </c>
      <c r="I1298" s="122"/>
      <c r="J1298" s="320">
        <f>АЭС!C43</f>
        <v>763</v>
      </c>
      <c r="K1298" s="246"/>
      <c r="L1298" s="282"/>
      <c r="M1298" s="320">
        <f>АЭС!D43</f>
        <v>713</v>
      </c>
      <c r="N1298" s="246"/>
      <c r="O1298" s="282"/>
      <c r="P1298" s="320">
        <f>АЭС!E43</f>
        <v>763</v>
      </c>
      <c r="Q1298" s="246"/>
      <c r="R1298" s="282"/>
      <c r="S1298" s="320">
        <f>АЭС!F43</f>
        <v>702</v>
      </c>
      <c r="T1298" s="246"/>
      <c r="U1298" s="282"/>
      <c r="V1298" s="320">
        <f>АЭС!G43</f>
        <v>691</v>
      </c>
      <c r="W1298" s="246"/>
      <c r="X1298" s="282"/>
      <c r="Y1298" s="320">
        <f>АЭС!H43</f>
        <v>629</v>
      </c>
      <c r="Z1298" s="246"/>
      <c r="AA1298" s="282"/>
      <c r="AB1298" s="320">
        <f>АЭС!I43</f>
        <v>643</v>
      </c>
      <c r="AC1298" s="246"/>
      <c r="AD1298" s="282"/>
      <c r="AE1298" s="320">
        <f>АЭС!J43</f>
        <v>643</v>
      </c>
      <c r="AF1298" s="246"/>
      <c r="AG1298" s="282"/>
      <c r="AH1298" s="320">
        <f>АЭС!K43</f>
        <v>665</v>
      </c>
      <c r="AI1298" s="246"/>
      <c r="AJ1298" s="282"/>
      <c r="AK1298" s="320">
        <f>АЭС!L43</f>
        <v>763</v>
      </c>
      <c r="AL1298" s="246"/>
      <c r="AM1298" s="282"/>
      <c r="AN1298" s="320">
        <f>АЭС!M43</f>
        <v>492</v>
      </c>
      <c r="AO1298" s="246"/>
      <c r="AP1298" s="282"/>
      <c r="AQ1298" s="320">
        <f>АЭС!N43</f>
        <v>763</v>
      </c>
      <c r="AR1298" s="246"/>
      <c r="AS1298" s="282"/>
      <c r="AT1298" s="320">
        <f t="shared" si="51"/>
        <v>8230</v>
      </c>
      <c r="AU1298" s="246"/>
      <c r="AV1298" s="336"/>
      <c r="AW1298" s="285"/>
      <c r="AX1298" s="249"/>
      <c r="AY1298" s="249"/>
      <c r="AZ1298" s="357"/>
      <c r="BA1298" s="357"/>
      <c r="BB1298" s="357"/>
      <c r="BC1298" s="357"/>
    </row>
    <row r="1299" spans="1:55" s="24" customFormat="1">
      <c r="A1299" s="1116"/>
      <c r="B1299" s="1116"/>
      <c r="C1299" s="1116"/>
      <c r="D1299" s="1110">
        <v>323201</v>
      </c>
      <c r="E1299" s="1110"/>
      <c r="F1299" s="1110"/>
      <c r="G1299" s="1110">
        <v>323201</v>
      </c>
      <c r="H1299" s="134" t="s">
        <v>691</v>
      </c>
      <c r="I1299" s="516" t="s">
        <v>364</v>
      </c>
      <c r="J1299" s="262">
        <f>SUM(J1300:J1307)</f>
        <v>845</v>
      </c>
      <c r="K1299" s="246"/>
      <c r="L1299" s="282"/>
      <c r="M1299" s="317">
        <f>SUM(M1300:M1307)</f>
        <v>879</v>
      </c>
      <c r="N1299" s="246"/>
      <c r="O1299" s="282"/>
      <c r="P1299" s="317">
        <f>SUM(P1300:P1307)</f>
        <v>876</v>
      </c>
      <c r="Q1299" s="246"/>
      <c r="R1299" s="282"/>
      <c r="S1299" s="317">
        <f>SUM(S1300:S1307)</f>
        <v>817</v>
      </c>
      <c r="T1299" s="246"/>
      <c r="U1299" s="282"/>
      <c r="V1299" s="317">
        <f>SUM(V1300:V1307)</f>
        <v>464</v>
      </c>
      <c r="W1299" s="246"/>
      <c r="X1299" s="282"/>
      <c r="Y1299" s="317">
        <f>SUM(Y1300:Y1307)</f>
        <v>465</v>
      </c>
      <c r="Z1299" s="246"/>
      <c r="AA1299" s="282"/>
      <c r="AB1299" s="317">
        <f>SUM(AB1300:AB1307)</f>
        <v>746</v>
      </c>
      <c r="AC1299" s="246"/>
      <c r="AD1299" s="282"/>
      <c r="AE1299" s="317">
        <f>SUM(AE1300:AE1307)</f>
        <v>781</v>
      </c>
      <c r="AF1299" s="246"/>
      <c r="AG1299" s="282"/>
      <c r="AH1299" s="317">
        <f>SUM(AH1300:AH1307)</f>
        <v>720</v>
      </c>
      <c r="AI1299" s="246"/>
      <c r="AJ1299" s="282"/>
      <c r="AK1299" s="317">
        <f>SUM(AK1300:AK1307)</f>
        <v>598</v>
      </c>
      <c r="AL1299" s="246"/>
      <c r="AM1299" s="282"/>
      <c r="AN1299" s="317">
        <f>SUM(AN1300:AN1307)</f>
        <v>797</v>
      </c>
      <c r="AO1299" s="246"/>
      <c r="AP1299" s="282"/>
      <c r="AQ1299" s="317">
        <f>SUM(AQ1300:AQ1307)</f>
        <v>852</v>
      </c>
      <c r="AR1299" s="246"/>
      <c r="AS1299" s="282"/>
      <c r="AT1299" s="317">
        <f>SUM(AT1300:AT1307)</f>
        <v>8840</v>
      </c>
      <c r="AU1299" s="246"/>
      <c r="AV1299" s="336"/>
      <c r="AW1299" s="285"/>
      <c r="AX1299" s="249"/>
      <c r="AY1299" s="440">
        <v>9686.0683549999994</v>
      </c>
      <c r="AZ1299" s="357"/>
      <c r="BA1299" s="357"/>
      <c r="BB1299" s="357"/>
      <c r="BC1299" s="357"/>
    </row>
    <row r="1300" spans="1:55" s="109" customFormat="1">
      <c r="A1300" s="1116"/>
      <c r="B1300" s="1116"/>
      <c r="C1300" s="1116"/>
      <c r="D1300" s="1110"/>
      <c r="E1300" s="1110"/>
      <c r="F1300" s="1110"/>
      <c r="G1300" s="1110"/>
      <c r="H1300" s="122" t="s">
        <v>1792</v>
      </c>
      <c r="I1300" s="122"/>
      <c r="J1300" s="708">
        <v>81</v>
      </c>
      <c r="K1300" s="545"/>
      <c r="L1300" s="546"/>
      <c r="M1300" s="708">
        <v>115</v>
      </c>
      <c r="N1300" s="246"/>
      <c r="O1300" s="282"/>
      <c r="P1300" s="547">
        <v>104</v>
      </c>
      <c r="Q1300" s="545"/>
      <c r="R1300" s="546"/>
      <c r="S1300" s="547">
        <v>115</v>
      </c>
      <c r="T1300" s="545"/>
      <c r="U1300" s="546"/>
      <c r="V1300" s="1166">
        <f>96-96</f>
        <v>0</v>
      </c>
      <c r="W1300" s="246"/>
      <c r="X1300" s="282"/>
      <c r="Y1300" s="1166">
        <f>100-20</f>
        <v>80</v>
      </c>
      <c r="Z1300" s="545"/>
      <c r="AA1300" s="546"/>
      <c r="AB1300" s="737">
        <f>115+52</f>
        <v>167</v>
      </c>
      <c r="AC1300" s="545"/>
      <c r="AD1300" s="546"/>
      <c r="AE1300" s="547">
        <v>104</v>
      </c>
      <c r="AF1300" s="545"/>
      <c r="AG1300" s="546"/>
      <c r="AH1300" s="547">
        <v>115</v>
      </c>
      <c r="AI1300" s="246"/>
      <c r="AJ1300" s="282"/>
      <c r="AK1300" s="547">
        <v>4</v>
      </c>
      <c r="AL1300" s="246"/>
      <c r="AM1300" s="282"/>
      <c r="AN1300" s="547">
        <v>112</v>
      </c>
      <c r="AO1300" s="545"/>
      <c r="AP1300" s="546"/>
      <c r="AQ1300" s="1205">
        <f>115+20</f>
        <v>135</v>
      </c>
      <c r="AR1300" s="246"/>
      <c r="AS1300" s="282"/>
      <c r="AT1300" s="244">
        <f t="shared" si="51"/>
        <v>1132</v>
      </c>
      <c r="AU1300" s="246"/>
      <c r="AV1300" s="336"/>
      <c r="AW1300" s="285"/>
      <c r="AX1300" s="249"/>
      <c r="AY1300" s="373"/>
      <c r="AZ1300" s="368"/>
      <c r="BA1300" s="368"/>
      <c r="BB1300" s="368"/>
      <c r="BC1300" s="368"/>
    </row>
    <row r="1301" spans="1:55" s="109" customFormat="1">
      <c r="A1301" s="1116"/>
      <c r="B1301" s="1116"/>
      <c r="C1301" s="1116"/>
      <c r="D1301" s="1110"/>
      <c r="E1301" s="1110"/>
      <c r="F1301" s="1110"/>
      <c r="G1301" s="1110"/>
      <c r="H1301" s="122" t="s">
        <v>1793</v>
      </c>
      <c r="I1301" s="122"/>
      <c r="J1301" s="708">
        <v>114</v>
      </c>
      <c r="K1301" s="545"/>
      <c r="L1301" s="546"/>
      <c r="M1301" s="1181">
        <f>94+20</f>
        <v>114</v>
      </c>
      <c r="N1301" s="246"/>
      <c r="O1301" s="282"/>
      <c r="P1301" s="547">
        <v>114</v>
      </c>
      <c r="Q1301" s="545"/>
      <c r="R1301" s="546"/>
      <c r="S1301" s="737">
        <f>14+70</f>
        <v>84</v>
      </c>
      <c r="T1301" s="545"/>
      <c r="U1301" s="546"/>
      <c r="V1301" s="711">
        <v>0</v>
      </c>
      <c r="W1301" s="246"/>
      <c r="X1301" s="282"/>
      <c r="Y1301" s="708">
        <v>0</v>
      </c>
      <c r="Z1301" s="545"/>
      <c r="AA1301" s="546"/>
      <c r="AB1301" s="547">
        <v>0</v>
      </c>
      <c r="AC1301" s="545"/>
      <c r="AD1301" s="546"/>
      <c r="AE1301" s="547">
        <v>107</v>
      </c>
      <c r="AF1301" s="545"/>
      <c r="AG1301" s="546"/>
      <c r="AH1301" s="547">
        <v>114</v>
      </c>
      <c r="AI1301" s="246"/>
      <c r="AJ1301" s="282"/>
      <c r="AK1301" s="547">
        <v>114</v>
      </c>
      <c r="AL1301" s="246"/>
      <c r="AM1301" s="282"/>
      <c r="AN1301" s="547">
        <v>114</v>
      </c>
      <c r="AO1301" s="545"/>
      <c r="AP1301" s="546"/>
      <c r="AQ1301" s="1205">
        <f>81+40</f>
        <v>121</v>
      </c>
      <c r="AR1301" s="246"/>
      <c r="AS1301" s="282"/>
      <c r="AT1301" s="244">
        <f t="shared" si="51"/>
        <v>996</v>
      </c>
      <c r="AU1301" s="246"/>
      <c r="AV1301" s="336"/>
      <c r="AW1301" s="285"/>
      <c r="AX1301" s="249"/>
      <c r="AY1301" s="528"/>
      <c r="AZ1301" s="368"/>
      <c r="BA1301" s="368"/>
      <c r="BB1301" s="368"/>
      <c r="BC1301" s="368"/>
    </row>
    <row r="1302" spans="1:55" s="109" customFormat="1">
      <c r="A1302" s="1116"/>
      <c r="B1302" s="1116"/>
      <c r="C1302" s="1116"/>
      <c r="D1302" s="1110"/>
      <c r="E1302" s="1110"/>
      <c r="F1302" s="1110"/>
      <c r="G1302" s="1110"/>
      <c r="H1302" s="122" t="s">
        <v>1794</v>
      </c>
      <c r="I1302" s="122"/>
      <c r="J1302" s="708">
        <v>117</v>
      </c>
      <c r="K1302" s="545"/>
      <c r="L1302" s="546"/>
      <c r="M1302" s="1181">
        <f>81+40</f>
        <v>121</v>
      </c>
      <c r="N1302" s="246"/>
      <c r="O1302" s="282"/>
      <c r="P1302" s="737">
        <f>45+20</f>
        <v>65</v>
      </c>
      <c r="Q1302" s="545"/>
      <c r="R1302" s="546"/>
      <c r="S1302" s="547">
        <v>102</v>
      </c>
      <c r="T1302" s="545"/>
      <c r="U1302" s="546"/>
      <c r="V1302" s="1184">
        <f>113+50</f>
        <v>163</v>
      </c>
      <c r="W1302" s="246"/>
      <c r="X1302" s="282"/>
      <c r="Y1302" s="1181">
        <f>105+40</f>
        <v>145</v>
      </c>
      <c r="Z1302" s="545"/>
      <c r="AA1302" s="546"/>
      <c r="AB1302" s="547">
        <v>102</v>
      </c>
      <c r="AC1302" s="545"/>
      <c r="AD1302" s="546"/>
      <c r="AE1302" s="547">
        <v>102</v>
      </c>
      <c r="AF1302" s="545"/>
      <c r="AG1302" s="546"/>
      <c r="AH1302" s="547">
        <v>82</v>
      </c>
      <c r="AI1302" s="246"/>
      <c r="AJ1302" s="282"/>
      <c r="AK1302" s="1020">
        <f>102-30</f>
        <v>72</v>
      </c>
      <c r="AL1302" s="246"/>
      <c r="AM1302" s="282"/>
      <c r="AN1302" s="547">
        <v>113</v>
      </c>
      <c r="AO1302" s="545"/>
      <c r="AP1302" s="546"/>
      <c r="AQ1302" s="1205">
        <f>102+30</f>
        <v>132</v>
      </c>
      <c r="AR1302" s="246"/>
      <c r="AS1302" s="282"/>
      <c r="AT1302" s="244">
        <f t="shared" si="51"/>
        <v>1316</v>
      </c>
      <c r="AU1302" s="246"/>
      <c r="AV1302" s="336"/>
      <c r="AW1302" s="285"/>
      <c r="AX1302" s="249"/>
      <c r="AY1302" s="528"/>
      <c r="AZ1302" s="368"/>
      <c r="BA1302" s="368"/>
      <c r="BB1302" s="368"/>
      <c r="BC1302" s="368"/>
    </row>
    <row r="1303" spans="1:55" s="109" customFormat="1">
      <c r="A1303" s="1116"/>
      <c r="B1303" s="1116"/>
      <c r="C1303" s="1116"/>
      <c r="D1303" s="1110"/>
      <c r="E1303" s="1110"/>
      <c r="F1303" s="1110"/>
      <c r="G1303" s="1110"/>
      <c r="H1303" s="122" t="s">
        <v>1795</v>
      </c>
      <c r="I1303" s="122"/>
      <c r="J1303" s="708">
        <v>107</v>
      </c>
      <c r="K1303" s="545"/>
      <c r="L1303" s="546"/>
      <c r="M1303" s="708">
        <v>106</v>
      </c>
      <c r="N1303" s="246"/>
      <c r="O1303" s="282"/>
      <c r="P1303" s="547">
        <v>122</v>
      </c>
      <c r="Q1303" s="545"/>
      <c r="R1303" s="546"/>
      <c r="S1303" s="547">
        <v>106</v>
      </c>
      <c r="T1303" s="545"/>
      <c r="U1303" s="546"/>
      <c r="V1303" s="1174">
        <f>122-122</f>
        <v>0</v>
      </c>
      <c r="W1303" s="246"/>
      <c r="X1303" s="282"/>
      <c r="Y1303" s="1166">
        <f>48-48</f>
        <v>0</v>
      </c>
      <c r="Z1303" s="545"/>
      <c r="AA1303" s="546"/>
      <c r="AB1303" s="737">
        <f>122+45</f>
        <v>167</v>
      </c>
      <c r="AC1303" s="545"/>
      <c r="AD1303" s="546"/>
      <c r="AE1303" s="547">
        <v>108</v>
      </c>
      <c r="AF1303" s="545"/>
      <c r="AG1303" s="546"/>
      <c r="AH1303" s="547">
        <v>106</v>
      </c>
      <c r="AI1303" s="246"/>
      <c r="AJ1303" s="282"/>
      <c r="AK1303" s="547">
        <v>118</v>
      </c>
      <c r="AL1303" s="246"/>
      <c r="AM1303" s="282"/>
      <c r="AN1303" s="547">
        <v>122</v>
      </c>
      <c r="AO1303" s="545"/>
      <c r="AP1303" s="546"/>
      <c r="AQ1303" s="1205">
        <f>87+50</f>
        <v>137</v>
      </c>
      <c r="AR1303" s="246"/>
      <c r="AS1303" s="282"/>
      <c r="AT1303" s="244">
        <f t="shared" si="51"/>
        <v>1199</v>
      </c>
      <c r="AU1303" s="246"/>
      <c r="AV1303" s="336"/>
      <c r="AW1303" s="285"/>
      <c r="AX1303" s="249"/>
      <c r="AY1303" s="528"/>
      <c r="AZ1303" s="368"/>
      <c r="BA1303" s="368"/>
      <c r="BB1303" s="368"/>
      <c r="BC1303" s="368"/>
    </row>
    <row r="1304" spans="1:55" s="109" customFormat="1">
      <c r="A1304" s="1116"/>
      <c r="B1304" s="1116"/>
      <c r="C1304" s="1116"/>
      <c r="D1304" s="1110"/>
      <c r="E1304" s="1110"/>
      <c r="F1304" s="1110"/>
      <c r="G1304" s="1110"/>
      <c r="H1304" s="122" t="s">
        <v>1796</v>
      </c>
      <c r="I1304" s="122"/>
      <c r="J1304" s="708">
        <v>112</v>
      </c>
      <c r="K1304" s="545"/>
      <c r="L1304" s="546"/>
      <c r="M1304" s="1181">
        <f>40+30</f>
        <v>70</v>
      </c>
      <c r="N1304" s="246"/>
      <c r="O1304" s="282"/>
      <c r="P1304" s="547">
        <v>112</v>
      </c>
      <c r="Q1304" s="545"/>
      <c r="R1304" s="546"/>
      <c r="S1304" s="547">
        <v>108</v>
      </c>
      <c r="T1304" s="545"/>
      <c r="U1304" s="546"/>
      <c r="V1304" s="1184">
        <f>112+35</f>
        <v>147</v>
      </c>
      <c r="W1304" s="246"/>
      <c r="X1304" s="282"/>
      <c r="Y1304" s="1166">
        <f>108-108</f>
        <v>0</v>
      </c>
      <c r="Z1304" s="545"/>
      <c r="AA1304" s="546"/>
      <c r="AB1304" s="1020">
        <f>112-112</f>
        <v>0</v>
      </c>
      <c r="AC1304" s="545"/>
      <c r="AD1304" s="546"/>
      <c r="AE1304" s="737">
        <f>79+30</f>
        <v>109</v>
      </c>
      <c r="AF1304" s="545"/>
      <c r="AG1304" s="546"/>
      <c r="AH1304" s="547">
        <v>108</v>
      </c>
      <c r="AI1304" s="246"/>
      <c r="AJ1304" s="282"/>
      <c r="AK1304" s="547">
        <v>112</v>
      </c>
      <c r="AL1304" s="246"/>
      <c r="AM1304" s="282"/>
      <c r="AN1304" s="547">
        <v>108</v>
      </c>
      <c r="AO1304" s="545"/>
      <c r="AP1304" s="546"/>
      <c r="AQ1304" s="1013">
        <v>112</v>
      </c>
      <c r="AR1304" s="246"/>
      <c r="AS1304" s="282"/>
      <c r="AT1304" s="244">
        <f t="shared" si="51"/>
        <v>1098</v>
      </c>
      <c r="AU1304" s="246"/>
      <c r="AV1304" s="336"/>
      <c r="AW1304" s="285"/>
      <c r="AX1304" s="249"/>
      <c r="AY1304" s="528"/>
      <c r="AZ1304" s="368"/>
      <c r="BA1304" s="368"/>
      <c r="BB1304" s="368"/>
      <c r="BC1304" s="368"/>
    </row>
    <row r="1305" spans="1:55" s="109" customFormat="1">
      <c r="A1305" s="1116"/>
      <c r="B1305" s="1116"/>
      <c r="C1305" s="1116"/>
      <c r="D1305" s="1110"/>
      <c r="E1305" s="1110"/>
      <c r="F1305" s="1110"/>
      <c r="G1305" s="1110"/>
      <c r="H1305" s="125" t="s">
        <v>692</v>
      </c>
      <c r="I1305" s="122"/>
      <c r="J1305" s="802">
        <f>89+20</f>
        <v>109</v>
      </c>
      <c r="K1305" s="545"/>
      <c r="L1305" s="546"/>
      <c r="M1305" s="708">
        <v>108</v>
      </c>
      <c r="N1305" s="545"/>
      <c r="O1305" s="546"/>
      <c r="P1305" s="547">
        <v>120</v>
      </c>
      <c r="Q1305" s="545"/>
      <c r="R1305" s="546"/>
      <c r="S1305" s="547">
        <v>117</v>
      </c>
      <c r="T1305" s="545"/>
      <c r="U1305" s="546"/>
      <c r="V1305" s="1020">
        <f>120-120</f>
        <v>0</v>
      </c>
      <c r="W1305" s="545"/>
      <c r="X1305" s="546"/>
      <c r="Y1305" s="1181">
        <f>117+23</f>
        <v>140</v>
      </c>
      <c r="Z1305" s="545"/>
      <c r="AA1305" s="546"/>
      <c r="AB1305" s="547">
        <v>120</v>
      </c>
      <c r="AC1305" s="545"/>
      <c r="AD1305" s="546"/>
      <c r="AE1305" s="547">
        <v>121</v>
      </c>
      <c r="AF1305" s="545"/>
      <c r="AG1305" s="546"/>
      <c r="AH1305" s="547">
        <v>117</v>
      </c>
      <c r="AI1305" s="545"/>
      <c r="AJ1305" s="546"/>
      <c r="AK1305" s="1020">
        <f>104-40</f>
        <v>64</v>
      </c>
      <c r="AL1305" s="545"/>
      <c r="AM1305" s="546"/>
      <c r="AN1305" s="547">
        <v>0</v>
      </c>
      <c r="AO1305" s="545"/>
      <c r="AP1305" s="546"/>
      <c r="AQ1305" s="547">
        <v>19</v>
      </c>
      <c r="AR1305" s="246"/>
      <c r="AS1305" s="282"/>
      <c r="AT1305" s="244">
        <f t="shared" si="51"/>
        <v>1035</v>
      </c>
      <c r="AU1305" s="246"/>
      <c r="AV1305" s="336"/>
      <c r="AW1305" s="285"/>
      <c r="AX1305" s="249"/>
      <c r="AY1305" s="528"/>
      <c r="AZ1305" s="368"/>
      <c r="BA1305" s="368"/>
      <c r="BB1305" s="368"/>
      <c r="BC1305" s="368"/>
    </row>
    <row r="1306" spans="1:55" s="24" customFormat="1">
      <c r="A1306" s="1116"/>
      <c r="B1306" s="1116"/>
      <c r="C1306" s="1116"/>
      <c r="D1306" s="1110"/>
      <c r="E1306" s="1110"/>
      <c r="F1306" s="1110"/>
      <c r="G1306" s="1110"/>
      <c r="H1306" s="125" t="s">
        <v>693</v>
      </c>
      <c r="I1306" s="125"/>
      <c r="J1306" s="802">
        <f>80+20</f>
        <v>100</v>
      </c>
      <c r="K1306" s="545"/>
      <c r="L1306" s="546"/>
      <c r="M1306" s="737">
        <f>75+50</f>
        <v>125</v>
      </c>
      <c r="N1306" s="545"/>
      <c r="O1306" s="546"/>
      <c r="P1306" s="737">
        <f>49+80</f>
        <v>129</v>
      </c>
      <c r="Q1306" s="545"/>
      <c r="R1306" s="546"/>
      <c r="S1306" s="547">
        <v>62</v>
      </c>
      <c r="T1306" s="545"/>
      <c r="U1306" s="546"/>
      <c r="V1306" s="1020">
        <f>80-80</f>
        <v>0</v>
      </c>
      <c r="W1306" s="545"/>
      <c r="X1306" s="546"/>
      <c r="Y1306" s="1166">
        <f>78-78</f>
        <v>0</v>
      </c>
      <c r="Z1306" s="545"/>
      <c r="AA1306" s="546"/>
      <c r="AB1306" s="737">
        <f>80+56</f>
        <v>136</v>
      </c>
      <c r="AC1306" s="545"/>
      <c r="AD1306" s="546"/>
      <c r="AE1306" s="737">
        <f>80+50</f>
        <v>130</v>
      </c>
      <c r="AF1306" s="545"/>
      <c r="AG1306" s="546"/>
      <c r="AH1306" s="547">
        <v>78</v>
      </c>
      <c r="AI1306" s="545"/>
      <c r="AJ1306" s="546"/>
      <c r="AK1306" s="1020">
        <f>80-20</f>
        <v>60</v>
      </c>
      <c r="AL1306" s="545"/>
      <c r="AM1306" s="546"/>
      <c r="AN1306" s="737">
        <f>54+60</f>
        <v>114</v>
      </c>
      <c r="AO1306" s="545"/>
      <c r="AP1306" s="546"/>
      <c r="AQ1306" s="547">
        <v>80</v>
      </c>
      <c r="AR1306" s="246"/>
      <c r="AS1306" s="282"/>
      <c r="AT1306" s="244">
        <f t="shared" si="51"/>
        <v>1014</v>
      </c>
      <c r="AU1306" s="246"/>
      <c r="AV1306" s="336"/>
      <c r="AW1306" s="285"/>
      <c r="AX1306" s="249"/>
      <c r="AY1306" s="249"/>
      <c r="AZ1306" s="357"/>
      <c r="BA1306" s="357"/>
      <c r="BB1306" s="357"/>
      <c r="BC1306" s="357"/>
    </row>
    <row r="1307" spans="1:55" s="24" customFormat="1">
      <c r="A1307" s="1116"/>
      <c r="B1307" s="1116"/>
      <c r="C1307" s="1116"/>
      <c r="D1307" s="1110"/>
      <c r="E1307" s="1110"/>
      <c r="F1307" s="1110"/>
      <c r="G1307" s="1110"/>
      <c r="H1307" s="125" t="s">
        <v>844</v>
      </c>
      <c r="I1307" s="125"/>
      <c r="J1307" s="802">
        <f>45+60</f>
        <v>105</v>
      </c>
      <c r="K1307" s="545"/>
      <c r="L1307" s="546"/>
      <c r="M1307" s="737">
        <f>0+120</f>
        <v>120</v>
      </c>
      <c r="N1307" s="545"/>
      <c r="O1307" s="546"/>
      <c r="P1307" s="737">
        <f>0+110</f>
        <v>110</v>
      </c>
      <c r="Q1307" s="545"/>
      <c r="R1307" s="546"/>
      <c r="S1307" s="737">
        <f>53+70</f>
        <v>123</v>
      </c>
      <c r="T1307" s="545"/>
      <c r="U1307" s="546"/>
      <c r="V1307" s="1181">
        <f>54+100</f>
        <v>154</v>
      </c>
      <c r="W1307" s="545"/>
      <c r="X1307" s="546"/>
      <c r="Y1307" s="737">
        <f>0+100</f>
        <v>100</v>
      </c>
      <c r="Z1307" s="545"/>
      <c r="AA1307" s="546"/>
      <c r="AB1307" s="547">
        <v>54</v>
      </c>
      <c r="AC1307" s="545"/>
      <c r="AD1307" s="546"/>
      <c r="AE1307" s="547">
        <v>0</v>
      </c>
      <c r="AF1307" s="545"/>
      <c r="AG1307" s="546"/>
      <c r="AH1307" s="547">
        <v>0</v>
      </c>
      <c r="AI1307" s="545"/>
      <c r="AJ1307" s="546"/>
      <c r="AK1307" s="547">
        <v>54</v>
      </c>
      <c r="AL1307" s="545"/>
      <c r="AM1307" s="546"/>
      <c r="AN1307" s="737">
        <f>54+60</f>
        <v>114</v>
      </c>
      <c r="AO1307" s="545"/>
      <c r="AP1307" s="546"/>
      <c r="AQ1307" s="737">
        <f>56+60</f>
        <v>116</v>
      </c>
      <c r="AR1307" s="246"/>
      <c r="AS1307" s="282"/>
      <c r="AT1307" s="244">
        <f t="shared" si="51"/>
        <v>1050</v>
      </c>
      <c r="AU1307" s="246"/>
      <c r="AV1307" s="336"/>
      <c r="AW1307" s="285"/>
      <c r="AX1307" s="249"/>
      <c r="AY1307" s="249"/>
      <c r="AZ1307" s="357"/>
      <c r="BA1307" s="357"/>
      <c r="BB1307" s="357"/>
      <c r="BC1307" s="357"/>
    </row>
    <row r="1308" spans="1:55" s="24" customFormat="1">
      <c r="A1308" s="1116"/>
      <c r="B1308" s="1116"/>
      <c r="C1308" s="1116"/>
      <c r="D1308" s="1110">
        <v>323214</v>
      </c>
      <c r="E1308" s="1110"/>
      <c r="F1308" s="1110"/>
      <c r="G1308" s="1110">
        <v>323214</v>
      </c>
      <c r="H1308" s="122" t="s">
        <v>198</v>
      </c>
      <c r="I1308" s="516" t="s">
        <v>364</v>
      </c>
      <c r="J1308" s="802">
        <f>111.05+50</f>
        <v>161.05000000000001</v>
      </c>
      <c r="K1308" s="545"/>
      <c r="L1308" s="546"/>
      <c r="M1308" s="737">
        <f>96.535+50</f>
        <v>146.535</v>
      </c>
      <c r="N1308" s="545"/>
      <c r="O1308" s="546"/>
      <c r="P1308" s="708">
        <v>88.79</v>
      </c>
      <c r="Q1308" s="545"/>
      <c r="R1308" s="546"/>
      <c r="S1308" s="708">
        <v>64.8</v>
      </c>
      <c r="T1308" s="545"/>
      <c r="U1308" s="546"/>
      <c r="V1308" s="708">
        <v>28.271999999999998</v>
      </c>
      <c r="W1308" s="545"/>
      <c r="X1308" s="546"/>
      <c r="Y1308" s="708">
        <v>30.44</v>
      </c>
      <c r="Z1308" s="545"/>
      <c r="AA1308" s="546"/>
      <c r="AB1308" s="708">
        <v>32.56</v>
      </c>
      <c r="AC1308" s="545"/>
      <c r="AD1308" s="546"/>
      <c r="AE1308" s="708">
        <v>32.56</v>
      </c>
      <c r="AF1308" s="545"/>
      <c r="AG1308" s="546"/>
      <c r="AH1308" s="708">
        <v>28.08</v>
      </c>
      <c r="AI1308" s="545"/>
      <c r="AJ1308" s="546"/>
      <c r="AK1308" s="547">
        <v>51.71</v>
      </c>
      <c r="AL1308" s="545"/>
      <c r="AM1308" s="546"/>
      <c r="AN1308" s="1181">
        <f>69.95+70</f>
        <v>139.94999999999999</v>
      </c>
      <c r="AO1308" s="545"/>
      <c r="AP1308" s="546"/>
      <c r="AQ1308" s="1181">
        <f>110.25+50</f>
        <v>160.25</v>
      </c>
      <c r="AR1308" s="246"/>
      <c r="AS1308" s="282"/>
      <c r="AT1308" s="244">
        <f t="shared" si="51"/>
        <v>964.99700000000007</v>
      </c>
      <c r="AU1308" s="246"/>
      <c r="AV1308" s="336"/>
      <c r="AW1308" s="285"/>
      <c r="AX1308" s="249"/>
      <c r="AY1308" s="441">
        <v>904.36964699999999</v>
      </c>
      <c r="AZ1308" s="357"/>
      <c r="BA1308" s="357"/>
      <c r="BB1308" s="357"/>
      <c r="BC1308" s="357"/>
    </row>
    <row r="1309" spans="1:55" s="24" customFormat="1">
      <c r="A1309" s="1116"/>
      <c r="B1309" s="1116"/>
      <c r="C1309" s="1116"/>
      <c r="D1309" s="1110">
        <v>323230</v>
      </c>
      <c r="E1309" s="1110"/>
      <c r="F1309" s="1110"/>
      <c r="G1309" s="1110">
        <v>323230</v>
      </c>
      <c r="H1309" s="143" t="s">
        <v>233</v>
      </c>
      <c r="I1309" s="516" t="s">
        <v>364</v>
      </c>
      <c r="J1309" s="638">
        <f>ГЭС!C149</f>
        <v>36.821193700000002</v>
      </c>
      <c r="K1309" s="521"/>
      <c r="L1309" s="522"/>
      <c r="M1309" s="639">
        <f>ГЭС!D149</f>
        <v>33.085617069999998</v>
      </c>
      <c r="N1309" s="521"/>
      <c r="O1309" s="522"/>
      <c r="P1309" s="639">
        <f>ГЭС!E149</f>
        <v>43.053936</v>
      </c>
      <c r="Q1309" s="521"/>
      <c r="R1309" s="522"/>
      <c r="S1309" s="639">
        <f>ГЭС!G149</f>
        <v>65.195564270000006</v>
      </c>
      <c r="T1309" s="521"/>
      <c r="U1309" s="522"/>
      <c r="V1309" s="639">
        <f>ГЭС!H149</f>
        <v>79.272575380000006</v>
      </c>
      <c r="W1309" s="521"/>
      <c r="X1309" s="522"/>
      <c r="Y1309" s="639">
        <f>ГЭС!I149</f>
        <v>65.326507570000004</v>
      </c>
      <c r="Z1309" s="521"/>
      <c r="AA1309" s="522"/>
      <c r="AB1309" s="639">
        <f>ГЭС!K149</f>
        <v>59.375583650000003</v>
      </c>
      <c r="AC1309" s="521"/>
      <c r="AD1309" s="522"/>
      <c r="AE1309" s="639">
        <f>ГЭС!L149</f>
        <v>57.895744319999999</v>
      </c>
      <c r="AF1309" s="521"/>
      <c r="AG1309" s="522"/>
      <c r="AH1309" s="639">
        <f>ГЭС!M149</f>
        <v>53.416412350000002</v>
      </c>
      <c r="AI1309" s="521"/>
      <c r="AJ1309" s="522"/>
      <c r="AK1309" s="639">
        <f>ГЭС!O149</f>
        <v>52.748291020000003</v>
      </c>
      <c r="AL1309" s="521"/>
      <c r="AM1309" s="522"/>
      <c r="AN1309" s="639">
        <f>ГЭС!P149</f>
        <v>47.522838589999999</v>
      </c>
      <c r="AO1309" s="521"/>
      <c r="AP1309" s="522"/>
      <c r="AQ1309" s="639">
        <f>ГЭС!Q149</f>
        <v>39.157394410000002</v>
      </c>
      <c r="AR1309" s="246"/>
      <c r="AS1309" s="282"/>
      <c r="AT1309" s="639">
        <f t="shared" si="51"/>
        <v>632.87165833000006</v>
      </c>
      <c r="AU1309" s="246"/>
      <c r="AV1309" s="336"/>
      <c r="AW1309" s="285"/>
      <c r="AX1309" s="249"/>
      <c r="AY1309" s="441">
        <v>800.68237599999998</v>
      </c>
      <c r="AZ1309" s="357"/>
      <c r="BA1309" s="357"/>
      <c r="BB1309" s="357"/>
      <c r="BC1309" s="357"/>
    </row>
    <row r="1310" spans="1:55" s="24" customFormat="1">
      <c r="A1310" s="1116"/>
      <c r="B1310" s="1116"/>
      <c r="C1310" s="1116"/>
      <c r="D1310" s="1110">
        <v>323213</v>
      </c>
      <c r="E1310" s="1110"/>
      <c r="F1310" s="1110"/>
      <c r="G1310" s="1110">
        <v>323213</v>
      </c>
      <c r="H1310" s="134" t="s">
        <v>199</v>
      </c>
      <c r="I1310" s="516" t="s">
        <v>364</v>
      </c>
      <c r="J1310" s="262">
        <f>SUM(J1311:J1312)</f>
        <v>145.40799999999999</v>
      </c>
      <c r="K1310" s="246"/>
      <c r="L1310" s="282"/>
      <c r="M1310" s="317">
        <f>SUM(M1311:M1312)</f>
        <v>136.672</v>
      </c>
      <c r="N1310" s="246"/>
      <c r="O1310" s="282"/>
      <c r="P1310" s="317">
        <f>SUM(P1311:P1312)</f>
        <v>139.45599999999999</v>
      </c>
      <c r="Q1310" s="246"/>
      <c r="R1310" s="282"/>
      <c r="S1310" s="317">
        <f>SUM(S1311:S1312)</f>
        <v>103.49600000000001</v>
      </c>
      <c r="T1310" s="246"/>
      <c r="U1310" s="282"/>
      <c r="V1310" s="317">
        <f>SUM(V1311:V1312)</f>
        <v>27.72</v>
      </c>
      <c r="W1310" s="246"/>
      <c r="X1310" s="282"/>
      <c r="Y1310" s="317">
        <f>SUM(Y1311:Y1312)</f>
        <v>45.36</v>
      </c>
      <c r="Z1310" s="246"/>
      <c r="AA1310" s="282"/>
      <c r="AB1310" s="317">
        <f>SUM(AB1311:AB1312)</f>
        <v>45.864000000000004</v>
      </c>
      <c r="AC1310" s="246"/>
      <c r="AD1310" s="282"/>
      <c r="AE1310" s="317">
        <f>SUM(AE1311:AE1312)</f>
        <v>45.136000000000003</v>
      </c>
      <c r="AF1310" s="246"/>
      <c r="AG1310" s="282"/>
      <c r="AH1310" s="317">
        <f>SUM(AH1311:AH1312)</f>
        <v>46.8</v>
      </c>
      <c r="AI1310" s="246"/>
      <c r="AJ1310" s="282"/>
      <c r="AK1310" s="317">
        <f>SUM(AK1311:AK1312)</f>
        <v>50.294399999999996</v>
      </c>
      <c r="AL1310" s="246"/>
      <c r="AM1310" s="282"/>
      <c r="AN1310" s="317">
        <f>SUM(AN1311:AN1312)</f>
        <v>136.63999999999999</v>
      </c>
      <c r="AO1310" s="246"/>
      <c r="AP1310" s="282"/>
      <c r="AQ1310" s="317">
        <f>SUM(AQ1311:AQ1312)</f>
        <v>132.43199999999999</v>
      </c>
      <c r="AR1310" s="246"/>
      <c r="AS1310" s="282"/>
      <c r="AT1310" s="317">
        <f>SUM(AT1311:AT1312)</f>
        <v>1055.2783999999997</v>
      </c>
      <c r="AU1310" s="246"/>
      <c r="AV1310" s="336"/>
      <c r="AW1310" s="285"/>
      <c r="AX1310" s="249"/>
      <c r="AY1310" s="440">
        <v>996.69571199999996</v>
      </c>
      <c r="AZ1310" s="357"/>
      <c r="BA1310" s="357"/>
      <c r="BB1310" s="357"/>
      <c r="BC1310" s="357"/>
    </row>
    <row r="1311" spans="1:55" s="24" customFormat="1">
      <c r="A1311" s="1116"/>
      <c r="B1311" s="1116"/>
      <c r="C1311" s="1116"/>
      <c r="D1311" s="1110"/>
      <c r="E1311" s="1110"/>
      <c r="F1311" s="1110"/>
      <c r="G1311" s="1110"/>
      <c r="H1311" s="143" t="s">
        <v>467</v>
      </c>
      <c r="I1311" s="516"/>
      <c r="J1311" s="802">
        <f>67.704+5</f>
        <v>72.703999999999994</v>
      </c>
      <c r="K1311" s="545"/>
      <c r="L1311" s="546"/>
      <c r="M1311" s="737">
        <f>63.336+5</f>
        <v>68.335999999999999</v>
      </c>
      <c r="N1311" s="545"/>
      <c r="O1311" s="546"/>
      <c r="P1311" s="737">
        <f>64.728+5</f>
        <v>69.727999999999994</v>
      </c>
      <c r="Q1311" s="545"/>
      <c r="R1311" s="546"/>
      <c r="S1311" s="737">
        <f>0+50</f>
        <v>50</v>
      </c>
      <c r="T1311" s="545"/>
      <c r="U1311" s="546"/>
      <c r="V1311" s="547">
        <v>11.087999999999999</v>
      </c>
      <c r="W1311" s="545"/>
      <c r="X1311" s="546"/>
      <c r="Y1311" s="547">
        <v>45.36</v>
      </c>
      <c r="Z1311" s="545"/>
      <c r="AA1311" s="546"/>
      <c r="AB1311" s="547">
        <v>16.38</v>
      </c>
      <c r="AC1311" s="545"/>
      <c r="AD1311" s="546"/>
      <c r="AE1311" s="547">
        <v>0</v>
      </c>
      <c r="AF1311" s="545"/>
      <c r="AG1311" s="546"/>
      <c r="AH1311" s="547">
        <v>23.4</v>
      </c>
      <c r="AI1311" s="545"/>
      <c r="AJ1311" s="546"/>
      <c r="AK1311" s="547">
        <v>50.294399999999996</v>
      </c>
      <c r="AL1311" s="545"/>
      <c r="AM1311" s="546"/>
      <c r="AN1311" s="737">
        <f>58.32+10</f>
        <v>68.319999999999993</v>
      </c>
      <c r="AO1311" s="545"/>
      <c r="AP1311" s="546"/>
      <c r="AQ1311" s="547">
        <v>66.215999999999994</v>
      </c>
      <c r="AR1311" s="246"/>
      <c r="AS1311" s="282"/>
      <c r="AT1311" s="244">
        <f t="shared" si="51"/>
        <v>541.82639999999992</v>
      </c>
      <c r="AU1311" s="246"/>
      <c r="AV1311" s="336"/>
      <c r="AW1311" s="285"/>
      <c r="AX1311" s="249"/>
      <c r="AY1311" s="441"/>
      <c r="AZ1311" s="357"/>
      <c r="BA1311" s="357"/>
      <c r="BB1311" s="357"/>
      <c r="BC1311" s="357"/>
    </row>
    <row r="1312" spans="1:55" s="24" customFormat="1">
      <c r="A1312" s="1116"/>
      <c r="B1312" s="1116"/>
      <c r="C1312" s="1116"/>
      <c r="D1312" s="1110"/>
      <c r="E1312" s="1110"/>
      <c r="F1312" s="1110"/>
      <c r="G1312" s="1110"/>
      <c r="H1312" s="143" t="s">
        <v>468</v>
      </c>
      <c r="I1312" s="516"/>
      <c r="J1312" s="802">
        <f>67.704+5</f>
        <v>72.703999999999994</v>
      </c>
      <c r="K1312" s="545"/>
      <c r="L1312" s="546"/>
      <c r="M1312" s="737">
        <f>63.336+5</f>
        <v>68.335999999999999</v>
      </c>
      <c r="N1312" s="545"/>
      <c r="O1312" s="546"/>
      <c r="P1312" s="737">
        <f>64.728+5</f>
        <v>69.727999999999994</v>
      </c>
      <c r="Q1312" s="545"/>
      <c r="R1312" s="546"/>
      <c r="S1312" s="547">
        <v>53.496000000000002</v>
      </c>
      <c r="T1312" s="545"/>
      <c r="U1312" s="546"/>
      <c r="V1312" s="547">
        <v>16.632000000000001</v>
      </c>
      <c r="W1312" s="545"/>
      <c r="X1312" s="546"/>
      <c r="Y1312" s="547">
        <v>0</v>
      </c>
      <c r="Z1312" s="545"/>
      <c r="AA1312" s="546"/>
      <c r="AB1312" s="547">
        <v>29.484000000000002</v>
      </c>
      <c r="AC1312" s="545"/>
      <c r="AD1312" s="546"/>
      <c r="AE1312" s="547">
        <v>45.136000000000003</v>
      </c>
      <c r="AF1312" s="545"/>
      <c r="AG1312" s="546"/>
      <c r="AH1312" s="547">
        <v>23.4</v>
      </c>
      <c r="AI1312" s="545"/>
      <c r="AJ1312" s="546"/>
      <c r="AK1312" s="547">
        <v>0</v>
      </c>
      <c r="AL1312" s="545"/>
      <c r="AM1312" s="546"/>
      <c r="AN1312" s="737">
        <f>58.32+10</f>
        <v>68.319999999999993</v>
      </c>
      <c r="AO1312" s="545"/>
      <c r="AP1312" s="546"/>
      <c r="AQ1312" s="547">
        <v>66.215999999999994</v>
      </c>
      <c r="AR1312" s="246"/>
      <c r="AS1312" s="282"/>
      <c r="AT1312" s="244">
        <f t="shared" si="51"/>
        <v>513.45199999999988</v>
      </c>
      <c r="AU1312" s="246"/>
      <c r="AV1312" s="336"/>
      <c r="AW1312" s="285"/>
      <c r="AX1312" s="249"/>
      <c r="AY1312" s="441"/>
      <c r="AZ1312" s="357"/>
      <c r="BA1312" s="357"/>
      <c r="BB1312" s="357"/>
      <c r="BC1312" s="357"/>
    </row>
    <row r="1313" spans="1:55" s="110" customFormat="1">
      <c r="A1313" s="1116"/>
      <c r="B1313" s="1116"/>
      <c r="C1313" s="1116"/>
      <c r="D1313" s="1110">
        <v>323226</v>
      </c>
      <c r="E1313" s="1110"/>
      <c r="F1313" s="1110"/>
      <c r="G1313" s="1110">
        <v>323227</v>
      </c>
      <c r="H1313" s="125" t="s">
        <v>466</v>
      </c>
      <c r="I1313" s="516" t="s">
        <v>364</v>
      </c>
      <c r="J1313" s="802">
        <f>44.493+15</f>
        <v>59.493000000000002</v>
      </c>
      <c r="K1313" s="545"/>
      <c r="L1313" s="546"/>
      <c r="M1313" s="802">
        <f>47.048+10</f>
        <v>57.048000000000002</v>
      </c>
      <c r="N1313" s="545"/>
      <c r="O1313" s="546"/>
      <c r="P1313" s="548">
        <v>40.106999999999999</v>
      </c>
      <c r="Q1313" s="545"/>
      <c r="R1313" s="546"/>
      <c r="S1313" s="548">
        <v>25.234000000000002</v>
      </c>
      <c r="T1313" s="545"/>
      <c r="U1313" s="546"/>
      <c r="V1313" s="708">
        <v>12.06</v>
      </c>
      <c r="W1313" s="545"/>
      <c r="X1313" s="546"/>
      <c r="Y1313" s="708">
        <v>11.809999999999999</v>
      </c>
      <c r="Z1313" s="545"/>
      <c r="AA1313" s="546"/>
      <c r="AB1313" s="708">
        <v>11.94</v>
      </c>
      <c r="AC1313" s="545"/>
      <c r="AD1313" s="546"/>
      <c r="AE1313" s="548">
        <v>13.620000000000001</v>
      </c>
      <c r="AF1313" s="545"/>
      <c r="AG1313" s="546"/>
      <c r="AH1313" s="548">
        <v>19.37</v>
      </c>
      <c r="AI1313" s="545"/>
      <c r="AJ1313" s="546"/>
      <c r="AK1313" s="548">
        <v>29.240000000000002</v>
      </c>
      <c r="AL1313" s="545"/>
      <c r="AM1313" s="546"/>
      <c r="AN1313" s="548">
        <v>26.14</v>
      </c>
      <c r="AO1313" s="545"/>
      <c r="AP1313" s="546"/>
      <c r="AQ1313" s="548">
        <v>42.878</v>
      </c>
      <c r="AR1313" s="246"/>
      <c r="AS1313" s="282"/>
      <c r="AT1313" s="244">
        <f t="shared" si="51"/>
        <v>348.94</v>
      </c>
      <c r="AU1313" s="246"/>
      <c r="AV1313" s="336"/>
      <c r="AW1313" s="285"/>
      <c r="AX1313" s="249"/>
      <c r="AY1313" s="441">
        <v>263.81862799999999</v>
      </c>
      <c r="AZ1313" s="356"/>
      <c r="BA1313" s="356"/>
      <c r="BB1313" s="356"/>
      <c r="BC1313" s="356"/>
    </row>
    <row r="1314" spans="1:55" s="24" customFormat="1">
      <c r="A1314" s="1116"/>
      <c r="B1314" s="1116"/>
      <c r="C1314" s="1116"/>
      <c r="D1314" s="1110">
        <v>323249</v>
      </c>
      <c r="E1314" s="1110"/>
      <c r="F1314" s="1110"/>
      <c r="G1314" s="1110">
        <v>323249</v>
      </c>
      <c r="H1314" s="122" t="s">
        <v>1452</v>
      </c>
      <c r="I1314" s="533" t="s">
        <v>365</v>
      </c>
      <c r="J1314" s="802">
        <f>6.657+5</f>
        <v>11.657</v>
      </c>
      <c r="K1314" s="545"/>
      <c r="L1314" s="546"/>
      <c r="M1314" s="737">
        <f>6.2364+5</f>
        <v>11.2364</v>
      </c>
      <c r="N1314" s="545"/>
      <c r="O1314" s="546"/>
      <c r="P1314" s="547">
        <v>6.4664999999999999</v>
      </c>
      <c r="Q1314" s="545"/>
      <c r="R1314" s="546"/>
      <c r="S1314" s="547">
        <v>5.0606999999999998</v>
      </c>
      <c r="T1314" s="545"/>
      <c r="U1314" s="546"/>
      <c r="V1314" s="547">
        <v>1.9614</v>
      </c>
      <c r="W1314" s="545"/>
      <c r="X1314" s="546"/>
      <c r="Y1314" s="547">
        <v>1.6448</v>
      </c>
      <c r="Z1314" s="545"/>
      <c r="AA1314" s="546"/>
      <c r="AB1314" s="547">
        <v>1.5466</v>
      </c>
      <c r="AC1314" s="545"/>
      <c r="AD1314" s="546"/>
      <c r="AE1314" s="547">
        <v>1.6715500000000001</v>
      </c>
      <c r="AF1314" s="545"/>
      <c r="AG1314" s="546"/>
      <c r="AH1314" s="547">
        <v>2.8614000000000002</v>
      </c>
      <c r="AI1314" s="545"/>
      <c r="AJ1314" s="546"/>
      <c r="AK1314" s="547">
        <v>4.9059999999999997</v>
      </c>
      <c r="AL1314" s="545"/>
      <c r="AM1314" s="546"/>
      <c r="AN1314" s="547">
        <v>6.2652000000000001</v>
      </c>
      <c r="AO1314" s="545"/>
      <c r="AP1314" s="546"/>
      <c r="AQ1314" s="547">
        <v>6.6521999999999997</v>
      </c>
      <c r="AR1314" s="246"/>
      <c r="AS1314" s="282"/>
      <c r="AT1314" s="244">
        <f t="shared" si="51"/>
        <v>61.929749999999999</v>
      </c>
      <c r="AU1314" s="246"/>
      <c r="AV1314" s="336"/>
      <c r="AW1314" s="285"/>
      <c r="AX1314" s="249"/>
      <c r="AY1314" s="438">
        <v>72.070126999999999</v>
      </c>
      <c r="AZ1314" s="357"/>
      <c r="BA1314" s="357"/>
      <c r="BB1314" s="357"/>
      <c r="BC1314" s="357"/>
    </row>
    <row r="1315" spans="1:55" s="24" customFormat="1">
      <c r="A1315" s="1116"/>
      <c r="B1315" s="1116"/>
      <c r="C1315" s="1116"/>
      <c r="D1315" s="1110">
        <v>777202</v>
      </c>
      <c r="E1315" s="1110"/>
      <c r="F1315" s="1110"/>
      <c r="G1315" s="1110">
        <v>777202</v>
      </c>
      <c r="H1315" s="122" t="s">
        <v>843</v>
      </c>
      <c r="I1315" s="533" t="s">
        <v>365</v>
      </c>
      <c r="J1315" s="548">
        <v>2.827</v>
      </c>
      <c r="K1315" s="545"/>
      <c r="L1315" s="546"/>
      <c r="M1315" s="547">
        <v>2.0379999999999998</v>
      </c>
      <c r="N1315" s="545"/>
      <c r="O1315" s="546"/>
      <c r="P1315" s="547">
        <v>1.6359999999999999</v>
      </c>
      <c r="Q1315" s="545"/>
      <c r="R1315" s="546"/>
      <c r="S1315" s="547">
        <v>1.661</v>
      </c>
      <c r="T1315" s="545"/>
      <c r="U1315" s="546"/>
      <c r="V1315" s="547">
        <v>2.1110000000000002</v>
      </c>
      <c r="W1315" s="545"/>
      <c r="X1315" s="546"/>
      <c r="Y1315" s="547">
        <v>2.052</v>
      </c>
      <c r="Z1315" s="545"/>
      <c r="AA1315" s="546"/>
      <c r="AB1315" s="547">
        <v>1.552</v>
      </c>
      <c r="AC1315" s="545"/>
      <c r="AD1315" s="546"/>
      <c r="AE1315" s="547">
        <v>2.1779999999999999</v>
      </c>
      <c r="AF1315" s="545"/>
      <c r="AG1315" s="546"/>
      <c r="AH1315" s="547">
        <v>1.9370000000000001</v>
      </c>
      <c r="AI1315" s="545"/>
      <c r="AJ1315" s="546"/>
      <c r="AK1315" s="547">
        <v>2.121</v>
      </c>
      <c r="AL1315" s="545"/>
      <c r="AM1315" s="546"/>
      <c r="AN1315" s="547">
        <v>2.88</v>
      </c>
      <c r="AO1315" s="545"/>
      <c r="AP1315" s="546"/>
      <c r="AQ1315" s="547">
        <v>2.931</v>
      </c>
      <c r="AR1315" s="246"/>
      <c r="AS1315" s="282"/>
      <c r="AT1315" s="244">
        <f t="shared" si="51"/>
        <v>25.923999999999999</v>
      </c>
      <c r="AU1315" s="246"/>
      <c r="AV1315" s="336"/>
      <c r="AW1315" s="285"/>
      <c r="AX1315" s="249"/>
      <c r="AY1315" s="438">
        <v>26.008192999999999</v>
      </c>
      <c r="AZ1315" s="357"/>
      <c r="BA1315" s="357"/>
      <c r="BB1315" s="357"/>
      <c r="BC1315" s="357"/>
    </row>
    <row r="1316" spans="1:55" s="24" customFormat="1">
      <c r="A1316" s="1116"/>
      <c r="B1316" s="1116"/>
      <c r="C1316" s="1116"/>
      <c r="D1316" s="1110"/>
      <c r="E1316" s="1110"/>
      <c r="F1316" s="1110"/>
      <c r="G1316" s="1211">
        <v>777983</v>
      </c>
      <c r="H1316" s="122" t="s">
        <v>1797</v>
      </c>
      <c r="I1316" s="516" t="s">
        <v>364</v>
      </c>
      <c r="J1316" s="547">
        <v>9.2959999999999994</v>
      </c>
      <c r="K1316" s="545"/>
      <c r="L1316" s="546"/>
      <c r="M1316" s="547">
        <v>5.8979999999999997</v>
      </c>
      <c r="N1316" s="545"/>
      <c r="O1316" s="546"/>
      <c r="P1316" s="547">
        <v>22.657</v>
      </c>
      <c r="Q1316" s="545"/>
      <c r="R1316" s="546"/>
      <c r="S1316" s="547">
        <v>28.774000000000001</v>
      </c>
      <c r="T1316" s="545"/>
      <c r="U1316" s="546"/>
      <c r="V1316" s="547">
        <v>25.341999999999999</v>
      </c>
      <c r="W1316" s="545"/>
      <c r="X1316" s="546"/>
      <c r="Y1316" s="547">
        <v>22.585999999999999</v>
      </c>
      <c r="Z1316" s="545"/>
      <c r="AA1316" s="546"/>
      <c r="AB1316" s="547">
        <v>15.499000000000001</v>
      </c>
      <c r="AC1316" s="545"/>
      <c r="AD1316" s="546"/>
      <c r="AE1316" s="547">
        <v>13.984999999999999</v>
      </c>
      <c r="AF1316" s="545"/>
      <c r="AG1316" s="546"/>
      <c r="AH1316" s="547">
        <v>15.098000000000001</v>
      </c>
      <c r="AI1316" s="545"/>
      <c r="AJ1316" s="546"/>
      <c r="AK1316" s="547">
        <v>14.914</v>
      </c>
      <c r="AL1316" s="545"/>
      <c r="AM1316" s="546"/>
      <c r="AN1316" s="547">
        <v>18.931999999999999</v>
      </c>
      <c r="AO1316" s="545"/>
      <c r="AP1316" s="546"/>
      <c r="AQ1316" s="547">
        <v>17.32</v>
      </c>
      <c r="AR1316" s="246"/>
      <c r="AS1316" s="282"/>
      <c r="AT1316" s="244">
        <f t="shared" si="51"/>
        <v>210.30099999999996</v>
      </c>
      <c r="AU1316" s="246"/>
      <c r="AV1316" s="336"/>
      <c r="AW1316" s="285"/>
      <c r="AX1316" s="249"/>
      <c r="AY1316" s="438"/>
      <c r="AZ1316" s="357"/>
      <c r="BA1316" s="357"/>
      <c r="BB1316" s="357"/>
      <c r="BC1316" s="357"/>
    </row>
    <row r="1317" spans="1:55" s="24" customFormat="1">
      <c r="A1317" s="1116"/>
      <c r="B1317" s="1116"/>
      <c r="C1317" s="1116"/>
      <c r="D1317" s="1110"/>
      <c r="E1317" s="1110"/>
      <c r="F1317" s="1110"/>
      <c r="G1317" s="1211">
        <v>777984</v>
      </c>
      <c r="H1317" s="122" t="s">
        <v>1798</v>
      </c>
      <c r="I1317" s="516" t="s">
        <v>364</v>
      </c>
      <c r="J1317" s="547">
        <v>24.414000000000001</v>
      </c>
      <c r="K1317" s="545"/>
      <c r="L1317" s="546"/>
      <c r="M1317" s="547">
        <v>15.471</v>
      </c>
      <c r="N1317" s="545"/>
      <c r="O1317" s="546"/>
      <c r="P1317" s="547">
        <v>22.913</v>
      </c>
      <c r="Q1317" s="545"/>
      <c r="R1317" s="546"/>
      <c r="S1317" s="547">
        <v>29.103999999999999</v>
      </c>
      <c r="T1317" s="545"/>
      <c r="U1317" s="546"/>
      <c r="V1317" s="547">
        <v>25.63</v>
      </c>
      <c r="W1317" s="545"/>
      <c r="X1317" s="546"/>
      <c r="Y1317" s="547">
        <v>22.841000000000001</v>
      </c>
      <c r="Z1317" s="545"/>
      <c r="AA1317" s="546"/>
      <c r="AB1317" s="547">
        <v>15.667999999999999</v>
      </c>
      <c r="AC1317" s="545"/>
      <c r="AD1317" s="546"/>
      <c r="AE1317" s="547">
        <v>14.135</v>
      </c>
      <c r="AF1317" s="545"/>
      <c r="AG1317" s="546"/>
      <c r="AH1317" s="547">
        <v>15.263</v>
      </c>
      <c r="AI1317" s="545"/>
      <c r="AJ1317" s="546"/>
      <c r="AK1317" s="547">
        <v>15.076000000000001</v>
      </c>
      <c r="AL1317" s="545"/>
      <c r="AM1317" s="546"/>
      <c r="AN1317" s="547">
        <v>19.141999999999999</v>
      </c>
      <c r="AO1317" s="545"/>
      <c r="AP1317" s="546"/>
      <c r="AQ1317" s="547">
        <v>17.512</v>
      </c>
      <c r="AR1317" s="246"/>
      <c r="AS1317" s="282"/>
      <c r="AT1317" s="244">
        <f t="shared" si="51"/>
        <v>237.16899999999998</v>
      </c>
      <c r="AU1317" s="246"/>
      <c r="AV1317" s="336"/>
      <c r="AW1317" s="285"/>
      <c r="AX1317" s="249"/>
      <c r="AY1317" s="438"/>
      <c r="AZ1317" s="357"/>
      <c r="BA1317" s="357"/>
      <c r="BB1317" s="357"/>
      <c r="BC1317" s="357"/>
    </row>
    <row r="1318" spans="1:55" s="24" customFormat="1">
      <c r="A1318" s="1116"/>
      <c r="B1318" s="1116"/>
      <c r="C1318" s="1116"/>
      <c r="D1318" s="1110"/>
      <c r="E1318" s="1110"/>
      <c r="F1318" s="1110"/>
      <c r="G1318" s="1211">
        <v>777985</v>
      </c>
      <c r="H1318" s="122" t="s">
        <v>1799</v>
      </c>
      <c r="I1318" s="516" t="s">
        <v>364</v>
      </c>
      <c r="J1318" s="547">
        <v>24.414000000000001</v>
      </c>
      <c r="K1318" s="545"/>
      <c r="L1318" s="546"/>
      <c r="M1318" s="547">
        <v>15.471</v>
      </c>
      <c r="N1318" s="545"/>
      <c r="O1318" s="546"/>
      <c r="P1318" s="547">
        <v>22.913</v>
      </c>
      <c r="Q1318" s="545"/>
      <c r="R1318" s="546"/>
      <c r="S1318" s="547">
        <v>29.103999999999999</v>
      </c>
      <c r="T1318" s="545"/>
      <c r="U1318" s="546"/>
      <c r="V1318" s="547">
        <v>25.63</v>
      </c>
      <c r="W1318" s="545"/>
      <c r="X1318" s="546"/>
      <c r="Y1318" s="547">
        <v>22.841000000000001</v>
      </c>
      <c r="Z1318" s="545"/>
      <c r="AA1318" s="546"/>
      <c r="AB1318" s="547">
        <v>15.667999999999999</v>
      </c>
      <c r="AC1318" s="545"/>
      <c r="AD1318" s="546"/>
      <c r="AE1318" s="547">
        <v>14.135</v>
      </c>
      <c r="AF1318" s="545"/>
      <c r="AG1318" s="546"/>
      <c r="AH1318" s="547">
        <v>15.263</v>
      </c>
      <c r="AI1318" s="545"/>
      <c r="AJ1318" s="546"/>
      <c r="AK1318" s="547">
        <v>15.076000000000001</v>
      </c>
      <c r="AL1318" s="545"/>
      <c r="AM1318" s="546"/>
      <c r="AN1318" s="547">
        <v>19.141999999999999</v>
      </c>
      <c r="AO1318" s="545"/>
      <c r="AP1318" s="546"/>
      <c r="AQ1318" s="547">
        <v>17.512</v>
      </c>
      <c r="AR1318" s="246"/>
      <c r="AS1318" s="282"/>
      <c r="AT1318" s="244">
        <f t="shared" si="51"/>
        <v>237.16899999999998</v>
      </c>
      <c r="AU1318" s="246"/>
      <c r="AV1318" s="336"/>
      <c r="AW1318" s="285"/>
      <c r="AX1318" s="249"/>
      <c r="AY1318" s="438"/>
      <c r="AZ1318" s="357"/>
      <c r="BA1318" s="357"/>
      <c r="BB1318" s="357"/>
      <c r="BC1318" s="357"/>
    </row>
    <row r="1319" spans="1:55" s="24" customFormat="1">
      <c r="A1319" s="1116"/>
      <c r="B1319" s="1116"/>
      <c r="C1319" s="1116"/>
      <c r="D1319" s="1110"/>
      <c r="E1319" s="1110"/>
      <c r="F1319" s="1110"/>
      <c r="G1319" s="1211">
        <v>777805</v>
      </c>
      <c r="H1319" s="122" t="s">
        <v>1800</v>
      </c>
      <c r="I1319" s="516" t="s">
        <v>364</v>
      </c>
      <c r="J1319" s="547">
        <v>0</v>
      </c>
      <c r="K1319" s="545"/>
      <c r="L1319" s="546"/>
      <c r="M1319" s="547">
        <v>0</v>
      </c>
      <c r="N1319" s="545"/>
      <c r="O1319" s="546"/>
      <c r="P1319" s="547">
        <v>0</v>
      </c>
      <c r="Q1319" s="545"/>
      <c r="R1319" s="546"/>
      <c r="S1319" s="547">
        <v>0</v>
      </c>
      <c r="T1319" s="545"/>
      <c r="U1319" s="546"/>
      <c r="V1319" s="547">
        <v>0</v>
      </c>
      <c r="W1319" s="545"/>
      <c r="X1319" s="546"/>
      <c r="Y1319" s="547">
        <v>0</v>
      </c>
      <c r="Z1319" s="545"/>
      <c r="AA1319" s="546"/>
      <c r="AB1319" s="547">
        <v>0</v>
      </c>
      <c r="AC1319" s="545"/>
      <c r="AD1319" s="546"/>
      <c r="AE1319" s="547">
        <v>0</v>
      </c>
      <c r="AF1319" s="545"/>
      <c r="AG1319" s="546"/>
      <c r="AH1319" s="547">
        <v>0</v>
      </c>
      <c r="AI1319" s="545"/>
      <c r="AJ1319" s="546"/>
      <c r="AK1319" s="547">
        <v>0</v>
      </c>
      <c r="AL1319" s="545"/>
      <c r="AM1319" s="546"/>
      <c r="AN1319" s="547">
        <v>0</v>
      </c>
      <c r="AO1319" s="545"/>
      <c r="AP1319" s="546"/>
      <c r="AQ1319" s="547">
        <v>32.276000000000003</v>
      </c>
      <c r="AR1319" s="246"/>
      <c r="AS1319" s="282"/>
      <c r="AT1319" s="244">
        <f t="shared" si="51"/>
        <v>32.276000000000003</v>
      </c>
      <c r="AU1319" s="246"/>
      <c r="AV1319" s="336"/>
      <c r="AW1319" s="285"/>
      <c r="AX1319" s="249"/>
      <c r="AY1319" s="438"/>
      <c r="AZ1319" s="357"/>
      <c r="BA1319" s="357"/>
      <c r="BB1319" s="357"/>
      <c r="BC1319" s="357"/>
    </row>
    <row r="1320" spans="1:55" s="24" customFormat="1">
      <c r="A1320" s="1116"/>
      <c r="B1320" s="1116"/>
      <c r="C1320" s="1116"/>
      <c r="D1320" s="1110"/>
      <c r="E1320" s="1110"/>
      <c r="F1320" s="1110"/>
      <c r="G1320" s="1110"/>
      <c r="H1320" s="138" t="s">
        <v>174</v>
      </c>
      <c r="I1320" s="138"/>
      <c r="J1320" s="319">
        <f>J1321</f>
        <v>3.5</v>
      </c>
      <c r="K1320" s="288"/>
      <c r="L1320" s="289"/>
      <c r="M1320" s="287">
        <f>M1321</f>
        <v>2.5</v>
      </c>
      <c r="N1320" s="288"/>
      <c r="O1320" s="289"/>
      <c r="P1320" s="287">
        <f>P1321</f>
        <v>2.5</v>
      </c>
      <c r="Q1320" s="288"/>
      <c r="R1320" s="289"/>
      <c r="S1320" s="287">
        <f>S1321</f>
        <v>0.3</v>
      </c>
      <c r="T1320" s="288"/>
      <c r="U1320" s="289"/>
      <c r="V1320" s="287">
        <f>V1321</f>
        <v>0</v>
      </c>
      <c r="W1320" s="288"/>
      <c r="X1320" s="289"/>
      <c r="Y1320" s="287">
        <f>Y1321</f>
        <v>0</v>
      </c>
      <c r="Z1320" s="288"/>
      <c r="AA1320" s="289"/>
      <c r="AB1320" s="287">
        <f>AB1321</f>
        <v>0</v>
      </c>
      <c r="AC1320" s="288"/>
      <c r="AD1320" s="289"/>
      <c r="AE1320" s="287">
        <f>AE1321</f>
        <v>0</v>
      </c>
      <c r="AF1320" s="288"/>
      <c r="AG1320" s="289"/>
      <c r="AH1320" s="287">
        <f>AH1321</f>
        <v>0</v>
      </c>
      <c r="AI1320" s="288"/>
      <c r="AJ1320" s="289"/>
      <c r="AK1320" s="287">
        <f>AK1321</f>
        <v>0</v>
      </c>
      <c r="AL1320" s="288"/>
      <c r="AM1320" s="289"/>
      <c r="AN1320" s="287">
        <f>AN1321</f>
        <v>1.7</v>
      </c>
      <c r="AO1320" s="288"/>
      <c r="AP1320" s="289"/>
      <c r="AQ1320" s="287">
        <f>AQ1321</f>
        <v>2.5</v>
      </c>
      <c r="AR1320" s="288"/>
      <c r="AS1320" s="289"/>
      <c r="AT1320" s="287">
        <f>AT1321</f>
        <v>13</v>
      </c>
      <c r="AU1320" s="288"/>
      <c r="AV1320" s="290"/>
      <c r="AW1320" s="285"/>
      <c r="AX1320" s="295"/>
      <c r="AY1320" s="436">
        <v>13.12288</v>
      </c>
      <c r="AZ1320" s="357"/>
      <c r="BA1320" s="357"/>
      <c r="BB1320" s="357"/>
      <c r="BC1320" s="357"/>
    </row>
    <row r="1321" spans="1:55" s="24" customFormat="1">
      <c r="A1321" s="1116"/>
      <c r="B1321" s="1116"/>
      <c r="C1321" s="1116"/>
      <c r="D1321" s="1110">
        <v>323240</v>
      </c>
      <c r="E1321" s="1110"/>
      <c r="F1321" s="1110"/>
      <c r="G1321" s="1110">
        <v>323240</v>
      </c>
      <c r="H1321" s="145" t="s">
        <v>234</v>
      </c>
      <c r="I1321" s="518" t="s">
        <v>365</v>
      </c>
      <c r="J1321" s="294">
        <v>3.5</v>
      </c>
      <c r="K1321" s="288"/>
      <c r="L1321" s="289"/>
      <c r="M1321" s="293">
        <v>2.5</v>
      </c>
      <c r="N1321" s="288"/>
      <c r="O1321" s="289"/>
      <c r="P1321" s="293">
        <v>2.5</v>
      </c>
      <c r="Q1321" s="288"/>
      <c r="R1321" s="289"/>
      <c r="S1321" s="293">
        <v>0.3</v>
      </c>
      <c r="T1321" s="288"/>
      <c r="U1321" s="289"/>
      <c r="V1321" s="293">
        <v>0</v>
      </c>
      <c r="W1321" s="288"/>
      <c r="X1321" s="289"/>
      <c r="Y1321" s="293">
        <v>0</v>
      </c>
      <c r="Z1321" s="288"/>
      <c r="AA1321" s="289"/>
      <c r="AB1321" s="293">
        <v>0</v>
      </c>
      <c r="AC1321" s="288"/>
      <c r="AD1321" s="289"/>
      <c r="AE1321" s="293">
        <v>0</v>
      </c>
      <c r="AF1321" s="288"/>
      <c r="AG1321" s="289"/>
      <c r="AH1321" s="293">
        <v>0</v>
      </c>
      <c r="AI1321" s="288"/>
      <c r="AJ1321" s="289"/>
      <c r="AK1321" s="293">
        <v>0</v>
      </c>
      <c r="AL1321" s="288"/>
      <c r="AM1321" s="289"/>
      <c r="AN1321" s="293">
        <v>1.7</v>
      </c>
      <c r="AO1321" s="288"/>
      <c r="AP1321" s="289"/>
      <c r="AQ1321" s="293">
        <v>2.5</v>
      </c>
      <c r="AR1321" s="288"/>
      <c r="AS1321" s="289"/>
      <c r="AT1321" s="294">
        <f>J1321+M1321+P1321+S1321+V1321+Y1321+AB1321+AE1321+AH1321+AK1321+AN1321+AQ1321</f>
        <v>13</v>
      </c>
      <c r="AU1321" s="288"/>
      <c r="AV1321" s="290"/>
      <c r="AW1321" s="285"/>
      <c r="AX1321" s="295"/>
      <c r="AY1321" s="313"/>
      <c r="AZ1321" s="357"/>
      <c r="BA1321" s="357"/>
      <c r="BB1321" s="357"/>
      <c r="BC1321" s="357"/>
    </row>
    <row r="1322" spans="1:55" s="24" customFormat="1" ht="18.75">
      <c r="A1322" s="179"/>
      <c r="B1322" s="179"/>
      <c r="C1322" s="179"/>
      <c r="D1322" s="181">
        <v>322700</v>
      </c>
      <c r="E1322" s="181"/>
      <c r="F1322" s="181"/>
      <c r="G1322" s="181">
        <v>322700</v>
      </c>
      <c r="H1322" s="474" t="s">
        <v>1631</v>
      </c>
      <c r="I1322" s="474"/>
      <c r="J1322" s="277">
        <f>J1323</f>
        <v>20.940732337512078</v>
      </c>
      <c r="K1322" s="275">
        <f>L1322-J1322</f>
        <v>158.34697945038391</v>
      </c>
      <c r="L1322" s="276">
        <f>Потребление!D74</f>
        <v>179.287711787896</v>
      </c>
      <c r="M1322" s="277">
        <f>M1323</f>
        <v>16.190233316883443</v>
      </c>
      <c r="N1322" s="275">
        <f>O1322-M1322</f>
        <v>147.74520528720745</v>
      </c>
      <c r="O1322" s="276">
        <f>Потребление!E74</f>
        <v>163.9354386040909</v>
      </c>
      <c r="P1322" s="277">
        <f>P1323</f>
        <v>21.148648780450227</v>
      </c>
      <c r="Q1322" s="275">
        <f>R1322-P1322</f>
        <v>139.87724564145276</v>
      </c>
      <c r="R1322" s="276">
        <f>Потребление!F74</f>
        <v>161.02589442190299</v>
      </c>
      <c r="S1322" s="277">
        <f>S1323</f>
        <v>40.809590046435595</v>
      </c>
      <c r="T1322" s="275">
        <f>U1322-S1322</f>
        <v>102.7682290336864</v>
      </c>
      <c r="U1322" s="276">
        <f>Потребление!G74</f>
        <v>143.577819080122</v>
      </c>
      <c r="V1322" s="277">
        <f>V1323</f>
        <v>97.333618087366233</v>
      </c>
      <c r="W1322" s="275">
        <f>X1322-V1322</f>
        <v>28.517583455982773</v>
      </c>
      <c r="X1322" s="276">
        <f>Потребление!H74</f>
        <v>125.85120154334901</v>
      </c>
      <c r="Y1322" s="277">
        <f>Y1323</f>
        <v>143.90741534754633</v>
      </c>
      <c r="Z1322" s="275">
        <f>AA1322-Y1322</f>
        <v>-24.578769473549343</v>
      </c>
      <c r="AA1322" s="276">
        <f>Потребление!I74</f>
        <v>119.32864587399699</v>
      </c>
      <c r="AB1322" s="277">
        <f>AB1323</f>
        <v>119.16506368908287</v>
      </c>
      <c r="AC1322" s="275">
        <f>AD1322-AB1322</f>
        <v>18.240120513548135</v>
      </c>
      <c r="AD1322" s="276">
        <f>Потребление!J74</f>
        <v>137.40518420263101</v>
      </c>
      <c r="AE1322" s="277">
        <f>AE1323</f>
        <v>101.62625113449991</v>
      </c>
      <c r="AF1322" s="275">
        <f>AG1322-AE1322</f>
        <v>24.375422379614093</v>
      </c>
      <c r="AG1322" s="276">
        <f>Потребление!K74</f>
        <v>126.001673514114</v>
      </c>
      <c r="AH1322" s="277">
        <f>AH1323</f>
        <v>70.847877285063277</v>
      </c>
      <c r="AI1322" s="275">
        <f>AJ1322-AH1322</f>
        <v>53.80828550525672</v>
      </c>
      <c r="AJ1322" s="276">
        <f>Потребление!L74</f>
        <v>124.65616279032</v>
      </c>
      <c r="AK1322" s="277">
        <f>AK1323</f>
        <v>30.120735513299703</v>
      </c>
      <c r="AL1322" s="275">
        <f>AM1322-AK1322</f>
        <v>117.74895274623228</v>
      </c>
      <c r="AM1322" s="276">
        <f>Потребление!M74</f>
        <v>147.86968825953198</v>
      </c>
      <c r="AN1322" s="277">
        <f>AN1323</f>
        <v>21.120562589094042</v>
      </c>
      <c r="AO1322" s="275">
        <f>AP1322-AN1322</f>
        <v>146.95404461117096</v>
      </c>
      <c r="AP1322" s="276">
        <f>Потребление!N74</f>
        <v>168.07460720026501</v>
      </c>
      <c r="AQ1322" s="277">
        <f>AQ1323</f>
        <v>15.971943717837334</v>
      </c>
      <c r="AR1322" s="275">
        <f>AS1322-AQ1322</f>
        <v>177.01402900394265</v>
      </c>
      <c r="AS1322" s="276">
        <f>Потребление!O74</f>
        <v>192.98597272178</v>
      </c>
      <c r="AT1322" s="277">
        <f>AT1323</f>
        <v>699.1826718450709</v>
      </c>
      <c r="AU1322" s="275">
        <f>AV1322-AT1322</f>
        <v>1090.8173281549289</v>
      </c>
      <c r="AV1322" s="278">
        <f>L1322+O1322+R1322+U1322+X1322+AA1322+AD1322+AG1322+AJ1322+AM1322+AP1322+AS1322</f>
        <v>1789.9999999999998</v>
      </c>
      <c r="AW1322" s="279"/>
      <c r="AX1322" s="1067">
        <v>2049.9305976000001</v>
      </c>
      <c r="AY1322" s="280">
        <f>AY1323</f>
        <v>330.86576199999996</v>
      </c>
      <c r="AZ1322" s="357"/>
      <c r="BA1322" s="357"/>
      <c r="BB1322" s="357"/>
      <c r="BC1322" s="357"/>
    </row>
    <row r="1323" spans="1:55" s="24" customFormat="1">
      <c r="A1323" s="179"/>
      <c r="B1323" s="179"/>
      <c r="C1323" s="179"/>
      <c r="D1323" s="181"/>
      <c r="E1323" s="181"/>
      <c r="F1323" s="181"/>
      <c r="G1323" s="181"/>
      <c r="H1323" s="124" t="s">
        <v>55</v>
      </c>
      <c r="I1323" s="124"/>
      <c r="J1323" s="365">
        <f>SUM(J1324:J1331)</f>
        <v>20.940732337512078</v>
      </c>
      <c r="K1323" s="363"/>
      <c r="L1323" s="364"/>
      <c r="M1323" s="362">
        <f>SUM(M1324:M1331)</f>
        <v>16.190233316883443</v>
      </c>
      <c r="N1323" s="363"/>
      <c r="O1323" s="364"/>
      <c r="P1323" s="362">
        <f>SUM(P1324:P1331)</f>
        <v>21.148648780450227</v>
      </c>
      <c r="Q1323" s="363"/>
      <c r="R1323" s="364"/>
      <c r="S1323" s="362">
        <f>SUM(S1324:S1331)</f>
        <v>40.809590046435595</v>
      </c>
      <c r="T1323" s="363"/>
      <c r="U1323" s="364"/>
      <c r="V1323" s="362">
        <f>SUM(V1324:V1331)</f>
        <v>97.333618087366233</v>
      </c>
      <c r="W1323" s="363"/>
      <c r="X1323" s="364"/>
      <c r="Y1323" s="362">
        <f>SUM(Y1324:Y1331)</f>
        <v>143.90741534754633</v>
      </c>
      <c r="Z1323" s="363"/>
      <c r="AA1323" s="364"/>
      <c r="AB1323" s="362">
        <f>SUM(AB1324:AB1331)</f>
        <v>119.16506368908287</v>
      </c>
      <c r="AC1323" s="363"/>
      <c r="AD1323" s="364"/>
      <c r="AE1323" s="362">
        <f>SUM(AE1324:AE1331)</f>
        <v>101.62625113449991</v>
      </c>
      <c r="AF1323" s="363"/>
      <c r="AG1323" s="364"/>
      <c r="AH1323" s="362">
        <f>SUM(AH1324:AH1331)</f>
        <v>70.847877285063277</v>
      </c>
      <c r="AI1323" s="363"/>
      <c r="AJ1323" s="364"/>
      <c r="AK1323" s="362">
        <f>SUM(AK1324:AK1331)</f>
        <v>30.120735513299703</v>
      </c>
      <c r="AL1323" s="363"/>
      <c r="AM1323" s="364"/>
      <c r="AN1323" s="362">
        <f>SUM(AN1324:AN1331)</f>
        <v>21.120562589094042</v>
      </c>
      <c r="AO1323" s="363"/>
      <c r="AP1323" s="364"/>
      <c r="AQ1323" s="362">
        <f>SUM(AQ1324:AQ1331)</f>
        <v>15.971943717837334</v>
      </c>
      <c r="AR1323" s="363"/>
      <c r="AS1323" s="364"/>
      <c r="AT1323" s="362">
        <f>SUM(AT1324:AT1331)</f>
        <v>699.1826718450709</v>
      </c>
      <c r="AU1323" s="363"/>
      <c r="AV1323" s="229"/>
      <c r="AW1323" s="226"/>
      <c r="AX1323" s="366"/>
      <c r="AY1323" s="339">
        <f>SUM(AY1324:AY1331)</f>
        <v>330.86576199999996</v>
      </c>
      <c r="AZ1323" s="357"/>
      <c r="BA1323" s="357"/>
      <c r="BB1323" s="357"/>
      <c r="BC1323" s="357"/>
    </row>
    <row r="1324" spans="1:55" s="24" customFormat="1">
      <c r="A1324" s="179"/>
      <c r="B1324" s="179"/>
      <c r="C1324" s="179"/>
      <c r="D1324" s="181">
        <v>322730</v>
      </c>
      <c r="E1324" s="181"/>
      <c r="F1324" s="181"/>
      <c r="G1324" s="1110">
        <v>322730</v>
      </c>
      <c r="H1324" s="127" t="s">
        <v>694</v>
      </c>
      <c r="I1324" s="516" t="s">
        <v>364</v>
      </c>
      <c r="J1324" s="638">
        <f>ГЭС!C151</f>
        <v>4.3</v>
      </c>
      <c r="K1324" s="521"/>
      <c r="L1324" s="522"/>
      <c r="M1324" s="638">
        <f>ГЭС!D151</f>
        <v>0</v>
      </c>
      <c r="N1324" s="521"/>
      <c r="O1324" s="522"/>
      <c r="P1324" s="638">
        <f>ГЭС!E151</f>
        <v>6.4</v>
      </c>
      <c r="Q1324" s="521"/>
      <c r="R1324" s="522"/>
      <c r="S1324" s="638">
        <f>ГЭС!G151</f>
        <v>18</v>
      </c>
      <c r="T1324" s="521"/>
      <c r="U1324" s="522"/>
      <c r="V1324" s="638">
        <f>ГЭС!H151</f>
        <v>30</v>
      </c>
      <c r="W1324" s="521"/>
      <c r="X1324" s="522"/>
      <c r="Y1324" s="638">
        <f>ГЭС!I151</f>
        <v>30</v>
      </c>
      <c r="Z1324" s="521"/>
      <c r="AA1324" s="522"/>
      <c r="AB1324" s="638">
        <f>ГЭС!K151</f>
        <v>27</v>
      </c>
      <c r="AC1324" s="521"/>
      <c r="AD1324" s="522"/>
      <c r="AE1324" s="638">
        <f>ГЭС!L151</f>
        <v>30</v>
      </c>
      <c r="AF1324" s="521"/>
      <c r="AG1324" s="522"/>
      <c r="AH1324" s="638">
        <f>ГЭС!M151</f>
        <v>20</v>
      </c>
      <c r="AI1324" s="521"/>
      <c r="AJ1324" s="522"/>
      <c r="AK1324" s="638">
        <f>ГЭС!O151</f>
        <v>0</v>
      </c>
      <c r="AL1324" s="521"/>
      <c r="AM1324" s="522"/>
      <c r="AN1324" s="638">
        <f>ГЭС!P151</f>
        <v>0</v>
      </c>
      <c r="AO1324" s="521"/>
      <c r="AP1324" s="522"/>
      <c r="AQ1324" s="638">
        <f>ГЭС!Q151</f>
        <v>0</v>
      </c>
      <c r="AR1324" s="521"/>
      <c r="AS1324" s="522"/>
      <c r="AT1324" s="638">
        <f t="shared" ref="AT1324:AT1331" si="52">J1324+M1324+P1324+S1324+V1324+Y1324+AB1324+AE1324+AH1324+AK1324+AN1324+AQ1324</f>
        <v>165.7</v>
      </c>
      <c r="AU1324" s="246"/>
      <c r="AV1324" s="336"/>
      <c r="AW1324" s="285"/>
      <c r="AX1324" s="249"/>
      <c r="AY1324" s="441">
        <v>201.592647</v>
      </c>
      <c r="AZ1324" s="357"/>
      <c r="BA1324" s="357"/>
      <c r="BB1324" s="357"/>
      <c r="BC1324" s="357"/>
    </row>
    <row r="1325" spans="1:55" s="24" customFormat="1">
      <c r="A1325" s="179"/>
      <c r="B1325" s="179"/>
      <c r="C1325" s="179"/>
      <c r="D1325" s="181">
        <v>322732</v>
      </c>
      <c r="E1325" s="181"/>
      <c r="F1325" s="181"/>
      <c r="G1325" s="1110">
        <v>322732</v>
      </c>
      <c r="H1325" s="127" t="s">
        <v>695</v>
      </c>
      <c r="I1325" s="516" t="s">
        <v>364</v>
      </c>
      <c r="J1325" s="638">
        <f>ГЭС!C152</f>
        <v>1</v>
      </c>
      <c r="K1325" s="521"/>
      <c r="L1325" s="522"/>
      <c r="M1325" s="638">
        <f>ГЭС!D152</f>
        <v>0.9</v>
      </c>
      <c r="N1325" s="521"/>
      <c r="O1325" s="522"/>
      <c r="P1325" s="638">
        <f>ГЭС!E152</f>
        <v>0.75</v>
      </c>
      <c r="Q1325" s="521"/>
      <c r="R1325" s="522"/>
      <c r="S1325" s="638">
        <f>ГЭС!G152</f>
        <v>0.45</v>
      </c>
      <c r="T1325" s="521"/>
      <c r="U1325" s="522"/>
      <c r="V1325" s="638">
        <f>ГЭС!H152</f>
        <v>1.1000000000000001</v>
      </c>
      <c r="W1325" s="521"/>
      <c r="X1325" s="522"/>
      <c r="Y1325" s="638">
        <f>ГЭС!I152</f>
        <v>6.5</v>
      </c>
      <c r="Z1325" s="521"/>
      <c r="AA1325" s="522"/>
      <c r="AB1325" s="638">
        <f>ГЭС!K152</f>
        <v>8</v>
      </c>
      <c r="AC1325" s="521"/>
      <c r="AD1325" s="522"/>
      <c r="AE1325" s="638">
        <f>ГЭС!L152</f>
        <v>8</v>
      </c>
      <c r="AF1325" s="521"/>
      <c r="AG1325" s="522"/>
      <c r="AH1325" s="638">
        <f>ГЭС!M152</f>
        <v>4</v>
      </c>
      <c r="AI1325" s="521"/>
      <c r="AJ1325" s="522"/>
      <c r="AK1325" s="638">
        <f>ГЭС!O152</f>
        <v>3.4</v>
      </c>
      <c r="AL1325" s="521"/>
      <c r="AM1325" s="522"/>
      <c r="AN1325" s="638">
        <f>ГЭС!P152</f>
        <v>1.7</v>
      </c>
      <c r="AO1325" s="521"/>
      <c r="AP1325" s="522"/>
      <c r="AQ1325" s="638">
        <f>ГЭС!Q152</f>
        <v>1.4</v>
      </c>
      <c r="AR1325" s="246"/>
      <c r="AS1325" s="282"/>
      <c r="AT1325" s="638">
        <f t="shared" si="52"/>
        <v>37.200000000000003</v>
      </c>
      <c r="AU1325" s="246"/>
      <c r="AV1325" s="336"/>
      <c r="AW1325" s="285"/>
      <c r="AX1325" s="249"/>
      <c r="AY1325" s="441">
        <v>35.336796</v>
      </c>
      <c r="AZ1325" s="357"/>
      <c r="BA1325" s="357"/>
      <c r="BB1325" s="357"/>
      <c r="BC1325" s="357"/>
    </row>
    <row r="1326" spans="1:55" s="24" customFormat="1">
      <c r="A1326" s="179"/>
      <c r="B1326" s="179"/>
      <c r="C1326" s="179"/>
      <c r="D1326" s="181">
        <v>322731</v>
      </c>
      <c r="E1326" s="181"/>
      <c r="F1326" s="181"/>
      <c r="G1326" s="1110">
        <v>322731</v>
      </c>
      <c r="H1326" s="127" t="s">
        <v>1012</v>
      </c>
      <c r="I1326" s="516" t="s">
        <v>364</v>
      </c>
      <c r="J1326" s="638">
        <f>ГЭС!C153</f>
        <v>1</v>
      </c>
      <c r="K1326" s="521"/>
      <c r="L1326" s="522"/>
      <c r="M1326" s="638">
        <f>ГЭС!D153</f>
        <v>0.9</v>
      </c>
      <c r="N1326" s="521"/>
      <c r="O1326" s="522"/>
      <c r="P1326" s="638">
        <f>ГЭС!E153</f>
        <v>1</v>
      </c>
      <c r="Q1326" s="521"/>
      <c r="R1326" s="522"/>
      <c r="S1326" s="638">
        <f>ГЭС!G153</f>
        <v>2</v>
      </c>
      <c r="T1326" s="521"/>
      <c r="U1326" s="522"/>
      <c r="V1326" s="638">
        <f>ГЭС!H153</f>
        <v>4.5</v>
      </c>
      <c r="W1326" s="521"/>
      <c r="X1326" s="522"/>
      <c r="Y1326" s="638">
        <f>ГЭС!I153</f>
        <v>5.5</v>
      </c>
      <c r="Z1326" s="521"/>
      <c r="AA1326" s="522"/>
      <c r="AB1326" s="638">
        <f>ГЭС!K153</f>
        <v>5.7</v>
      </c>
      <c r="AC1326" s="521"/>
      <c r="AD1326" s="522"/>
      <c r="AE1326" s="638">
        <f>ГЭС!L153</f>
        <v>5.0999999999999996</v>
      </c>
      <c r="AF1326" s="521"/>
      <c r="AG1326" s="522"/>
      <c r="AH1326" s="638">
        <f>ГЭС!M153</f>
        <v>4</v>
      </c>
      <c r="AI1326" s="521"/>
      <c r="AJ1326" s="522"/>
      <c r="AK1326" s="638">
        <f>ГЭС!O153</f>
        <v>0</v>
      </c>
      <c r="AL1326" s="521"/>
      <c r="AM1326" s="522"/>
      <c r="AN1326" s="638">
        <f>ГЭС!P153</f>
        <v>1.3</v>
      </c>
      <c r="AO1326" s="521"/>
      <c r="AP1326" s="522"/>
      <c r="AQ1326" s="638">
        <f>ГЭС!Q153</f>
        <v>1</v>
      </c>
      <c r="AR1326" s="521"/>
      <c r="AS1326" s="522"/>
      <c r="AT1326" s="638">
        <f t="shared" si="52"/>
        <v>32</v>
      </c>
      <c r="AU1326" s="246"/>
      <c r="AV1326" s="336"/>
      <c r="AW1326" s="285"/>
      <c r="AX1326" s="249"/>
      <c r="AY1326" s="441">
        <v>36</v>
      </c>
      <c r="AZ1326" s="357"/>
      <c r="BA1326" s="357"/>
      <c r="BB1326" s="357"/>
      <c r="BC1326" s="357"/>
    </row>
    <row r="1327" spans="1:55" s="24" customFormat="1">
      <c r="A1327" s="179"/>
      <c r="B1327" s="179"/>
      <c r="C1327" s="179"/>
      <c r="D1327" s="181">
        <v>322733</v>
      </c>
      <c r="E1327" s="181"/>
      <c r="F1327" s="181"/>
      <c r="G1327" s="1110">
        <v>322733</v>
      </c>
      <c r="H1327" s="125" t="s">
        <v>696</v>
      </c>
      <c r="I1327" s="533" t="s">
        <v>365</v>
      </c>
      <c r="J1327" s="587">
        <v>7.7103354968130589E-2</v>
      </c>
      <c r="K1327" s="246"/>
      <c r="L1327" s="282"/>
      <c r="M1327" s="586">
        <v>6.3602855429053307E-2</v>
      </c>
      <c r="N1327" s="246"/>
      <c r="O1327" s="282"/>
      <c r="P1327" s="586">
        <v>8.6883639916777611E-2</v>
      </c>
      <c r="Q1327" s="246"/>
      <c r="R1327" s="282"/>
      <c r="S1327" s="586">
        <v>0.10668935254216194</v>
      </c>
      <c r="T1327" s="246"/>
      <c r="U1327" s="282"/>
      <c r="V1327" s="586">
        <v>8.0411570146679878E-2</v>
      </c>
      <c r="W1327" s="246"/>
      <c r="X1327" s="282"/>
      <c r="Y1327" s="597">
        <v>6.2620859593153E-2</v>
      </c>
      <c r="Z1327" s="246"/>
      <c r="AA1327" s="282"/>
      <c r="AB1327" s="586">
        <v>6.1050500720739365E-2</v>
      </c>
      <c r="AC1327" s="246"/>
      <c r="AD1327" s="282"/>
      <c r="AE1327" s="586">
        <v>6.5627073869109154E-2</v>
      </c>
      <c r="AF1327" s="246"/>
      <c r="AG1327" s="282"/>
      <c r="AH1327" s="586">
        <v>7.6549924910068512E-2</v>
      </c>
      <c r="AI1327" s="246"/>
      <c r="AJ1327" s="282"/>
      <c r="AK1327" s="586">
        <v>7.9155143350362778E-2</v>
      </c>
      <c r="AL1327" s="246"/>
      <c r="AM1327" s="282"/>
      <c r="AN1327" s="586">
        <v>7.0895714685320854E-2</v>
      </c>
      <c r="AO1327" s="246"/>
      <c r="AP1327" s="282"/>
      <c r="AQ1327" s="586">
        <v>8.9792355895042419E-2</v>
      </c>
      <c r="AR1327" s="323"/>
      <c r="AS1327" s="324"/>
      <c r="AT1327" s="586">
        <f>J1327+M1327+P1327+S1327+V1327+Y1327+AB1327+AE1327+AH1327+AK1327+AN1327+AQ1327</f>
        <v>0.92038234602659941</v>
      </c>
      <c r="AU1327" s="323"/>
      <c r="AV1327" s="325"/>
      <c r="AW1327" s="226"/>
      <c r="AX1327" s="328"/>
      <c r="AY1327" s="1068">
        <v>0.50625699999999996</v>
      </c>
      <c r="AZ1327" s="357"/>
      <c r="BA1327" s="357"/>
      <c r="BB1327" s="357"/>
      <c r="BC1327" s="357"/>
    </row>
    <row r="1328" spans="1:55" s="24" customFormat="1">
      <c r="A1328" s="179"/>
      <c r="B1328" s="179"/>
      <c r="C1328" s="179"/>
      <c r="D1328" s="181">
        <v>322738</v>
      </c>
      <c r="E1328" s="181"/>
      <c r="F1328" s="181"/>
      <c r="G1328" s="1110">
        <v>322738</v>
      </c>
      <c r="H1328" s="125" t="s">
        <v>469</v>
      </c>
      <c r="I1328" s="533" t="s">
        <v>365</v>
      </c>
      <c r="J1328" s="587">
        <v>0.27500000000000002</v>
      </c>
      <c r="K1328" s="246"/>
      <c r="L1328" s="282"/>
      <c r="M1328" s="587">
        <v>0.22</v>
      </c>
      <c r="N1328" s="246"/>
      <c r="O1328" s="282"/>
      <c r="P1328" s="587">
        <v>0.3</v>
      </c>
      <c r="Q1328" s="246"/>
      <c r="R1328" s="282"/>
      <c r="S1328" s="587">
        <v>0.6</v>
      </c>
      <c r="T1328" s="246"/>
      <c r="U1328" s="282"/>
      <c r="V1328" s="587">
        <v>0.6</v>
      </c>
      <c r="W1328" s="246"/>
      <c r="X1328" s="282"/>
      <c r="Y1328" s="596">
        <v>0.76</v>
      </c>
      <c r="Z1328" s="246"/>
      <c r="AA1328" s="282"/>
      <c r="AB1328" s="587">
        <v>0.76</v>
      </c>
      <c r="AC1328" s="246"/>
      <c r="AD1328" s="282"/>
      <c r="AE1328" s="587">
        <v>0.76</v>
      </c>
      <c r="AF1328" s="246"/>
      <c r="AG1328" s="282"/>
      <c r="AH1328" s="587">
        <v>0.6</v>
      </c>
      <c r="AI1328" s="246"/>
      <c r="AJ1328" s="282"/>
      <c r="AK1328" s="587">
        <v>0.6</v>
      </c>
      <c r="AL1328" s="246"/>
      <c r="AM1328" s="282"/>
      <c r="AN1328" s="587">
        <v>0.55000000000000004</v>
      </c>
      <c r="AO1328" s="246"/>
      <c r="AP1328" s="282"/>
      <c r="AQ1328" s="587">
        <v>0.40500000000000003</v>
      </c>
      <c r="AR1328" s="246"/>
      <c r="AS1328" s="282"/>
      <c r="AT1328" s="587">
        <f>J1328+M1328+P1328+S1328+V1328+Y1328+AB1328+AE1328+AH1328+AK1328+AN1328+AQ1328</f>
        <v>6.4299999999999988</v>
      </c>
      <c r="AU1328" s="246"/>
      <c r="AV1328" s="336"/>
      <c r="AW1328" s="285"/>
      <c r="AX1328" s="249"/>
      <c r="AY1328" s="441">
        <v>7.5986659999999997</v>
      </c>
      <c r="AZ1328" s="357"/>
      <c r="BA1328" s="357"/>
      <c r="BB1328" s="357"/>
      <c r="BC1328" s="357"/>
    </row>
    <row r="1329" spans="1:55" s="24" customFormat="1">
      <c r="A1329" s="179"/>
      <c r="B1329" s="179"/>
      <c r="C1329" s="179"/>
      <c r="D1329" s="181">
        <v>322781</v>
      </c>
      <c r="E1329" s="181"/>
      <c r="F1329" s="181"/>
      <c r="G1329" s="1110">
        <v>322781</v>
      </c>
      <c r="H1329" s="122" t="s">
        <v>697</v>
      </c>
      <c r="I1329" s="516" t="s">
        <v>364</v>
      </c>
      <c r="J1329" s="587">
        <v>0.58308422565460205</v>
      </c>
      <c r="K1329" s="521"/>
      <c r="L1329" s="522"/>
      <c r="M1329" s="587">
        <v>0.46490475535392761</v>
      </c>
      <c r="N1329" s="521"/>
      <c r="O1329" s="522"/>
      <c r="P1329" s="587">
        <v>0.5</v>
      </c>
      <c r="Q1329" s="521"/>
      <c r="R1329" s="522"/>
      <c r="S1329" s="587">
        <v>1.7131091356277466</v>
      </c>
      <c r="T1329" s="521"/>
      <c r="U1329" s="522"/>
      <c r="V1329" s="587">
        <v>5.7758536338806152</v>
      </c>
      <c r="W1329" s="521"/>
      <c r="X1329" s="522"/>
      <c r="Y1329" s="587">
        <v>7.5737643241882324</v>
      </c>
      <c r="Z1329" s="521"/>
      <c r="AA1329" s="522"/>
      <c r="AB1329" s="587">
        <v>5.9405460357666016</v>
      </c>
      <c r="AC1329" s="521"/>
      <c r="AD1329" s="522"/>
      <c r="AE1329" s="587">
        <v>3.2080912590026855</v>
      </c>
      <c r="AF1329" s="521"/>
      <c r="AG1329" s="522"/>
      <c r="AH1329" s="587">
        <v>2.147669792175293</v>
      </c>
      <c r="AI1329" s="521"/>
      <c r="AJ1329" s="522"/>
      <c r="AK1329" s="587">
        <v>1.2861151695251465</v>
      </c>
      <c r="AL1329" s="521"/>
      <c r="AM1329" s="522"/>
      <c r="AN1329" s="587">
        <v>0.82879847288131714</v>
      </c>
      <c r="AO1329" s="521"/>
      <c r="AP1329" s="522"/>
      <c r="AQ1329" s="587">
        <v>0.59479838609695435</v>
      </c>
      <c r="AR1329" s="246"/>
      <c r="AS1329" s="282"/>
      <c r="AT1329" s="587">
        <f t="shared" si="52"/>
        <v>30.616735190153122</v>
      </c>
      <c r="AU1329" s="246"/>
      <c r="AV1329" s="336"/>
      <c r="AW1329" s="285"/>
      <c r="AX1329" s="249"/>
      <c r="AY1329" s="441">
        <v>33.357035000000003</v>
      </c>
      <c r="AZ1329" s="357"/>
      <c r="BA1329" s="357"/>
      <c r="BB1329" s="357"/>
      <c r="BC1329" s="357"/>
    </row>
    <row r="1330" spans="1:55" s="24" customFormat="1">
      <c r="A1330" s="179"/>
      <c r="B1330" s="179"/>
      <c r="C1330" s="179"/>
      <c r="D1330" s="181"/>
      <c r="E1330" s="181"/>
      <c r="F1330" s="181"/>
      <c r="G1330" s="1211">
        <v>322783</v>
      </c>
      <c r="H1330" s="919" t="s">
        <v>1271</v>
      </c>
      <c r="I1330" s="516" t="s">
        <v>364</v>
      </c>
      <c r="J1330" s="587">
        <v>12.374000000000001</v>
      </c>
      <c r="K1330" s="521"/>
      <c r="L1330" s="522"/>
      <c r="M1330" s="587">
        <v>12.374000000000001</v>
      </c>
      <c r="N1330" s="521"/>
      <c r="O1330" s="522"/>
      <c r="P1330" s="587">
        <v>11.819000000000001</v>
      </c>
      <c r="Q1330" s="521"/>
      <c r="R1330" s="522"/>
      <c r="S1330" s="587">
        <v>16.898</v>
      </c>
      <c r="T1330" s="521"/>
      <c r="U1330" s="522"/>
      <c r="V1330" s="587">
        <v>53.927</v>
      </c>
      <c r="W1330" s="521"/>
      <c r="X1330" s="522"/>
      <c r="Y1330" s="587">
        <v>92.34</v>
      </c>
      <c r="Z1330" s="521"/>
      <c r="AA1330" s="522"/>
      <c r="AB1330" s="587">
        <v>70.548000000000002</v>
      </c>
      <c r="AC1330" s="521"/>
      <c r="AD1330" s="522"/>
      <c r="AE1330" s="587">
        <v>53.2</v>
      </c>
      <c r="AF1330" s="521"/>
      <c r="AG1330" s="522"/>
      <c r="AH1330" s="587">
        <v>38.783000000000001</v>
      </c>
      <c r="AI1330" s="521"/>
      <c r="AJ1330" s="522"/>
      <c r="AK1330" s="587">
        <v>23.452999999999999</v>
      </c>
      <c r="AL1330" s="521"/>
      <c r="AM1330" s="522"/>
      <c r="AN1330" s="587">
        <v>15.255000000000001</v>
      </c>
      <c r="AO1330" s="521"/>
      <c r="AP1330" s="522"/>
      <c r="AQ1330" s="587">
        <v>11.079000000000001</v>
      </c>
      <c r="AR1330" s="246"/>
      <c r="AS1330" s="282"/>
      <c r="AT1330" s="587">
        <f t="shared" si="52"/>
        <v>412.04999999999995</v>
      </c>
      <c r="AU1330" s="246"/>
      <c r="AV1330" s="336"/>
      <c r="AW1330" s="285"/>
      <c r="AX1330" s="249"/>
      <c r="AY1330" s="441">
        <v>0</v>
      </c>
      <c r="AZ1330" s="357"/>
      <c r="BA1330" s="357"/>
      <c r="BB1330" s="357"/>
      <c r="BC1330" s="357"/>
    </row>
    <row r="1331" spans="1:55" s="24" customFormat="1">
      <c r="A1331" s="179"/>
      <c r="B1331" s="179"/>
      <c r="C1331" s="179"/>
      <c r="D1331" s="181">
        <v>322749</v>
      </c>
      <c r="E1331" s="181"/>
      <c r="F1331" s="181"/>
      <c r="G1331" s="1110">
        <v>322749</v>
      </c>
      <c r="H1331" s="125" t="s">
        <v>470</v>
      </c>
      <c r="I1331" s="533" t="s">
        <v>365</v>
      </c>
      <c r="J1331" s="587">
        <v>1.3315447568893433</v>
      </c>
      <c r="K1331" s="246"/>
      <c r="L1331" s="282"/>
      <c r="M1331" s="587">
        <v>1.2677257061004639</v>
      </c>
      <c r="N1331" s="246"/>
      <c r="O1331" s="282"/>
      <c r="P1331" s="587">
        <v>0.29276514053344727</v>
      </c>
      <c r="Q1331" s="246"/>
      <c r="R1331" s="282"/>
      <c r="S1331" s="587">
        <v>1.041791558265686</v>
      </c>
      <c r="T1331" s="246"/>
      <c r="U1331" s="282"/>
      <c r="V1331" s="587">
        <v>1.3503528833389282</v>
      </c>
      <c r="W1331" s="246"/>
      <c r="X1331" s="282"/>
      <c r="Y1331" s="596">
        <v>1.1710301637649536</v>
      </c>
      <c r="Z1331" s="246"/>
      <c r="AA1331" s="282"/>
      <c r="AB1331" s="587">
        <v>1.15546715259552</v>
      </c>
      <c r="AC1331" s="246"/>
      <c r="AD1331" s="282"/>
      <c r="AE1331" s="587">
        <v>1.2925328016281128</v>
      </c>
      <c r="AF1331" s="246"/>
      <c r="AG1331" s="282"/>
      <c r="AH1331" s="587">
        <v>1.2406575679779053</v>
      </c>
      <c r="AI1331" s="246"/>
      <c r="AJ1331" s="282"/>
      <c r="AK1331" s="587">
        <v>1.3024652004241943</v>
      </c>
      <c r="AL1331" s="246"/>
      <c r="AM1331" s="282"/>
      <c r="AN1331" s="587">
        <v>1.4158684015274048</v>
      </c>
      <c r="AO1331" s="246"/>
      <c r="AP1331" s="282"/>
      <c r="AQ1331" s="587">
        <v>1.4033529758453369</v>
      </c>
      <c r="AR1331" s="246"/>
      <c r="AS1331" s="282"/>
      <c r="AT1331" s="587">
        <f t="shared" si="52"/>
        <v>14.265554308891296</v>
      </c>
      <c r="AU1331" s="246"/>
      <c r="AV1331" s="336"/>
      <c r="AW1331" s="285"/>
      <c r="AX1331" s="249"/>
      <c r="AY1331" s="441">
        <v>16.474360999999998</v>
      </c>
      <c r="AZ1331" s="357"/>
      <c r="BA1331" s="357"/>
      <c r="BB1331" s="357"/>
      <c r="BC1331" s="357"/>
    </row>
    <row r="1332" spans="1:55" s="24" customFormat="1" ht="18.75">
      <c r="A1332" s="179"/>
      <c r="B1332" s="179"/>
      <c r="C1332" s="179"/>
      <c r="D1332" s="181">
        <v>322600</v>
      </c>
      <c r="E1332" s="181"/>
      <c r="F1332" s="181"/>
      <c r="G1332" s="181">
        <v>322600</v>
      </c>
      <c r="H1332" s="474" t="s">
        <v>1632</v>
      </c>
      <c r="I1332" s="474"/>
      <c r="J1332" s="277">
        <f>SUM(J1333:J1337)</f>
        <v>1837.6930400000003</v>
      </c>
      <c r="K1332" s="275">
        <f>L1332-J1332</f>
        <v>-839.65242496841154</v>
      </c>
      <c r="L1332" s="276">
        <f>Потребление!D75</f>
        <v>998.0406150315888</v>
      </c>
      <c r="M1332" s="274">
        <f>SUM(M1333:M1337)</f>
        <v>1836.0013600000004</v>
      </c>
      <c r="N1332" s="275">
        <f>O1332-M1332</f>
        <v>-911.16907303757785</v>
      </c>
      <c r="O1332" s="276">
        <f>Потребление!E75</f>
        <v>924.83228696242259</v>
      </c>
      <c r="P1332" s="274">
        <f>SUM(P1333:P1337)</f>
        <v>1700.62284</v>
      </c>
      <c r="Q1332" s="275">
        <f>R1332-P1332</f>
        <v>-765.56177652640872</v>
      </c>
      <c r="R1332" s="276">
        <f>Потребление!F75</f>
        <v>935.06106347359128</v>
      </c>
      <c r="S1332" s="274">
        <f>SUM(S1333:S1337)</f>
        <v>1320.4289999999996</v>
      </c>
      <c r="T1332" s="275">
        <f>U1332-S1332</f>
        <v>-499.24327850839859</v>
      </c>
      <c r="U1332" s="276">
        <f>Потребление!G75</f>
        <v>821.18572149160104</v>
      </c>
      <c r="V1332" s="274">
        <f>SUM(V1333:V1337)</f>
        <v>930.17399999999998</v>
      </c>
      <c r="W1332" s="275">
        <f>X1332-V1332</f>
        <v>-122.12945198084094</v>
      </c>
      <c r="X1332" s="276">
        <f>Потребление!H75</f>
        <v>808.04454801915904</v>
      </c>
      <c r="Y1332" s="274">
        <f>SUM(Y1333:Y1337)</f>
        <v>971.50599999999986</v>
      </c>
      <c r="Z1332" s="275">
        <f>AA1332-Y1332</f>
        <v>-140.01785116896565</v>
      </c>
      <c r="AA1332" s="276">
        <f>Потребление!I75</f>
        <v>831.48814883103421</v>
      </c>
      <c r="AB1332" s="274">
        <f>SUM(AB1333:AB1337)</f>
        <v>1705.5095999999999</v>
      </c>
      <c r="AC1332" s="275">
        <f>AD1332-AB1332</f>
        <v>-738.743930584488</v>
      </c>
      <c r="AD1332" s="276">
        <f>Потребление!J75</f>
        <v>966.76566941551187</v>
      </c>
      <c r="AE1332" s="274">
        <f>SUM(AE1333:AE1337)</f>
        <v>1745.3206000000002</v>
      </c>
      <c r="AF1332" s="275">
        <f>AG1332-AE1332</f>
        <v>-875.37789542330188</v>
      </c>
      <c r="AG1332" s="276">
        <f>Потребление!K75</f>
        <v>869.94270457669836</v>
      </c>
      <c r="AH1332" s="274">
        <f>SUM(AH1333:AH1337)</f>
        <v>1439.433</v>
      </c>
      <c r="AI1332" s="275">
        <f>AJ1332-AH1332</f>
        <v>-635.80705800963892</v>
      </c>
      <c r="AJ1332" s="276">
        <f>Потребление!L75</f>
        <v>803.62594199036107</v>
      </c>
      <c r="AK1332" s="274">
        <f>SUM(AK1333:AK1337)</f>
        <v>1358.8329999999999</v>
      </c>
      <c r="AL1332" s="275">
        <f>AM1332-AK1332</f>
        <v>-489.71936286132836</v>
      </c>
      <c r="AM1332" s="276">
        <f>Потребление!M75</f>
        <v>869.11363713867149</v>
      </c>
      <c r="AN1332" s="274">
        <f>SUM(AN1333:AN1337)</f>
        <v>1661.2170000000001</v>
      </c>
      <c r="AO1332" s="275">
        <f>AP1332-AN1332</f>
        <v>-669.91788792554507</v>
      </c>
      <c r="AP1332" s="276">
        <f>Потребление!N75</f>
        <v>991.29911207445502</v>
      </c>
      <c r="AQ1332" s="274">
        <f>SUM(AQ1333:AQ1337)</f>
        <v>1982.5410400000001</v>
      </c>
      <c r="AR1332" s="275">
        <f>AS1332-AQ1332</f>
        <v>-914.94048900509461</v>
      </c>
      <c r="AS1332" s="276">
        <f>Потребление!O75</f>
        <v>1067.6005509949055</v>
      </c>
      <c r="AT1332" s="274">
        <f>SUM(AT1333:AT1337)</f>
        <v>18489.280480000005</v>
      </c>
      <c r="AU1332" s="275">
        <f>AV1332-AT1332</f>
        <v>-7602.2804800000049</v>
      </c>
      <c r="AV1332" s="278">
        <f>L1332+O1332+R1332+U1332+X1332+AA1332+AD1332+AG1332+AJ1332+AM1332+AP1332+AS1332</f>
        <v>10887</v>
      </c>
      <c r="AW1332" s="279"/>
      <c r="AX1332" s="1067">
        <v>10594.284503999999</v>
      </c>
      <c r="AY1332" s="298">
        <f>SUM(AY1333:AY1337)</f>
        <v>19016.104467000005</v>
      </c>
      <c r="AZ1332" s="357"/>
      <c r="BA1332" s="357"/>
      <c r="BB1332" s="357"/>
      <c r="BC1332" s="357"/>
    </row>
    <row r="1333" spans="1:55" s="24" customFormat="1">
      <c r="A1333" s="179"/>
      <c r="B1333" s="179"/>
      <c r="C1333" s="179"/>
      <c r="D1333" s="181"/>
      <c r="E1333" s="181"/>
      <c r="F1333" s="181"/>
      <c r="G1333" s="181"/>
      <c r="H1333" s="124" t="s">
        <v>56</v>
      </c>
      <c r="I1333" s="124"/>
      <c r="J1333" s="365">
        <f>SUM(J1338:J1339,J1342:J1344)</f>
        <v>1713.0850400000004</v>
      </c>
      <c r="K1333" s="363"/>
      <c r="L1333" s="364"/>
      <c r="M1333" s="362">
        <f>SUM(M1338:M1339,M1342:M1344)</f>
        <v>1716.9233600000005</v>
      </c>
      <c r="N1333" s="363"/>
      <c r="O1333" s="364"/>
      <c r="P1333" s="362">
        <f>SUM(P1338:P1339,P1342:P1344)</f>
        <v>1563.0198400000002</v>
      </c>
      <c r="Q1333" s="363"/>
      <c r="R1333" s="364"/>
      <c r="S1333" s="362">
        <f>SUM(S1338:S1339,S1342:S1344)</f>
        <v>1141.9119999999998</v>
      </c>
      <c r="T1333" s="363"/>
      <c r="U1333" s="364"/>
      <c r="V1333" s="362">
        <f>SUM(V1338:V1339,V1342:V1344)</f>
        <v>684.04099999999994</v>
      </c>
      <c r="W1333" s="363"/>
      <c r="X1333" s="364"/>
      <c r="Y1333" s="362">
        <f>SUM(Y1338:Y1339,Y1342:Y1344)</f>
        <v>700.47399999999982</v>
      </c>
      <c r="Z1333" s="363"/>
      <c r="AA1333" s="364"/>
      <c r="AB1333" s="362">
        <f>SUM(AB1338:AB1339,AB1342:AB1344)</f>
        <v>1432.5255999999999</v>
      </c>
      <c r="AC1333" s="363"/>
      <c r="AD1333" s="364"/>
      <c r="AE1333" s="362">
        <f>SUM(AE1338:AE1339,AE1342:AE1344)</f>
        <v>1487.4736000000003</v>
      </c>
      <c r="AF1333" s="363"/>
      <c r="AG1333" s="364"/>
      <c r="AH1333" s="362">
        <f>SUM(AH1338:AH1339,AH1342:AH1344)</f>
        <v>1229.3610000000001</v>
      </c>
      <c r="AI1333" s="363"/>
      <c r="AJ1333" s="364"/>
      <c r="AK1333" s="362">
        <f>SUM(AK1338:AK1339,AK1342:AK1344)</f>
        <v>1172.0709999999999</v>
      </c>
      <c r="AL1333" s="363"/>
      <c r="AM1333" s="364"/>
      <c r="AN1333" s="362">
        <f>SUM(AN1338:AN1339,AN1342:AN1344)</f>
        <v>1513.2420000000002</v>
      </c>
      <c r="AO1333" s="363"/>
      <c r="AP1333" s="364"/>
      <c r="AQ1333" s="362">
        <f>SUM(AQ1338:AQ1339,AQ1342:AQ1344)</f>
        <v>1849.9660400000002</v>
      </c>
      <c r="AR1333" s="363"/>
      <c r="AS1333" s="364"/>
      <c r="AT1333" s="362">
        <f>SUM(AT1338:AT1339,AT1342:AT1344)</f>
        <v>16204.094480000002</v>
      </c>
      <c r="AU1333" s="363"/>
      <c r="AV1333" s="229"/>
      <c r="AW1333" s="226"/>
      <c r="AX1333" s="366"/>
      <c r="AY1333" s="339">
        <f>SUM(AY1338:AY1339,AY1342:AY1344)</f>
        <v>17423.438599000005</v>
      </c>
      <c r="AZ1333" s="357"/>
      <c r="BA1333" s="357"/>
      <c r="BB1333" s="357"/>
      <c r="BC1333" s="357"/>
    </row>
    <row r="1334" spans="1:55" s="24" customFormat="1">
      <c r="A1334" s="179"/>
      <c r="B1334" s="179"/>
      <c r="C1334" s="179"/>
      <c r="D1334" s="181"/>
      <c r="E1334" s="181"/>
      <c r="F1334" s="181"/>
      <c r="G1334" s="181"/>
      <c r="H1334" s="124" t="s">
        <v>55</v>
      </c>
      <c r="I1334" s="124"/>
      <c r="J1334" s="365">
        <f>J1345+J1356+J1357+J1358</f>
        <v>62.186</v>
      </c>
      <c r="K1334" s="363"/>
      <c r="L1334" s="364"/>
      <c r="M1334" s="365">
        <f>M1345+M1356+M1357+M1358</f>
        <v>59.157000000000011</v>
      </c>
      <c r="N1334" s="363"/>
      <c r="O1334" s="364"/>
      <c r="P1334" s="365">
        <f>P1345+P1356+P1357+P1358</f>
        <v>71.878999999999991</v>
      </c>
      <c r="Q1334" s="363"/>
      <c r="R1334" s="364"/>
      <c r="S1334" s="365">
        <f>S1345+S1356+S1357+S1358</f>
        <v>112.242</v>
      </c>
      <c r="T1334" s="363"/>
      <c r="U1334" s="364"/>
      <c r="V1334" s="365">
        <f>V1345+V1356+V1357+V1358</f>
        <v>177.05699999999999</v>
      </c>
      <c r="W1334" s="363"/>
      <c r="X1334" s="364"/>
      <c r="Y1334" s="365">
        <f>Y1345+Y1356+Y1357+Y1358</f>
        <v>205.06299999999996</v>
      </c>
      <c r="Z1334" s="363"/>
      <c r="AA1334" s="364"/>
      <c r="AB1334" s="365">
        <f>AB1345+AB1356+AB1357+AB1358</f>
        <v>204.99200000000002</v>
      </c>
      <c r="AC1334" s="363"/>
      <c r="AD1334" s="364"/>
      <c r="AE1334" s="365">
        <f>AE1345+AE1356+AE1357+AE1358</f>
        <v>184.964</v>
      </c>
      <c r="AF1334" s="363"/>
      <c r="AG1334" s="364"/>
      <c r="AH1334" s="365">
        <f>AH1345+AH1356+AH1357+AH1358</f>
        <v>141.30500000000001</v>
      </c>
      <c r="AI1334" s="363"/>
      <c r="AJ1334" s="364"/>
      <c r="AK1334" s="365">
        <f>AK1345+AK1356+AK1357+AK1358</f>
        <v>114.58799999999999</v>
      </c>
      <c r="AL1334" s="363"/>
      <c r="AM1334" s="364"/>
      <c r="AN1334" s="365">
        <f>AN1345+AN1356+AN1357+AN1358</f>
        <v>81.930999999999997</v>
      </c>
      <c r="AO1334" s="363"/>
      <c r="AP1334" s="364"/>
      <c r="AQ1334" s="365">
        <f>AQ1345+AQ1356+AQ1357+AQ1358</f>
        <v>69.454000000000022</v>
      </c>
      <c r="AR1334" s="363"/>
      <c r="AS1334" s="364"/>
      <c r="AT1334" s="365">
        <f>AT1345+AT1356+AT1357+AT1358</f>
        <v>1484.8179999999998</v>
      </c>
      <c r="AU1334" s="363"/>
      <c r="AV1334" s="229"/>
      <c r="AW1334" s="226"/>
      <c r="AX1334" s="366"/>
      <c r="AY1334" s="339">
        <f>AY1345+AY1356</f>
        <v>1463.9399530000001</v>
      </c>
      <c r="AZ1334" s="357"/>
      <c r="BA1334" s="357"/>
      <c r="BB1334" s="357"/>
      <c r="BC1334" s="357"/>
    </row>
    <row r="1335" spans="1:55" s="24" customFormat="1">
      <c r="A1335" s="179"/>
      <c r="B1335" s="179"/>
      <c r="C1335" s="179"/>
      <c r="D1335" s="181"/>
      <c r="E1335" s="181"/>
      <c r="F1335" s="181"/>
      <c r="G1335" s="181"/>
      <c r="H1335" s="1155" t="s">
        <v>346</v>
      </c>
      <c r="I1335" s="124"/>
      <c r="J1335" s="365">
        <f>J1359</f>
        <v>42.209999999999994</v>
      </c>
      <c r="K1335" s="363"/>
      <c r="L1335" s="364"/>
      <c r="M1335" s="365">
        <f>M1359</f>
        <v>39.47999999999999</v>
      </c>
      <c r="N1335" s="363"/>
      <c r="O1335" s="364"/>
      <c r="P1335" s="365">
        <f>P1359</f>
        <v>42.209999999999994</v>
      </c>
      <c r="Q1335" s="363"/>
      <c r="R1335" s="364"/>
      <c r="S1335" s="365">
        <f>S1359</f>
        <v>40.840000000000003</v>
      </c>
      <c r="T1335" s="363"/>
      <c r="U1335" s="364"/>
      <c r="V1335" s="365">
        <f>V1359</f>
        <v>42.209999999999994</v>
      </c>
      <c r="W1335" s="363"/>
      <c r="X1335" s="364"/>
      <c r="Y1335" s="365">
        <f>Y1359</f>
        <v>40.840000000000003</v>
      </c>
      <c r="Z1335" s="363"/>
      <c r="AA1335" s="364"/>
      <c r="AB1335" s="365">
        <f>AB1359</f>
        <v>42.209999999999994</v>
      </c>
      <c r="AC1335" s="363"/>
      <c r="AD1335" s="364"/>
      <c r="AE1335" s="365">
        <f>AE1359</f>
        <v>42.209999999999994</v>
      </c>
      <c r="AF1335" s="363"/>
      <c r="AG1335" s="364"/>
      <c r="AH1335" s="365">
        <f>AH1359</f>
        <v>40.840000000000003</v>
      </c>
      <c r="AI1335" s="363"/>
      <c r="AJ1335" s="364"/>
      <c r="AK1335" s="365">
        <f>AK1359</f>
        <v>42.209999999999994</v>
      </c>
      <c r="AL1335" s="363"/>
      <c r="AM1335" s="364"/>
      <c r="AN1335" s="365">
        <f>AN1359</f>
        <v>40.840000000000003</v>
      </c>
      <c r="AO1335" s="363"/>
      <c r="AP1335" s="364"/>
      <c r="AQ1335" s="365">
        <f>AQ1359</f>
        <v>42.209999999999994</v>
      </c>
      <c r="AR1335" s="363"/>
      <c r="AS1335" s="364"/>
      <c r="AT1335" s="365">
        <f>AT1359</f>
        <v>498.30999999999983</v>
      </c>
      <c r="AU1335" s="363"/>
      <c r="AV1335" s="229"/>
      <c r="AW1335" s="226"/>
      <c r="AX1335" s="366"/>
      <c r="AY1335" s="339"/>
      <c r="AZ1335" s="357"/>
      <c r="BA1335" s="357"/>
      <c r="BB1335" s="357"/>
      <c r="BC1335" s="357"/>
    </row>
    <row r="1336" spans="1:55" s="24" customFormat="1">
      <c r="A1336" s="179"/>
      <c r="B1336" s="179"/>
      <c r="C1336" s="179"/>
      <c r="D1336" s="181"/>
      <c r="E1336" s="181"/>
      <c r="F1336" s="181"/>
      <c r="G1336" s="181"/>
      <c r="H1336" s="1155" t="s">
        <v>347</v>
      </c>
      <c r="I1336" s="124"/>
      <c r="J1336" s="365">
        <f>J1371</f>
        <v>4.6920000000000002</v>
      </c>
      <c r="K1336" s="363"/>
      <c r="L1336" s="364"/>
      <c r="M1336" s="365">
        <f>M1371</f>
        <v>6.9409999999999998</v>
      </c>
      <c r="N1336" s="363"/>
      <c r="O1336" s="364"/>
      <c r="P1336" s="365">
        <f>P1371</f>
        <v>10.233999999999998</v>
      </c>
      <c r="Q1336" s="363"/>
      <c r="R1336" s="364"/>
      <c r="S1336" s="365">
        <f>S1371</f>
        <v>13.335000000000001</v>
      </c>
      <c r="T1336" s="363"/>
      <c r="U1336" s="364"/>
      <c r="V1336" s="365">
        <f>V1371</f>
        <v>15.526000000000002</v>
      </c>
      <c r="W1336" s="363"/>
      <c r="X1336" s="364"/>
      <c r="Y1336" s="365">
        <f>Y1371</f>
        <v>14.438999999999998</v>
      </c>
      <c r="Z1336" s="363"/>
      <c r="AA1336" s="364"/>
      <c r="AB1336" s="365">
        <f>AB1371</f>
        <v>14.532</v>
      </c>
      <c r="AC1336" s="363"/>
      <c r="AD1336" s="364"/>
      <c r="AE1336" s="365">
        <f>AE1371</f>
        <v>16.113</v>
      </c>
      <c r="AF1336" s="363"/>
      <c r="AG1336" s="364"/>
      <c r="AH1336" s="365">
        <f>AH1371</f>
        <v>12.656999999999998</v>
      </c>
      <c r="AI1336" s="363"/>
      <c r="AJ1336" s="364"/>
      <c r="AK1336" s="365">
        <f>AK1371</f>
        <v>10.224</v>
      </c>
      <c r="AL1336" s="363"/>
      <c r="AM1336" s="364"/>
      <c r="AN1336" s="365">
        <f>AN1371</f>
        <v>5.1539999999999999</v>
      </c>
      <c r="AO1336" s="363"/>
      <c r="AP1336" s="364"/>
      <c r="AQ1336" s="365">
        <f>AQ1371</f>
        <v>3.5510000000000006</v>
      </c>
      <c r="AR1336" s="363"/>
      <c r="AS1336" s="364"/>
      <c r="AT1336" s="365">
        <f>AT1371</f>
        <v>127.398</v>
      </c>
      <c r="AU1336" s="363"/>
      <c r="AV1336" s="229"/>
      <c r="AW1336" s="226"/>
      <c r="AX1336" s="366"/>
      <c r="AY1336" s="339"/>
      <c r="AZ1336" s="357"/>
      <c r="BA1336" s="357"/>
      <c r="BB1336" s="357"/>
      <c r="BC1336" s="357"/>
    </row>
    <row r="1337" spans="1:55" s="24" customFormat="1">
      <c r="A1337" s="179"/>
      <c r="B1337" s="179"/>
      <c r="C1337" s="179"/>
      <c r="D1337" s="181"/>
      <c r="E1337" s="181"/>
      <c r="F1337" s="181"/>
      <c r="G1337" s="181"/>
      <c r="H1337" s="124" t="s">
        <v>184</v>
      </c>
      <c r="I1337" s="124"/>
      <c r="J1337" s="365">
        <f>J1379</f>
        <v>15.52</v>
      </c>
      <c r="K1337" s="363"/>
      <c r="L1337" s="364"/>
      <c r="M1337" s="362">
        <f>M1379</f>
        <v>13.5</v>
      </c>
      <c r="N1337" s="363"/>
      <c r="O1337" s="364"/>
      <c r="P1337" s="362">
        <f>P1379</f>
        <v>13.28</v>
      </c>
      <c r="Q1337" s="363"/>
      <c r="R1337" s="364"/>
      <c r="S1337" s="362">
        <f>S1379</f>
        <v>12.1</v>
      </c>
      <c r="T1337" s="363"/>
      <c r="U1337" s="364"/>
      <c r="V1337" s="362">
        <f>V1379</f>
        <v>11.34</v>
      </c>
      <c r="W1337" s="363"/>
      <c r="X1337" s="364"/>
      <c r="Y1337" s="362">
        <f>Y1379</f>
        <v>10.69</v>
      </c>
      <c r="Z1337" s="363"/>
      <c r="AA1337" s="364"/>
      <c r="AB1337" s="362">
        <f>AB1379</f>
        <v>11.25</v>
      </c>
      <c r="AC1337" s="363"/>
      <c r="AD1337" s="364"/>
      <c r="AE1337" s="362">
        <f>AE1379</f>
        <v>14.56</v>
      </c>
      <c r="AF1337" s="363"/>
      <c r="AG1337" s="364"/>
      <c r="AH1337" s="362">
        <f>AH1379</f>
        <v>15.270000000000001</v>
      </c>
      <c r="AI1337" s="363"/>
      <c r="AJ1337" s="364"/>
      <c r="AK1337" s="362">
        <f>AK1379</f>
        <v>19.740000000000002</v>
      </c>
      <c r="AL1337" s="363"/>
      <c r="AM1337" s="364"/>
      <c r="AN1337" s="362">
        <f>AN1379</f>
        <v>20.05</v>
      </c>
      <c r="AO1337" s="363"/>
      <c r="AP1337" s="364"/>
      <c r="AQ1337" s="362">
        <f>AQ1379</f>
        <v>17.36</v>
      </c>
      <c r="AR1337" s="363"/>
      <c r="AS1337" s="364"/>
      <c r="AT1337" s="362">
        <f>AT1379</f>
        <v>174.66</v>
      </c>
      <c r="AU1337" s="363"/>
      <c r="AV1337" s="229"/>
      <c r="AW1337" s="226"/>
      <c r="AX1337" s="366"/>
      <c r="AY1337" s="339">
        <f>AY1379</f>
        <v>128.72591499999999</v>
      </c>
      <c r="AZ1337" s="357"/>
      <c r="BA1337" s="357"/>
      <c r="BB1337" s="357"/>
      <c r="BC1337" s="357"/>
    </row>
    <row r="1338" spans="1:55" s="24" customFormat="1">
      <c r="A1338" s="179"/>
      <c r="B1338" s="179"/>
      <c r="C1338" s="179"/>
      <c r="D1338" s="181">
        <v>322601</v>
      </c>
      <c r="E1338" s="181"/>
      <c r="F1338" s="181"/>
      <c r="G1338" s="1110">
        <v>322601</v>
      </c>
      <c r="H1338" s="122" t="s">
        <v>698</v>
      </c>
      <c r="I1338" s="516" t="s">
        <v>364</v>
      </c>
      <c r="J1338" s="1171">
        <f>749+40</f>
        <v>789</v>
      </c>
      <c r="K1338" s="246"/>
      <c r="L1338" s="282"/>
      <c r="M1338" s="345">
        <f>690+110</f>
        <v>800</v>
      </c>
      <c r="N1338" s="246"/>
      <c r="O1338" s="282"/>
      <c r="P1338" s="345">
        <f>677+100</f>
        <v>777</v>
      </c>
      <c r="Q1338" s="246"/>
      <c r="R1338" s="282"/>
      <c r="S1338" s="345">
        <f>360+150</f>
        <v>510</v>
      </c>
      <c r="T1338" s="246"/>
      <c r="U1338" s="282"/>
      <c r="V1338" s="320">
        <f>360-40</f>
        <v>320</v>
      </c>
      <c r="W1338" s="246"/>
      <c r="X1338" s="282"/>
      <c r="Y1338" s="320">
        <f>354-20</f>
        <v>334</v>
      </c>
      <c r="Z1338" s="246"/>
      <c r="AA1338" s="282"/>
      <c r="AB1338" s="345">
        <f>674+50</f>
        <v>724</v>
      </c>
      <c r="AC1338" s="246"/>
      <c r="AD1338" s="282"/>
      <c r="AE1338" s="345">
        <f>655+110</f>
        <v>765</v>
      </c>
      <c r="AF1338" s="246"/>
      <c r="AG1338" s="282"/>
      <c r="AH1338" s="244">
        <v>634</v>
      </c>
      <c r="AI1338" s="246"/>
      <c r="AJ1338" s="282"/>
      <c r="AK1338" s="320">
        <f>637-100</f>
        <v>537</v>
      </c>
      <c r="AL1338" s="246"/>
      <c r="AM1338" s="282"/>
      <c r="AN1338" s="345">
        <f>634+150</f>
        <v>784</v>
      </c>
      <c r="AO1338" s="246"/>
      <c r="AP1338" s="282"/>
      <c r="AQ1338" s="345">
        <f>715+190</f>
        <v>905</v>
      </c>
      <c r="AR1338" s="246"/>
      <c r="AS1338" s="282"/>
      <c r="AT1338" s="244">
        <f t="shared" ref="AT1338:AT1378" si="53">J1338+M1338+P1338+S1338+V1338+Y1338+AB1338+AE1338+AH1338+AK1338+AN1338+AQ1338</f>
        <v>7879</v>
      </c>
      <c r="AU1338" s="246"/>
      <c r="AV1338" s="336"/>
      <c r="AW1338" s="285"/>
      <c r="AX1338" s="249"/>
      <c r="AY1338" s="441">
        <v>8692.2021120000009</v>
      </c>
      <c r="AZ1338" s="357"/>
      <c r="BA1338" s="357"/>
      <c r="BB1338" s="357"/>
      <c r="BC1338" s="357"/>
    </row>
    <row r="1339" spans="1:55" s="24" customFormat="1">
      <c r="A1339" s="179"/>
      <c r="B1339" s="179"/>
      <c r="C1339" s="179"/>
      <c r="D1339" s="181">
        <v>322626</v>
      </c>
      <c r="E1339" s="181"/>
      <c r="F1339" s="181"/>
      <c r="G1339" s="1110">
        <v>322626</v>
      </c>
      <c r="H1339" s="134" t="s">
        <v>699</v>
      </c>
      <c r="I1339" s="516" t="s">
        <v>364</v>
      </c>
      <c r="J1339" s="262">
        <f>SUM(J1340:J1341)</f>
        <v>838.95504000000028</v>
      </c>
      <c r="K1339" s="246"/>
      <c r="L1339" s="282"/>
      <c r="M1339" s="317">
        <f>SUM(M1340:M1341)</f>
        <v>838.78136000000018</v>
      </c>
      <c r="N1339" s="246"/>
      <c r="O1339" s="282"/>
      <c r="P1339" s="317">
        <f>SUM(P1340:P1341)</f>
        <v>699.69384000000014</v>
      </c>
      <c r="Q1339" s="246"/>
      <c r="R1339" s="282"/>
      <c r="S1339" s="317">
        <f>SUM(S1340:S1341)</f>
        <v>552.49199999999996</v>
      </c>
      <c r="T1339" s="246"/>
      <c r="U1339" s="282"/>
      <c r="V1339" s="317">
        <f>SUM(V1340:V1341)</f>
        <v>285.20400000000001</v>
      </c>
      <c r="W1339" s="246"/>
      <c r="X1339" s="282"/>
      <c r="Y1339" s="317">
        <f>SUM(Y1340:Y1341)</f>
        <v>291.76299999999998</v>
      </c>
      <c r="Z1339" s="246"/>
      <c r="AA1339" s="282"/>
      <c r="AB1339" s="317">
        <f>SUM(AB1340:AB1341)</f>
        <v>649.04759999999999</v>
      </c>
      <c r="AC1339" s="246"/>
      <c r="AD1339" s="282"/>
      <c r="AE1339" s="317">
        <f>SUM(AE1340:AE1341)</f>
        <v>645.95960000000002</v>
      </c>
      <c r="AF1339" s="246"/>
      <c r="AG1339" s="282"/>
      <c r="AH1339" s="317">
        <f>SUM(AH1340:AH1341)</f>
        <v>545.97900000000004</v>
      </c>
      <c r="AI1339" s="246"/>
      <c r="AJ1339" s="282"/>
      <c r="AK1339" s="317">
        <f>SUM(AK1340:AK1341)</f>
        <v>551.16499999999996</v>
      </c>
      <c r="AL1339" s="246"/>
      <c r="AM1339" s="282"/>
      <c r="AN1339" s="317">
        <f>SUM(AN1340:AN1341)</f>
        <v>644.48099999999999</v>
      </c>
      <c r="AO1339" s="246"/>
      <c r="AP1339" s="282"/>
      <c r="AQ1339" s="317">
        <f>SUM(AQ1340:AQ1341)</f>
        <v>858.94004000000018</v>
      </c>
      <c r="AR1339" s="246"/>
      <c r="AS1339" s="282"/>
      <c r="AT1339" s="317">
        <f>SUM(AT1340:AT1341)</f>
        <v>7402.4614799999999</v>
      </c>
      <c r="AU1339" s="246"/>
      <c r="AV1339" s="336"/>
      <c r="AW1339" s="285"/>
      <c r="AX1339" s="249"/>
      <c r="AY1339" s="440">
        <v>7925.0724840000003</v>
      </c>
      <c r="AZ1339" s="357"/>
      <c r="BA1339" s="357"/>
      <c r="BB1339" s="357"/>
      <c r="BC1339" s="357"/>
    </row>
    <row r="1340" spans="1:55" s="24" customFormat="1">
      <c r="A1340" s="179"/>
      <c r="B1340" s="179"/>
      <c r="C1340" s="179"/>
      <c r="D1340" s="181"/>
      <c r="E1340" s="181"/>
      <c r="F1340" s="181"/>
      <c r="G1340" s="1110"/>
      <c r="H1340" s="122" t="s">
        <v>699</v>
      </c>
      <c r="I1340" s="122"/>
      <c r="J1340" s="1171">
        <f>522.094+72.71</f>
        <v>594.80400000000009</v>
      </c>
      <c r="K1340" s="246"/>
      <c r="L1340" s="282"/>
      <c r="M1340" s="345">
        <f>482.062+128.32</f>
        <v>610.38200000000006</v>
      </c>
      <c r="N1340" s="246"/>
      <c r="O1340" s="282"/>
      <c r="P1340" s="345">
        <f>356.092+138.83</f>
        <v>494.92200000000003</v>
      </c>
      <c r="Q1340" s="246"/>
      <c r="R1340" s="282"/>
      <c r="S1340" s="244">
        <v>337.452</v>
      </c>
      <c r="T1340" s="246"/>
      <c r="U1340" s="282"/>
      <c r="V1340" s="244">
        <v>285.20400000000001</v>
      </c>
      <c r="W1340" s="246"/>
      <c r="X1340" s="282"/>
      <c r="Y1340" s="244">
        <v>291.76299999999998</v>
      </c>
      <c r="Z1340" s="246"/>
      <c r="AA1340" s="282"/>
      <c r="AB1340" s="244">
        <v>418.11</v>
      </c>
      <c r="AC1340" s="246"/>
      <c r="AD1340" s="282"/>
      <c r="AE1340" s="244">
        <v>452.27</v>
      </c>
      <c r="AF1340" s="246"/>
      <c r="AG1340" s="282"/>
      <c r="AH1340" s="244">
        <v>364.33199999999999</v>
      </c>
      <c r="AI1340" s="246"/>
      <c r="AJ1340" s="282"/>
      <c r="AK1340" s="244">
        <v>351.48500000000001</v>
      </c>
      <c r="AL1340" s="246"/>
      <c r="AM1340" s="282"/>
      <c r="AN1340" s="244">
        <v>447.58499999999998</v>
      </c>
      <c r="AO1340" s="246"/>
      <c r="AP1340" s="282"/>
      <c r="AQ1340" s="345">
        <f>454.789+160</f>
        <v>614.78899999999999</v>
      </c>
      <c r="AR1340" s="246"/>
      <c r="AS1340" s="282"/>
      <c r="AT1340" s="244">
        <f t="shared" si="53"/>
        <v>5263.098</v>
      </c>
      <c r="AU1340" s="246"/>
      <c r="AV1340" s="336"/>
      <c r="AW1340" s="285"/>
      <c r="AX1340" s="249"/>
      <c r="AY1340" s="249"/>
      <c r="AZ1340" s="357"/>
      <c r="BA1340" s="357"/>
      <c r="BB1340" s="357"/>
      <c r="BC1340" s="357"/>
    </row>
    <row r="1341" spans="1:55" s="24" customFormat="1">
      <c r="A1341" s="179"/>
      <c r="B1341" s="179"/>
      <c r="C1341" s="179"/>
      <c r="D1341" s="181"/>
      <c r="E1341" s="181"/>
      <c r="F1341" s="181"/>
      <c r="G1341" s="1110"/>
      <c r="H1341" s="122" t="s">
        <v>700</v>
      </c>
      <c r="I1341" s="122"/>
      <c r="J1341" s="281">
        <v>244.15104000000017</v>
      </c>
      <c r="K1341" s="246"/>
      <c r="L1341" s="282"/>
      <c r="M1341" s="244">
        <v>228.39936000000012</v>
      </c>
      <c r="N1341" s="246"/>
      <c r="O1341" s="282"/>
      <c r="P1341" s="244">
        <v>204.77184000000005</v>
      </c>
      <c r="Q1341" s="246"/>
      <c r="R1341" s="282"/>
      <c r="S1341" s="244">
        <v>215.04</v>
      </c>
      <c r="T1341" s="246"/>
      <c r="U1341" s="282"/>
      <c r="V1341" s="244">
        <v>0</v>
      </c>
      <c r="W1341" s="246"/>
      <c r="X1341" s="282"/>
      <c r="Y1341" s="244">
        <v>0</v>
      </c>
      <c r="Z1341" s="246"/>
      <c r="AA1341" s="282"/>
      <c r="AB1341" s="244">
        <v>230.9376</v>
      </c>
      <c r="AC1341" s="246"/>
      <c r="AD1341" s="282"/>
      <c r="AE1341" s="244">
        <v>193.68960000000001</v>
      </c>
      <c r="AF1341" s="246"/>
      <c r="AG1341" s="282"/>
      <c r="AH1341" s="244">
        <v>181.64699999999999</v>
      </c>
      <c r="AI1341" s="246"/>
      <c r="AJ1341" s="282"/>
      <c r="AK1341" s="244">
        <v>199.68</v>
      </c>
      <c r="AL1341" s="246"/>
      <c r="AM1341" s="282"/>
      <c r="AN1341" s="244">
        <v>196.89600000000002</v>
      </c>
      <c r="AO1341" s="246"/>
      <c r="AP1341" s="282"/>
      <c r="AQ1341" s="244">
        <v>244.15104000000017</v>
      </c>
      <c r="AR1341" s="246"/>
      <c r="AS1341" s="282"/>
      <c r="AT1341" s="244">
        <f t="shared" si="53"/>
        <v>2139.3634800000004</v>
      </c>
      <c r="AU1341" s="246"/>
      <c r="AV1341" s="336"/>
      <c r="AW1341" s="285"/>
      <c r="AX1341" s="249"/>
      <c r="AY1341" s="249"/>
      <c r="AZ1341" s="357"/>
      <c r="BA1341" s="357"/>
      <c r="BB1341" s="357"/>
      <c r="BC1341" s="357"/>
    </row>
    <row r="1342" spans="1:55" s="24" customFormat="1">
      <c r="A1342" s="179"/>
      <c r="B1342" s="179"/>
      <c r="C1342" s="179"/>
      <c r="D1342" s="181">
        <v>322627</v>
      </c>
      <c r="E1342" s="181"/>
      <c r="F1342" s="181"/>
      <c r="G1342" s="1110">
        <v>322627</v>
      </c>
      <c r="H1342" s="125" t="s">
        <v>472</v>
      </c>
      <c r="I1342" s="533" t="s">
        <v>365</v>
      </c>
      <c r="J1342" s="281">
        <v>4.0179999999999998</v>
      </c>
      <c r="K1342" s="246"/>
      <c r="L1342" s="282"/>
      <c r="M1342" s="244">
        <v>3.7170000000000001</v>
      </c>
      <c r="N1342" s="246"/>
      <c r="O1342" s="282"/>
      <c r="P1342" s="244">
        <v>3.613</v>
      </c>
      <c r="Q1342" s="246"/>
      <c r="R1342" s="282"/>
      <c r="S1342" s="244">
        <v>1.331</v>
      </c>
      <c r="T1342" s="246"/>
      <c r="U1342" s="282"/>
      <c r="V1342" s="244">
        <v>0</v>
      </c>
      <c r="W1342" s="246"/>
      <c r="X1342" s="282"/>
      <c r="Y1342" s="244">
        <v>0</v>
      </c>
      <c r="Z1342" s="246"/>
      <c r="AA1342" s="282"/>
      <c r="AB1342" s="244">
        <v>0</v>
      </c>
      <c r="AC1342" s="246"/>
      <c r="AD1342" s="282"/>
      <c r="AE1342" s="244">
        <v>0</v>
      </c>
      <c r="AF1342" s="246"/>
      <c r="AG1342" s="282"/>
      <c r="AH1342" s="244">
        <v>0</v>
      </c>
      <c r="AI1342" s="246"/>
      <c r="AJ1342" s="282"/>
      <c r="AK1342" s="244">
        <v>1.224</v>
      </c>
      <c r="AL1342" s="246"/>
      <c r="AM1342" s="282"/>
      <c r="AN1342" s="244">
        <v>3.67</v>
      </c>
      <c r="AO1342" s="246"/>
      <c r="AP1342" s="282"/>
      <c r="AQ1342" s="244">
        <v>4.1070000000000002</v>
      </c>
      <c r="AR1342" s="246"/>
      <c r="AS1342" s="282"/>
      <c r="AT1342" s="244">
        <f t="shared" si="53"/>
        <v>21.68</v>
      </c>
      <c r="AU1342" s="246"/>
      <c r="AV1342" s="336"/>
      <c r="AW1342" s="285"/>
      <c r="AX1342" s="249"/>
      <c r="AY1342" s="441">
        <v>21.400984999999999</v>
      </c>
      <c r="AZ1342" s="357"/>
      <c r="BA1342" s="357"/>
      <c r="BB1342" s="357"/>
      <c r="BC1342" s="357"/>
    </row>
    <row r="1343" spans="1:55" s="24" customFormat="1">
      <c r="A1343" s="179"/>
      <c r="B1343" s="179"/>
      <c r="C1343" s="179"/>
      <c r="D1343" s="181">
        <v>322690</v>
      </c>
      <c r="E1343" s="181"/>
      <c r="F1343" s="181"/>
      <c r="G1343" s="1110">
        <v>322690</v>
      </c>
      <c r="H1343" s="125" t="s">
        <v>474</v>
      </c>
      <c r="I1343" s="533" t="s">
        <v>365</v>
      </c>
      <c r="J1343" s="281">
        <v>1.9490000000000001</v>
      </c>
      <c r="K1343" s="246"/>
      <c r="L1343" s="282"/>
      <c r="M1343" s="244">
        <v>1.8140000000000001</v>
      </c>
      <c r="N1343" s="246"/>
      <c r="O1343" s="282"/>
      <c r="P1343" s="244">
        <v>1.9490000000000001</v>
      </c>
      <c r="Q1343" s="246"/>
      <c r="R1343" s="282"/>
      <c r="S1343" s="244">
        <v>1.8819999999999999</v>
      </c>
      <c r="T1343" s="246"/>
      <c r="U1343" s="282"/>
      <c r="V1343" s="244">
        <v>1.9490000000000001</v>
      </c>
      <c r="W1343" s="246"/>
      <c r="X1343" s="282"/>
      <c r="Y1343" s="244">
        <v>1.8819999999999999</v>
      </c>
      <c r="Z1343" s="246"/>
      <c r="AA1343" s="282"/>
      <c r="AB1343" s="244">
        <v>1.95</v>
      </c>
      <c r="AC1343" s="246"/>
      <c r="AD1343" s="282"/>
      <c r="AE1343" s="244">
        <v>1.9490000000000001</v>
      </c>
      <c r="AF1343" s="246"/>
      <c r="AG1343" s="282"/>
      <c r="AH1343" s="244">
        <v>1.8819999999999999</v>
      </c>
      <c r="AI1343" s="246"/>
      <c r="AJ1343" s="282"/>
      <c r="AK1343" s="244">
        <v>1.9490000000000001</v>
      </c>
      <c r="AL1343" s="246"/>
      <c r="AM1343" s="282"/>
      <c r="AN1343" s="244">
        <v>1.8819999999999999</v>
      </c>
      <c r="AO1343" s="246"/>
      <c r="AP1343" s="282"/>
      <c r="AQ1343" s="244">
        <v>1.9490000000000001</v>
      </c>
      <c r="AR1343" s="246"/>
      <c r="AS1343" s="282"/>
      <c r="AT1343" s="244">
        <f t="shared" si="53"/>
        <v>22.986000000000004</v>
      </c>
      <c r="AU1343" s="244"/>
      <c r="AV1343" s="253"/>
      <c r="AW1343" s="285"/>
      <c r="AX1343" s="249"/>
      <c r="AY1343" s="441">
        <v>11.678058</v>
      </c>
      <c r="AZ1343" s="357"/>
      <c r="BA1343" s="357"/>
      <c r="BB1343" s="357"/>
      <c r="BC1343" s="357"/>
    </row>
    <row r="1344" spans="1:55" s="24" customFormat="1">
      <c r="A1344" s="179"/>
      <c r="B1344" s="179"/>
      <c r="C1344" s="179"/>
      <c r="D1344" s="181">
        <v>777010</v>
      </c>
      <c r="E1344" s="181"/>
      <c r="F1344" s="181"/>
      <c r="G1344" s="1110">
        <v>777010</v>
      </c>
      <c r="H1344" s="125" t="s">
        <v>475</v>
      </c>
      <c r="I1344" s="516" t="s">
        <v>364</v>
      </c>
      <c r="J1344" s="281">
        <v>79.162999999999997</v>
      </c>
      <c r="K1344" s="246"/>
      <c r="L1344" s="282"/>
      <c r="M1344" s="244">
        <v>72.611000000000004</v>
      </c>
      <c r="N1344" s="246"/>
      <c r="O1344" s="282"/>
      <c r="P1344" s="244">
        <v>80.763999999999996</v>
      </c>
      <c r="Q1344" s="246"/>
      <c r="R1344" s="282"/>
      <c r="S1344" s="244">
        <v>76.206999999999994</v>
      </c>
      <c r="T1344" s="246"/>
      <c r="U1344" s="282"/>
      <c r="V1344" s="244">
        <v>76.888000000000005</v>
      </c>
      <c r="W1344" s="246"/>
      <c r="X1344" s="282"/>
      <c r="Y1344" s="244">
        <v>72.828999999999994</v>
      </c>
      <c r="Z1344" s="246"/>
      <c r="AA1344" s="282"/>
      <c r="AB1344" s="244">
        <v>57.528000000000006</v>
      </c>
      <c r="AC1344" s="246"/>
      <c r="AD1344" s="282"/>
      <c r="AE1344" s="244">
        <v>74.564999999999998</v>
      </c>
      <c r="AF1344" s="246"/>
      <c r="AG1344" s="282"/>
      <c r="AH1344" s="244">
        <v>47.5</v>
      </c>
      <c r="AI1344" s="246"/>
      <c r="AJ1344" s="282"/>
      <c r="AK1344" s="244">
        <v>80.733000000000004</v>
      </c>
      <c r="AL1344" s="246"/>
      <c r="AM1344" s="282"/>
      <c r="AN1344" s="244">
        <v>79.209000000000003</v>
      </c>
      <c r="AO1344" s="246"/>
      <c r="AP1344" s="282"/>
      <c r="AQ1344" s="244">
        <v>79.97</v>
      </c>
      <c r="AR1344" s="246"/>
      <c r="AS1344" s="282"/>
      <c r="AT1344" s="244">
        <f t="shared" si="53"/>
        <v>877.9670000000001</v>
      </c>
      <c r="AU1344" s="244"/>
      <c r="AV1344" s="253"/>
      <c r="AW1344" s="285"/>
      <c r="AX1344" s="249"/>
      <c r="AY1344" s="441">
        <v>773.08496000000002</v>
      </c>
      <c r="AZ1344" s="357"/>
      <c r="BA1344" s="357"/>
      <c r="BB1344" s="357"/>
      <c r="BC1344" s="357"/>
    </row>
    <row r="1345" spans="1:55" s="24" customFormat="1">
      <c r="A1345" s="179"/>
      <c r="B1345" s="179"/>
      <c r="C1345" s="179"/>
      <c r="D1345" s="181"/>
      <c r="E1345" s="181"/>
      <c r="F1345" s="181"/>
      <c r="G1345" s="1110"/>
      <c r="H1345" s="141" t="s">
        <v>1013</v>
      </c>
      <c r="I1345" s="516" t="s">
        <v>364</v>
      </c>
      <c r="J1345" s="262">
        <f>SUM(J1346:J1355)</f>
        <v>61.496000000000002</v>
      </c>
      <c r="K1345" s="323"/>
      <c r="L1345" s="324"/>
      <c r="M1345" s="317">
        <f>SUM(M1346:M1355)</f>
        <v>58.487000000000009</v>
      </c>
      <c r="N1345" s="323"/>
      <c r="O1345" s="324"/>
      <c r="P1345" s="317">
        <f>SUM(P1346:P1355)</f>
        <v>71.138999999999996</v>
      </c>
      <c r="Q1345" s="323"/>
      <c r="R1345" s="324"/>
      <c r="S1345" s="317">
        <f>SUM(S1346:S1355)</f>
        <v>110.562</v>
      </c>
      <c r="T1345" s="323"/>
      <c r="U1345" s="324"/>
      <c r="V1345" s="317">
        <f>SUM(V1346:V1355)</f>
        <v>174.49699999999999</v>
      </c>
      <c r="W1345" s="323"/>
      <c r="X1345" s="324"/>
      <c r="Y1345" s="317">
        <f>SUM(Y1346:Y1355)</f>
        <v>201.89299999999997</v>
      </c>
      <c r="Z1345" s="323"/>
      <c r="AA1345" s="324"/>
      <c r="AB1345" s="317">
        <f>SUM(AB1346:AB1355)</f>
        <v>202.05200000000002</v>
      </c>
      <c r="AC1345" s="323"/>
      <c r="AD1345" s="324"/>
      <c r="AE1345" s="317">
        <f>SUM(AE1346:AE1355)</f>
        <v>182.25399999999999</v>
      </c>
      <c r="AF1345" s="323"/>
      <c r="AG1345" s="324"/>
      <c r="AH1345" s="317">
        <f>SUM(AH1346:AH1355)</f>
        <v>139.465</v>
      </c>
      <c r="AI1345" s="323"/>
      <c r="AJ1345" s="324"/>
      <c r="AK1345" s="317">
        <f>SUM(AK1346:AK1355)</f>
        <v>101.71799999999999</v>
      </c>
      <c r="AL1345" s="323"/>
      <c r="AM1345" s="324"/>
      <c r="AN1345" s="317">
        <f>SUM(AN1346:AN1355)</f>
        <v>72.477000000000004</v>
      </c>
      <c r="AO1345" s="323"/>
      <c r="AP1345" s="324"/>
      <c r="AQ1345" s="317">
        <f>SUM(AQ1346:AQ1355)</f>
        <v>67.478000000000009</v>
      </c>
      <c r="AR1345" s="323"/>
      <c r="AS1345" s="324"/>
      <c r="AT1345" s="317">
        <f>SUM(AT1346:AT1355)</f>
        <v>1443.5179999999998</v>
      </c>
      <c r="AU1345" s="244"/>
      <c r="AV1345" s="253"/>
      <c r="AW1345" s="285"/>
      <c r="AX1345" s="249"/>
      <c r="AY1345" s="327">
        <f>SUM(AY1346:AY1355)</f>
        <v>1463.9399530000001</v>
      </c>
      <c r="AZ1345" s="357"/>
      <c r="BA1345" s="357"/>
      <c r="BB1345" s="357"/>
      <c r="BC1345" s="357"/>
    </row>
    <row r="1346" spans="1:55" s="113" customFormat="1">
      <c r="A1346" s="179"/>
      <c r="B1346" s="179"/>
      <c r="C1346" s="179"/>
      <c r="D1346" s="181">
        <v>322634</v>
      </c>
      <c r="E1346" s="181"/>
      <c r="F1346" s="181"/>
      <c r="G1346" s="1110">
        <v>322634</v>
      </c>
      <c r="H1346" s="127" t="s">
        <v>701</v>
      </c>
      <c r="I1346" s="127"/>
      <c r="J1346" s="587">
        <v>0</v>
      </c>
      <c r="K1346" s="521"/>
      <c r="L1346" s="522"/>
      <c r="M1346" s="587">
        <v>0</v>
      </c>
      <c r="N1346" s="521"/>
      <c r="O1346" s="522"/>
      <c r="P1346" s="587">
        <v>0</v>
      </c>
      <c r="Q1346" s="521"/>
      <c r="R1346" s="522"/>
      <c r="S1346" s="587">
        <v>0</v>
      </c>
      <c r="T1346" s="521"/>
      <c r="U1346" s="522"/>
      <c r="V1346" s="587">
        <v>3.5209999999999999</v>
      </c>
      <c r="W1346" s="521"/>
      <c r="X1346" s="522"/>
      <c r="Y1346" s="587">
        <v>4.1029999999999998</v>
      </c>
      <c r="Z1346" s="521"/>
      <c r="AA1346" s="522"/>
      <c r="AB1346" s="587">
        <v>1.0589999999999999</v>
      </c>
      <c r="AC1346" s="521"/>
      <c r="AD1346" s="522"/>
      <c r="AE1346" s="587">
        <v>1.071</v>
      </c>
      <c r="AF1346" s="521"/>
      <c r="AG1346" s="522"/>
      <c r="AH1346" s="587">
        <v>0</v>
      </c>
      <c r="AI1346" s="521"/>
      <c r="AJ1346" s="522"/>
      <c r="AK1346" s="587">
        <v>0</v>
      </c>
      <c r="AL1346" s="521"/>
      <c r="AM1346" s="522"/>
      <c r="AN1346" s="587">
        <v>0</v>
      </c>
      <c r="AO1346" s="521"/>
      <c r="AP1346" s="522"/>
      <c r="AQ1346" s="587">
        <v>0</v>
      </c>
      <c r="AR1346" s="246"/>
      <c r="AS1346" s="282"/>
      <c r="AT1346" s="587">
        <f t="shared" si="53"/>
        <v>9.7539999999999996</v>
      </c>
      <c r="AU1346" s="244"/>
      <c r="AV1346" s="253"/>
      <c r="AW1346" s="285"/>
      <c r="AX1346" s="249"/>
      <c r="AY1346" s="438">
        <v>14.400776</v>
      </c>
      <c r="AZ1346" s="355"/>
      <c r="BA1346" s="357"/>
      <c r="BB1346" s="357"/>
      <c r="BC1346" s="357"/>
    </row>
    <row r="1347" spans="1:55" s="113" customFormat="1">
      <c r="A1347" s="179"/>
      <c r="B1347" s="179"/>
      <c r="C1347" s="179"/>
      <c r="D1347" s="181">
        <v>322630</v>
      </c>
      <c r="E1347" s="181"/>
      <c r="F1347" s="181"/>
      <c r="G1347" s="1110">
        <v>322630</v>
      </c>
      <c r="H1347" s="127" t="s">
        <v>702</v>
      </c>
      <c r="I1347" s="127"/>
      <c r="J1347" s="587">
        <v>8.82</v>
      </c>
      <c r="K1347" s="521"/>
      <c r="L1347" s="522"/>
      <c r="M1347" s="587">
        <v>8.2319999999999993</v>
      </c>
      <c r="N1347" s="521"/>
      <c r="O1347" s="522"/>
      <c r="P1347" s="587">
        <v>9.4079999999999995</v>
      </c>
      <c r="Q1347" s="521"/>
      <c r="R1347" s="522"/>
      <c r="S1347" s="587">
        <v>13.07</v>
      </c>
      <c r="T1347" s="521"/>
      <c r="U1347" s="522"/>
      <c r="V1347" s="587">
        <v>25.358000000000001</v>
      </c>
      <c r="W1347" s="521"/>
      <c r="X1347" s="522"/>
      <c r="Y1347" s="587">
        <v>25.972999999999999</v>
      </c>
      <c r="Z1347" s="521"/>
      <c r="AA1347" s="522"/>
      <c r="AB1347" s="587">
        <v>26.446000000000002</v>
      </c>
      <c r="AC1347" s="521"/>
      <c r="AD1347" s="522"/>
      <c r="AE1347" s="587">
        <v>25.297999999999998</v>
      </c>
      <c r="AF1347" s="521"/>
      <c r="AG1347" s="522"/>
      <c r="AH1347" s="587">
        <v>20.329999999999998</v>
      </c>
      <c r="AI1347" s="521"/>
      <c r="AJ1347" s="522"/>
      <c r="AK1347" s="587">
        <v>13.382</v>
      </c>
      <c r="AL1347" s="521"/>
      <c r="AM1347" s="522"/>
      <c r="AN1347" s="587">
        <v>9.9580000000000002</v>
      </c>
      <c r="AO1347" s="521"/>
      <c r="AP1347" s="522"/>
      <c r="AQ1347" s="587">
        <v>9.5839999999999996</v>
      </c>
      <c r="AR1347" s="246"/>
      <c r="AS1347" s="282"/>
      <c r="AT1347" s="587">
        <f t="shared" si="53"/>
        <v>195.85900000000001</v>
      </c>
      <c r="AU1347" s="244"/>
      <c r="AV1347" s="253"/>
      <c r="AW1347" s="285"/>
      <c r="AX1347" s="249"/>
      <c r="AY1347" s="438">
        <v>209.61973399999999</v>
      </c>
      <c r="AZ1347" s="355"/>
      <c r="BA1347" s="357"/>
      <c r="BB1347" s="357"/>
      <c r="BC1347" s="357"/>
    </row>
    <row r="1348" spans="1:55" s="113" customFormat="1">
      <c r="A1348" s="179"/>
      <c r="B1348" s="179"/>
      <c r="C1348" s="179"/>
      <c r="D1348" s="181">
        <v>322631</v>
      </c>
      <c r="E1348" s="181"/>
      <c r="F1348" s="181"/>
      <c r="G1348" s="1110">
        <v>322631</v>
      </c>
      <c r="H1348" s="127" t="s">
        <v>703</v>
      </c>
      <c r="I1348" s="127"/>
      <c r="J1348" s="587">
        <v>22.32</v>
      </c>
      <c r="K1348" s="521"/>
      <c r="L1348" s="522"/>
      <c r="M1348" s="587">
        <v>20.832000000000001</v>
      </c>
      <c r="N1348" s="521"/>
      <c r="O1348" s="522"/>
      <c r="P1348" s="587">
        <v>23.808</v>
      </c>
      <c r="Q1348" s="521"/>
      <c r="R1348" s="522"/>
      <c r="S1348" s="587">
        <v>36</v>
      </c>
      <c r="T1348" s="521"/>
      <c r="U1348" s="522"/>
      <c r="V1348" s="587">
        <v>65.471999999999994</v>
      </c>
      <c r="W1348" s="521"/>
      <c r="X1348" s="522"/>
      <c r="Y1348" s="587">
        <v>79.918999999999997</v>
      </c>
      <c r="Z1348" s="521"/>
      <c r="AA1348" s="522"/>
      <c r="AB1348" s="587">
        <v>81.838999999999999</v>
      </c>
      <c r="AC1348" s="521"/>
      <c r="AD1348" s="522"/>
      <c r="AE1348" s="587">
        <v>72.912000000000006</v>
      </c>
      <c r="AF1348" s="521"/>
      <c r="AG1348" s="522"/>
      <c r="AH1348" s="587">
        <v>51.84</v>
      </c>
      <c r="AI1348" s="521"/>
      <c r="AJ1348" s="522"/>
      <c r="AK1348" s="587">
        <v>38.688000000000002</v>
      </c>
      <c r="AL1348" s="521"/>
      <c r="AM1348" s="522"/>
      <c r="AN1348" s="587">
        <v>25.2</v>
      </c>
      <c r="AO1348" s="521"/>
      <c r="AP1348" s="522"/>
      <c r="AQ1348" s="587">
        <v>24.253</v>
      </c>
      <c r="AR1348" s="246"/>
      <c r="AS1348" s="282"/>
      <c r="AT1348" s="587">
        <f t="shared" si="53"/>
        <v>543.08300000000008</v>
      </c>
      <c r="AU1348" s="244"/>
      <c r="AV1348" s="253"/>
      <c r="AW1348" s="285"/>
      <c r="AX1348" s="249"/>
      <c r="AY1348" s="438">
        <v>567.65655900000002</v>
      </c>
      <c r="AZ1348" s="355"/>
      <c r="BA1348" s="357"/>
      <c r="BB1348" s="357"/>
      <c r="BC1348" s="357"/>
    </row>
    <row r="1349" spans="1:55" s="113" customFormat="1">
      <c r="A1349" s="179"/>
      <c r="B1349" s="179"/>
      <c r="C1349" s="179"/>
      <c r="D1349" s="181">
        <v>322632</v>
      </c>
      <c r="E1349" s="181"/>
      <c r="F1349" s="181"/>
      <c r="G1349" s="1110">
        <v>322632</v>
      </c>
      <c r="H1349" s="127" t="s">
        <v>704</v>
      </c>
      <c r="I1349" s="127"/>
      <c r="J1349" s="587">
        <v>10.331</v>
      </c>
      <c r="K1349" s="521"/>
      <c r="L1349" s="522"/>
      <c r="M1349" s="587">
        <v>9.6769999999999996</v>
      </c>
      <c r="N1349" s="521"/>
      <c r="O1349" s="522"/>
      <c r="P1349" s="587">
        <v>10.714</v>
      </c>
      <c r="Q1349" s="521"/>
      <c r="R1349" s="522"/>
      <c r="S1349" s="587">
        <v>17.774000000000001</v>
      </c>
      <c r="T1349" s="521"/>
      <c r="U1349" s="522"/>
      <c r="V1349" s="587">
        <v>24.870999999999999</v>
      </c>
      <c r="W1349" s="521"/>
      <c r="X1349" s="522"/>
      <c r="Y1349" s="587">
        <v>31.474</v>
      </c>
      <c r="Z1349" s="521"/>
      <c r="AA1349" s="522"/>
      <c r="AB1349" s="587">
        <v>30.61</v>
      </c>
      <c r="AC1349" s="521"/>
      <c r="AD1349" s="522"/>
      <c r="AE1349" s="587">
        <v>26.783999999999999</v>
      </c>
      <c r="AF1349" s="521"/>
      <c r="AG1349" s="522"/>
      <c r="AH1349" s="587">
        <v>21.106999999999999</v>
      </c>
      <c r="AI1349" s="521"/>
      <c r="AJ1349" s="522"/>
      <c r="AK1349" s="587">
        <v>13.391999999999999</v>
      </c>
      <c r="AL1349" s="521"/>
      <c r="AM1349" s="522"/>
      <c r="AN1349" s="587">
        <v>11.849</v>
      </c>
      <c r="AO1349" s="521"/>
      <c r="AP1349" s="522"/>
      <c r="AQ1349" s="587">
        <v>11.13</v>
      </c>
      <c r="AR1349" s="246"/>
      <c r="AS1349" s="282"/>
      <c r="AT1349" s="587">
        <f t="shared" si="53"/>
        <v>219.71299999999999</v>
      </c>
      <c r="AU1349" s="244"/>
      <c r="AV1349" s="253"/>
      <c r="AW1349" s="285"/>
      <c r="AX1349" s="249"/>
      <c r="AY1349" s="438">
        <v>228.81142399999999</v>
      </c>
      <c r="AZ1349" s="355"/>
      <c r="BA1349" s="357"/>
      <c r="BB1349" s="357"/>
      <c r="BC1349" s="357"/>
    </row>
    <row r="1350" spans="1:55" s="110" customFormat="1">
      <c r="A1350" s="179"/>
      <c r="B1350" s="179"/>
      <c r="C1350" s="179"/>
      <c r="D1350" s="181">
        <v>322633</v>
      </c>
      <c r="E1350" s="181"/>
      <c r="F1350" s="181"/>
      <c r="G1350" s="1110">
        <v>322633</v>
      </c>
      <c r="H1350" s="127" t="s">
        <v>705</v>
      </c>
      <c r="I1350" s="127"/>
      <c r="J1350" s="587">
        <v>9.2850000000000001</v>
      </c>
      <c r="K1350" s="521"/>
      <c r="L1350" s="522"/>
      <c r="M1350" s="587">
        <v>8.7089999999999996</v>
      </c>
      <c r="N1350" s="521"/>
      <c r="O1350" s="522"/>
      <c r="P1350" s="587">
        <v>9.6419999999999995</v>
      </c>
      <c r="Q1350" s="521"/>
      <c r="R1350" s="522"/>
      <c r="S1350" s="587">
        <v>16.242999999999999</v>
      </c>
      <c r="T1350" s="521"/>
      <c r="U1350" s="522"/>
      <c r="V1350" s="587">
        <v>22.856000000000002</v>
      </c>
      <c r="W1350" s="521"/>
      <c r="X1350" s="522"/>
      <c r="Y1350" s="587">
        <v>29.03</v>
      </c>
      <c r="Z1350" s="521"/>
      <c r="AA1350" s="522"/>
      <c r="AB1350" s="587">
        <v>28.212</v>
      </c>
      <c r="AC1350" s="521"/>
      <c r="AD1350" s="522"/>
      <c r="AE1350" s="587">
        <v>24.283999999999999</v>
      </c>
      <c r="AF1350" s="521"/>
      <c r="AG1350" s="522"/>
      <c r="AH1350" s="587">
        <v>19.353000000000002</v>
      </c>
      <c r="AI1350" s="521"/>
      <c r="AJ1350" s="522"/>
      <c r="AK1350" s="587">
        <v>12.141999999999999</v>
      </c>
      <c r="AL1350" s="521"/>
      <c r="AM1350" s="522"/>
      <c r="AN1350" s="587">
        <v>10.714</v>
      </c>
      <c r="AO1350" s="521"/>
      <c r="AP1350" s="522"/>
      <c r="AQ1350" s="587">
        <v>10.083</v>
      </c>
      <c r="AR1350" s="246"/>
      <c r="AS1350" s="282"/>
      <c r="AT1350" s="587">
        <f t="shared" si="53"/>
        <v>200.553</v>
      </c>
      <c r="AU1350" s="244"/>
      <c r="AV1350" s="253"/>
      <c r="AW1350" s="285"/>
      <c r="AX1350" s="249"/>
      <c r="AY1350" s="438">
        <v>203.09515099999999</v>
      </c>
      <c r="AZ1350" s="356"/>
      <c r="BA1350" s="357"/>
      <c r="BB1350" s="357"/>
      <c r="BC1350" s="357"/>
    </row>
    <row r="1351" spans="1:55" s="110" customFormat="1">
      <c r="A1351" s="179"/>
      <c r="B1351" s="179"/>
      <c r="C1351" s="179"/>
      <c r="D1351" s="181">
        <v>322637</v>
      </c>
      <c r="E1351" s="181"/>
      <c r="F1351" s="181"/>
      <c r="G1351" s="1110">
        <v>322637</v>
      </c>
      <c r="H1351" s="127" t="s">
        <v>706</v>
      </c>
      <c r="I1351" s="127"/>
      <c r="J1351" s="587">
        <v>2.536</v>
      </c>
      <c r="K1351" s="521"/>
      <c r="L1351" s="522"/>
      <c r="M1351" s="587">
        <v>2.5960000000000001</v>
      </c>
      <c r="N1351" s="521"/>
      <c r="O1351" s="522"/>
      <c r="P1351" s="587">
        <v>4.0579999999999998</v>
      </c>
      <c r="Q1351" s="521"/>
      <c r="R1351" s="522"/>
      <c r="S1351" s="587">
        <v>7.2</v>
      </c>
      <c r="T1351" s="521"/>
      <c r="U1351" s="522"/>
      <c r="V1351" s="587">
        <v>9.3000000000000007</v>
      </c>
      <c r="W1351" s="521"/>
      <c r="X1351" s="522"/>
      <c r="Y1351" s="587">
        <v>9</v>
      </c>
      <c r="Z1351" s="521"/>
      <c r="AA1351" s="522"/>
      <c r="AB1351" s="587">
        <v>9.6379999999999999</v>
      </c>
      <c r="AC1351" s="521"/>
      <c r="AD1351" s="522"/>
      <c r="AE1351" s="587">
        <v>9.3000000000000007</v>
      </c>
      <c r="AF1351" s="521"/>
      <c r="AG1351" s="522"/>
      <c r="AH1351" s="587">
        <v>7.2</v>
      </c>
      <c r="AI1351" s="521"/>
      <c r="AJ1351" s="522"/>
      <c r="AK1351" s="587">
        <v>6.4260000000000002</v>
      </c>
      <c r="AL1351" s="521"/>
      <c r="AM1351" s="522"/>
      <c r="AN1351" s="587">
        <v>3.6</v>
      </c>
      <c r="AO1351" s="521"/>
      <c r="AP1351" s="522"/>
      <c r="AQ1351" s="587">
        <v>2.7730000000000001</v>
      </c>
      <c r="AR1351" s="246"/>
      <c r="AS1351" s="282"/>
      <c r="AT1351" s="587">
        <f t="shared" si="53"/>
        <v>73.626999999999995</v>
      </c>
      <c r="AU1351" s="244"/>
      <c r="AV1351" s="253"/>
      <c r="AW1351" s="285"/>
      <c r="AX1351" s="249"/>
      <c r="AY1351" s="438">
        <v>63.436283000000003</v>
      </c>
      <c r="AZ1351" s="356"/>
      <c r="BA1351" s="357"/>
      <c r="BB1351" s="357"/>
      <c r="BC1351" s="357"/>
    </row>
    <row r="1352" spans="1:55" s="113" customFormat="1">
      <c r="A1352" s="179"/>
      <c r="B1352" s="179"/>
      <c r="C1352" s="179"/>
      <c r="D1352" s="181">
        <v>322647</v>
      </c>
      <c r="E1352" s="181"/>
      <c r="F1352" s="181"/>
      <c r="G1352" s="1110">
        <v>322647</v>
      </c>
      <c r="H1352" s="127" t="s">
        <v>829</v>
      </c>
      <c r="I1352" s="127"/>
      <c r="J1352" s="587">
        <v>1.585</v>
      </c>
      <c r="K1352" s="521"/>
      <c r="L1352" s="522"/>
      <c r="M1352" s="587">
        <v>1.5609999999999999</v>
      </c>
      <c r="N1352" s="521"/>
      <c r="O1352" s="522"/>
      <c r="P1352" s="587">
        <v>2.484</v>
      </c>
      <c r="Q1352" s="521"/>
      <c r="R1352" s="522"/>
      <c r="S1352" s="587">
        <v>4.4939999999999998</v>
      </c>
      <c r="T1352" s="521"/>
      <c r="U1352" s="522"/>
      <c r="V1352" s="587">
        <v>5.6829999999999998</v>
      </c>
      <c r="W1352" s="521"/>
      <c r="X1352" s="522"/>
      <c r="Y1352" s="587">
        <v>5.41</v>
      </c>
      <c r="Z1352" s="521"/>
      <c r="AA1352" s="522"/>
      <c r="AB1352" s="587">
        <v>5.6159999999999997</v>
      </c>
      <c r="AC1352" s="521"/>
      <c r="AD1352" s="522"/>
      <c r="AE1352" s="587">
        <v>5.6159999999999997</v>
      </c>
      <c r="AF1352" s="521"/>
      <c r="AG1352" s="522"/>
      <c r="AH1352" s="587">
        <v>4.3899999999999997</v>
      </c>
      <c r="AI1352" s="521"/>
      <c r="AJ1352" s="522"/>
      <c r="AK1352" s="587">
        <v>3.996</v>
      </c>
      <c r="AL1352" s="521"/>
      <c r="AM1352" s="522"/>
      <c r="AN1352" s="587">
        <v>2.1949999999999998</v>
      </c>
      <c r="AO1352" s="521"/>
      <c r="AP1352" s="522"/>
      <c r="AQ1352" s="587">
        <v>1.7230000000000001</v>
      </c>
      <c r="AR1352" s="246"/>
      <c r="AS1352" s="282"/>
      <c r="AT1352" s="587">
        <f t="shared" si="53"/>
        <v>44.753</v>
      </c>
      <c r="AU1352" s="244"/>
      <c r="AV1352" s="253"/>
      <c r="AW1352" s="285"/>
      <c r="AX1352" s="249"/>
      <c r="AY1352" s="438">
        <v>43.499513</v>
      </c>
      <c r="AZ1352" s="355"/>
      <c r="BA1352" s="357"/>
      <c r="BB1352" s="357"/>
      <c r="BC1352" s="357"/>
    </row>
    <row r="1353" spans="1:55" s="113" customFormat="1">
      <c r="A1353" s="179"/>
      <c r="B1353" s="179"/>
      <c r="C1353" s="179"/>
      <c r="D1353" s="181">
        <v>322635</v>
      </c>
      <c r="E1353" s="181"/>
      <c r="F1353" s="181"/>
      <c r="G1353" s="1110">
        <v>322635</v>
      </c>
      <c r="H1353" s="127" t="s">
        <v>707</v>
      </c>
      <c r="I1353" s="127"/>
      <c r="J1353" s="587">
        <v>2.2210000000000001</v>
      </c>
      <c r="K1353" s="521"/>
      <c r="L1353" s="522"/>
      <c r="M1353" s="587">
        <v>2.2069999999999999</v>
      </c>
      <c r="N1353" s="521"/>
      <c r="O1353" s="522"/>
      <c r="P1353" s="587">
        <v>3.109</v>
      </c>
      <c r="Q1353" s="521"/>
      <c r="R1353" s="522"/>
      <c r="S1353" s="587">
        <v>4.62</v>
      </c>
      <c r="T1353" s="521"/>
      <c r="U1353" s="522"/>
      <c r="V1353" s="587">
        <v>5.4980000000000002</v>
      </c>
      <c r="W1353" s="521"/>
      <c r="X1353" s="522"/>
      <c r="Y1353" s="587">
        <v>5.8730000000000002</v>
      </c>
      <c r="Z1353" s="521"/>
      <c r="AA1353" s="522"/>
      <c r="AB1353" s="587">
        <v>6.1130000000000004</v>
      </c>
      <c r="AC1353" s="521"/>
      <c r="AD1353" s="522"/>
      <c r="AE1353" s="587">
        <v>6.2560000000000002</v>
      </c>
      <c r="AF1353" s="521"/>
      <c r="AG1353" s="522"/>
      <c r="AH1353" s="587">
        <v>5.5270000000000001</v>
      </c>
      <c r="AI1353" s="521"/>
      <c r="AJ1353" s="522"/>
      <c r="AK1353" s="587">
        <v>4.6539999999999999</v>
      </c>
      <c r="AL1353" s="521"/>
      <c r="AM1353" s="522"/>
      <c r="AN1353" s="587">
        <v>3.0089999999999999</v>
      </c>
      <c r="AO1353" s="521"/>
      <c r="AP1353" s="522"/>
      <c r="AQ1353" s="587">
        <v>2.6480000000000001</v>
      </c>
      <c r="AR1353" s="246"/>
      <c r="AS1353" s="282"/>
      <c r="AT1353" s="587">
        <f t="shared" si="53"/>
        <v>51.735000000000007</v>
      </c>
      <c r="AU1353" s="244"/>
      <c r="AV1353" s="253"/>
      <c r="AW1353" s="285"/>
      <c r="AX1353" s="249"/>
      <c r="AY1353" s="438">
        <v>50.979331999999999</v>
      </c>
      <c r="AZ1353" s="355"/>
      <c r="BA1353" s="357"/>
      <c r="BB1353" s="357"/>
      <c r="BC1353" s="357"/>
    </row>
    <row r="1354" spans="1:55" s="146" customFormat="1">
      <c r="A1354" s="179"/>
      <c r="B1354" s="179"/>
      <c r="C1354" s="179"/>
      <c r="D1354" s="181">
        <v>322636</v>
      </c>
      <c r="E1354" s="181"/>
      <c r="F1354" s="181"/>
      <c r="G1354" s="1110">
        <v>322636</v>
      </c>
      <c r="H1354" s="127" t="s">
        <v>708</v>
      </c>
      <c r="I1354" s="127"/>
      <c r="J1354" s="587">
        <v>3.1579999999999999</v>
      </c>
      <c r="K1354" s="521"/>
      <c r="L1354" s="522"/>
      <c r="M1354" s="587">
        <v>3.4409999999999998</v>
      </c>
      <c r="N1354" s="521"/>
      <c r="O1354" s="522"/>
      <c r="P1354" s="587">
        <v>6.1369999999999996</v>
      </c>
      <c r="Q1354" s="521"/>
      <c r="R1354" s="522"/>
      <c r="S1354" s="587">
        <v>8.7910000000000004</v>
      </c>
      <c r="T1354" s="521"/>
      <c r="U1354" s="522"/>
      <c r="V1354" s="587">
        <v>9.4879999999999995</v>
      </c>
      <c r="W1354" s="521"/>
      <c r="X1354" s="522"/>
      <c r="Y1354" s="587">
        <v>9.1229999999999993</v>
      </c>
      <c r="Z1354" s="521"/>
      <c r="AA1354" s="522"/>
      <c r="AB1354" s="587">
        <v>10.311</v>
      </c>
      <c r="AC1354" s="521"/>
      <c r="AD1354" s="522"/>
      <c r="AE1354" s="587">
        <v>8.7669999999999995</v>
      </c>
      <c r="AF1354" s="521"/>
      <c r="AG1354" s="522"/>
      <c r="AH1354" s="587">
        <v>9.2100000000000009</v>
      </c>
      <c r="AI1354" s="521"/>
      <c r="AJ1354" s="522"/>
      <c r="AK1354" s="587">
        <v>7.798</v>
      </c>
      <c r="AL1354" s="521"/>
      <c r="AM1354" s="522"/>
      <c r="AN1354" s="587">
        <v>4.7519999999999998</v>
      </c>
      <c r="AO1354" s="521"/>
      <c r="AP1354" s="522"/>
      <c r="AQ1354" s="587">
        <v>3.8039999999999998</v>
      </c>
      <c r="AR1354" s="246"/>
      <c r="AS1354" s="282"/>
      <c r="AT1354" s="587">
        <f t="shared" si="53"/>
        <v>84.779999999999987</v>
      </c>
      <c r="AU1354" s="244"/>
      <c r="AV1354" s="253"/>
      <c r="AW1354" s="285"/>
      <c r="AX1354" s="249"/>
      <c r="AY1354" s="438">
        <v>63.084659000000002</v>
      </c>
      <c r="AZ1354" s="402"/>
      <c r="BA1354" s="357"/>
      <c r="BB1354" s="357"/>
      <c r="BC1354" s="357"/>
    </row>
    <row r="1355" spans="1:55" s="24" customFormat="1">
      <c r="A1355" s="179"/>
      <c r="B1355" s="179"/>
      <c r="C1355" s="179"/>
      <c r="D1355" s="181">
        <v>322638</v>
      </c>
      <c r="E1355" s="181"/>
      <c r="F1355" s="181"/>
      <c r="G1355" s="1110">
        <v>322638</v>
      </c>
      <c r="H1355" s="127" t="s">
        <v>709</v>
      </c>
      <c r="I1355" s="127"/>
      <c r="J1355" s="587">
        <v>1.24</v>
      </c>
      <c r="K1355" s="521"/>
      <c r="L1355" s="522"/>
      <c r="M1355" s="587">
        <v>1.232</v>
      </c>
      <c r="N1355" s="521"/>
      <c r="O1355" s="522"/>
      <c r="P1355" s="587">
        <v>1.7789999999999999</v>
      </c>
      <c r="Q1355" s="521"/>
      <c r="R1355" s="522"/>
      <c r="S1355" s="587">
        <v>2.37</v>
      </c>
      <c r="T1355" s="521"/>
      <c r="U1355" s="522"/>
      <c r="V1355" s="587">
        <v>2.4500000000000002</v>
      </c>
      <c r="W1355" s="521"/>
      <c r="X1355" s="522"/>
      <c r="Y1355" s="587">
        <v>1.988</v>
      </c>
      <c r="Z1355" s="521"/>
      <c r="AA1355" s="522"/>
      <c r="AB1355" s="587">
        <v>2.2080000000000002</v>
      </c>
      <c r="AC1355" s="521"/>
      <c r="AD1355" s="522"/>
      <c r="AE1355" s="587">
        <v>1.966</v>
      </c>
      <c r="AF1355" s="521"/>
      <c r="AG1355" s="522"/>
      <c r="AH1355" s="587">
        <v>0.50800000000000001</v>
      </c>
      <c r="AI1355" s="521"/>
      <c r="AJ1355" s="522"/>
      <c r="AK1355" s="587">
        <v>1.24</v>
      </c>
      <c r="AL1355" s="521"/>
      <c r="AM1355" s="522"/>
      <c r="AN1355" s="587">
        <v>1.2</v>
      </c>
      <c r="AO1355" s="521"/>
      <c r="AP1355" s="522"/>
      <c r="AQ1355" s="587">
        <v>1.48</v>
      </c>
      <c r="AR1355" s="246"/>
      <c r="AS1355" s="282"/>
      <c r="AT1355" s="587">
        <f t="shared" si="53"/>
        <v>19.660999999999998</v>
      </c>
      <c r="AU1355" s="244"/>
      <c r="AV1355" s="253"/>
      <c r="AW1355" s="285"/>
      <c r="AX1355" s="249"/>
      <c r="AY1355" s="438">
        <v>19.356521999999998</v>
      </c>
      <c r="AZ1355" s="357"/>
      <c r="BA1355" s="357"/>
      <c r="BB1355" s="357"/>
      <c r="BC1355" s="357"/>
    </row>
    <row r="1356" spans="1:55" s="24" customFormat="1">
      <c r="A1356" s="179"/>
      <c r="B1356" s="179"/>
      <c r="C1356" s="179"/>
      <c r="D1356" s="181"/>
      <c r="E1356" s="181"/>
      <c r="F1356" s="181"/>
      <c r="G1356" s="1211">
        <v>777551</v>
      </c>
      <c r="H1356" s="171" t="s">
        <v>1272</v>
      </c>
      <c r="I1356" s="516" t="s">
        <v>364</v>
      </c>
      <c r="J1356" s="587">
        <v>0.69</v>
      </c>
      <c r="K1356" s="521"/>
      <c r="L1356" s="522"/>
      <c r="M1356" s="587">
        <v>0.67</v>
      </c>
      <c r="N1356" s="521"/>
      <c r="O1356" s="522"/>
      <c r="P1356" s="587">
        <v>0.74</v>
      </c>
      <c r="Q1356" s="521"/>
      <c r="R1356" s="522"/>
      <c r="S1356" s="587">
        <v>1.68</v>
      </c>
      <c r="T1356" s="521"/>
      <c r="U1356" s="522"/>
      <c r="V1356" s="587">
        <v>2.56</v>
      </c>
      <c r="W1356" s="521"/>
      <c r="X1356" s="522"/>
      <c r="Y1356" s="587">
        <v>3.17</v>
      </c>
      <c r="Z1356" s="521"/>
      <c r="AA1356" s="522"/>
      <c r="AB1356" s="587">
        <v>2.94</v>
      </c>
      <c r="AC1356" s="521"/>
      <c r="AD1356" s="522"/>
      <c r="AE1356" s="587">
        <v>2.71</v>
      </c>
      <c r="AF1356" s="521"/>
      <c r="AG1356" s="522"/>
      <c r="AH1356" s="587">
        <v>1.84</v>
      </c>
      <c r="AI1356" s="521"/>
      <c r="AJ1356" s="522"/>
      <c r="AK1356" s="587">
        <v>1.35</v>
      </c>
      <c r="AL1356" s="521"/>
      <c r="AM1356" s="522"/>
      <c r="AN1356" s="587">
        <v>1.17</v>
      </c>
      <c r="AO1356" s="521"/>
      <c r="AP1356" s="522"/>
      <c r="AQ1356" s="587">
        <v>1.04</v>
      </c>
      <c r="AR1356" s="246"/>
      <c r="AS1356" s="282"/>
      <c r="AT1356" s="587">
        <f t="shared" si="53"/>
        <v>20.560000000000002</v>
      </c>
      <c r="AU1356" s="244"/>
      <c r="AV1356" s="253"/>
      <c r="AW1356" s="285"/>
      <c r="AX1356" s="249"/>
      <c r="AY1356" s="438">
        <v>0</v>
      </c>
      <c r="AZ1356" s="357"/>
      <c r="BA1356" s="357"/>
      <c r="BB1356" s="357"/>
      <c r="BC1356" s="357"/>
    </row>
    <row r="1357" spans="1:55" s="24" customFormat="1">
      <c r="A1357" s="179"/>
      <c r="B1357" s="179"/>
      <c r="C1357" s="179"/>
      <c r="D1357" s="181"/>
      <c r="E1357" s="181"/>
      <c r="F1357" s="181"/>
      <c r="G1357" s="1211">
        <v>777558</v>
      </c>
      <c r="H1357" s="171" t="s">
        <v>1813</v>
      </c>
      <c r="I1357" s="516" t="s">
        <v>364</v>
      </c>
      <c r="J1357" s="587">
        <v>0</v>
      </c>
      <c r="K1357" s="521"/>
      <c r="L1357" s="522"/>
      <c r="M1357" s="587">
        <v>0</v>
      </c>
      <c r="N1357" s="521"/>
      <c r="O1357" s="522"/>
      <c r="P1357" s="587">
        <v>0</v>
      </c>
      <c r="Q1357" s="521"/>
      <c r="R1357" s="522"/>
      <c r="S1357" s="587">
        <v>0</v>
      </c>
      <c r="T1357" s="521"/>
      <c r="U1357" s="522"/>
      <c r="V1357" s="587">
        <v>0</v>
      </c>
      <c r="W1357" s="521"/>
      <c r="X1357" s="522"/>
      <c r="Y1357" s="587">
        <v>0</v>
      </c>
      <c r="Z1357" s="521"/>
      <c r="AA1357" s="522"/>
      <c r="AB1357" s="587">
        <v>0</v>
      </c>
      <c r="AC1357" s="521"/>
      <c r="AD1357" s="522"/>
      <c r="AE1357" s="587">
        <v>0</v>
      </c>
      <c r="AF1357" s="521"/>
      <c r="AG1357" s="522"/>
      <c r="AH1357" s="587">
        <v>0</v>
      </c>
      <c r="AI1357" s="521"/>
      <c r="AJ1357" s="522"/>
      <c r="AK1357" s="587">
        <v>6.48</v>
      </c>
      <c r="AL1357" s="521"/>
      <c r="AM1357" s="522"/>
      <c r="AN1357" s="587">
        <v>4.8360000000000003</v>
      </c>
      <c r="AO1357" s="521"/>
      <c r="AP1357" s="522"/>
      <c r="AQ1357" s="587">
        <v>0.93600000000000005</v>
      </c>
      <c r="AR1357" s="246"/>
      <c r="AS1357" s="282"/>
      <c r="AT1357" s="587">
        <f t="shared" si="53"/>
        <v>12.252000000000001</v>
      </c>
      <c r="AU1357" s="244"/>
      <c r="AV1357" s="253"/>
      <c r="AW1357" s="285"/>
      <c r="AX1357" s="249"/>
      <c r="AY1357" s="438"/>
      <c r="AZ1357" s="357"/>
      <c r="BA1357" s="357"/>
      <c r="BB1357" s="357"/>
      <c r="BC1357" s="357"/>
    </row>
    <row r="1358" spans="1:55" s="24" customFormat="1">
      <c r="A1358" s="179"/>
      <c r="B1358" s="179"/>
      <c r="C1358" s="179"/>
      <c r="D1358" s="181"/>
      <c r="E1358" s="181"/>
      <c r="F1358" s="181"/>
      <c r="G1358" s="1211">
        <v>777559</v>
      </c>
      <c r="H1358" s="171" t="s">
        <v>1814</v>
      </c>
      <c r="I1358" s="516" t="s">
        <v>364</v>
      </c>
      <c r="J1358" s="587">
        <v>0</v>
      </c>
      <c r="K1358" s="521"/>
      <c r="L1358" s="522"/>
      <c r="M1358" s="587">
        <v>0</v>
      </c>
      <c r="N1358" s="521"/>
      <c r="O1358" s="522"/>
      <c r="P1358" s="587">
        <v>0</v>
      </c>
      <c r="Q1358" s="521"/>
      <c r="R1358" s="522"/>
      <c r="S1358" s="587">
        <v>0</v>
      </c>
      <c r="T1358" s="521"/>
      <c r="U1358" s="522"/>
      <c r="V1358" s="587">
        <v>0</v>
      </c>
      <c r="W1358" s="521"/>
      <c r="X1358" s="522"/>
      <c r="Y1358" s="587">
        <v>0</v>
      </c>
      <c r="Z1358" s="521"/>
      <c r="AA1358" s="522"/>
      <c r="AB1358" s="587">
        <v>0</v>
      </c>
      <c r="AC1358" s="521"/>
      <c r="AD1358" s="522"/>
      <c r="AE1358" s="587">
        <v>0</v>
      </c>
      <c r="AF1358" s="521"/>
      <c r="AG1358" s="522"/>
      <c r="AH1358" s="587">
        <v>0</v>
      </c>
      <c r="AI1358" s="521"/>
      <c r="AJ1358" s="522"/>
      <c r="AK1358" s="587">
        <v>5.04</v>
      </c>
      <c r="AL1358" s="521"/>
      <c r="AM1358" s="522"/>
      <c r="AN1358" s="587">
        <v>3.448</v>
      </c>
      <c r="AO1358" s="521"/>
      <c r="AP1358" s="522"/>
      <c r="AQ1358" s="587">
        <v>0</v>
      </c>
      <c r="AR1358" s="246"/>
      <c r="AS1358" s="282"/>
      <c r="AT1358" s="587">
        <f t="shared" si="53"/>
        <v>8.4879999999999995</v>
      </c>
      <c r="AU1358" s="244"/>
      <c r="AV1358" s="253"/>
      <c r="AW1358" s="285"/>
      <c r="AX1358" s="249"/>
      <c r="AY1358" s="438"/>
      <c r="AZ1358" s="357"/>
      <c r="BA1358" s="357"/>
      <c r="BB1358" s="357"/>
      <c r="BC1358" s="357"/>
    </row>
    <row r="1359" spans="1:55" s="24" customFormat="1">
      <c r="A1359" s="179"/>
      <c r="B1359" s="179"/>
      <c r="C1359" s="179"/>
      <c r="D1359" s="181"/>
      <c r="E1359" s="181"/>
      <c r="F1359" s="181"/>
      <c r="G1359" s="1211">
        <v>777552</v>
      </c>
      <c r="H1359" s="134" t="s">
        <v>1801</v>
      </c>
      <c r="I1359" s="516" t="s">
        <v>364</v>
      </c>
      <c r="J1359" s="262">
        <f>SUM(J1360:J1370)</f>
        <v>42.209999999999994</v>
      </c>
      <c r="K1359" s="521"/>
      <c r="L1359" s="522"/>
      <c r="M1359" s="262">
        <f>SUM(M1360:M1370)</f>
        <v>39.47999999999999</v>
      </c>
      <c r="N1359" s="521"/>
      <c r="O1359" s="522"/>
      <c r="P1359" s="262">
        <f>SUM(P1360:P1370)</f>
        <v>42.209999999999994</v>
      </c>
      <c r="Q1359" s="521"/>
      <c r="R1359" s="522"/>
      <c r="S1359" s="262">
        <f>SUM(S1360:S1370)</f>
        <v>40.840000000000003</v>
      </c>
      <c r="T1359" s="521"/>
      <c r="U1359" s="522"/>
      <c r="V1359" s="262">
        <f>SUM(V1360:V1370)</f>
        <v>42.209999999999994</v>
      </c>
      <c r="W1359" s="521"/>
      <c r="X1359" s="522"/>
      <c r="Y1359" s="262">
        <f>SUM(Y1360:Y1370)</f>
        <v>40.840000000000003</v>
      </c>
      <c r="Z1359" s="521"/>
      <c r="AA1359" s="522"/>
      <c r="AB1359" s="262">
        <f>SUM(AB1360:AB1370)</f>
        <v>42.209999999999994</v>
      </c>
      <c r="AC1359" s="521"/>
      <c r="AD1359" s="522"/>
      <c r="AE1359" s="262">
        <f>SUM(AE1360:AE1370)</f>
        <v>42.209999999999994</v>
      </c>
      <c r="AF1359" s="521"/>
      <c r="AG1359" s="522"/>
      <c r="AH1359" s="262">
        <f>SUM(AH1360:AH1370)</f>
        <v>40.840000000000003</v>
      </c>
      <c r="AI1359" s="521"/>
      <c r="AJ1359" s="522"/>
      <c r="AK1359" s="262">
        <f>SUM(AK1360:AK1370)</f>
        <v>42.209999999999994</v>
      </c>
      <c r="AL1359" s="521"/>
      <c r="AM1359" s="522"/>
      <c r="AN1359" s="262">
        <f>SUM(AN1360:AN1370)</f>
        <v>40.840000000000003</v>
      </c>
      <c r="AO1359" s="521"/>
      <c r="AP1359" s="522"/>
      <c r="AQ1359" s="262">
        <f>SUM(AQ1360:AQ1370)</f>
        <v>42.209999999999994</v>
      </c>
      <c r="AR1359" s="246"/>
      <c r="AS1359" s="282"/>
      <c r="AT1359" s="262">
        <f>SUM(AT1360:AT1370)</f>
        <v>498.30999999999983</v>
      </c>
      <c r="AU1359" s="244"/>
      <c r="AV1359" s="253"/>
      <c r="AW1359" s="285"/>
      <c r="AX1359" s="249"/>
      <c r="AY1359" s="438"/>
      <c r="AZ1359" s="357"/>
      <c r="BA1359" s="357"/>
      <c r="BB1359" s="357"/>
      <c r="BC1359" s="357"/>
    </row>
    <row r="1360" spans="1:55" s="24" customFormat="1">
      <c r="A1360" s="179"/>
      <c r="B1360" s="179"/>
      <c r="C1360" s="179"/>
      <c r="D1360" s="181"/>
      <c r="E1360" s="181"/>
      <c r="F1360" s="181"/>
      <c r="G1360" s="1110"/>
      <c r="H1360" s="122" t="s">
        <v>1802</v>
      </c>
      <c r="I1360" s="516"/>
      <c r="J1360" s="281">
        <v>2.0099999999999998</v>
      </c>
      <c r="K1360" s="246"/>
      <c r="L1360" s="282"/>
      <c r="M1360" s="281">
        <v>1.88</v>
      </c>
      <c r="N1360" s="246"/>
      <c r="O1360" s="282"/>
      <c r="P1360" s="281">
        <v>2.0099999999999998</v>
      </c>
      <c r="Q1360" s="246"/>
      <c r="R1360" s="282"/>
      <c r="S1360" s="281">
        <v>1.94</v>
      </c>
      <c r="T1360" s="246"/>
      <c r="U1360" s="282"/>
      <c r="V1360" s="281">
        <v>2.0099999999999998</v>
      </c>
      <c r="W1360" s="246"/>
      <c r="X1360" s="282"/>
      <c r="Y1360" s="281">
        <v>1.94</v>
      </c>
      <c r="Z1360" s="246"/>
      <c r="AA1360" s="282"/>
      <c r="AB1360" s="281">
        <v>2.0099999999999998</v>
      </c>
      <c r="AC1360" s="246"/>
      <c r="AD1360" s="282"/>
      <c r="AE1360" s="281">
        <v>2.0099999999999998</v>
      </c>
      <c r="AF1360" s="246"/>
      <c r="AG1360" s="282"/>
      <c r="AH1360" s="281">
        <v>1.94</v>
      </c>
      <c r="AI1360" s="246"/>
      <c r="AJ1360" s="282"/>
      <c r="AK1360" s="281">
        <v>2.0099999999999998</v>
      </c>
      <c r="AL1360" s="246"/>
      <c r="AM1360" s="282"/>
      <c r="AN1360" s="281">
        <v>1.94</v>
      </c>
      <c r="AO1360" s="246"/>
      <c r="AP1360" s="282"/>
      <c r="AQ1360" s="281">
        <v>2.0099999999999998</v>
      </c>
      <c r="AR1360" s="246"/>
      <c r="AS1360" s="282"/>
      <c r="AT1360" s="244">
        <f t="shared" si="53"/>
        <v>23.71</v>
      </c>
      <c r="AU1360" s="244"/>
      <c r="AV1360" s="253"/>
      <c r="AW1360" s="285"/>
      <c r="AX1360" s="249"/>
      <c r="AY1360" s="438"/>
      <c r="AZ1360" s="357"/>
      <c r="BA1360" s="357"/>
      <c r="BB1360" s="357"/>
      <c r="BC1360" s="357"/>
    </row>
    <row r="1361" spans="1:55" s="24" customFormat="1">
      <c r="A1361" s="179"/>
      <c r="B1361" s="179"/>
      <c r="C1361" s="179"/>
      <c r="D1361" s="181"/>
      <c r="E1361" s="181"/>
      <c r="F1361" s="181"/>
      <c r="G1361" s="1110"/>
      <c r="H1361" s="122" t="s">
        <v>1803</v>
      </c>
      <c r="I1361" s="516"/>
      <c r="J1361" s="281">
        <v>4.0199999999999996</v>
      </c>
      <c r="K1361" s="246"/>
      <c r="L1361" s="282"/>
      <c r="M1361" s="281">
        <v>3.76</v>
      </c>
      <c r="N1361" s="246"/>
      <c r="O1361" s="282"/>
      <c r="P1361" s="281">
        <v>4.0199999999999996</v>
      </c>
      <c r="Q1361" s="246"/>
      <c r="R1361" s="282"/>
      <c r="S1361" s="281">
        <v>3.89</v>
      </c>
      <c r="T1361" s="246"/>
      <c r="U1361" s="282"/>
      <c r="V1361" s="281">
        <v>4.0199999999999996</v>
      </c>
      <c r="W1361" s="246"/>
      <c r="X1361" s="282"/>
      <c r="Y1361" s="281">
        <v>3.89</v>
      </c>
      <c r="Z1361" s="246"/>
      <c r="AA1361" s="282"/>
      <c r="AB1361" s="281">
        <v>4.0199999999999996</v>
      </c>
      <c r="AC1361" s="246"/>
      <c r="AD1361" s="282"/>
      <c r="AE1361" s="281">
        <v>4.0199999999999996</v>
      </c>
      <c r="AF1361" s="246"/>
      <c r="AG1361" s="282"/>
      <c r="AH1361" s="281">
        <v>3.89</v>
      </c>
      <c r="AI1361" s="246"/>
      <c r="AJ1361" s="282"/>
      <c r="AK1361" s="281">
        <v>4.0199999999999996</v>
      </c>
      <c r="AL1361" s="246"/>
      <c r="AM1361" s="282"/>
      <c r="AN1361" s="281">
        <v>3.89</v>
      </c>
      <c r="AO1361" s="246"/>
      <c r="AP1361" s="282"/>
      <c r="AQ1361" s="281">
        <v>4.0199999999999996</v>
      </c>
      <c r="AR1361" s="246"/>
      <c r="AS1361" s="282"/>
      <c r="AT1361" s="244">
        <f t="shared" si="53"/>
        <v>47.459999999999994</v>
      </c>
      <c r="AU1361" s="244"/>
      <c r="AV1361" s="253"/>
      <c r="AW1361" s="285"/>
      <c r="AX1361" s="249"/>
      <c r="AY1361" s="438"/>
      <c r="AZ1361" s="357"/>
      <c r="BA1361" s="357"/>
      <c r="BB1361" s="357"/>
      <c r="BC1361" s="357"/>
    </row>
    <row r="1362" spans="1:55" s="24" customFormat="1">
      <c r="A1362" s="179"/>
      <c r="B1362" s="179"/>
      <c r="C1362" s="179"/>
      <c r="D1362" s="181"/>
      <c r="E1362" s="181"/>
      <c r="F1362" s="181"/>
      <c r="G1362" s="1110"/>
      <c r="H1362" s="122" t="s">
        <v>1804</v>
      </c>
      <c r="I1362" s="516"/>
      <c r="J1362" s="281">
        <v>4.0199999999999996</v>
      </c>
      <c r="K1362" s="246"/>
      <c r="L1362" s="282"/>
      <c r="M1362" s="281">
        <v>3.76</v>
      </c>
      <c r="N1362" s="246"/>
      <c r="O1362" s="282"/>
      <c r="P1362" s="281">
        <v>4.0199999999999996</v>
      </c>
      <c r="Q1362" s="246"/>
      <c r="R1362" s="282"/>
      <c r="S1362" s="281">
        <v>3.89</v>
      </c>
      <c r="T1362" s="246"/>
      <c r="U1362" s="282"/>
      <c r="V1362" s="281">
        <v>4.0199999999999996</v>
      </c>
      <c r="W1362" s="246"/>
      <c r="X1362" s="282"/>
      <c r="Y1362" s="281">
        <v>3.89</v>
      </c>
      <c r="Z1362" s="246"/>
      <c r="AA1362" s="282"/>
      <c r="AB1362" s="281">
        <v>4.0199999999999996</v>
      </c>
      <c r="AC1362" s="246"/>
      <c r="AD1362" s="282"/>
      <c r="AE1362" s="281">
        <v>4.0199999999999996</v>
      </c>
      <c r="AF1362" s="246"/>
      <c r="AG1362" s="282"/>
      <c r="AH1362" s="281">
        <v>3.89</v>
      </c>
      <c r="AI1362" s="246"/>
      <c r="AJ1362" s="282"/>
      <c r="AK1362" s="281">
        <v>4.0199999999999996</v>
      </c>
      <c r="AL1362" s="246"/>
      <c r="AM1362" s="282"/>
      <c r="AN1362" s="281">
        <v>3.89</v>
      </c>
      <c r="AO1362" s="246"/>
      <c r="AP1362" s="282"/>
      <c r="AQ1362" s="281">
        <v>4.0199999999999996</v>
      </c>
      <c r="AR1362" s="246"/>
      <c r="AS1362" s="282"/>
      <c r="AT1362" s="244">
        <f t="shared" si="53"/>
        <v>47.459999999999994</v>
      </c>
      <c r="AU1362" s="244"/>
      <c r="AV1362" s="253"/>
      <c r="AW1362" s="285"/>
      <c r="AX1362" s="249"/>
      <c r="AY1362" s="438"/>
      <c r="AZ1362" s="357"/>
      <c r="BA1362" s="357"/>
      <c r="BB1362" s="357"/>
      <c r="BC1362" s="357"/>
    </row>
    <row r="1363" spans="1:55" s="24" customFormat="1">
      <c r="A1363" s="179"/>
      <c r="B1363" s="179"/>
      <c r="C1363" s="179"/>
      <c r="D1363" s="181"/>
      <c r="E1363" s="181"/>
      <c r="F1363" s="181"/>
      <c r="G1363" s="1110"/>
      <c r="H1363" s="122" t="s">
        <v>1805</v>
      </c>
      <c r="I1363" s="516"/>
      <c r="J1363" s="281">
        <v>4.0199999999999996</v>
      </c>
      <c r="K1363" s="246"/>
      <c r="L1363" s="282"/>
      <c r="M1363" s="281">
        <v>3.76</v>
      </c>
      <c r="N1363" s="246"/>
      <c r="O1363" s="282"/>
      <c r="P1363" s="281">
        <v>4.0199999999999996</v>
      </c>
      <c r="Q1363" s="246"/>
      <c r="R1363" s="282"/>
      <c r="S1363" s="281">
        <v>3.89</v>
      </c>
      <c r="T1363" s="246"/>
      <c r="U1363" s="282"/>
      <c r="V1363" s="281">
        <v>4.0199999999999996</v>
      </c>
      <c r="W1363" s="246"/>
      <c r="X1363" s="282"/>
      <c r="Y1363" s="281">
        <v>3.89</v>
      </c>
      <c r="Z1363" s="246"/>
      <c r="AA1363" s="282"/>
      <c r="AB1363" s="281">
        <v>4.0199999999999996</v>
      </c>
      <c r="AC1363" s="246"/>
      <c r="AD1363" s="282"/>
      <c r="AE1363" s="281">
        <v>4.0199999999999996</v>
      </c>
      <c r="AF1363" s="246"/>
      <c r="AG1363" s="282"/>
      <c r="AH1363" s="281">
        <v>3.89</v>
      </c>
      <c r="AI1363" s="246"/>
      <c r="AJ1363" s="282"/>
      <c r="AK1363" s="281">
        <v>4.0199999999999996</v>
      </c>
      <c r="AL1363" s="246"/>
      <c r="AM1363" s="282"/>
      <c r="AN1363" s="281">
        <v>3.89</v>
      </c>
      <c r="AO1363" s="246"/>
      <c r="AP1363" s="282"/>
      <c r="AQ1363" s="281">
        <v>4.0199999999999996</v>
      </c>
      <c r="AR1363" s="246"/>
      <c r="AS1363" s="282"/>
      <c r="AT1363" s="244">
        <f t="shared" si="53"/>
        <v>47.459999999999994</v>
      </c>
      <c r="AU1363" s="244"/>
      <c r="AV1363" s="253"/>
      <c r="AW1363" s="285"/>
      <c r="AX1363" s="249"/>
      <c r="AY1363" s="438"/>
      <c r="AZ1363" s="357"/>
      <c r="BA1363" s="357"/>
      <c r="BB1363" s="357"/>
      <c r="BC1363" s="357"/>
    </row>
    <row r="1364" spans="1:55" s="24" customFormat="1">
      <c r="A1364" s="179"/>
      <c r="B1364" s="179"/>
      <c r="C1364" s="179"/>
      <c r="D1364" s="181"/>
      <c r="E1364" s="181"/>
      <c r="F1364" s="181"/>
      <c r="G1364" s="1110"/>
      <c r="H1364" s="122" t="s">
        <v>1806</v>
      </c>
      <c r="I1364" s="516"/>
      <c r="J1364" s="281">
        <v>4.0199999999999996</v>
      </c>
      <c r="K1364" s="246"/>
      <c r="L1364" s="282"/>
      <c r="M1364" s="281">
        <v>3.76</v>
      </c>
      <c r="N1364" s="246"/>
      <c r="O1364" s="282"/>
      <c r="P1364" s="281">
        <v>4.0199999999999996</v>
      </c>
      <c r="Q1364" s="246"/>
      <c r="R1364" s="282"/>
      <c r="S1364" s="281">
        <v>3.89</v>
      </c>
      <c r="T1364" s="246"/>
      <c r="U1364" s="282"/>
      <c r="V1364" s="281">
        <v>4.0199999999999996</v>
      </c>
      <c r="W1364" s="246"/>
      <c r="X1364" s="282"/>
      <c r="Y1364" s="281">
        <v>3.89</v>
      </c>
      <c r="Z1364" s="246"/>
      <c r="AA1364" s="282"/>
      <c r="AB1364" s="281">
        <v>4.0199999999999996</v>
      </c>
      <c r="AC1364" s="246"/>
      <c r="AD1364" s="282"/>
      <c r="AE1364" s="281">
        <v>4.0199999999999996</v>
      </c>
      <c r="AF1364" s="246"/>
      <c r="AG1364" s="282"/>
      <c r="AH1364" s="281">
        <v>3.89</v>
      </c>
      <c r="AI1364" s="246"/>
      <c r="AJ1364" s="282"/>
      <c r="AK1364" s="281">
        <v>4.0199999999999996</v>
      </c>
      <c r="AL1364" s="246"/>
      <c r="AM1364" s="282"/>
      <c r="AN1364" s="281">
        <v>3.89</v>
      </c>
      <c r="AO1364" s="246"/>
      <c r="AP1364" s="282"/>
      <c r="AQ1364" s="281">
        <v>4.0199999999999996</v>
      </c>
      <c r="AR1364" s="246"/>
      <c r="AS1364" s="282"/>
      <c r="AT1364" s="244">
        <f t="shared" si="53"/>
        <v>47.459999999999994</v>
      </c>
      <c r="AU1364" s="244"/>
      <c r="AV1364" s="253"/>
      <c r="AW1364" s="285"/>
      <c r="AX1364" s="249"/>
      <c r="AY1364" s="438"/>
      <c r="AZ1364" s="357"/>
      <c r="BA1364" s="357"/>
      <c r="BB1364" s="357"/>
      <c r="BC1364" s="357"/>
    </row>
    <row r="1365" spans="1:55" s="24" customFormat="1">
      <c r="A1365" s="179"/>
      <c r="B1365" s="179"/>
      <c r="C1365" s="179"/>
      <c r="D1365" s="181"/>
      <c r="E1365" s="181"/>
      <c r="F1365" s="181"/>
      <c r="G1365" s="1110"/>
      <c r="H1365" s="122" t="s">
        <v>1807</v>
      </c>
      <c r="I1365" s="516"/>
      <c r="J1365" s="281">
        <v>4.0199999999999996</v>
      </c>
      <c r="K1365" s="246"/>
      <c r="L1365" s="282"/>
      <c r="M1365" s="281">
        <v>3.76</v>
      </c>
      <c r="N1365" s="246"/>
      <c r="O1365" s="282"/>
      <c r="P1365" s="281">
        <v>4.0199999999999996</v>
      </c>
      <c r="Q1365" s="246"/>
      <c r="R1365" s="282"/>
      <c r="S1365" s="281">
        <v>3.89</v>
      </c>
      <c r="T1365" s="246"/>
      <c r="U1365" s="282"/>
      <c r="V1365" s="281">
        <v>4.0199999999999996</v>
      </c>
      <c r="W1365" s="246"/>
      <c r="X1365" s="282"/>
      <c r="Y1365" s="281">
        <v>3.89</v>
      </c>
      <c r="Z1365" s="246"/>
      <c r="AA1365" s="282"/>
      <c r="AB1365" s="281">
        <v>4.0199999999999996</v>
      </c>
      <c r="AC1365" s="246"/>
      <c r="AD1365" s="282"/>
      <c r="AE1365" s="281">
        <v>4.0199999999999996</v>
      </c>
      <c r="AF1365" s="246"/>
      <c r="AG1365" s="282"/>
      <c r="AH1365" s="281">
        <v>3.89</v>
      </c>
      <c r="AI1365" s="246"/>
      <c r="AJ1365" s="282"/>
      <c r="AK1365" s="281">
        <v>4.0199999999999996</v>
      </c>
      <c r="AL1365" s="246"/>
      <c r="AM1365" s="282"/>
      <c r="AN1365" s="281">
        <v>3.89</v>
      </c>
      <c r="AO1365" s="246"/>
      <c r="AP1365" s="282"/>
      <c r="AQ1365" s="281">
        <v>4.0199999999999996</v>
      </c>
      <c r="AR1365" s="246"/>
      <c r="AS1365" s="282"/>
      <c r="AT1365" s="244">
        <f t="shared" si="53"/>
        <v>47.459999999999994</v>
      </c>
      <c r="AU1365" s="244"/>
      <c r="AV1365" s="253"/>
      <c r="AW1365" s="285"/>
      <c r="AX1365" s="249"/>
      <c r="AY1365" s="438"/>
      <c r="AZ1365" s="357"/>
      <c r="BA1365" s="357"/>
      <c r="BB1365" s="357"/>
      <c r="BC1365" s="357"/>
    </row>
    <row r="1366" spans="1:55" s="24" customFormat="1">
      <c r="A1366" s="179"/>
      <c r="B1366" s="179"/>
      <c r="C1366" s="179"/>
      <c r="D1366" s="181"/>
      <c r="E1366" s="181"/>
      <c r="F1366" s="181"/>
      <c r="G1366" s="1110"/>
      <c r="H1366" s="122" t="s">
        <v>1808</v>
      </c>
      <c r="I1366" s="516"/>
      <c r="J1366" s="281">
        <v>4.0199999999999996</v>
      </c>
      <c r="K1366" s="246"/>
      <c r="L1366" s="282"/>
      <c r="M1366" s="281">
        <v>3.76</v>
      </c>
      <c r="N1366" s="246"/>
      <c r="O1366" s="282"/>
      <c r="P1366" s="281">
        <v>4.0199999999999996</v>
      </c>
      <c r="Q1366" s="246"/>
      <c r="R1366" s="282"/>
      <c r="S1366" s="281">
        <v>3.89</v>
      </c>
      <c r="T1366" s="246"/>
      <c r="U1366" s="282"/>
      <c r="V1366" s="281">
        <v>4.0199999999999996</v>
      </c>
      <c r="W1366" s="246"/>
      <c r="X1366" s="282"/>
      <c r="Y1366" s="281">
        <v>3.89</v>
      </c>
      <c r="Z1366" s="246"/>
      <c r="AA1366" s="282"/>
      <c r="AB1366" s="281">
        <v>4.0199999999999996</v>
      </c>
      <c r="AC1366" s="246"/>
      <c r="AD1366" s="282"/>
      <c r="AE1366" s="281">
        <v>4.0199999999999996</v>
      </c>
      <c r="AF1366" s="246"/>
      <c r="AG1366" s="282"/>
      <c r="AH1366" s="281">
        <v>3.89</v>
      </c>
      <c r="AI1366" s="246"/>
      <c r="AJ1366" s="282"/>
      <c r="AK1366" s="281">
        <v>4.0199999999999996</v>
      </c>
      <c r="AL1366" s="246"/>
      <c r="AM1366" s="282"/>
      <c r="AN1366" s="281">
        <v>3.89</v>
      </c>
      <c r="AO1366" s="246"/>
      <c r="AP1366" s="282"/>
      <c r="AQ1366" s="281">
        <v>4.0199999999999996</v>
      </c>
      <c r="AR1366" s="246"/>
      <c r="AS1366" s="282"/>
      <c r="AT1366" s="244">
        <f t="shared" si="53"/>
        <v>47.459999999999994</v>
      </c>
      <c r="AU1366" s="244"/>
      <c r="AV1366" s="253"/>
      <c r="AW1366" s="285"/>
      <c r="AX1366" s="249"/>
      <c r="AY1366" s="438"/>
      <c r="AZ1366" s="357"/>
      <c r="BA1366" s="357"/>
      <c r="BB1366" s="357"/>
      <c r="BC1366" s="357"/>
    </row>
    <row r="1367" spans="1:55" s="24" customFormat="1">
      <c r="A1367" s="179"/>
      <c r="B1367" s="179"/>
      <c r="C1367" s="179"/>
      <c r="D1367" s="181"/>
      <c r="E1367" s="181"/>
      <c r="F1367" s="181"/>
      <c r="G1367" s="1110"/>
      <c r="H1367" s="122" t="s">
        <v>1809</v>
      </c>
      <c r="I1367" s="516"/>
      <c r="J1367" s="281">
        <v>4.0199999999999996</v>
      </c>
      <c r="K1367" s="246"/>
      <c r="L1367" s="282"/>
      <c r="M1367" s="281">
        <v>3.76</v>
      </c>
      <c r="N1367" s="246"/>
      <c r="O1367" s="282"/>
      <c r="P1367" s="281">
        <v>4.0199999999999996</v>
      </c>
      <c r="Q1367" s="246"/>
      <c r="R1367" s="282"/>
      <c r="S1367" s="281">
        <v>3.89</v>
      </c>
      <c r="T1367" s="246"/>
      <c r="U1367" s="282"/>
      <c r="V1367" s="281">
        <v>4.0199999999999996</v>
      </c>
      <c r="W1367" s="246"/>
      <c r="X1367" s="282"/>
      <c r="Y1367" s="281">
        <v>3.89</v>
      </c>
      <c r="Z1367" s="246"/>
      <c r="AA1367" s="282"/>
      <c r="AB1367" s="281">
        <v>4.0199999999999996</v>
      </c>
      <c r="AC1367" s="246"/>
      <c r="AD1367" s="282"/>
      <c r="AE1367" s="281">
        <v>4.0199999999999996</v>
      </c>
      <c r="AF1367" s="246"/>
      <c r="AG1367" s="282"/>
      <c r="AH1367" s="281">
        <v>3.89</v>
      </c>
      <c r="AI1367" s="246"/>
      <c r="AJ1367" s="282"/>
      <c r="AK1367" s="281">
        <v>4.0199999999999996</v>
      </c>
      <c r="AL1367" s="246"/>
      <c r="AM1367" s="282"/>
      <c r="AN1367" s="281">
        <v>3.89</v>
      </c>
      <c r="AO1367" s="246"/>
      <c r="AP1367" s="282"/>
      <c r="AQ1367" s="281">
        <v>4.0199999999999996</v>
      </c>
      <c r="AR1367" s="246"/>
      <c r="AS1367" s="282"/>
      <c r="AT1367" s="244">
        <f t="shared" si="53"/>
        <v>47.459999999999994</v>
      </c>
      <c r="AU1367" s="244"/>
      <c r="AV1367" s="253"/>
      <c r="AW1367" s="285"/>
      <c r="AX1367" s="249"/>
      <c r="AY1367" s="438"/>
      <c r="AZ1367" s="357"/>
      <c r="BA1367" s="357"/>
      <c r="BB1367" s="357"/>
      <c r="BC1367" s="357"/>
    </row>
    <row r="1368" spans="1:55" s="24" customFormat="1">
      <c r="A1368" s="179"/>
      <c r="B1368" s="179"/>
      <c r="C1368" s="179"/>
      <c r="D1368" s="181"/>
      <c r="E1368" s="181"/>
      <c r="F1368" s="181"/>
      <c r="G1368" s="1110"/>
      <c r="H1368" s="122" t="s">
        <v>1810</v>
      </c>
      <c r="I1368" s="516"/>
      <c r="J1368" s="281">
        <v>4.0199999999999996</v>
      </c>
      <c r="K1368" s="246"/>
      <c r="L1368" s="282"/>
      <c r="M1368" s="281">
        <v>3.76</v>
      </c>
      <c r="N1368" s="246"/>
      <c r="O1368" s="282"/>
      <c r="P1368" s="281">
        <v>4.0199999999999996</v>
      </c>
      <c r="Q1368" s="246"/>
      <c r="R1368" s="282"/>
      <c r="S1368" s="281">
        <v>3.89</v>
      </c>
      <c r="T1368" s="246"/>
      <c r="U1368" s="282"/>
      <c r="V1368" s="281">
        <v>4.0199999999999996</v>
      </c>
      <c r="W1368" s="246"/>
      <c r="X1368" s="282"/>
      <c r="Y1368" s="281">
        <v>3.89</v>
      </c>
      <c r="Z1368" s="246"/>
      <c r="AA1368" s="282"/>
      <c r="AB1368" s="281">
        <v>4.0199999999999996</v>
      </c>
      <c r="AC1368" s="246"/>
      <c r="AD1368" s="282"/>
      <c r="AE1368" s="281">
        <v>4.0199999999999996</v>
      </c>
      <c r="AF1368" s="246"/>
      <c r="AG1368" s="282"/>
      <c r="AH1368" s="281">
        <v>3.89</v>
      </c>
      <c r="AI1368" s="246"/>
      <c r="AJ1368" s="282"/>
      <c r="AK1368" s="281">
        <v>4.0199999999999996</v>
      </c>
      <c r="AL1368" s="246"/>
      <c r="AM1368" s="282"/>
      <c r="AN1368" s="281">
        <v>3.89</v>
      </c>
      <c r="AO1368" s="246"/>
      <c r="AP1368" s="282"/>
      <c r="AQ1368" s="281">
        <v>4.0199999999999996</v>
      </c>
      <c r="AR1368" s="246"/>
      <c r="AS1368" s="282"/>
      <c r="AT1368" s="244">
        <f t="shared" si="53"/>
        <v>47.459999999999994</v>
      </c>
      <c r="AU1368" s="244"/>
      <c r="AV1368" s="253"/>
      <c r="AW1368" s="285"/>
      <c r="AX1368" s="249"/>
      <c r="AY1368" s="438"/>
      <c r="AZ1368" s="357"/>
      <c r="BA1368" s="357"/>
      <c r="BB1368" s="357"/>
      <c r="BC1368" s="357"/>
    </row>
    <row r="1369" spans="1:55" s="24" customFormat="1">
      <c r="A1369" s="179"/>
      <c r="B1369" s="179"/>
      <c r="C1369" s="179"/>
      <c r="D1369" s="181"/>
      <c r="E1369" s="181"/>
      <c r="F1369" s="181"/>
      <c r="G1369" s="1110"/>
      <c r="H1369" s="122" t="s">
        <v>1811</v>
      </c>
      <c r="I1369" s="516"/>
      <c r="J1369" s="281">
        <v>4.0199999999999996</v>
      </c>
      <c r="K1369" s="246"/>
      <c r="L1369" s="282"/>
      <c r="M1369" s="281">
        <v>3.76</v>
      </c>
      <c r="N1369" s="246"/>
      <c r="O1369" s="282"/>
      <c r="P1369" s="281">
        <v>4.0199999999999996</v>
      </c>
      <c r="Q1369" s="246"/>
      <c r="R1369" s="282"/>
      <c r="S1369" s="281">
        <v>3.89</v>
      </c>
      <c r="T1369" s="246"/>
      <c r="U1369" s="282"/>
      <c r="V1369" s="281">
        <v>4.0199999999999996</v>
      </c>
      <c r="W1369" s="246"/>
      <c r="X1369" s="282"/>
      <c r="Y1369" s="281">
        <v>3.89</v>
      </c>
      <c r="Z1369" s="246"/>
      <c r="AA1369" s="282"/>
      <c r="AB1369" s="281">
        <v>4.0199999999999996</v>
      </c>
      <c r="AC1369" s="246"/>
      <c r="AD1369" s="282"/>
      <c r="AE1369" s="281">
        <v>4.0199999999999996</v>
      </c>
      <c r="AF1369" s="246"/>
      <c r="AG1369" s="282"/>
      <c r="AH1369" s="281">
        <v>3.89</v>
      </c>
      <c r="AI1369" s="246"/>
      <c r="AJ1369" s="282"/>
      <c r="AK1369" s="281">
        <v>4.0199999999999996</v>
      </c>
      <c r="AL1369" s="246"/>
      <c r="AM1369" s="282"/>
      <c r="AN1369" s="281">
        <v>3.89</v>
      </c>
      <c r="AO1369" s="246"/>
      <c r="AP1369" s="282"/>
      <c r="AQ1369" s="281">
        <v>4.0199999999999996</v>
      </c>
      <c r="AR1369" s="246"/>
      <c r="AS1369" s="282"/>
      <c r="AT1369" s="244">
        <f t="shared" si="53"/>
        <v>47.459999999999994</v>
      </c>
      <c r="AU1369" s="244"/>
      <c r="AV1369" s="253"/>
      <c r="AW1369" s="285"/>
      <c r="AX1369" s="249"/>
      <c r="AY1369" s="438"/>
      <c r="AZ1369" s="357"/>
      <c r="BA1369" s="357"/>
      <c r="BB1369" s="357"/>
      <c r="BC1369" s="357"/>
    </row>
    <row r="1370" spans="1:55" s="24" customFormat="1">
      <c r="A1370" s="179"/>
      <c r="B1370" s="179"/>
      <c r="C1370" s="179"/>
      <c r="D1370" s="181"/>
      <c r="E1370" s="181"/>
      <c r="F1370" s="181"/>
      <c r="G1370" s="1110"/>
      <c r="H1370" s="122" t="s">
        <v>1812</v>
      </c>
      <c r="I1370" s="516"/>
      <c r="J1370" s="281">
        <v>4.0199999999999996</v>
      </c>
      <c r="K1370" s="246"/>
      <c r="L1370" s="282"/>
      <c r="M1370" s="281">
        <v>3.76</v>
      </c>
      <c r="N1370" s="246"/>
      <c r="O1370" s="282"/>
      <c r="P1370" s="281">
        <v>4.0199999999999996</v>
      </c>
      <c r="Q1370" s="246"/>
      <c r="R1370" s="282"/>
      <c r="S1370" s="281">
        <v>3.89</v>
      </c>
      <c r="T1370" s="246"/>
      <c r="U1370" s="282"/>
      <c r="V1370" s="281">
        <v>4.0199999999999996</v>
      </c>
      <c r="W1370" s="246"/>
      <c r="X1370" s="282"/>
      <c r="Y1370" s="281">
        <v>3.89</v>
      </c>
      <c r="Z1370" s="246"/>
      <c r="AA1370" s="282"/>
      <c r="AB1370" s="281">
        <v>4.0199999999999996</v>
      </c>
      <c r="AC1370" s="246"/>
      <c r="AD1370" s="282"/>
      <c r="AE1370" s="281">
        <v>4.0199999999999996</v>
      </c>
      <c r="AF1370" s="246"/>
      <c r="AG1370" s="282"/>
      <c r="AH1370" s="281">
        <v>3.89</v>
      </c>
      <c r="AI1370" s="246"/>
      <c r="AJ1370" s="282"/>
      <c r="AK1370" s="281">
        <v>4.0199999999999996</v>
      </c>
      <c r="AL1370" s="246"/>
      <c r="AM1370" s="282"/>
      <c r="AN1370" s="281">
        <v>3.89</v>
      </c>
      <c r="AO1370" s="246"/>
      <c r="AP1370" s="282"/>
      <c r="AQ1370" s="281">
        <v>4.0199999999999996</v>
      </c>
      <c r="AR1370" s="246"/>
      <c r="AS1370" s="282"/>
      <c r="AT1370" s="244">
        <f t="shared" si="53"/>
        <v>47.459999999999994</v>
      </c>
      <c r="AU1370" s="244"/>
      <c r="AV1370" s="253"/>
      <c r="AW1370" s="285"/>
      <c r="AX1370" s="249"/>
      <c r="AY1370" s="438"/>
      <c r="AZ1370" s="357"/>
      <c r="BA1370" s="357"/>
      <c r="BB1370" s="357"/>
      <c r="BC1370" s="357"/>
    </row>
    <row r="1371" spans="1:55" s="24" customFormat="1">
      <c r="A1371" s="179"/>
      <c r="B1371" s="179"/>
      <c r="C1371" s="179"/>
      <c r="D1371" s="181"/>
      <c r="E1371" s="181"/>
      <c r="F1371" s="181"/>
      <c r="G1371" s="1211">
        <v>777797</v>
      </c>
      <c r="H1371" s="141" t="s">
        <v>1815</v>
      </c>
      <c r="I1371" s="516" t="s">
        <v>364</v>
      </c>
      <c r="J1371" s="262">
        <f>SUM(J1372:J1378)</f>
        <v>4.6920000000000002</v>
      </c>
      <c r="K1371" s="521"/>
      <c r="L1371" s="522"/>
      <c r="M1371" s="262">
        <f>SUM(M1372:M1378)</f>
        <v>6.9409999999999998</v>
      </c>
      <c r="N1371" s="521"/>
      <c r="O1371" s="522"/>
      <c r="P1371" s="262">
        <f>SUM(P1372:P1378)</f>
        <v>10.233999999999998</v>
      </c>
      <c r="Q1371" s="521"/>
      <c r="R1371" s="522"/>
      <c r="S1371" s="262">
        <f>SUM(S1372:S1378)</f>
        <v>13.335000000000001</v>
      </c>
      <c r="T1371" s="521"/>
      <c r="U1371" s="522"/>
      <c r="V1371" s="262">
        <f>SUM(V1372:V1378)</f>
        <v>15.526000000000002</v>
      </c>
      <c r="W1371" s="521"/>
      <c r="X1371" s="522"/>
      <c r="Y1371" s="262">
        <f>SUM(Y1372:Y1378)</f>
        <v>14.438999999999998</v>
      </c>
      <c r="Z1371" s="521"/>
      <c r="AA1371" s="522"/>
      <c r="AB1371" s="262">
        <f>SUM(AB1372:AB1378)</f>
        <v>14.532</v>
      </c>
      <c r="AC1371" s="521"/>
      <c r="AD1371" s="522"/>
      <c r="AE1371" s="262">
        <f>SUM(AE1372:AE1378)</f>
        <v>16.113</v>
      </c>
      <c r="AF1371" s="521"/>
      <c r="AG1371" s="522"/>
      <c r="AH1371" s="262">
        <f>SUM(AH1372:AH1378)</f>
        <v>12.656999999999998</v>
      </c>
      <c r="AI1371" s="521"/>
      <c r="AJ1371" s="522"/>
      <c r="AK1371" s="262">
        <f>SUM(AK1372:AK1378)</f>
        <v>10.224</v>
      </c>
      <c r="AL1371" s="521"/>
      <c r="AM1371" s="522"/>
      <c r="AN1371" s="262">
        <f>SUM(AN1372:AN1378)</f>
        <v>5.1539999999999999</v>
      </c>
      <c r="AO1371" s="521"/>
      <c r="AP1371" s="522"/>
      <c r="AQ1371" s="262">
        <f>SUM(AQ1372:AQ1378)</f>
        <v>3.5510000000000006</v>
      </c>
      <c r="AR1371" s="246"/>
      <c r="AS1371" s="282"/>
      <c r="AT1371" s="262">
        <f>SUM(AT1372:AT1378)</f>
        <v>127.398</v>
      </c>
      <c r="AU1371" s="244"/>
      <c r="AV1371" s="253"/>
      <c r="AW1371" s="285"/>
      <c r="AX1371" s="249"/>
      <c r="AY1371" s="438"/>
      <c r="AZ1371" s="357"/>
      <c r="BA1371" s="357"/>
      <c r="BB1371" s="357"/>
      <c r="BC1371" s="357"/>
    </row>
    <row r="1372" spans="1:55" s="24" customFormat="1">
      <c r="A1372" s="179"/>
      <c r="B1372" s="179"/>
      <c r="C1372" s="179"/>
      <c r="D1372" s="181"/>
      <c r="E1372" s="181"/>
      <c r="F1372" s="181"/>
      <c r="G1372" s="1110"/>
      <c r="H1372" s="127" t="s">
        <v>1816</v>
      </c>
      <c r="I1372" s="516"/>
      <c r="J1372" s="281">
        <v>0.69</v>
      </c>
      <c r="K1372" s="246"/>
      <c r="L1372" s="282"/>
      <c r="M1372" s="281">
        <v>1.0209999999999999</v>
      </c>
      <c r="N1372" s="246"/>
      <c r="O1372" s="282"/>
      <c r="P1372" s="281">
        <v>1.5049999999999999</v>
      </c>
      <c r="Q1372" s="246"/>
      <c r="R1372" s="282"/>
      <c r="S1372" s="281">
        <v>1.667</v>
      </c>
      <c r="T1372" s="246"/>
      <c r="U1372" s="282"/>
      <c r="V1372" s="281">
        <v>1.9410000000000001</v>
      </c>
      <c r="W1372" s="246"/>
      <c r="X1372" s="282"/>
      <c r="Y1372" s="281">
        <v>1.806</v>
      </c>
      <c r="Z1372" s="246"/>
      <c r="AA1372" s="282"/>
      <c r="AB1372" s="281">
        <v>1.819</v>
      </c>
      <c r="AC1372" s="246"/>
      <c r="AD1372" s="282"/>
      <c r="AE1372" s="281">
        <v>2.0059999999999998</v>
      </c>
      <c r="AF1372" s="246"/>
      <c r="AG1372" s="282"/>
      <c r="AH1372" s="281">
        <v>1.577</v>
      </c>
      <c r="AI1372" s="246"/>
      <c r="AJ1372" s="282"/>
      <c r="AK1372" s="281">
        <v>1.274</v>
      </c>
      <c r="AL1372" s="246"/>
      <c r="AM1372" s="282"/>
      <c r="AN1372" s="281">
        <v>0.64200000000000002</v>
      </c>
      <c r="AO1372" s="246"/>
      <c r="AP1372" s="282"/>
      <c r="AQ1372" s="281">
        <v>0.443</v>
      </c>
      <c r="AR1372" s="246"/>
      <c r="AS1372" s="282"/>
      <c r="AT1372" s="244">
        <f t="shared" si="53"/>
        <v>16.390999999999998</v>
      </c>
      <c r="AU1372" s="244"/>
      <c r="AV1372" s="253"/>
      <c r="AW1372" s="285"/>
      <c r="AX1372" s="249"/>
      <c r="AY1372" s="438"/>
      <c r="AZ1372" s="357"/>
      <c r="BA1372" s="357"/>
      <c r="BB1372" s="357"/>
      <c r="BC1372" s="357"/>
    </row>
    <row r="1373" spans="1:55" s="24" customFormat="1">
      <c r="A1373" s="179"/>
      <c r="B1373" s="179"/>
      <c r="C1373" s="179"/>
      <c r="D1373" s="181"/>
      <c r="E1373" s="181"/>
      <c r="F1373" s="181"/>
      <c r="G1373" s="1110"/>
      <c r="H1373" s="127" t="s">
        <v>1817</v>
      </c>
      <c r="I1373" s="516"/>
      <c r="J1373" s="281">
        <v>0.69</v>
      </c>
      <c r="K1373" s="246"/>
      <c r="L1373" s="282"/>
      <c r="M1373" s="281">
        <v>1.0209999999999999</v>
      </c>
      <c r="N1373" s="246"/>
      <c r="O1373" s="282"/>
      <c r="P1373" s="281">
        <v>1.5049999999999999</v>
      </c>
      <c r="Q1373" s="246"/>
      <c r="R1373" s="282"/>
      <c r="S1373" s="281">
        <v>1.667</v>
      </c>
      <c r="T1373" s="246"/>
      <c r="U1373" s="282"/>
      <c r="V1373" s="281">
        <v>1.9410000000000001</v>
      </c>
      <c r="W1373" s="246"/>
      <c r="X1373" s="282"/>
      <c r="Y1373" s="281">
        <v>1.806</v>
      </c>
      <c r="Z1373" s="246"/>
      <c r="AA1373" s="282"/>
      <c r="AB1373" s="281">
        <v>1.8080000000000001</v>
      </c>
      <c r="AC1373" s="246"/>
      <c r="AD1373" s="282"/>
      <c r="AE1373" s="281">
        <v>2.0059999999999998</v>
      </c>
      <c r="AF1373" s="246"/>
      <c r="AG1373" s="282"/>
      <c r="AH1373" s="281">
        <v>1.577</v>
      </c>
      <c r="AI1373" s="246"/>
      <c r="AJ1373" s="282"/>
      <c r="AK1373" s="281">
        <v>1.274</v>
      </c>
      <c r="AL1373" s="246"/>
      <c r="AM1373" s="282"/>
      <c r="AN1373" s="281">
        <v>0.64200000000000002</v>
      </c>
      <c r="AO1373" s="246"/>
      <c r="AP1373" s="282"/>
      <c r="AQ1373" s="281">
        <v>0.443</v>
      </c>
      <c r="AR1373" s="246"/>
      <c r="AS1373" s="282"/>
      <c r="AT1373" s="244">
        <f t="shared" si="53"/>
        <v>16.38</v>
      </c>
      <c r="AU1373" s="244"/>
      <c r="AV1373" s="253"/>
      <c r="AW1373" s="285"/>
      <c r="AX1373" s="249"/>
      <c r="AY1373" s="438"/>
      <c r="AZ1373" s="357"/>
      <c r="BA1373" s="357"/>
      <c r="BB1373" s="357"/>
      <c r="BC1373" s="357"/>
    </row>
    <row r="1374" spans="1:55" s="24" customFormat="1">
      <c r="A1374" s="179"/>
      <c r="B1374" s="179"/>
      <c r="C1374" s="179"/>
      <c r="D1374" s="181"/>
      <c r="E1374" s="181"/>
      <c r="F1374" s="181"/>
      <c r="G1374" s="1110"/>
      <c r="H1374" s="1154" t="s">
        <v>1818</v>
      </c>
      <c r="I1374" s="516"/>
      <c r="J1374" s="281">
        <v>1.38</v>
      </c>
      <c r="K1374" s="246"/>
      <c r="L1374" s="282"/>
      <c r="M1374" s="281">
        <v>2.0409999999999999</v>
      </c>
      <c r="N1374" s="246"/>
      <c r="O1374" s="282"/>
      <c r="P1374" s="281">
        <v>3.01</v>
      </c>
      <c r="Q1374" s="246"/>
      <c r="R1374" s="282"/>
      <c r="S1374" s="281">
        <v>3.3340000000000001</v>
      </c>
      <c r="T1374" s="246"/>
      <c r="U1374" s="282"/>
      <c r="V1374" s="281">
        <v>3.8809999999999998</v>
      </c>
      <c r="W1374" s="246"/>
      <c r="X1374" s="282"/>
      <c r="Y1374" s="281">
        <v>3.613</v>
      </c>
      <c r="Z1374" s="246"/>
      <c r="AA1374" s="282"/>
      <c r="AB1374" s="281">
        <v>3.6389999999999998</v>
      </c>
      <c r="AC1374" s="246"/>
      <c r="AD1374" s="282"/>
      <c r="AE1374" s="281">
        <v>4.0380000000000003</v>
      </c>
      <c r="AF1374" s="246"/>
      <c r="AG1374" s="282"/>
      <c r="AH1374" s="281">
        <v>3.1739999999999999</v>
      </c>
      <c r="AI1374" s="246"/>
      <c r="AJ1374" s="282"/>
      <c r="AK1374" s="281">
        <v>2.5640000000000001</v>
      </c>
      <c r="AL1374" s="246"/>
      <c r="AM1374" s="282"/>
      <c r="AN1374" s="281">
        <v>1.2929999999999999</v>
      </c>
      <c r="AO1374" s="246"/>
      <c r="AP1374" s="282"/>
      <c r="AQ1374" s="281">
        <v>0.88700000000000001</v>
      </c>
      <c r="AR1374" s="246"/>
      <c r="AS1374" s="282"/>
      <c r="AT1374" s="244">
        <f t="shared" si="53"/>
        <v>32.853999999999999</v>
      </c>
      <c r="AU1374" s="244"/>
      <c r="AV1374" s="253"/>
      <c r="AW1374" s="285"/>
      <c r="AX1374" s="249"/>
      <c r="AY1374" s="438"/>
      <c r="AZ1374" s="357"/>
      <c r="BA1374" s="357"/>
      <c r="BB1374" s="357"/>
      <c r="BC1374" s="357"/>
    </row>
    <row r="1375" spans="1:55" s="24" customFormat="1">
      <c r="A1375" s="179"/>
      <c r="B1375" s="179"/>
      <c r="C1375" s="179"/>
      <c r="D1375" s="181"/>
      <c r="E1375" s="181"/>
      <c r="F1375" s="181"/>
      <c r="G1375" s="1110"/>
      <c r="H1375" s="1154" t="s">
        <v>1819</v>
      </c>
      <c r="I1375" s="516"/>
      <c r="J1375" s="281">
        <v>0.69</v>
      </c>
      <c r="K1375" s="246"/>
      <c r="L1375" s="282"/>
      <c r="M1375" s="281">
        <v>1.0209999999999999</v>
      </c>
      <c r="N1375" s="246"/>
      <c r="O1375" s="282"/>
      <c r="P1375" s="281">
        <v>1.5049999999999999</v>
      </c>
      <c r="Q1375" s="246"/>
      <c r="R1375" s="282"/>
      <c r="S1375" s="281">
        <v>1.667</v>
      </c>
      <c r="T1375" s="246"/>
      <c r="U1375" s="282"/>
      <c r="V1375" s="281">
        <v>1.9410000000000001</v>
      </c>
      <c r="W1375" s="246"/>
      <c r="X1375" s="282"/>
      <c r="Y1375" s="281">
        <v>1.806</v>
      </c>
      <c r="Z1375" s="246"/>
      <c r="AA1375" s="282"/>
      <c r="AB1375" s="281">
        <v>1.819</v>
      </c>
      <c r="AC1375" s="246"/>
      <c r="AD1375" s="282"/>
      <c r="AE1375" s="281">
        <v>2.0190000000000001</v>
      </c>
      <c r="AF1375" s="246"/>
      <c r="AG1375" s="282"/>
      <c r="AH1375" s="281">
        <v>1.577</v>
      </c>
      <c r="AI1375" s="246"/>
      <c r="AJ1375" s="282"/>
      <c r="AK1375" s="281">
        <v>1.274</v>
      </c>
      <c r="AL1375" s="246"/>
      <c r="AM1375" s="282"/>
      <c r="AN1375" s="281">
        <v>0.64200000000000002</v>
      </c>
      <c r="AO1375" s="246"/>
      <c r="AP1375" s="282"/>
      <c r="AQ1375" s="281">
        <v>0.443</v>
      </c>
      <c r="AR1375" s="246"/>
      <c r="AS1375" s="282"/>
      <c r="AT1375" s="244">
        <f t="shared" si="53"/>
        <v>16.404</v>
      </c>
      <c r="AU1375" s="244"/>
      <c r="AV1375" s="253"/>
      <c r="AW1375" s="285"/>
      <c r="AX1375" s="249"/>
      <c r="AY1375" s="438"/>
      <c r="AZ1375" s="357"/>
      <c r="BA1375" s="357"/>
      <c r="BB1375" s="357"/>
      <c r="BC1375" s="357"/>
    </row>
    <row r="1376" spans="1:55" s="24" customFormat="1">
      <c r="A1376" s="179"/>
      <c r="B1376" s="179"/>
      <c r="C1376" s="179"/>
      <c r="D1376" s="181"/>
      <c r="E1376" s="181"/>
      <c r="F1376" s="181"/>
      <c r="G1376" s="1110"/>
      <c r="H1376" s="127" t="s">
        <v>1820</v>
      </c>
      <c r="I1376" s="516"/>
      <c r="J1376" s="281">
        <v>0.55200000000000005</v>
      </c>
      <c r="K1376" s="246"/>
      <c r="L1376" s="282"/>
      <c r="M1376" s="281">
        <v>0.81599999999999995</v>
      </c>
      <c r="N1376" s="246"/>
      <c r="O1376" s="282"/>
      <c r="P1376" s="281">
        <v>1.204</v>
      </c>
      <c r="Q1376" s="246"/>
      <c r="R1376" s="282"/>
      <c r="S1376" s="281">
        <v>1.333</v>
      </c>
      <c r="T1376" s="246"/>
      <c r="U1376" s="282"/>
      <c r="V1376" s="281">
        <v>1.552</v>
      </c>
      <c r="W1376" s="246"/>
      <c r="X1376" s="282"/>
      <c r="Y1376" s="281">
        <v>1.4450000000000001</v>
      </c>
      <c r="Z1376" s="246"/>
      <c r="AA1376" s="282"/>
      <c r="AB1376" s="281">
        <v>1.456</v>
      </c>
      <c r="AC1376" s="246"/>
      <c r="AD1376" s="282"/>
      <c r="AE1376" s="281">
        <v>1.615</v>
      </c>
      <c r="AF1376" s="246"/>
      <c r="AG1376" s="282"/>
      <c r="AH1376" s="281">
        <v>1.27</v>
      </c>
      <c r="AI1376" s="246"/>
      <c r="AJ1376" s="282"/>
      <c r="AK1376" s="281">
        <v>1.026</v>
      </c>
      <c r="AL1376" s="246"/>
      <c r="AM1376" s="282"/>
      <c r="AN1376" s="281">
        <v>0.51700000000000002</v>
      </c>
      <c r="AO1376" s="246"/>
      <c r="AP1376" s="282"/>
      <c r="AQ1376" s="281">
        <v>0.35699999999999998</v>
      </c>
      <c r="AR1376" s="246"/>
      <c r="AS1376" s="282"/>
      <c r="AT1376" s="244">
        <f t="shared" si="53"/>
        <v>13.142999999999999</v>
      </c>
      <c r="AU1376" s="244"/>
      <c r="AV1376" s="253"/>
      <c r="AW1376" s="285"/>
      <c r="AX1376" s="249"/>
      <c r="AY1376" s="438"/>
      <c r="AZ1376" s="357"/>
      <c r="BA1376" s="357"/>
      <c r="BB1376" s="357"/>
      <c r="BC1376" s="357"/>
    </row>
    <row r="1377" spans="1:55" s="24" customFormat="1">
      <c r="A1377" s="179"/>
      <c r="B1377" s="179"/>
      <c r="C1377" s="179"/>
      <c r="D1377" s="181"/>
      <c r="E1377" s="181"/>
      <c r="F1377" s="181"/>
      <c r="G1377" s="1110"/>
      <c r="H1377" s="127" t="s">
        <v>1821</v>
      </c>
      <c r="I1377" s="516"/>
      <c r="J1377" s="281">
        <v>0</v>
      </c>
      <c r="K1377" s="246"/>
      <c r="L1377" s="282"/>
      <c r="M1377" s="281">
        <v>0</v>
      </c>
      <c r="N1377" s="246"/>
      <c r="O1377" s="282"/>
      <c r="P1377" s="281">
        <v>0</v>
      </c>
      <c r="Q1377" s="246"/>
      <c r="R1377" s="282"/>
      <c r="S1377" s="281">
        <v>2</v>
      </c>
      <c r="T1377" s="246"/>
      <c r="U1377" s="282"/>
      <c r="V1377" s="281">
        <v>2.3290000000000002</v>
      </c>
      <c r="W1377" s="246"/>
      <c r="X1377" s="282"/>
      <c r="Y1377" s="281">
        <v>2.1680000000000001</v>
      </c>
      <c r="Z1377" s="246"/>
      <c r="AA1377" s="282"/>
      <c r="AB1377" s="281">
        <v>2.1829999999999998</v>
      </c>
      <c r="AC1377" s="246"/>
      <c r="AD1377" s="282"/>
      <c r="AE1377" s="281">
        <v>2.423</v>
      </c>
      <c r="AF1377" s="246"/>
      <c r="AG1377" s="282"/>
      <c r="AH1377" s="281">
        <v>1.905</v>
      </c>
      <c r="AI1377" s="246"/>
      <c r="AJ1377" s="282"/>
      <c r="AK1377" s="281">
        <v>1.538</v>
      </c>
      <c r="AL1377" s="246"/>
      <c r="AM1377" s="282"/>
      <c r="AN1377" s="281">
        <v>0.77600000000000002</v>
      </c>
      <c r="AO1377" s="246"/>
      <c r="AP1377" s="282"/>
      <c r="AQ1377" s="281">
        <v>0.53500000000000003</v>
      </c>
      <c r="AR1377" s="246"/>
      <c r="AS1377" s="282"/>
      <c r="AT1377" s="244">
        <f t="shared" si="53"/>
        <v>15.856999999999999</v>
      </c>
      <c r="AU1377" s="244"/>
      <c r="AV1377" s="253"/>
      <c r="AW1377" s="285"/>
      <c r="AX1377" s="249"/>
      <c r="AY1377" s="438"/>
      <c r="AZ1377" s="357"/>
      <c r="BA1377" s="357"/>
      <c r="BB1377" s="357"/>
      <c r="BC1377" s="357"/>
    </row>
    <row r="1378" spans="1:55" s="24" customFormat="1">
      <c r="A1378" s="179"/>
      <c r="B1378" s="179"/>
      <c r="C1378" s="179"/>
      <c r="D1378" s="181"/>
      <c r="E1378" s="181"/>
      <c r="F1378" s="181"/>
      <c r="G1378" s="1110"/>
      <c r="H1378" s="1154" t="s">
        <v>1822</v>
      </c>
      <c r="I1378" s="516"/>
      <c r="J1378" s="281">
        <v>0.69</v>
      </c>
      <c r="K1378" s="246"/>
      <c r="L1378" s="282"/>
      <c r="M1378" s="281">
        <v>1.0209999999999999</v>
      </c>
      <c r="N1378" s="246"/>
      <c r="O1378" s="282"/>
      <c r="P1378" s="281">
        <v>1.5049999999999999</v>
      </c>
      <c r="Q1378" s="246"/>
      <c r="R1378" s="282"/>
      <c r="S1378" s="281">
        <v>1.667</v>
      </c>
      <c r="T1378" s="246"/>
      <c r="U1378" s="282"/>
      <c r="V1378" s="281">
        <v>1.9410000000000001</v>
      </c>
      <c r="W1378" s="246"/>
      <c r="X1378" s="282"/>
      <c r="Y1378" s="281">
        <v>1.7949999999999999</v>
      </c>
      <c r="Z1378" s="246"/>
      <c r="AA1378" s="282"/>
      <c r="AB1378" s="281">
        <v>1.8080000000000001</v>
      </c>
      <c r="AC1378" s="246"/>
      <c r="AD1378" s="282"/>
      <c r="AE1378" s="281">
        <v>2.0059999999999998</v>
      </c>
      <c r="AF1378" s="246"/>
      <c r="AG1378" s="282"/>
      <c r="AH1378" s="281">
        <v>1.577</v>
      </c>
      <c r="AI1378" s="246"/>
      <c r="AJ1378" s="282"/>
      <c r="AK1378" s="281">
        <v>1.274</v>
      </c>
      <c r="AL1378" s="246"/>
      <c r="AM1378" s="282"/>
      <c r="AN1378" s="281">
        <v>0.64200000000000002</v>
      </c>
      <c r="AO1378" s="246"/>
      <c r="AP1378" s="282"/>
      <c r="AQ1378" s="281">
        <v>0.443</v>
      </c>
      <c r="AR1378" s="246"/>
      <c r="AS1378" s="282"/>
      <c r="AT1378" s="244">
        <f t="shared" si="53"/>
        <v>16.369</v>
      </c>
      <c r="AU1378" s="244"/>
      <c r="AV1378" s="253"/>
      <c r="AW1378" s="285"/>
      <c r="AX1378" s="249"/>
      <c r="AY1378" s="438"/>
      <c r="AZ1378" s="357"/>
      <c r="BA1378" s="357"/>
      <c r="BB1378" s="357"/>
      <c r="BC1378" s="357"/>
    </row>
    <row r="1379" spans="1:55" s="24" customFormat="1">
      <c r="A1379" s="179"/>
      <c r="B1379" s="179"/>
      <c r="C1379" s="179"/>
      <c r="D1379" s="181"/>
      <c r="E1379" s="181"/>
      <c r="F1379" s="181"/>
      <c r="G1379" s="1110"/>
      <c r="H1379" s="138" t="s">
        <v>174</v>
      </c>
      <c r="I1379" s="138"/>
      <c r="J1379" s="319">
        <f>SUM(J1380:J1382)</f>
        <v>15.52</v>
      </c>
      <c r="K1379" s="288"/>
      <c r="L1379" s="289"/>
      <c r="M1379" s="287">
        <f>SUM(M1380:M1382)</f>
        <v>13.5</v>
      </c>
      <c r="N1379" s="288"/>
      <c r="O1379" s="289"/>
      <c r="P1379" s="287">
        <f>SUM(P1380:P1382)</f>
        <v>13.28</v>
      </c>
      <c r="Q1379" s="288"/>
      <c r="R1379" s="289"/>
      <c r="S1379" s="287">
        <f>SUM(S1380:S1382)</f>
        <v>12.1</v>
      </c>
      <c r="T1379" s="288"/>
      <c r="U1379" s="289"/>
      <c r="V1379" s="287">
        <f>SUM(V1380:V1382)</f>
        <v>11.34</v>
      </c>
      <c r="W1379" s="288"/>
      <c r="X1379" s="289"/>
      <c r="Y1379" s="287">
        <f>SUM(Y1380:Y1382)</f>
        <v>10.69</v>
      </c>
      <c r="Z1379" s="288"/>
      <c r="AA1379" s="289"/>
      <c r="AB1379" s="287">
        <f>SUM(AB1380:AB1382)</f>
        <v>11.25</v>
      </c>
      <c r="AC1379" s="288"/>
      <c r="AD1379" s="289"/>
      <c r="AE1379" s="287">
        <f>SUM(AE1380:AE1382)</f>
        <v>14.56</v>
      </c>
      <c r="AF1379" s="288"/>
      <c r="AG1379" s="289"/>
      <c r="AH1379" s="287">
        <f>SUM(AH1380:AH1382)</f>
        <v>15.270000000000001</v>
      </c>
      <c r="AI1379" s="288"/>
      <c r="AJ1379" s="289"/>
      <c r="AK1379" s="287">
        <f>SUM(AK1380:AK1382)</f>
        <v>19.740000000000002</v>
      </c>
      <c r="AL1379" s="288"/>
      <c r="AM1379" s="289"/>
      <c r="AN1379" s="287">
        <f>SUM(AN1380:AN1382)</f>
        <v>20.05</v>
      </c>
      <c r="AO1379" s="288"/>
      <c r="AP1379" s="289"/>
      <c r="AQ1379" s="287">
        <f>SUM(AQ1380:AQ1382)</f>
        <v>17.36</v>
      </c>
      <c r="AR1379" s="288"/>
      <c r="AS1379" s="289"/>
      <c r="AT1379" s="287">
        <f>SUM(AT1380:AT1382)</f>
        <v>174.66</v>
      </c>
      <c r="AU1379" s="294"/>
      <c r="AV1379" s="404"/>
      <c r="AW1379" s="285"/>
      <c r="AX1379" s="295"/>
      <c r="AY1379" s="436">
        <v>128.72591499999999</v>
      </c>
      <c r="AZ1379" s="357"/>
      <c r="BA1379" s="357"/>
      <c r="BB1379" s="357"/>
      <c r="BC1379" s="357"/>
    </row>
    <row r="1380" spans="1:55" s="24" customFormat="1">
      <c r="A1380" s="179"/>
      <c r="B1380" s="179"/>
      <c r="C1380" s="179"/>
      <c r="D1380" s="181">
        <v>322640</v>
      </c>
      <c r="E1380" s="181"/>
      <c r="F1380" s="181"/>
      <c r="G1380" s="1110">
        <v>322640</v>
      </c>
      <c r="H1380" s="145" t="s">
        <v>473</v>
      </c>
      <c r="I1380" s="518" t="s">
        <v>365</v>
      </c>
      <c r="J1380" s="294">
        <v>11.52</v>
      </c>
      <c r="K1380" s="288"/>
      <c r="L1380" s="289"/>
      <c r="M1380" s="293">
        <v>9.6999999999999993</v>
      </c>
      <c r="N1380" s="288"/>
      <c r="O1380" s="289"/>
      <c r="P1380" s="293">
        <v>9.2799999999999994</v>
      </c>
      <c r="Q1380" s="288"/>
      <c r="R1380" s="289"/>
      <c r="S1380" s="293">
        <v>8.1</v>
      </c>
      <c r="T1380" s="288"/>
      <c r="U1380" s="289"/>
      <c r="V1380" s="293">
        <v>7.34</v>
      </c>
      <c r="W1380" s="288"/>
      <c r="X1380" s="289"/>
      <c r="Y1380" s="293">
        <v>6.79</v>
      </c>
      <c r="Z1380" s="288"/>
      <c r="AA1380" s="289"/>
      <c r="AB1380" s="293">
        <v>7.35</v>
      </c>
      <c r="AC1380" s="288"/>
      <c r="AD1380" s="289"/>
      <c r="AE1380" s="293">
        <v>7.16</v>
      </c>
      <c r="AF1380" s="288"/>
      <c r="AG1380" s="289"/>
      <c r="AH1380" s="293">
        <v>6.97</v>
      </c>
      <c r="AI1380" s="288"/>
      <c r="AJ1380" s="289"/>
      <c r="AK1380" s="293">
        <v>11.14</v>
      </c>
      <c r="AL1380" s="288"/>
      <c r="AM1380" s="289"/>
      <c r="AN1380" s="293">
        <v>11.64</v>
      </c>
      <c r="AO1380" s="288"/>
      <c r="AP1380" s="289"/>
      <c r="AQ1380" s="293">
        <v>11.07</v>
      </c>
      <c r="AR1380" s="288"/>
      <c r="AS1380" s="289"/>
      <c r="AT1380" s="294">
        <f>J1380+M1380+P1380+S1380+V1380+Y1380+AB1380+AE1380+AH1380+AK1380+AN1380+AQ1380</f>
        <v>108.06</v>
      </c>
      <c r="AU1380" s="288"/>
      <c r="AV1380" s="290"/>
      <c r="AW1380" s="285"/>
      <c r="AX1380" s="295"/>
      <c r="AY1380" s="313"/>
      <c r="AZ1380" s="357"/>
      <c r="BA1380" s="357"/>
      <c r="BB1380" s="357"/>
      <c r="BC1380" s="357"/>
    </row>
    <row r="1381" spans="1:55" s="24" customFormat="1">
      <c r="A1381" s="179"/>
      <c r="B1381" s="179"/>
      <c r="C1381" s="179"/>
      <c r="D1381" s="181">
        <v>322642</v>
      </c>
      <c r="E1381" s="181"/>
      <c r="F1381" s="181"/>
      <c r="G1381" s="1110">
        <v>322642</v>
      </c>
      <c r="H1381" s="145" t="s">
        <v>476</v>
      </c>
      <c r="I1381" s="518" t="s">
        <v>365</v>
      </c>
      <c r="J1381" s="293">
        <v>0</v>
      </c>
      <c r="K1381" s="288"/>
      <c r="L1381" s="289"/>
      <c r="M1381" s="294">
        <v>0</v>
      </c>
      <c r="N1381" s="288"/>
      <c r="O1381" s="289"/>
      <c r="P1381" s="294">
        <v>0</v>
      </c>
      <c r="Q1381" s="288"/>
      <c r="R1381" s="289"/>
      <c r="S1381" s="294">
        <v>0</v>
      </c>
      <c r="T1381" s="288"/>
      <c r="U1381" s="289"/>
      <c r="V1381" s="294">
        <v>0</v>
      </c>
      <c r="W1381" s="288"/>
      <c r="X1381" s="289"/>
      <c r="Y1381" s="294">
        <v>0</v>
      </c>
      <c r="Z1381" s="288"/>
      <c r="AA1381" s="289"/>
      <c r="AB1381" s="294">
        <v>0</v>
      </c>
      <c r="AC1381" s="288"/>
      <c r="AD1381" s="289"/>
      <c r="AE1381" s="294">
        <v>3.5</v>
      </c>
      <c r="AF1381" s="288"/>
      <c r="AG1381" s="289"/>
      <c r="AH1381" s="294">
        <v>4.4000000000000004</v>
      </c>
      <c r="AI1381" s="288"/>
      <c r="AJ1381" s="289"/>
      <c r="AK1381" s="294">
        <v>4.5999999999999996</v>
      </c>
      <c r="AL1381" s="288"/>
      <c r="AM1381" s="289"/>
      <c r="AN1381" s="294">
        <v>4.41</v>
      </c>
      <c r="AO1381" s="288"/>
      <c r="AP1381" s="289"/>
      <c r="AQ1381" s="294">
        <v>2.29</v>
      </c>
      <c r="AR1381" s="288"/>
      <c r="AS1381" s="289"/>
      <c r="AT1381" s="294">
        <f>J1381+M1381+P1381+S1381+V1381+Y1381+AB1381+AE1381+AH1381+AK1381+AN1381+AQ1381</f>
        <v>19.2</v>
      </c>
      <c r="AU1381" s="288"/>
      <c r="AV1381" s="290"/>
      <c r="AW1381" s="285"/>
      <c r="AX1381" s="295"/>
      <c r="AY1381" s="313"/>
      <c r="AZ1381" s="357"/>
      <c r="BA1381" s="357"/>
      <c r="BB1381" s="357"/>
      <c r="BC1381" s="357"/>
    </row>
    <row r="1382" spans="1:55" s="24" customFormat="1">
      <c r="A1382" s="179"/>
      <c r="B1382" s="179"/>
      <c r="C1382" s="179"/>
      <c r="D1382" s="181">
        <v>322659</v>
      </c>
      <c r="E1382" s="181"/>
      <c r="F1382" s="181"/>
      <c r="G1382" s="1121">
        <v>322659</v>
      </c>
      <c r="H1382" s="145" t="s">
        <v>477</v>
      </c>
      <c r="I1382" s="518" t="s">
        <v>365</v>
      </c>
      <c r="J1382" s="293">
        <v>4</v>
      </c>
      <c r="K1382" s="288"/>
      <c r="L1382" s="289"/>
      <c r="M1382" s="294">
        <v>3.8</v>
      </c>
      <c r="N1382" s="288"/>
      <c r="O1382" s="289"/>
      <c r="P1382" s="294">
        <v>4</v>
      </c>
      <c r="Q1382" s="288"/>
      <c r="R1382" s="289"/>
      <c r="S1382" s="294">
        <v>4</v>
      </c>
      <c r="T1382" s="288"/>
      <c r="U1382" s="289"/>
      <c r="V1382" s="294">
        <v>4</v>
      </c>
      <c r="W1382" s="288"/>
      <c r="X1382" s="289"/>
      <c r="Y1382" s="294">
        <v>3.9</v>
      </c>
      <c r="Z1382" s="288"/>
      <c r="AA1382" s="289"/>
      <c r="AB1382" s="294">
        <v>3.9</v>
      </c>
      <c r="AC1382" s="288"/>
      <c r="AD1382" s="289"/>
      <c r="AE1382" s="294">
        <v>3.9</v>
      </c>
      <c r="AF1382" s="288"/>
      <c r="AG1382" s="289"/>
      <c r="AH1382" s="294">
        <v>3.9</v>
      </c>
      <c r="AI1382" s="288"/>
      <c r="AJ1382" s="289"/>
      <c r="AK1382" s="294">
        <v>4</v>
      </c>
      <c r="AL1382" s="288"/>
      <c r="AM1382" s="289"/>
      <c r="AN1382" s="294">
        <v>4</v>
      </c>
      <c r="AO1382" s="288"/>
      <c r="AP1382" s="289"/>
      <c r="AQ1382" s="294">
        <v>4</v>
      </c>
      <c r="AR1382" s="288"/>
      <c r="AS1382" s="289"/>
      <c r="AT1382" s="294">
        <f>J1382+M1382+P1382+S1382+V1382+Y1382+AB1382+AE1382+AH1382+AK1382+AN1382+AQ1382</f>
        <v>47.4</v>
      </c>
      <c r="AU1382" s="288"/>
      <c r="AV1382" s="290"/>
      <c r="AW1382" s="285"/>
      <c r="AX1382" s="295"/>
      <c r="AY1382" s="313"/>
      <c r="AZ1382" s="357"/>
      <c r="BA1382" s="357"/>
      <c r="BB1382" s="357"/>
      <c r="BC1382" s="357"/>
    </row>
    <row r="1383" spans="1:55" s="24" customFormat="1" ht="18.75">
      <c r="A1383" s="179"/>
      <c r="B1383" s="179"/>
      <c r="C1383" s="179"/>
      <c r="D1383" s="181">
        <v>322800</v>
      </c>
      <c r="E1383" s="181"/>
      <c r="F1383" s="181"/>
      <c r="G1383" s="181">
        <v>322800</v>
      </c>
      <c r="H1383" s="474" t="s">
        <v>1633</v>
      </c>
      <c r="I1383" s="474"/>
      <c r="J1383" s="277">
        <f>SUM(J1384:J1385)</f>
        <v>43.362610009999997</v>
      </c>
      <c r="K1383" s="275">
        <f>L1383-J1383</f>
        <v>263.90058706283833</v>
      </c>
      <c r="L1383" s="276">
        <f>Потребление!D76</f>
        <v>307.2631970728383</v>
      </c>
      <c r="M1383" s="277">
        <f>SUM(M1384:M1385)</f>
        <v>44.251270030000001</v>
      </c>
      <c r="N1383" s="275">
        <f>O1383-M1383</f>
        <v>233.42315726058212</v>
      </c>
      <c r="O1383" s="276">
        <f>Потребление!E76</f>
        <v>277.67442729058212</v>
      </c>
      <c r="P1383" s="277">
        <f>SUM(P1384:P1385)</f>
        <v>46.394335660000003</v>
      </c>
      <c r="Q1383" s="275">
        <f>R1383-P1383</f>
        <v>222.65977495364356</v>
      </c>
      <c r="R1383" s="276">
        <f>Потребление!F76</f>
        <v>269.05411061364356</v>
      </c>
      <c r="S1383" s="277">
        <f>SUM(S1384:S1385)</f>
        <v>46.60109001</v>
      </c>
      <c r="T1383" s="275">
        <f>U1383-S1383</f>
        <v>192.15022496535661</v>
      </c>
      <c r="U1383" s="276">
        <f>Потребление!G76</f>
        <v>238.75131497535662</v>
      </c>
      <c r="V1383" s="277">
        <f>SUM(V1384:V1385)</f>
        <v>46.663006660000001</v>
      </c>
      <c r="W1383" s="275">
        <f>X1383-V1383</f>
        <v>165.06136678783611</v>
      </c>
      <c r="X1383" s="276">
        <f>Потребление!H76</f>
        <v>211.72437344783611</v>
      </c>
      <c r="Y1383" s="277">
        <f>SUM(Y1384:Y1385)</f>
        <v>45.595260019999998</v>
      </c>
      <c r="Z1383" s="275">
        <f>AA1383-Y1383</f>
        <v>174.64945818990549</v>
      </c>
      <c r="AA1383" s="276">
        <f>Потребление!I76</f>
        <v>220.2447182099055</v>
      </c>
      <c r="AB1383" s="277">
        <f>SUM(AB1384:AB1385)</f>
        <v>49.648270009999997</v>
      </c>
      <c r="AC1383" s="275">
        <f>AD1383-AB1383</f>
        <v>207.59203369227251</v>
      </c>
      <c r="AD1383" s="276">
        <f>Потребление!J76</f>
        <v>257.24030370227251</v>
      </c>
      <c r="AE1383" s="277">
        <f>SUM(AE1384:AE1385)</f>
        <v>43.673020059999999</v>
      </c>
      <c r="AF1383" s="275">
        <f>AG1383-AE1383</f>
        <v>180.9645545472419</v>
      </c>
      <c r="AG1383" s="276">
        <f>Потребление!K76</f>
        <v>224.6375746072419</v>
      </c>
      <c r="AH1383" s="277">
        <f>SUM(AH1384:AH1385)</f>
        <v>45.695219989999998</v>
      </c>
      <c r="AI1383" s="275">
        <f>AJ1383-AH1383</f>
        <v>160.85910032482479</v>
      </c>
      <c r="AJ1383" s="276">
        <f>Потребление!L76</f>
        <v>206.55432031482479</v>
      </c>
      <c r="AK1383" s="277">
        <f>SUM(AK1384:AK1385)</f>
        <v>50.691164020000002</v>
      </c>
      <c r="AL1383" s="275">
        <f>AM1383-AK1383</f>
        <v>189.73084976379738</v>
      </c>
      <c r="AM1383" s="276">
        <f>Потребление!M76</f>
        <v>240.42201378379738</v>
      </c>
      <c r="AN1383" s="277">
        <f>SUM(AN1384:AN1385)</f>
        <v>48.693616089999999</v>
      </c>
      <c r="AO1383" s="275">
        <f>AP1383-AN1383</f>
        <v>230.68490066725971</v>
      </c>
      <c r="AP1383" s="276">
        <f>Потребление!N76</f>
        <v>279.37851675725972</v>
      </c>
      <c r="AQ1383" s="277">
        <f>SUM(AQ1384:AQ1385)</f>
        <v>40.643479999999997</v>
      </c>
      <c r="AR1383" s="275">
        <f>AS1383-AQ1383</f>
        <v>256.41164922444131</v>
      </c>
      <c r="AS1383" s="276">
        <f>Потребление!O76</f>
        <v>297.05512922444132</v>
      </c>
      <c r="AT1383" s="277">
        <f>SUM(AT1384:AT1385)</f>
        <v>551.91234255999996</v>
      </c>
      <c r="AU1383" s="275">
        <f>AV1383-AT1383</f>
        <v>2478.0876574399999</v>
      </c>
      <c r="AV1383" s="278">
        <f>L1383+O1383+R1383+U1383+X1383+AA1383+AD1383+AG1383+AJ1383+AM1383+AP1383+AS1383</f>
        <v>3030</v>
      </c>
      <c r="AW1383" s="279"/>
      <c r="AX1383" s="1067">
        <v>2862.82035</v>
      </c>
      <c r="AY1383" s="298">
        <f>SUM(AY1384:AY1385)</f>
        <v>34.567264000000002</v>
      </c>
      <c r="AZ1383" s="357"/>
      <c r="BA1383" s="357"/>
      <c r="BB1383" s="357"/>
      <c r="BC1383" s="357"/>
    </row>
    <row r="1384" spans="1:55" s="24" customFormat="1">
      <c r="A1384" s="179"/>
      <c r="B1384" s="179"/>
      <c r="C1384" s="179"/>
      <c r="D1384" s="181"/>
      <c r="E1384" s="181"/>
      <c r="F1384" s="181"/>
      <c r="G1384" s="181"/>
      <c r="H1384" s="124" t="s">
        <v>56</v>
      </c>
      <c r="I1384" s="124"/>
      <c r="J1384" s="365">
        <f>J1386</f>
        <v>43</v>
      </c>
      <c r="K1384" s="363"/>
      <c r="L1384" s="364"/>
      <c r="M1384" s="365">
        <f>M1386</f>
        <v>44</v>
      </c>
      <c r="N1384" s="363"/>
      <c r="O1384" s="364"/>
      <c r="P1384" s="365">
        <f>P1386</f>
        <v>46</v>
      </c>
      <c r="Q1384" s="363"/>
      <c r="R1384" s="364"/>
      <c r="S1384" s="365">
        <f>S1386</f>
        <v>46</v>
      </c>
      <c r="T1384" s="363"/>
      <c r="U1384" s="364"/>
      <c r="V1384" s="365">
        <f>V1386</f>
        <v>46</v>
      </c>
      <c r="W1384" s="363"/>
      <c r="X1384" s="364"/>
      <c r="Y1384" s="365">
        <f>Y1386</f>
        <v>45</v>
      </c>
      <c r="Z1384" s="363"/>
      <c r="AA1384" s="364"/>
      <c r="AB1384" s="365">
        <f>AB1386</f>
        <v>49</v>
      </c>
      <c r="AC1384" s="363"/>
      <c r="AD1384" s="364"/>
      <c r="AE1384" s="365">
        <f>AE1386</f>
        <v>43</v>
      </c>
      <c r="AF1384" s="363"/>
      <c r="AG1384" s="364"/>
      <c r="AH1384" s="365">
        <f>AH1386</f>
        <v>45</v>
      </c>
      <c r="AI1384" s="363"/>
      <c r="AJ1384" s="364"/>
      <c r="AK1384" s="365">
        <f>AK1386</f>
        <v>50</v>
      </c>
      <c r="AL1384" s="363"/>
      <c r="AM1384" s="364"/>
      <c r="AN1384" s="365">
        <f>AN1386</f>
        <v>48</v>
      </c>
      <c r="AO1384" s="363"/>
      <c r="AP1384" s="364"/>
      <c r="AQ1384" s="365">
        <f>AQ1386</f>
        <v>40</v>
      </c>
      <c r="AR1384" s="363"/>
      <c r="AS1384" s="364"/>
      <c r="AT1384" s="365">
        <f>AT1386</f>
        <v>545</v>
      </c>
      <c r="AU1384" s="363"/>
      <c r="AV1384" s="229"/>
      <c r="AW1384" s="226"/>
      <c r="AX1384" s="366"/>
      <c r="AY1384" s="339">
        <f>AY1387</f>
        <v>26.753674</v>
      </c>
      <c r="AZ1384" s="357"/>
      <c r="BA1384" s="357"/>
      <c r="BB1384" s="357"/>
      <c r="BC1384" s="357"/>
    </row>
    <row r="1385" spans="1:55" s="24" customFormat="1">
      <c r="A1385" s="179"/>
      <c r="B1385" s="179"/>
      <c r="C1385" s="179"/>
      <c r="D1385" s="181"/>
      <c r="E1385" s="181"/>
      <c r="F1385" s="181"/>
      <c r="G1385" s="181"/>
      <c r="H1385" s="124" t="s">
        <v>55</v>
      </c>
      <c r="I1385" s="124"/>
      <c r="J1385" s="365">
        <f>J1389</f>
        <v>0.36261000999999998</v>
      </c>
      <c r="K1385" s="363"/>
      <c r="L1385" s="364"/>
      <c r="M1385" s="365">
        <f>M1389</f>
        <v>0.25127002999999998</v>
      </c>
      <c r="N1385" s="363"/>
      <c r="O1385" s="364"/>
      <c r="P1385" s="365">
        <f>P1389</f>
        <v>0.39433565999999998</v>
      </c>
      <c r="Q1385" s="363"/>
      <c r="R1385" s="364"/>
      <c r="S1385" s="365">
        <f>S1389</f>
        <v>0.60109000999999995</v>
      </c>
      <c r="T1385" s="363"/>
      <c r="U1385" s="364"/>
      <c r="V1385" s="365">
        <f>V1389</f>
        <v>0.66300665999999997</v>
      </c>
      <c r="W1385" s="363"/>
      <c r="X1385" s="364"/>
      <c r="Y1385" s="365">
        <f>Y1389</f>
        <v>0.59526002</v>
      </c>
      <c r="Z1385" s="363"/>
      <c r="AA1385" s="364"/>
      <c r="AB1385" s="365">
        <f>AB1389</f>
        <v>0.64827000999999995</v>
      </c>
      <c r="AC1385" s="363"/>
      <c r="AD1385" s="364"/>
      <c r="AE1385" s="365">
        <f>AE1389</f>
        <v>0.67302006000000003</v>
      </c>
      <c r="AF1385" s="363"/>
      <c r="AG1385" s="364"/>
      <c r="AH1385" s="365">
        <f>AH1389</f>
        <v>0.69521999000000001</v>
      </c>
      <c r="AI1385" s="363"/>
      <c r="AJ1385" s="364"/>
      <c r="AK1385" s="365">
        <f>AK1389</f>
        <v>0.69116401999999999</v>
      </c>
      <c r="AL1385" s="363"/>
      <c r="AM1385" s="364"/>
      <c r="AN1385" s="365">
        <f>AN1389</f>
        <v>0.69361609000000002</v>
      </c>
      <c r="AO1385" s="363"/>
      <c r="AP1385" s="364"/>
      <c r="AQ1385" s="365">
        <f>AQ1389</f>
        <v>0.64348000000000005</v>
      </c>
      <c r="AR1385" s="363"/>
      <c r="AS1385" s="364"/>
      <c r="AT1385" s="365">
        <f>AT1389</f>
        <v>6.9123425599999999</v>
      </c>
      <c r="AU1385" s="363"/>
      <c r="AV1385" s="229"/>
      <c r="AW1385" s="226"/>
      <c r="AX1385" s="366"/>
      <c r="AY1385" s="339">
        <f>AY1389</f>
        <v>7.8135899999999996</v>
      </c>
      <c r="AZ1385" s="357"/>
      <c r="BA1385" s="357"/>
      <c r="BB1385" s="357"/>
      <c r="BC1385" s="357"/>
    </row>
    <row r="1386" spans="1:55" s="24" customFormat="1">
      <c r="A1386" s="179"/>
      <c r="B1386" s="179"/>
      <c r="C1386" s="179"/>
      <c r="D1386" s="181"/>
      <c r="E1386" s="181"/>
      <c r="F1386" s="181"/>
      <c r="G1386" s="1110">
        <v>777163</v>
      </c>
      <c r="H1386" s="141" t="s">
        <v>1823</v>
      </c>
      <c r="I1386" s="516" t="s">
        <v>364</v>
      </c>
      <c r="J1386" s="262">
        <f>SUM(J1387:J1388)</f>
        <v>43</v>
      </c>
      <c r="K1386" s="521"/>
      <c r="L1386" s="522"/>
      <c r="M1386" s="262">
        <f>SUM(M1387:M1388)</f>
        <v>44</v>
      </c>
      <c r="N1386" s="521"/>
      <c r="O1386" s="522"/>
      <c r="P1386" s="262">
        <f>SUM(P1387:P1388)</f>
        <v>46</v>
      </c>
      <c r="Q1386" s="521"/>
      <c r="R1386" s="522"/>
      <c r="S1386" s="262">
        <f>SUM(S1387:S1388)</f>
        <v>46</v>
      </c>
      <c r="T1386" s="521"/>
      <c r="U1386" s="522"/>
      <c r="V1386" s="262">
        <f>SUM(V1387:V1388)</f>
        <v>46</v>
      </c>
      <c r="W1386" s="521"/>
      <c r="X1386" s="522"/>
      <c r="Y1386" s="262">
        <f>SUM(Y1387:Y1388)</f>
        <v>45</v>
      </c>
      <c r="Z1386" s="521"/>
      <c r="AA1386" s="522"/>
      <c r="AB1386" s="262">
        <f>SUM(AB1387:AB1388)</f>
        <v>49</v>
      </c>
      <c r="AC1386" s="521"/>
      <c r="AD1386" s="522"/>
      <c r="AE1386" s="262">
        <f>SUM(AE1387:AE1388)</f>
        <v>43</v>
      </c>
      <c r="AF1386" s="521"/>
      <c r="AG1386" s="522"/>
      <c r="AH1386" s="262">
        <f>SUM(AH1387:AH1388)</f>
        <v>45</v>
      </c>
      <c r="AI1386" s="521"/>
      <c r="AJ1386" s="522"/>
      <c r="AK1386" s="262">
        <f>SUM(AK1387:AK1388)</f>
        <v>50</v>
      </c>
      <c r="AL1386" s="521"/>
      <c r="AM1386" s="522"/>
      <c r="AN1386" s="262">
        <f>SUM(AN1387:AN1388)</f>
        <v>48</v>
      </c>
      <c r="AO1386" s="521"/>
      <c r="AP1386" s="522"/>
      <c r="AQ1386" s="262">
        <f>SUM(AQ1387:AQ1388)</f>
        <v>40</v>
      </c>
      <c r="AR1386" s="246"/>
      <c r="AS1386" s="282"/>
      <c r="AT1386" s="262">
        <f>SUM(AT1387:AT1388)</f>
        <v>545</v>
      </c>
      <c r="AU1386" s="244"/>
      <c r="AV1386" s="253"/>
      <c r="AW1386" s="285"/>
      <c r="AX1386" s="249"/>
      <c r="AY1386" s="438"/>
      <c r="AZ1386" s="357"/>
      <c r="BA1386" s="357"/>
      <c r="BB1386" s="357"/>
      <c r="BC1386" s="357"/>
    </row>
    <row r="1387" spans="1:55" s="24" customFormat="1">
      <c r="A1387" s="179"/>
      <c r="B1387" s="179"/>
      <c r="C1387" s="179"/>
      <c r="D1387" s="181"/>
      <c r="E1387" s="181"/>
      <c r="F1387" s="181"/>
      <c r="G1387" s="1110"/>
      <c r="H1387" s="532" t="s">
        <v>1824</v>
      </c>
      <c r="I1387" s="516"/>
      <c r="J1387" s="281">
        <v>20</v>
      </c>
      <c r="K1387" s="323"/>
      <c r="L1387" s="324"/>
      <c r="M1387" s="244">
        <v>22</v>
      </c>
      <c r="N1387" s="246"/>
      <c r="O1387" s="282"/>
      <c r="P1387" s="244">
        <v>23</v>
      </c>
      <c r="Q1387" s="246"/>
      <c r="R1387" s="282"/>
      <c r="S1387" s="244">
        <v>23</v>
      </c>
      <c r="T1387" s="246"/>
      <c r="U1387" s="282"/>
      <c r="V1387" s="244">
        <v>23</v>
      </c>
      <c r="W1387" s="246"/>
      <c r="X1387" s="282"/>
      <c r="Y1387" s="244">
        <v>22</v>
      </c>
      <c r="Z1387" s="246"/>
      <c r="AA1387" s="282"/>
      <c r="AB1387" s="244">
        <v>24</v>
      </c>
      <c r="AC1387" s="246"/>
      <c r="AD1387" s="282"/>
      <c r="AE1387" s="244">
        <v>24</v>
      </c>
      <c r="AF1387" s="246"/>
      <c r="AG1387" s="282"/>
      <c r="AH1387" s="244">
        <v>22</v>
      </c>
      <c r="AI1387" s="246"/>
      <c r="AJ1387" s="282"/>
      <c r="AK1387" s="244">
        <v>25</v>
      </c>
      <c r="AL1387" s="246"/>
      <c r="AM1387" s="282"/>
      <c r="AN1387" s="244">
        <v>24</v>
      </c>
      <c r="AO1387" s="246"/>
      <c r="AP1387" s="282"/>
      <c r="AQ1387" s="244">
        <v>20</v>
      </c>
      <c r="AR1387" s="323"/>
      <c r="AS1387" s="324"/>
      <c r="AT1387" s="244">
        <f t="shared" ref="AT1387:AT1388" si="54">J1387+M1387+P1387+S1387+V1387+Y1387+AB1387+AE1387+AH1387+AK1387+AN1387+AQ1387</f>
        <v>272</v>
      </c>
      <c r="AU1387" s="323"/>
      <c r="AV1387" s="325"/>
      <c r="AW1387" s="226"/>
      <c r="AX1387" s="408"/>
      <c r="AY1387" s="438">
        <v>26.753674</v>
      </c>
      <c r="AZ1387" s="357"/>
      <c r="BA1387" s="357"/>
      <c r="BB1387" s="357"/>
      <c r="BC1387" s="357"/>
    </row>
    <row r="1388" spans="1:55" s="24" customFormat="1">
      <c r="A1388" s="179"/>
      <c r="B1388" s="179"/>
      <c r="C1388" s="179"/>
      <c r="D1388" s="181"/>
      <c r="E1388" s="181"/>
      <c r="F1388" s="181"/>
      <c r="G1388" s="1110"/>
      <c r="H1388" s="532" t="s">
        <v>1825</v>
      </c>
      <c r="I1388" s="516"/>
      <c r="J1388" s="244">
        <v>23</v>
      </c>
      <c r="K1388" s="323"/>
      <c r="L1388" s="324"/>
      <c r="M1388" s="244">
        <v>22</v>
      </c>
      <c r="N1388" s="246"/>
      <c r="O1388" s="282"/>
      <c r="P1388" s="244">
        <v>23</v>
      </c>
      <c r="Q1388" s="246"/>
      <c r="R1388" s="282"/>
      <c r="S1388" s="244">
        <v>23</v>
      </c>
      <c r="T1388" s="246"/>
      <c r="U1388" s="282"/>
      <c r="V1388" s="244">
        <v>23</v>
      </c>
      <c r="W1388" s="246"/>
      <c r="X1388" s="282"/>
      <c r="Y1388" s="244">
        <v>23</v>
      </c>
      <c r="Z1388" s="246"/>
      <c r="AA1388" s="282"/>
      <c r="AB1388" s="244">
        <v>25</v>
      </c>
      <c r="AC1388" s="246"/>
      <c r="AD1388" s="282"/>
      <c r="AE1388" s="244">
        <v>19</v>
      </c>
      <c r="AF1388" s="246"/>
      <c r="AG1388" s="282"/>
      <c r="AH1388" s="244">
        <v>23</v>
      </c>
      <c r="AI1388" s="246"/>
      <c r="AJ1388" s="282"/>
      <c r="AK1388" s="244">
        <v>25</v>
      </c>
      <c r="AL1388" s="246"/>
      <c r="AM1388" s="282"/>
      <c r="AN1388" s="244">
        <v>24</v>
      </c>
      <c r="AO1388" s="246"/>
      <c r="AP1388" s="282"/>
      <c r="AQ1388" s="244">
        <v>20</v>
      </c>
      <c r="AR1388" s="323"/>
      <c r="AS1388" s="324"/>
      <c r="AT1388" s="244">
        <f t="shared" si="54"/>
        <v>273</v>
      </c>
      <c r="AU1388" s="323"/>
      <c r="AV1388" s="325"/>
      <c r="AW1388" s="226"/>
      <c r="AX1388" s="408"/>
      <c r="AY1388" s="438"/>
      <c r="AZ1388" s="357"/>
      <c r="BA1388" s="357"/>
      <c r="BB1388" s="357"/>
      <c r="BC1388" s="357"/>
    </row>
    <row r="1389" spans="1:55" s="24" customFormat="1">
      <c r="A1389" s="179"/>
      <c r="B1389" s="179"/>
      <c r="C1389" s="179"/>
      <c r="D1389" s="181">
        <v>777266</v>
      </c>
      <c r="E1389" s="181"/>
      <c r="F1389" s="181"/>
      <c r="G1389" s="1110">
        <v>777266</v>
      </c>
      <c r="H1389" s="125" t="s">
        <v>866</v>
      </c>
      <c r="I1389" s="516" t="s">
        <v>365</v>
      </c>
      <c r="J1389" s="638">
        <f>ГЭС!C173</f>
        <v>0.36261000999999998</v>
      </c>
      <c r="K1389" s="521"/>
      <c r="L1389" s="522"/>
      <c r="M1389" s="638">
        <f>ГЭС!D173</f>
        <v>0.25127002999999998</v>
      </c>
      <c r="N1389" s="521"/>
      <c r="O1389" s="522"/>
      <c r="P1389" s="638">
        <f>ГЭС!E173</f>
        <v>0.39433565999999998</v>
      </c>
      <c r="Q1389" s="521"/>
      <c r="R1389" s="522"/>
      <c r="S1389" s="638">
        <f>ГЭС!G173</f>
        <v>0.60109000999999995</v>
      </c>
      <c r="T1389" s="521"/>
      <c r="U1389" s="522"/>
      <c r="V1389" s="638">
        <f>ГЭС!H173</f>
        <v>0.66300665999999997</v>
      </c>
      <c r="W1389" s="521"/>
      <c r="X1389" s="522"/>
      <c r="Y1389" s="638">
        <f>ГЭС!I173</f>
        <v>0.59526002</v>
      </c>
      <c r="Z1389" s="521"/>
      <c r="AA1389" s="522"/>
      <c r="AB1389" s="638">
        <f>ГЭС!K173</f>
        <v>0.64827000999999995</v>
      </c>
      <c r="AC1389" s="521"/>
      <c r="AD1389" s="522"/>
      <c r="AE1389" s="638">
        <f>ГЭС!L173</f>
        <v>0.67302006000000003</v>
      </c>
      <c r="AF1389" s="521"/>
      <c r="AG1389" s="522"/>
      <c r="AH1389" s="638">
        <f>ГЭС!M173</f>
        <v>0.69521999000000001</v>
      </c>
      <c r="AI1389" s="521"/>
      <c r="AJ1389" s="522"/>
      <c r="AK1389" s="638">
        <f>ГЭС!O173</f>
        <v>0.69116401999999999</v>
      </c>
      <c r="AL1389" s="521"/>
      <c r="AM1389" s="522"/>
      <c r="AN1389" s="638">
        <f>ГЭС!P173</f>
        <v>0.69361609000000002</v>
      </c>
      <c r="AO1389" s="521"/>
      <c r="AP1389" s="522"/>
      <c r="AQ1389" s="638">
        <f>ГЭС!Q173</f>
        <v>0.64348000000000005</v>
      </c>
      <c r="AR1389" s="246"/>
      <c r="AS1389" s="282"/>
      <c r="AT1389" s="638">
        <f>J1389+M1389+P1389+S1389+V1389+Y1389+AB1389+AE1389+AH1389+AK1389+AN1389+AQ1389</f>
        <v>6.9123425599999999</v>
      </c>
      <c r="AU1389" s="246"/>
      <c r="AV1389" s="336"/>
      <c r="AW1389" s="285"/>
      <c r="AX1389" s="375"/>
      <c r="AY1389" s="438">
        <v>7.8135899999999996</v>
      </c>
      <c r="AZ1389" s="357"/>
      <c r="BA1389" s="357"/>
      <c r="BB1389" s="357"/>
      <c r="BC1389" s="357"/>
    </row>
    <row r="1390" spans="1:55" s="24" customFormat="1" ht="18.75">
      <c r="A1390" s="179"/>
      <c r="B1390" s="179"/>
      <c r="C1390" s="179"/>
      <c r="D1390" s="181"/>
      <c r="E1390" s="181"/>
      <c r="F1390" s="181"/>
      <c r="G1390" s="1211">
        <v>322100</v>
      </c>
      <c r="H1390" s="473" t="s">
        <v>847</v>
      </c>
      <c r="I1390" s="473"/>
      <c r="J1390" s="277">
        <f>SUM(J1391:J1394)</f>
        <v>830.46773389999998</v>
      </c>
      <c r="K1390" s="275">
        <f>L1390-J1390</f>
        <v>22.380306248806619</v>
      </c>
      <c r="L1390" s="392">
        <f>L1395+L1446</f>
        <v>852.8480401488066</v>
      </c>
      <c r="M1390" s="277">
        <f>SUM(M1391:M1394)</f>
        <v>589.96795999999995</v>
      </c>
      <c r="N1390" s="275">
        <f>O1390-M1390</f>
        <v>207.13539492447671</v>
      </c>
      <c r="O1390" s="392">
        <f>O1395+O1446</f>
        <v>797.10335492447666</v>
      </c>
      <c r="P1390" s="277">
        <f>SUM(P1391:P1394)</f>
        <v>536.70720030000007</v>
      </c>
      <c r="Q1390" s="275">
        <f>R1390-P1390</f>
        <v>244.65714105612119</v>
      </c>
      <c r="R1390" s="392">
        <f>R1395+R1446</f>
        <v>781.36434135612126</v>
      </c>
      <c r="S1390" s="277">
        <f>SUM(S1391:S1394)</f>
        <v>484.83574768</v>
      </c>
      <c r="T1390" s="275">
        <f>U1390-S1390</f>
        <v>160.70160969976979</v>
      </c>
      <c r="U1390" s="392">
        <f>U1395+U1446</f>
        <v>645.53735737976979</v>
      </c>
      <c r="V1390" s="277">
        <f>SUM(V1391:V1394)</f>
        <v>386.71025196009998</v>
      </c>
      <c r="W1390" s="275">
        <f>X1390-V1390</f>
        <v>181.10223332692306</v>
      </c>
      <c r="X1390" s="392">
        <f>X1395+X1446</f>
        <v>567.81248528702304</v>
      </c>
      <c r="Y1390" s="277">
        <f>SUM(Y1391:Y1394)</f>
        <v>437.97435485599999</v>
      </c>
      <c r="Z1390" s="275">
        <f>AA1390-Y1390</f>
        <v>140.6894323692643</v>
      </c>
      <c r="AA1390" s="392">
        <f>AA1395+AA1446</f>
        <v>578.66378722526429</v>
      </c>
      <c r="AB1390" s="277">
        <f>SUM(AB1391:AB1394)</f>
        <v>490.37682699999999</v>
      </c>
      <c r="AC1390" s="275">
        <f>AD1390-AB1390</f>
        <v>184.7344989707795</v>
      </c>
      <c r="AD1390" s="392">
        <f>AD1395+AD1446</f>
        <v>675.11132597077949</v>
      </c>
      <c r="AE1390" s="277">
        <f>SUM(AE1391:AE1394)</f>
        <v>496.48733262370001</v>
      </c>
      <c r="AF1390" s="275">
        <f>AG1390-AE1390</f>
        <v>187.9183335516218</v>
      </c>
      <c r="AG1390" s="392">
        <f>AG1395+AG1446</f>
        <v>684.40566617532181</v>
      </c>
      <c r="AH1390" s="277">
        <f>SUM(AH1391:AH1394)</f>
        <v>465.70123400000006</v>
      </c>
      <c r="AI1390" s="275">
        <f>AJ1390-AH1390</f>
        <v>107.93431449676899</v>
      </c>
      <c r="AJ1390" s="392">
        <f>AJ1395+AJ1446</f>
        <v>573.63554849676905</v>
      </c>
      <c r="AK1390" s="277">
        <f>SUM(AK1391:AK1394)</f>
        <v>491.39833299999998</v>
      </c>
      <c r="AL1390" s="275">
        <f>AM1390-AK1390</f>
        <v>158.8647167104491</v>
      </c>
      <c r="AM1390" s="392">
        <f>AM1395+AM1446</f>
        <v>650.26304971044908</v>
      </c>
      <c r="AN1390" s="277">
        <f>SUM(AN1391:AN1394)</f>
        <v>718.04726798582999</v>
      </c>
      <c r="AO1390" s="275">
        <f>AP1390-AN1390</f>
        <v>20.518100964968198</v>
      </c>
      <c r="AP1390" s="392">
        <f>AP1395+AP1446</f>
        <v>738.56536895079819</v>
      </c>
      <c r="AQ1390" s="277">
        <f>SUM(AQ1391:AQ1394)</f>
        <v>825.06968197599997</v>
      </c>
      <c r="AR1390" s="275">
        <f>AS1390-AQ1390</f>
        <v>35.619992398420322</v>
      </c>
      <c r="AS1390" s="392">
        <f>AS1395+AS1446</f>
        <v>860.68967437442029</v>
      </c>
      <c r="AT1390" s="277">
        <f>SUM(AT1391:AT1394)</f>
        <v>6753.7439252816312</v>
      </c>
      <c r="AU1390" s="275">
        <f>AV1390-AT1390</f>
        <v>1652.2560747183688</v>
      </c>
      <c r="AV1390" s="394">
        <f>L1390+O1390+R1390+U1390+X1390+AA1390+AD1390+AG1390+AJ1390+AM1390+AP1390+AS1390</f>
        <v>8406</v>
      </c>
      <c r="AW1390" s="395"/>
      <c r="AX1390" s="1067">
        <v>7732.2053605000001</v>
      </c>
      <c r="AY1390" s="298">
        <f>SUM(AY1391:AY1394)</f>
        <v>3095.9057294000004</v>
      </c>
      <c r="AZ1390" s="357"/>
      <c r="BA1390" s="357"/>
      <c r="BB1390" s="357"/>
      <c r="BC1390" s="357"/>
    </row>
    <row r="1391" spans="1:55" s="24" customFormat="1">
      <c r="A1391" s="179"/>
      <c r="B1391" s="179"/>
      <c r="C1391" s="179"/>
      <c r="D1391" s="181"/>
      <c r="E1391" s="181"/>
      <c r="F1391" s="181"/>
      <c r="G1391" s="181"/>
      <c r="H1391" s="467" t="s">
        <v>56</v>
      </c>
      <c r="I1391" s="467"/>
      <c r="J1391" s="223">
        <f>J1396+J1447</f>
        <v>783.93399999999997</v>
      </c>
      <c r="K1391" s="223"/>
      <c r="L1391" s="224"/>
      <c r="M1391" s="223">
        <f>M1396+M1447</f>
        <v>537.46399999999994</v>
      </c>
      <c r="N1391" s="223"/>
      <c r="O1391" s="224"/>
      <c r="P1391" s="223">
        <f>P1396+P1447</f>
        <v>471.83708000000001</v>
      </c>
      <c r="Q1391" s="223"/>
      <c r="R1391" s="224"/>
      <c r="S1391" s="223">
        <f>S1396+S1447</f>
        <v>402.42384568</v>
      </c>
      <c r="T1391" s="223"/>
      <c r="U1391" s="224"/>
      <c r="V1391" s="223">
        <f>V1396+V1447</f>
        <v>301.42851388399998</v>
      </c>
      <c r="W1391" s="223"/>
      <c r="X1391" s="224"/>
      <c r="Y1391" s="223">
        <f>Y1396+Y1447</f>
        <v>356.15200000000004</v>
      </c>
      <c r="Z1391" s="223"/>
      <c r="AA1391" s="224"/>
      <c r="AB1391" s="223">
        <f>AB1396+AB1447</f>
        <v>407.42600000000004</v>
      </c>
      <c r="AC1391" s="223"/>
      <c r="AD1391" s="224"/>
      <c r="AE1391" s="223">
        <f>AE1396+AE1447</f>
        <v>411.61599999999999</v>
      </c>
      <c r="AF1391" s="223"/>
      <c r="AG1391" s="224"/>
      <c r="AH1391" s="223">
        <f>AH1396+AH1447</f>
        <v>391.95000000000005</v>
      </c>
      <c r="AI1391" s="223"/>
      <c r="AJ1391" s="224"/>
      <c r="AK1391" s="223">
        <f>AK1396+AK1447</f>
        <v>420.21600000000001</v>
      </c>
      <c r="AL1391" s="223"/>
      <c r="AM1391" s="224"/>
      <c r="AN1391" s="223">
        <f>AN1396+AN1447</f>
        <v>666.73</v>
      </c>
      <c r="AO1391" s="223"/>
      <c r="AP1391" s="224"/>
      <c r="AQ1391" s="223">
        <f>AQ1396+AQ1447</f>
        <v>780.25599999999997</v>
      </c>
      <c r="AR1391" s="223"/>
      <c r="AS1391" s="224"/>
      <c r="AT1391" s="223">
        <f>AT1396+AT1447</f>
        <v>5931.4334395640008</v>
      </c>
      <c r="AU1391" s="223"/>
      <c r="AV1391" s="224"/>
      <c r="AW1391" s="226"/>
      <c r="AX1391" s="227"/>
      <c r="AY1391" s="231">
        <f>AY1396+AY1447</f>
        <v>2440.8452224000002</v>
      </c>
      <c r="AZ1391" s="357"/>
      <c r="BA1391" s="357"/>
      <c r="BB1391" s="357"/>
      <c r="BC1391" s="357"/>
    </row>
    <row r="1392" spans="1:55" s="24" customFormat="1">
      <c r="A1392" s="179"/>
      <c r="B1392" s="179"/>
      <c r="C1392" s="179"/>
      <c r="D1392" s="181"/>
      <c r="E1392" s="181"/>
      <c r="F1392" s="181"/>
      <c r="G1392" s="181"/>
      <c r="H1392" s="467" t="s">
        <v>346</v>
      </c>
      <c r="I1392" s="467"/>
      <c r="J1392" s="223">
        <f>J1397</f>
        <v>13.1191</v>
      </c>
      <c r="K1392" s="223"/>
      <c r="L1392" s="224"/>
      <c r="M1392" s="223">
        <f>M1397</f>
        <v>13.120100000000001</v>
      </c>
      <c r="N1392" s="223"/>
      <c r="O1392" s="224"/>
      <c r="P1392" s="223">
        <f>P1397</f>
        <v>11.507</v>
      </c>
      <c r="Q1392" s="223"/>
      <c r="R1392" s="224"/>
      <c r="S1392" s="223">
        <f>S1397</f>
        <v>9.504999999999999</v>
      </c>
      <c r="T1392" s="223"/>
      <c r="U1392" s="224"/>
      <c r="V1392" s="223">
        <f>V1397</f>
        <v>7.2032000000000007</v>
      </c>
      <c r="W1392" s="223"/>
      <c r="X1392" s="224"/>
      <c r="Y1392" s="223">
        <f>Y1397</f>
        <v>6.9545000000000003</v>
      </c>
      <c r="Z1392" s="223"/>
      <c r="AA1392" s="224"/>
      <c r="AB1392" s="223">
        <f>AB1397</f>
        <v>5.9530000000000003</v>
      </c>
      <c r="AC1392" s="223"/>
      <c r="AD1392" s="224"/>
      <c r="AE1392" s="223">
        <f>AE1397</f>
        <v>9.7981999999999996</v>
      </c>
      <c r="AF1392" s="223"/>
      <c r="AG1392" s="224"/>
      <c r="AH1392" s="223">
        <f>AH1397</f>
        <v>9.1991999999999994</v>
      </c>
      <c r="AI1392" s="223"/>
      <c r="AJ1392" s="224"/>
      <c r="AK1392" s="223">
        <f>AK1397</f>
        <v>12.555</v>
      </c>
      <c r="AL1392" s="223"/>
      <c r="AM1392" s="224"/>
      <c r="AN1392" s="223">
        <f>AN1397</f>
        <v>12.5746</v>
      </c>
      <c r="AO1392" s="223"/>
      <c r="AP1392" s="224"/>
      <c r="AQ1392" s="223">
        <f>AQ1397</f>
        <v>13.509499999999999</v>
      </c>
      <c r="AR1392" s="223"/>
      <c r="AS1392" s="224"/>
      <c r="AT1392" s="223">
        <f>AT1397</f>
        <v>124.9984</v>
      </c>
      <c r="AU1392" s="223"/>
      <c r="AV1392" s="224"/>
      <c r="AW1392" s="226"/>
      <c r="AX1392" s="227"/>
      <c r="AY1392" s="231">
        <f>AY1397</f>
        <v>123.908323</v>
      </c>
      <c r="AZ1392" s="357"/>
      <c r="BA1392" s="357"/>
      <c r="BB1392" s="357"/>
      <c r="BC1392" s="357"/>
    </row>
    <row r="1393" spans="1:55" s="24" customFormat="1">
      <c r="A1393" s="179"/>
      <c r="B1393" s="179"/>
      <c r="C1393" s="179"/>
      <c r="D1393" s="181"/>
      <c r="E1393" s="181"/>
      <c r="F1393" s="181"/>
      <c r="G1393" s="181"/>
      <c r="H1393" s="467" t="s">
        <v>347</v>
      </c>
      <c r="I1393" s="467"/>
      <c r="J1393" s="223">
        <f>J1398+J1448</f>
        <v>18.5646339</v>
      </c>
      <c r="K1393" s="223"/>
      <c r="L1393" s="224"/>
      <c r="M1393" s="223">
        <f>M1398+M1448</f>
        <v>26.06786000000001</v>
      </c>
      <c r="N1393" s="223"/>
      <c r="O1393" s="224"/>
      <c r="P1393" s="223">
        <f>P1398+P1448</f>
        <v>39.551120300000001</v>
      </c>
      <c r="Q1393" s="223"/>
      <c r="R1393" s="224"/>
      <c r="S1393" s="223">
        <f>S1398+S1448</f>
        <v>58.986902000000001</v>
      </c>
      <c r="T1393" s="223"/>
      <c r="U1393" s="224"/>
      <c r="V1393" s="223">
        <f>V1398+V1448</f>
        <v>64.846538076100003</v>
      </c>
      <c r="W1393" s="223"/>
      <c r="X1393" s="224"/>
      <c r="Y1393" s="223">
        <f>Y1398+Y1448</f>
        <v>63.467854855999995</v>
      </c>
      <c r="Z1393" s="223"/>
      <c r="AA1393" s="224"/>
      <c r="AB1393" s="223">
        <f>AB1398+AB1448</f>
        <v>65.201826999999994</v>
      </c>
      <c r="AC1393" s="223"/>
      <c r="AD1393" s="224"/>
      <c r="AE1393" s="223">
        <f>AE1398+AE1448</f>
        <v>64.477132623700001</v>
      </c>
      <c r="AF1393" s="223"/>
      <c r="AG1393" s="224"/>
      <c r="AH1393" s="223">
        <f>AH1398+AH1448</f>
        <v>52.480033999999996</v>
      </c>
      <c r="AI1393" s="223"/>
      <c r="AJ1393" s="224"/>
      <c r="AK1393" s="223">
        <f>AK1398+AK1448</f>
        <v>42.478332999999992</v>
      </c>
      <c r="AL1393" s="223"/>
      <c r="AM1393" s="224"/>
      <c r="AN1393" s="223">
        <f>AN1398+AN1448</f>
        <v>22.395667985829995</v>
      </c>
      <c r="AO1393" s="223"/>
      <c r="AP1393" s="224"/>
      <c r="AQ1393" s="223">
        <f>AQ1398+AQ1448</f>
        <v>14.087181975999998</v>
      </c>
      <c r="AR1393" s="223"/>
      <c r="AS1393" s="224"/>
      <c r="AT1393" s="223">
        <f>AT1398+AT1448</f>
        <v>532.60508571763</v>
      </c>
      <c r="AU1393" s="223"/>
      <c r="AV1393" s="224"/>
      <c r="AW1393" s="226"/>
      <c r="AX1393" s="227"/>
      <c r="AY1393" s="231">
        <f>AY1398+AY1448</f>
        <v>404.93532199999999</v>
      </c>
      <c r="AZ1393" s="357"/>
      <c r="BA1393" s="357"/>
      <c r="BB1393" s="357"/>
      <c r="BC1393" s="357"/>
    </row>
    <row r="1394" spans="1:55" s="24" customFormat="1">
      <c r="A1394" s="179"/>
      <c r="B1394" s="179"/>
      <c r="C1394" s="179"/>
      <c r="D1394" s="181"/>
      <c r="E1394" s="181"/>
      <c r="F1394" s="181"/>
      <c r="G1394" s="181"/>
      <c r="H1394" s="467" t="s">
        <v>99</v>
      </c>
      <c r="I1394" s="467"/>
      <c r="J1394" s="223">
        <f>J1399</f>
        <v>14.850000000000001</v>
      </c>
      <c r="K1394" s="223"/>
      <c r="L1394" s="224"/>
      <c r="M1394" s="223">
        <f>M1399</f>
        <v>13.315999999999999</v>
      </c>
      <c r="N1394" s="223"/>
      <c r="O1394" s="224"/>
      <c r="P1394" s="223">
        <f>P1399</f>
        <v>13.812000000000001</v>
      </c>
      <c r="Q1394" s="223"/>
      <c r="R1394" s="224"/>
      <c r="S1394" s="223">
        <f>S1399</f>
        <v>13.92</v>
      </c>
      <c r="T1394" s="223"/>
      <c r="U1394" s="224"/>
      <c r="V1394" s="223">
        <f>V1399</f>
        <v>13.231999999999999</v>
      </c>
      <c r="W1394" s="223"/>
      <c r="X1394" s="224"/>
      <c r="Y1394" s="223">
        <f>Y1399</f>
        <v>11.399999999999999</v>
      </c>
      <c r="Z1394" s="223"/>
      <c r="AA1394" s="224"/>
      <c r="AB1394" s="223">
        <f>AB1399</f>
        <v>11.795999999999999</v>
      </c>
      <c r="AC1394" s="223"/>
      <c r="AD1394" s="224"/>
      <c r="AE1394" s="223">
        <f>AE1399</f>
        <v>10.596</v>
      </c>
      <c r="AF1394" s="223"/>
      <c r="AG1394" s="224"/>
      <c r="AH1394" s="223">
        <f>AH1399</f>
        <v>12.071999999999999</v>
      </c>
      <c r="AI1394" s="223"/>
      <c r="AJ1394" s="224"/>
      <c r="AK1394" s="223">
        <f>AK1399</f>
        <v>16.149000000000001</v>
      </c>
      <c r="AL1394" s="223"/>
      <c r="AM1394" s="224"/>
      <c r="AN1394" s="223">
        <f>AN1399</f>
        <v>16.347000000000001</v>
      </c>
      <c r="AO1394" s="223"/>
      <c r="AP1394" s="224"/>
      <c r="AQ1394" s="223">
        <f>AQ1399</f>
        <v>17.216999999999999</v>
      </c>
      <c r="AR1394" s="223"/>
      <c r="AS1394" s="224"/>
      <c r="AT1394" s="223">
        <f>AT1399</f>
        <v>164.70699999999999</v>
      </c>
      <c r="AU1394" s="223"/>
      <c r="AV1394" s="224"/>
      <c r="AW1394" s="226"/>
      <c r="AX1394" s="227"/>
      <c r="AY1394" s="231">
        <f>AY1399</f>
        <v>126.21686200000001</v>
      </c>
      <c r="AZ1394" s="357"/>
      <c r="BA1394" s="357"/>
      <c r="BB1394" s="357"/>
      <c r="BC1394" s="357"/>
    </row>
    <row r="1395" spans="1:55" s="146" customFormat="1" ht="18.75">
      <c r="A1395" s="179"/>
      <c r="B1395" s="179"/>
      <c r="C1395" s="179"/>
      <c r="D1395" s="181"/>
      <c r="E1395" s="181"/>
      <c r="F1395" s="181"/>
      <c r="G1395" s="181"/>
      <c r="H1395" s="7" t="s">
        <v>1634</v>
      </c>
      <c r="I1395" s="473"/>
      <c r="J1395" s="277">
        <f>SUM(J1396:J1399)</f>
        <v>482.71693190000002</v>
      </c>
      <c r="K1395" s="275">
        <f>L1395-J1395</f>
        <v>202.15226423510438</v>
      </c>
      <c r="L1395" s="392">
        <f>Потребление!D78</f>
        <v>684.8691961351044</v>
      </c>
      <c r="M1395" s="274">
        <f>SUM(M1396:M1399)</f>
        <v>325.80395699999991</v>
      </c>
      <c r="N1395" s="275">
        <f>O1395-M1395</f>
        <v>315.23206871461656</v>
      </c>
      <c r="O1395" s="392">
        <f>Потребление!E78</f>
        <v>641.03602571461647</v>
      </c>
      <c r="P1395" s="274">
        <f>SUM(P1396:P1399)</f>
        <v>347.38627429999997</v>
      </c>
      <c r="Q1395" s="275">
        <f>R1395-P1395</f>
        <v>272.5674690974156</v>
      </c>
      <c r="R1395" s="392">
        <f>Потребление!F78</f>
        <v>619.95374339741556</v>
      </c>
      <c r="S1395" s="274">
        <f>SUM(S1396:S1399)</f>
        <v>302.21049168000002</v>
      </c>
      <c r="T1395" s="275">
        <f>U1395-S1395</f>
        <v>217.70624369202505</v>
      </c>
      <c r="U1395" s="392">
        <f>Потребление!G78</f>
        <v>519.91673537202507</v>
      </c>
      <c r="V1395" s="274">
        <f>SUM(V1396:V1399)</f>
        <v>262.01138596010003</v>
      </c>
      <c r="W1395" s="275">
        <f>X1395-V1395</f>
        <v>196.27459180499505</v>
      </c>
      <c r="X1395" s="392">
        <f>Потребление!H78</f>
        <v>458.28597776509508</v>
      </c>
      <c r="Y1395" s="274">
        <f>SUM(Y1396:Y1399)</f>
        <v>248.49472385600001</v>
      </c>
      <c r="Z1395" s="275">
        <f>AA1395-Y1395</f>
        <v>215.07266826633486</v>
      </c>
      <c r="AA1395" s="392">
        <f>Потребление!I78</f>
        <v>463.56739212233487</v>
      </c>
      <c r="AB1395" s="274">
        <f>SUM(AB1396:AB1399)</f>
        <v>310.42715200000004</v>
      </c>
      <c r="AC1395" s="275">
        <f>AD1395-AB1395</f>
        <v>236.30746393050828</v>
      </c>
      <c r="AD1395" s="392">
        <f>Потребление!J78</f>
        <v>546.73461593050831</v>
      </c>
      <c r="AE1395" s="274">
        <f>SUM(AE1396:AE1399)</f>
        <v>316.5127346237</v>
      </c>
      <c r="AF1395" s="275">
        <f>AG1395-AE1395</f>
        <v>241.07573338313102</v>
      </c>
      <c r="AG1395" s="392">
        <f>Потребление!K78</f>
        <v>557.58846800683102</v>
      </c>
      <c r="AH1395" s="274">
        <f>SUM(AH1396:AH1399)</f>
        <v>306.85715200000004</v>
      </c>
      <c r="AI1395" s="275">
        <f>AJ1395-AH1395</f>
        <v>155.13703953203117</v>
      </c>
      <c r="AJ1395" s="392">
        <f>Потребление!L78</f>
        <v>461.99419153203121</v>
      </c>
      <c r="AK1395" s="274">
        <f>SUM(AK1396:AK1399)</f>
        <v>323.30223599999999</v>
      </c>
      <c r="AL1395" s="275">
        <f>AM1395-AK1395</f>
        <v>204.74892151069719</v>
      </c>
      <c r="AM1395" s="392">
        <f>Потребление!M78</f>
        <v>528.05115751069718</v>
      </c>
      <c r="AN1395" s="274">
        <f>SUM(AN1396:AN1399)</f>
        <v>428.52663798583001</v>
      </c>
      <c r="AO1395" s="275">
        <f>AP1395-AN1395</f>
        <v>164.83363128077394</v>
      </c>
      <c r="AP1395" s="392">
        <f>Потребление!N78</f>
        <v>593.36026926660395</v>
      </c>
      <c r="AQ1395" s="274">
        <f>SUM(AQ1396:AQ1399)</f>
        <v>481.18155697599997</v>
      </c>
      <c r="AR1395" s="275">
        <f>AS1395-AQ1395</f>
        <v>196.90440375712677</v>
      </c>
      <c r="AS1395" s="392">
        <f>Потребление!O78</f>
        <v>678.08596073312674</v>
      </c>
      <c r="AT1395" s="274">
        <f>SUM(AT1396:AT1399)</f>
        <v>4135.4312342816311</v>
      </c>
      <c r="AU1395" s="275">
        <f>AV1395-AT1395</f>
        <v>2618.0124992047586</v>
      </c>
      <c r="AV1395" s="394">
        <f>L1395+O1395+R1395+U1395+X1395+AA1395+AD1395+AG1395+AJ1395+AM1395+AP1395+AS1395</f>
        <v>6753.4437334863896</v>
      </c>
      <c r="AW1395" s="395"/>
      <c r="AX1395" s="424"/>
      <c r="AY1395" s="298">
        <f>SUM(AY1396:AY1399)</f>
        <v>2237.0580693000002</v>
      </c>
      <c r="AZ1395" s="402"/>
      <c r="BA1395" s="357"/>
      <c r="BB1395" s="357"/>
      <c r="BC1395" s="357"/>
    </row>
    <row r="1396" spans="1:55" s="146" customFormat="1">
      <c r="A1396" s="179"/>
      <c r="B1396" s="179"/>
      <c r="C1396" s="179"/>
      <c r="D1396" s="181"/>
      <c r="E1396" s="181"/>
      <c r="F1396" s="181"/>
      <c r="G1396" s="181"/>
      <c r="H1396" s="467" t="s">
        <v>56</v>
      </c>
      <c r="I1396" s="467"/>
      <c r="J1396" s="223">
        <f>SUM(J1400:J1406)</f>
        <v>436.25</v>
      </c>
      <c r="K1396" s="223"/>
      <c r="L1396" s="224">
        <f>L1395/L1390</f>
        <v>0.80303777917529962</v>
      </c>
      <c r="M1396" s="223">
        <f>SUM(M1400:M1406)</f>
        <v>273.43399999999997</v>
      </c>
      <c r="N1396" s="223"/>
      <c r="O1396" s="224">
        <f>O1395/O1390</f>
        <v>0.80420690962385033</v>
      </c>
      <c r="P1396" s="223">
        <f>SUM(P1400:P1406)</f>
        <v>282.82299999999998</v>
      </c>
      <c r="Q1396" s="223"/>
      <c r="R1396" s="224">
        <f>R1395/R1390</f>
        <v>0.79342466834541681</v>
      </c>
      <c r="S1396" s="223">
        <f>SUM(S1400:S1406)</f>
        <v>220.16384568000001</v>
      </c>
      <c r="T1396" s="223"/>
      <c r="U1396" s="224">
        <f>U1395/U1390</f>
        <v>0.80540146813867186</v>
      </c>
      <c r="V1396" s="223">
        <f>SUM(V1400:V1406)</f>
        <v>177.07951388399999</v>
      </c>
      <c r="W1396" s="223"/>
      <c r="X1396" s="224">
        <f>X1395/X1390</f>
        <v>0.8071079619417606</v>
      </c>
      <c r="Y1396" s="223">
        <f>SUM(Y1400:Y1406)</f>
        <v>167.05200000000002</v>
      </c>
      <c r="Z1396" s="223"/>
      <c r="AA1396" s="224">
        <f>AA1395/AA1390</f>
        <v>0.80109970998042723</v>
      </c>
      <c r="AB1396" s="223">
        <f>SUM(AB1400:AB1406)</f>
        <v>227.81200000000001</v>
      </c>
      <c r="AC1396" s="223"/>
      <c r="AD1396" s="224">
        <f>AD1395/AD1390</f>
        <v>0.80984364340848336</v>
      </c>
      <c r="AE1396" s="223">
        <f>SUM(AE1400:AE1406)</f>
        <v>232.00200000000001</v>
      </c>
      <c r="AF1396" s="223"/>
      <c r="AG1396" s="224">
        <f>AG1395/AG1390</f>
        <v>0.81470463434765827</v>
      </c>
      <c r="AH1396" s="223">
        <f>SUM(AH1400:AH1406)</f>
        <v>233.38000000000002</v>
      </c>
      <c r="AI1396" s="223"/>
      <c r="AJ1396" s="224">
        <f>AJ1395/AJ1390</f>
        <v>0.80537929133349961</v>
      </c>
      <c r="AK1396" s="223">
        <f>SUM(AK1400:AK1406)</f>
        <v>252.376</v>
      </c>
      <c r="AL1396" s="223"/>
      <c r="AM1396" s="224">
        <f>AM1395/AM1390</f>
        <v>0.81205776300195631</v>
      </c>
      <c r="AN1396" s="223">
        <f>SUM(AN1400:AN1406)</f>
        <v>377.34000000000003</v>
      </c>
      <c r="AO1396" s="223"/>
      <c r="AP1396" s="224">
        <f>AP1395/AP1390</f>
        <v>0.80339573748161008</v>
      </c>
      <c r="AQ1396" s="223">
        <f>SUM(AQ1400:AQ1406)</f>
        <v>436.416</v>
      </c>
      <c r="AR1396" s="223"/>
      <c r="AS1396" s="224">
        <f>AS1395/AS1390</f>
        <v>0.787840241287876</v>
      </c>
      <c r="AT1396" s="223">
        <f>SUM(AT1400:AT1406)</f>
        <v>3316.1283595640007</v>
      </c>
      <c r="AU1396" s="223"/>
      <c r="AV1396" s="224"/>
      <c r="AW1396" s="226"/>
      <c r="AX1396" s="227"/>
      <c r="AY1396" s="231">
        <f>SUM(AY1400:AY1406)</f>
        <v>1584.9361323000001</v>
      </c>
      <c r="AZ1396" s="402"/>
      <c r="BA1396" s="357"/>
      <c r="BB1396" s="357"/>
      <c r="BC1396" s="357"/>
    </row>
    <row r="1397" spans="1:55" s="146" customFormat="1">
      <c r="A1397" s="179"/>
      <c r="B1397" s="179"/>
      <c r="C1397" s="179"/>
      <c r="D1397" s="181"/>
      <c r="E1397" s="181"/>
      <c r="F1397" s="181"/>
      <c r="G1397" s="181"/>
      <c r="H1397" s="467" t="s">
        <v>346</v>
      </c>
      <c r="I1397" s="467"/>
      <c r="J1397" s="223">
        <f>J1436+J1443</f>
        <v>13.1191</v>
      </c>
      <c r="K1397" s="223"/>
      <c r="L1397" s="224"/>
      <c r="M1397" s="223">
        <f>M1436+M1443</f>
        <v>13.120100000000001</v>
      </c>
      <c r="N1397" s="223"/>
      <c r="O1397" s="224"/>
      <c r="P1397" s="223">
        <f>P1436+P1443</f>
        <v>11.507</v>
      </c>
      <c r="Q1397" s="223"/>
      <c r="R1397" s="224"/>
      <c r="S1397" s="223">
        <f>S1436+S1443</f>
        <v>9.504999999999999</v>
      </c>
      <c r="T1397" s="223"/>
      <c r="U1397" s="224"/>
      <c r="V1397" s="223">
        <f>V1436+V1443</f>
        <v>7.2032000000000007</v>
      </c>
      <c r="W1397" s="223"/>
      <c r="X1397" s="224"/>
      <c r="Y1397" s="223">
        <f>Y1436+Y1443</f>
        <v>6.9545000000000003</v>
      </c>
      <c r="Z1397" s="223"/>
      <c r="AA1397" s="224"/>
      <c r="AB1397" s="223">
        <f>AB1436+AB1443</f>
        <v>5.9530000000000003</v>
      </c>
      <c r="AC1397" s="223"/>
      <c r="AD1397" s="224"/>
      <c r="AE1397" s="223">
        <f>AE1436+AE1443</f>
        <v>9.7981999999999996</v>
      </c>
      <c r="AF1397" s="223"/>
      <c r="AG1397" s="224"/>
      <c r="AH1397" s="223">
        <f>AH1436+AH1443</f>
        <v>9.1991999999999994</v>
      </c>
      <c r="AI1397" s="223"/>
      <c r="AJ1397" s="224"/>
      <c r="AK1397" s="223">
        <f>AK1436+AK1443</f>
        <v>12.555</v>
      </c>
      <c r="AL1397" s="223"/>
      <c r="AM1397" s="224"/>
      <c r="AN1397" s="223">
        <f>AN1436+AN1443</f>
        <v>12.5746</v>
      </c>
      <c r="AO1397" s="223"/>
      <c r="AP1397" s="224"/>
      <c r="AQ1397" s="223">
        <f>AQ1436+AQ1443</f>
        <v>13.509499999999999</v>
      </c>
      <c r="AR1397" s="223"/>
      <c r="AS1397" s="224"/>
      <c r="AT1397" s="223">
        <f>AT1436+AT1443</f>
        <v>124.9984</v>
      </c>
      <c r="AU1397" s="223"/>
      <c r="AV1397" s="224"/>
      <c r="AW1397" s="226"/>
      <c r="AX1397" s="227"/>
      <c r="AY1397" s="231">
        <f>SUM(AY1436:AY1443)</f>
        <v>123.908323</v>
      </c>
      <c r="AZ1397" s="402"/>
      <c r="BA1397" s="357"/>
      <c r="BB1397" s="357"/>
      <c r="BC1397" s="357"/>
    </row>
    <row r="1398" spans="1:55" s="146" customFormat="1">
      <c r="A1398" s="179"/>
      <c r="B1398" s="179"/>
      <c r="C1398" s="179"/>
      <c r="D1398" s="181"/>
      <c r="E1398" s="181"/>
      <c r="F1398" s="181"/>
      <c r="G1398" s="181"/>
      <c r="H1398" s="467" t="s">
        <v>347</v>
      </c>
      <c r="I1398" s="467"/>
      <c r="J1398" s="223">
        <f>J1407+J1413+J1415+J1420+J1426+J1430</f>
        <v>18.497831900000001</v>
      </c>
      <c r="K1398" s="223"/>
      <c r="L1398" s="224"/>
      <c r="M1398" s="223">
        <f>M1407+M1413+M1415+M1420+M1426+M1430</f>
        <v>25.93385700000001</v>
      </c>
      <c r="N1398" s="223"/>
      <c r="O1398" s="224"/>
      <c r="P1398" s="223">
        <f>P1407+P1413+P1415+P1420+P1426+P1430</f>
        <v>39.244274300000001</v>
      </c>
      <c r="Q1398" s="223"/>
      <c r="R1398" s="224"/>
      <c r="S1398" s="223">
        <f>S1407+S1413+S1415+S1420+S1426+S1430</f>
        <v>58.621645999999998</v>
      </c>
      <c r="T1398" s="223"/>
      <c r="U1398" s="224"/>
      <c r="V1398" s="223">
        <f>V1407+V1413+V1415+V1420+V1426+V1430</f>
        <v>64.496672076099998</v>
      </c>
      <c r="W1398" s="223"/>
      <c r="X1398" s="224"/>
      <c r="Y1398" s="223">
        <f>Y1407+Y1413+Y1415+Y1420+Y1426+Y1430</f>
        <v>63.088223855999992</v>
      </c>
      <c r="Z1398" s="223"/>
      <c r="AA1398" s="224"/>
      <c r="AB1398" s="223">
        <f>AB1407+AB1413+AB1415+AB1420+AB1426+AB1430</f>
        <v>64.866152</v>
      </c>
      <c r="AC1398" s="223"/>
      <c r="AD1398" s="224"/>
      <c r="AE1398" s="223">
        <f>AE1407+AE1413+AE1415+AE1420+AE1426+AE1430</f>
        <v>64.116534623700005</v>
      </c>
      <c r="AF1398" s="223"/>
      <c r="AG1398" s="224"/>
      <c r="AH1398" s="223">
        <f>AH1407+AH1413+AH1415+AH1420+AH1426+AH1430</f>
        <v>52.205951999999996</v>
      </c>
      <c r="AI1398" s="223"/>
      <c r="AJ1398" s="224"/>
      <c r="AK1398" s="223">
        <f>AK1407+AK1413+AK1415+AK1420+AK1426+AK1430</f>
        <v>42.222235999999995</v>
      </c>
      <c r="AL1398" s="223"/>
      <c r="AM1398" s="224"/>
      <c r="AN1398" s="223">
        <f>AN1407+AN1413+AN1415+AN1420+AN1426+AN1430</f>
        <v>22.265037985829995</v>
      </c>
      <c r="AO1398" s="223"/>
      <c r="AP1398" s="224"/>
      <c r="AQ1398" s="223">
        <f>AQ1407+AQ1413+AQ1415+AQ1420+AQ1426+AQ1430</f>
        <v>14.039056975999998</v>
      </c>
      <c r="AR1398" s="223"/>
      <c r="AS1398" s="224"/>
      <c r="AT1398" s="223">
        <f>AT1407+AT1413+AT1415+AT1420+AT1426+AT1430</f>
        <v>529.59747471763001</v>
      </c>
      <c r="AU1398" s="223"/>
      <c r="AV1398" s="224"/>
      <c r="AW1398" s="226"/>
      <c r="AX1398" s="227"/>
      <c r="AY1398" s="231">
        <f>SUM(AY1407:AY1429)</f>
        <v>401.99675199999996</v>
      </c>
      <c r="AZ1398" s="402"/>
      <c r="BA1398" s="357"/>
      <c r="BB1398" s="357"/>
      <c r="BC1398" s="357"/>
    </row>
    <row r="1399" spans="1:55" s="146" customFormat="1">
      <c r="A1399" s="179"/>
      <c r="B1399" s="179"/>
      <c r="C1399" s="179"/>
      <c r="D1399" s="181"/>
      <c r="E1399" s="181"/>
      <c r="F1399" s="181"/>
      <c r="G1399" s="181"/>
      <c r="H1399" s="467" t="s">
        <v>99</v>
      </c>
      <c r="I1399" s="467"/>
      <c r="J1399" s="223">
        <f>SUM(J1444:J1445)</f>
        <v>14.850000000000001</v>
      </c>
      <c r="K1399" s="223"/>
      <c r="L1399" s="224"/>
      <c r="M1399" s="223">
        <f>SUM(M1444:M1445)</f>
        <v>13.315999999999999</v>
      </c>
      <c r="N1399" s="223"/>
      <c r="O1399" s="224"/>
      <c r="P1399" s="223">
        <f>SUM(P1444:P1445)</f>
        <v>13.812000000000001</v>
      </c>
      <c r="Q1399" s="223"/>
      <c r="R1399" s="224"/>
      <c r="S1399" s="223">
        <f>SUM(S1444:S1445)</f>
        <v>13.92</v>
      </c>
      <c r="T1399" s="223"/>
      <c r="U1399" s="224"/>
      <c r="V1399" s="223">
        <f>SUM(V1444:V1445)</f>
        <v>13.231999999999999</v>
      </c>
      <c r="W1399" s="223"/>
      <c r="X1399" s="224"/>
      <c r="Y1399" s="223">
        <f>SUM(Y1444:Y1445)</f>
        <v>11.399999999999999</v>
      </c>
      <c r="Z1399" s="223"/>
      <c r="AA1399" s="224"/>
      <c r="AB1399" s="223">
        <f>SUM(AB1444:AB1445)</f>
        <v>11.795999999999999</v>
      </c>
      <c r="AC1399" s="223"/>
      <c r="AD1399" s="224"/>
      <c r="AE1399" s="223">
        <f>SUM(AE1444:AE1445)</f>
        <v>10.596</v>
      </c>
      <c r="AF1399" s="223"/>
      <c r="AG1399" s="224"/>
      <c r="AH1399" s="223">
        <f>SUM(AH1444:AH1445)</f>
        <v>12.071999999999999</v>
      </c>
      <c r="AI1399" s="223"/>
      <c r="AJ1399" s="224"/>
      <c r="AK1399" s="223">
        <f>SUM(AK1444:AK1445)</f>
        <v>16.149000000000001</v>
      </c>
      <c r="AL1399" s="223"/>
      <c r="AM1399" s="224"/>
      <c r="AN1399" s="223">
        <f>SUM(AN1444:AN1445)</f>
        <v>16.347000000000001</v>
      </c>
      <c r="AO1399" s="223"/>
      <c r="AP1399" s="224"/>
      <c r="AQ1399" s="223">
        <f>SUM(AQ1444:AQ1445)</f>
        <v>17.216999999999999</v>
      </c>
      <c r="AR1399" s="223"/>
      <c r="AS1399" s="224"/>
      <c r="AT1399" s="223">
        <f>SUM(AT1444:AT1445)</f>
        <v>164.70699999999999</v>
      </c>
      <c r="AU1399" s="223"/>
      <c r="AV1399" s="224"/>
      <c r="AW1399" s="226"/>
      <c r="AX1399" s="227"/>
      <c r="AY1399" s="231">
        <f>SUM(AY1444:AY1445)</f>
        <v>126.21686200000001</v>
      </c>
      <c r="AZ1399" s="402"/>
      <c r="BA1399" s="357"/>
      <c r="BB1399" s="357"/>
      <c r="BC1399" s="357"/>
    </row>
    <row r="1400" spans="1:55" s="146" customFormat="1">
      <c r="A1400" s="179"/>
      <c r="B1400" s="179"/>
      <c r="C1400" s="179"/>
      <c r="D1400" s="181"/>
      <c r="E1400" s="181"/>
      <c r="F1400" s="181"/>
      <c r="G1400" s="1110">
        <v>777018</v>
      </c>
      <c r="H1400" s="149" t="s">
        <v>349</v>
      </c>
      <c r="I1400" s="516" t="s">
        <v>364</v>
      </c>
      <c r="J1400" s="547">
        <v>63.984000000000002</v>
      </c>
      <c r="K1400" s="787"/>
      <c r="L1400" s="692"/>
      <c r="M1400" s="547">
        <v>59.856000000000002</v>
      </c>
      <c r="N1400" s="787"/>
      <c r="O1400" s="692"/>
      <c r="P1400" s="547">
        <v>63.984000000000002</v>
      </c>
      <c r="Q1400" s="787"/>
      <c r="R1400" s="692"/>
      <c r="S1400" s="547">
        <v>30.96</v>
      </c>
      <c r="T1400" s="787"/>
      <c r="U1400" s="692"/>
      <c r="V1400" s="547">
        <v>31.992000000000001</v>
      </c>
      <c r="W1400" s="787"/>
      <c r="X1400" s="692"/>
      <c r="Y1400" s="547">
        <v>17.5</v>
      </c>
      <c r="Z1400" s="787"/>
      <c r="AA1400" s="692"/>
      <c r="AB1400" s="547">
        <v>31.992000000000001</v>
      </c>
      <c r="AC1400" s="787"/>
      <c r="AD1400" s="692"/>
      <c r="AE1400" s="547">
        <v>31.992000000000001</v>
      </c>
      <c r="AF1400" s="787"/>
      <c r="AG1400" s="692"/>
      <c r="AH1400" s="547">
        <v>30.96</v>
      </c>
      <c r="AI1400" s="787"/>
      <c r="AJ1400" s="692"/>
      <c r="AK1400" s="547">
        <v>44.6</v>
      </c>
      <c r="AL1400" s="787"/>
      <c r="AM1400" s="692"/>
      <c r="AN1400" s="547">
        <v>61.92</v>
      </c>
      <c r="AO1400" s="787"/>
      <c r="AP1400" s="692"/>
      <c r="AQ1400" s="547">
        <v>63.984000000000002</v>
      </c>
      <c r="AR1400" s="262"/>
      <c r="AS1400" s="324"/>
      <c r="AT1400" s="244">
        <f t="shared" ref="AT1400:AT1445" si="55">J1400+M1400+P1400+S1400+V1400+Y1400+AB1400+AE1400+AH1400+AK1400+AN1400+AQ1400</f>
        <v>533.72400000000005</v>
      </c>
      <c r="AU1400" s="262"/>
      <c r="AV1400" s="479"/>
      <c r="AW1400" s="226"/>
      <c r="AX1400" s="440"/>
      <c r="AY1400" s="438">
        <v>565.72251100000005</v>
      </c>
      <c r="AZ1400" s="402"/>
      <c r="BA1400" s="357"/>
      <c r="BB1400" s="357"/>
      <c r="BC1400" s="357"/>
    </row>
    <row r="1401" spans="1:55" s="146" customFormat="1">
      <c r="A1401" s="179"/>
      <c r="B1401" s="179"/>
      <c r="C1401" s="179"/>
      <c r="D1401" s="181"/>
      <c r="E1401" s="181"/>
      <c r="F1401" s="181"/>
      <c r="G1401" s="1110">
        <v>777019</v>
      </c>
      <c r="H1401" s="149" t="s">
        <v>350</v>
      </c>
      <c r="I1401" s="516" t="s">
        <v>364</v>
      </c>
      <c r="J1401" s="547">
        <v>14.9</v>
      </c>
      <c r="K1401" s="787"/>
      <c r="L1401" s="692"/>
      <c r="M1401" s="547">
        <v>14.27</v>
      </c>
      <c r="N1401" s="787"/>
      <c r="O1401" s="692"/>
      <c r="P1401" s="547">
        <v>13.69</v>
      </c>
      <c r="Q1401" s="787"/>
      <c r="R1401" s="692"/>
      <c r="S1401" s="547">
        <v>7.27</v>
      </c>
      <c r="T1401" s="787"/>
      <c r="U1401" s="692"/>
      <c r="V1401" s="547">
        <v>5.21</v>
      </c>
      <c r="W1401" s="787"/>
      <c r="X1401" s="692"/>
      <c r="Y1401" s="547">
        <v>1.512</v>
      </c>
      <c r="Z1401" s="787"/>
      <c r="AA1401" s="692"/>
      <c r="AB1401" s="547">
        <v>0</v>
      </c>
      <c r="AC1401" s="787"/>
      <c r="AD1401" s="692"/>
      <c r="AE1401" s="547">
        <v>0</v>
      </c>
      <c r="AF1401" s="787"/>
      <c r="AG1401" s="692"/>
      <c r="AH1401" s="547">
        <v>5.04</v>
      </c>
      <c r="AI1401" s="787"/>
      <c r="AJ1401" s="692"/>
      <c r="AK1401" s="547">
        <v>5.21</v>
      </c>
      <c r="AL1401" s="787"/>
      <c r="AM1401" s="692"/>
      <c r="AN1401" s="547">
        <v>10.44</v>
      </c>
      <c r="AO1401" s="787"/>
      <c r="AP1401" s="692"/>
      <c r="AQ1401" s="547">
        <v>15.1</v>
      </c>
      <c r="AR1401" s="262"/>
      <c r="AS1401" s="324"/>
      <c r="AT1401" s="244">
        <f t="shared" si="55"/>
        <v>92.641999999999982</v>
      </c>
      <c r="AU1401" s="262"/>
      <c r="AV1401" s="479"/>
      <c r="AW1401" s="226"/>
      <c r="AX1401" s="440"/>
      <c r="AY1401" s="438">
        <v>60.671792000000003</v>
      </c>
      <c r="AZ1401" s="402"/>
      <c r="BA1401" s="357"/>
      <c r="BB1401" s="357"/>
      <c r="BC1401" s="357"/>
    </row>
    <row r="1402" spans="1:55" s="146" customFormat="1">
      <c r="A1402" s="179"/>
      <c r="B1402" s="179"/>
      <c r="C1402" s="179"/>
      <c r="D1402" s="181"/>
      <c r="E1402" s="181"/>
      <c r="F1402" s="181"/>
      <c r="G1402" s="1110">
        <v>777020</v>
      </c>
      <c r="H1402" s="149" t="s">
        <v>351</v>
      </c>
      <c r="I1402" s="516" t="s">
        <v>364</v>
      </c>
      <c r="J1402" s="547">
        <v>11.606</v>
      </c>
      <c r="K1402" s="787"/>
      <c r="L1402" s="692"/>
      <c r="M1402" s="547">
        <v>10.858000000000001</v>
      </c>
      <c r="N1402" s="787"/>
      <c r="O1402" s="692"/>
      <c r="P1402" s="547">
        <v>11.308999999999999</v>
      </c>
      <c r="Q1402" s="787"/>
      <c r="R1402" s="692"/>
      <c r="S1402" s="547">
        <v>2.4</v>
      </c>
      <c r="T1402" s="787"/>
      <c r="U1402" s="692"/>
      <c r="V1402" s="547">
        <v>0</v>
      </c>
      <c r="W1402" s="787"/>
      <c r="X1402" s="692"/>
      <c r="Y1402" s="547">
        <v>0</v>
      </c>
      <c r="Z1402" s="787"/>
      <c r="AA1402" s="692"/>
      <c r="AB1402" s="547">
        <v>1.21</v>
      </c>
      <c r="AC1402" s="787"/>
      <c r="AD1402" s="692"/>
      <c r="AE1402" s="547">
        <v>8.9</v>
      </c>
      <c r="AF1402" s="787"/>
      <c r="AG1402" s="692"/>
      <c r="AH1402" s="547">
        <v>8.6</v>
      </c>
      <c r="AI1402" s="787"/>
      <c r="AJ1402" s="692"/>
      <c r="AK1402" s="547">
        <v>10.416</v>
      </c>
      <c r="AL1402" s="787"/>
      <c r="AM1402" s="692"/>
      <c r="AN1402" s="547">
        <v>11.16</v>
      </c>
      <c r="AO1402" s="787"/>
      <c r="AP1402" s="692"/>
      <c r="AQ1402" s="547">
        <v>10.752000000000001</v>
      </c>
      <c r="AR1402" s="262"/>
      <c r="AS1402" s="324"/>
      <c r="AT1402" s="244">
        <f t="shared" si="55"/>
        <v>87.210999999999984</v>
      </c>
      <c r="AU1402" s="262"/>
      <c r="AV1402" s="479"/>
      <c r="AW1402" s="226"/>
      <c r="AX1402" s="440"/>
      <c r="AY1402" s="438">
        <v>38.211129</v>
      </c>
      <c r="AZ1402" s="402"/>
      <c r="BA1402" s="357"/>
      <c r="BB1402" s="357"/>
      <c r="BC1402" s="357"/>
    </row>
    <row r="1403" spans="1:55" s="146" customFormat="1">
      <c r="A1403" s="179"/>
      <c r="B1403" s="179"/>
      <c r="C1403" s="179"/>
      <c r="D1403" s="181"/>
      <c r="E1403" s="181"/>
      <c r="F1403" s="181"/>
      <c r="G1403" s="1211">
        <v>777695</v>
      </c>
      <c r="H1403" s="149" t="s">
        <v>1254</v>
      </c>
      <c r="I1403" s="516" t="s">
        <v>364</v>
      </c>
      <c r="J1403" s="547">
        <v>20.5</v>
      </c>
      <c r="K1403" s="787"/>
      <c r="L1403" s="692"/>
      <c r="M1403" s="547">
        <v>20.5</v>
      </c>
      <c r="N1403" s="787"/>
      <c r="O1403" s="692"/>
      <c r="P1403" s="547">
        <v>21</v>
      </c>
      <c r="Q1403" s="787"/>
      <c r="R1403" s="692"/>
      <c r="S1403" s="547">
        <v>19.3</v>
      </c>
      <c r="T1403" s="787"/>
      <c r="U1403" s="692"/>
      <c r="V1403" s="547">
        <v>22</v>
      </c>
      <c r="W1403" s="787"/>
      <c r="X1403" s="692"/>
      <c r="Y1403" s="547">
        <v>19.8</v>
      </c>
      <c r="Z1403" s="787"/>
      <c r="AA1403" s="692"/>
      <c r="AB1403" s="547">
        <v>22</v>
      </c>
      <c r="AC1403" s="787"/>
      <c r="AD1403" s="692"/>
      <c r="AE1403" s="547">
        <v>18.5</v>
      </c>
      <c r="AF1403" s="787"/>
      <c r="AG1403" s="692"/>
      <c r="AH1403" s="547">
        <v>21.06</v>
      </c>
      <c r="AI1403" s="787"/>
      <c r="AJ1403" s="692"/>
      <c r="AK1403" s="547">
        <v>21.96</v>
      </c>
      <c r="AL1403" s="787"/>
      <c r="AM1403" s="692"/>
      <c r="AN1403" s="547">
        <v>20.100000000000001</v>
      </c>
      <c r="AO1403" s="787"/>
      <c r="AP1403" s="692"/>
      <c r="AQ1403" s="547">
        <v>22.32</v>
      </c>
      <c r="AR1403" s="262"/>
      <c r="AS1403" s="324"/>
      <c r="AT1403" s="244">
        <f t="shared" si="55"/>
        <v>249.04</v>
      </c>
      <c r="AU1403" s="262"/>
      <c r="AV1403" s="479"/>
      <c r="AW1403" s="226"/>
      <c r="AX1403" s="440"/>
      <c r="AY1403" s="438">
        <v>154.289714</v>
      </c>
      <c r="AZ1403" s="402"/>
      <c r="BA1403" s="357"/>
      <c r="BB1403" s="357"/>
      <c r="BC1403" s="357"/>
    </row>
    <row r="1404" spans="1:55" s="146" customFormat="1">
      <c r="A1404" s="179"/>
      <c r="B1404" s="179"/>
      <c r="C1404" s="179"/>
      <c r="D1404" s="181"/>
      <c r="E1404" s="181"/>
      <c r="F1404" s="181"/>
      <c r="G1404" s="1110">
        <v>777130</v>
      </c>
      <c r="H1404" s="149" t="s">
        <v>352</v>
      </c>
      <c r="I1404" s="516" t="s">
        <v>364</v>
      </c>
      <c r="J1404" s="547">
        <v>1</v>
      </c>
      <c r="K1404" s="787"/>
      <c r="L1404" s="692"/>
      <c r="M1404" s="547">
        <v>0.5</v>
      </c>
      <c r="N1404" s="787"/>
      <c r="O1404" s="692"/>
      <c r="P1404" s="547">
        <v>0.5</v>
      </c>
      <c r="Q1404" s="787"/>
      <c r="R1404" s="692"/>
      <c r="S1404" s="547">
        <v>0.5</v>
      </c>
      <c r="T1404" s="787"/>
      <c r="U1404" s="692"/>
      <c r="V1404" s="547">
        <v>0.5</v>
      </c>
      <c r="W1404" s="787"/>
      <c r="X1404" s="692"/>
      <c r="Y1404" s="547">
        <v>0.5</v>
      </c>
      <c r="Z1404" s="787"/>
      <c r="AA1404" s="692"/>
      <c r="AB1404" s="547">
        <v>1</v>
      </c>
      <c r="AC1404" s="787"/>
      <c r="AD1404" s="692"/>
      <c r="AE1404" s="547">
        <v>1</v>
      </c>
      <c r="AF1404" s="787"/>
      <c r="AG1404" s="692"/>
      <c r="AH1404" s="547">
        <v>0.5</v>
      </c>
      <c r="AI1404" s="787"/>
      <c r="AJ1404" s="692"/>
      <c r="AK1404" s="547">
        <v>0.5</v>
      </c>
      <c r="AL1404" s="787"/>
      <c r="AM1404" s="692"/>
      <c r="AN1404" s="547">
        <v>0.5</v>
      </c>
      <c r="AO1404" s="787"/>
      <c r="AP1404" s="692"/>
      <c r="AQ1404" s="547">
        <v>0.5</v>
      </c>
      <c r="AR1404" s="262"/>
      <c r="AS1404" s="324"/>
      <c r="AT1404" s="244">
        <f t="shared" si="55"/>
        <v>7.5</v>
      </c>
      <c r="AU1404" s="262"/>
      <c r="AV1404" s="479"/>
      <c r="AW1404" s="226"/>
      <c r="AX1404" s="440"/>
      <c r="AY1404" s="438">
        <v>138.08204799999999</v>
      </c>
      <c r="AZ1404" s="402"/>
      <c r="BA1404" s="357"/>
      <c r="BB1404" s="357"/>
      <c r="BC1404" s="357"/>
    </row>
    <row r="1405" spans="1:55" s="146" customFormat="1">
      <c r="A1405" s="179"/>
      <c r="B1405" s="179"/>
      <c r="C1405" s="179"/>
      <c r="D1405" s="181"/>
      <c r="E1405" s="181"/>
      <c r="F1405" s="181"/>
      <c r="G1405" s="1110">
        <v>777127</v>
      </c>
      <c r="H1405" s="149" t="s">
        <v>353</v>
      </c>
      <c r="I1405" s="516" t="s">
        <v>364</v>
      </c>
      <c r="J1405" s="547">
        <v>1</v>
      </c>
      <c r="K1405" s="787"/>
      <c r="L1405" s="692"/>
      <c r="M1405" s="547">
        <v>1</v>
      </c>
      <c r="N1405" s="787"/>
      <c r="O1405" s="692"/>
      <c r="P1405" s="547">
        <v>0.5</v>
      </c>
      <c r="Q1405" s="787"/>
      <c r="R1405" s="692"/>
      <c r="S1405" s="547">
        <v>0.5</v>
      </c>
      <c r="T1405" s="787"/>
      <c r="U1405" s="692"/>
      <c r="V1405" s="547">
        <v>0.5</v>
      </c>
      <c r="W1405" s="787"/>
      <c r="X1405" s="692"/>
      <c r="Y1405" s="547">
        <v>0.5</v>
      </c>
      <c r="Z1405" s="787"/>
      <c r="AA1405" s="692"/>
      <c r="AB1405" s="547">
        <v>1</v>
      </c>
      <c r="AC1405" s="787"/>
      <c r="AD1405" s="692"/>
      <c r="AE1405" s="547">
        <v>1</v>
      </c>
      <c r="AF1405" s="787"/>
      <c r="AG1405" s="692"/>
      <c r="AH1405" s="547">
        <v>0.5</v>
      </c>
      <c r="AI1405" s="787"/>
      <c r="AJ1405" s="692"/>
      <c r="AK1405" s="547">
        <v>0.5</v>
      </c>
      <c r="AL1405" s="787"/>
      <c r="AM1405" s="692"/>
      <c r="AN1405" s="547">
        <v>0.5</v>
      </c>
      <c r="AO1405" s="787"/>
      <c r="AP1405" s="692"/>
      <c r="AQ1405" s="547">
        <v>0.5</v>
      </c>
      <c r="AR1405" s="262"/>
      <c r="AS1405" s="324"/>
      <c r="AT1405" s="244">
        <f t="shared" si="55"/>
        <v>8</v>
      </c>
      <c r="AU1405" s="262"/>
      <c r="AV1405" s="479"/>
      <c r="AW1405" s="226"/>
      <c r="AX1405" s="440"/>
      <c r="AY1405" s="438">
        <v>153.99654799999999</v>
      </c>
      <c r="AZ1405" s="402"/>
      <c r="BA1405" s="357"/>
      <c r="BB1405" s="357"/>
      <c r="BC1405" s="357"/>
    </row>
    <row r="1406" spans="1:55" s="146" customFormat="1">
      <c r="A1406" s="179"/>
      <c r="B1406" s="179"/>
      <c r="C1406" s="179"/>
      <c r="D1406" s="181"/>
      <c r="E1406" s="181"/>
      <c r="F1406" s="181"/>
      <c r="G1406" s="1110">
        <v>777302</v>
      </c>
      <c r="H1406" s="149" t="s">
        <v>1826</v>
      </c>
      <c r="I1406" s="516"/>
      <c r="J1406" s="547">
        <v>323.26</v>
      </c>
      <c r="K1406" s="787"/>
      <c r="L1406" s="692"/>
      <c r="M1406" s="547">
        <v>166.45</v>
      </c>
      <c r="N1406" s="787"/>
      <c r="O1406" s="692"/>
      <c r="P1406" s="547">
        <v>171.84</v>
      </c>
      <c r="Q1406" s="787"/>
      <c r="R1406" s="692"/>
      <c r="S1406" s="547">
        <v>159.23384568</v>
      </c>
      <c r="T1406" s="787"/>
      <c r="U1406" s="692"/>
      <c r="V1406" s="1020">
        <f>156.877513884-40</f>
        <v>116.877513884</v>
      </c>
      <c r="W1406" s="787"/>
      <c r="X1406" s="692"/>
      <c r="Y1406" s="1020">
        <f>167.24-40</f>
        <v>127.24000000000001</v>
      </c>
      <c r="Z1406" s="787"/>
      <c r="AA1406" s="692"/>
      <c r="AB1406" s="1020">
        <f>306.61-136</f>
        <v>170.61</v>
      </c>
      <c r="AC1406" s="787"/>
      <c r="AD1406" s="692"/>
      <c r="AE1406" s="1020">
        <f>306.61-136</f>
        <v>170.61</v>
      </c>
      <c r="AF1406" s="787"/>
      <c r="AG1406" s="692"/>
      <c r="AH1406" s="1020">
        <f>296.72-130</f>
        <v>166.72000000000003</v>
      </c>
      <c r="AI1406" s="787"/>
      <c r="AJ1406" s="692"/>
      <c r="AK1406" s="1020">
        <f>224.19-55</f>
        <v>169.19</v>
      </c>
      <c r="AL1406" s="787"/>
      <c r="AM1406" s="692"/>
      <c r="AN1406" s="1020">
        <f>322.72-50</f>
        <v>272.72000000000003</v>
      </c>
      <c r="AO1406" s="787"/>
      <c r="AP1406" s="692"/>
      <c r="AQ1406" s="547">
        <v>323.26</v>
      </c>
      <c r="AR1406" s="262"/>
      <c r="AS1406" s="324"/>
      <c r="AT1406" s="244">
        <f t="shared" si="55"/>
        <v>2338.0113595640005</v>
      </c>
      <c r="AU1406" s="262"/>
      <c r="AV1406" s="479"/>
      <c r="AW1406" s="226"/>
      <c r="AX1406" s="440"/>
      <c r="AY1406" s="438">
        <v>473.96239029999998</v>
      </c>
      <c r="AZ1406" s="402"/>
      <c r="BA1406" s="357"/>
      <c r="BB1406" s="357"/>
      <c r="BC1406" s="357"/>
    </row>
    <row r="1407" spans="1:55" s="146" customFormat="1">
      <c r="A1407" s="179"/>
      <c r="B1407" s="179"/>
      <c r="C1407" s="179"/>
      <c r="D1407" s="181"/>
      <c r="E1407" s="181"/>
      <c r="F1407" s="181"/>
      <c r="G1407" s="1110"/>
      <c r="H1407" s="947" t="s">
        <v>354</v>
      </c>
      <c r="I1407" s="533" t="s">
        <v>365</v>
      </c>
      <c r="J1407" s="787">
        <f>J1408+J1409+J1410+J1411+J1412</f>
        <v>4.3950820000000004</v>
      </c>
      <c r="K1407" s="787"/>
      <c r="L1407" s="692"/>
      <c r="M1407" s="787">
        <f>M1408+M1409+M1410+M1411+M1412</f>
        <v>6.1457800000000002</v>
      </c>
      <c r="N1407" s="787"/>
      <c r="O1407" s="946"/>
      <c r="P1407" s="927">
        <f>P1408+P1409+P1410+P1411+P1412</f>
        <v>9.4409080000000003</v>
      </c>
      <c r="Q1407" s="787"/>
      <c r="R1407" s="692"/>
      <c r="S1407" s="787">
        <f>S1408+S1409+S1410+S1411+S1412</f>
        <v>16.674792</v>
      </c>
      <c r="T1407" s="787"/>
      <c r="U1407" s="946"/>
      <c r="V1407" s="927">
        <f>V1408+V1409+V1410+V1411+V1412</f>
        <v>17.6494411561</v>
      </c>
      <c r="W1407" s="787"/>
      <c r="X1407" s="692"/>
      <c r="Y1407" s="787">
        <f>Y1408+Y1409+Y1410+Y1411+Y1412</f>
        <v>17.090264999999999</v>
      </c>
      <c r="Z1407" s="787"/>
      <c r="AA1407" s="692"/>
      <c r="AB1407" s="787">
        <f>AB1408+AB1409+AB1410+AB1411+AB1412</f>
        <v>16.840629</v>
      </c>
      <c r="AC1407" s="787"/>
      <c r="AD1407" s="946"/>
      <c r="AE1407" s="927">
        <f>AE1408+AE1409+AE1410+AE1411+AE1412</f>
        <v>17.806807623699999</v>
      </c>
      <c r="AF1407" s="787"/>
      <c r="AG1407" s="692"/>
      <c r="AH1407" s="787">
        <f>AH1408+AH1409+AH1410+AH1411+AH1412</f>
        <v>13.910318999999998</v>
      </c>
      <c r="AI1407" s="787"/>
      <c r="AJ1407" s="946"/>
      <c r="AK1407" s="927">
        <f>AK1408+AK1409+AK1410+AK1411+AK1412</f>
        <v>12.222473000000001</v>
      </c>
      <c r="AL1407" s="787"/>
      <c r="AM1407" s="692"/>
      <c r="AN1407" s="787">
        <f>AN1408+AN1409+AN1410+AN1411+AN1412</f>
        <v>6.2180679858300012</v>
      </c>
      <c r="AO1407" s="787"/>
      <c r="AP1407" s="946"/>
      <c r="AQ1407" s="927">
        <f>AQ1408+AQ1409+AQ1410+AQ1411+AQ1412</f>
        <v>3.1072320000000002</v>
      </c>
      <c r="AR1407" s="262"/>
      <c r="AS1407" s="324"/>
      <c r="AT1407" s="787">
        <f>AT1408+AT1409+AT1410+AT1411+AT1412</f>
        <v>141.50179676562999</v>
      </c>
      <c r="AU1407" s="262"/>
      <c r="AV1407" s="479"/>
      <c r="AW1407" s="226"/>
      <c r="AX1407" s="440"/>
      <c r="AY1407" s="1245">
        <v>401.99675199999996</v>
      </c>
      <c r="AZ1407" s="402"/>
      <c r="BA1407" s="357"/>
      <c r="BB1407" s="357"/>
      <c r="BC1407" s="357"/>
    </row>
    <row r="1408" spans="1:55" s="146" customFormat="1">
      <c r="A1408" s="179"/>
      <c r="B1408" s="179"/>
      <c r="C1408" s="179"/>
      <c r="D1408" s="181"/>
      <c r="E1408" s="181"/>
      <c r="F1408" s="181"/>
      <c r="G1408" s="1110">
        <v>777139</v>
      </c>
      <c r="H1408" s="149" t="s">
        <v>1162</v>
      </c>
      <c r="I1408" s="533"/>
      <c r="J1408" s="547">
        <v>0.87</v>
      </c>
      <c r="K1408" s="787"/>
      <c r="L1408" s="692"/>
      <c r="M1408" s="547">
        <v>1.2</v>
      </c>
      <c r="N1408" s="787"/>
      <c r="O1408" s="692"/>
      <c r="P1408" s="547">
        <v>1.85</v>
      </c>
      <c r="Q1408" s="787"/>
      <c r="R1408" s="692"/>
      <c r="S1408" s="547">
        <v>3.44</v>
      </c>
      <c r="T1408" s="787"/>
      <c r="U1408" s="692"/>
      <c r="V1408" s="547">
        <v>3.48</v>
      </c>
      <c r="W1408" s="787"/>
      <c r="X1408" s="692"/>
      <c r="Y1408" s="547">
        <v>3.37</v>
      </c>
      <c r="Z1408" s="787"/>
      <c r="AA1408" s="692"/>
      <c r="AB1408" s="547">
        <v>3.3</v>
      </c>
      <c r="AC1408" s="787"/>
      <c r="AD1408" s="692"/>
      <c r="AE1408" s="547">
        <v>3.48</v>
      </c>
      <c r="AF1408" s="787"/>
      <c r="AG1408" s="692"/>
      <c r="AH1408" s="547">
        <v>2.57</v>
      </c>
      <c r="AI1408" s="787"/>
      <c r="AJ1408" s="692"/>
      <c r="AK1408" s="547">
        <v>2.39</v>
      </c>
      <c r="AL1408" s="787"/>
      <c r="AM1408" s="692"/>
      <c r="AN1408" s="547">
        <v>1.22</v>
      </c>
      <c r="AO1408" s="787"/>
      <c r="AP1408" s="692"/>
      <c r="AQ1408" s="547">
        <v>0.56000000000000005</v>
      </c>
      <c r="AR1408" s="262"/>
      <c r="AS1408" s="324"/>
      <c r="AT1408" s="244">
        <f t="shared" si="55"/>
        <v>27.73</v>
      </c>
      <c r="AU1408" s="262"/>
      <c r="AV1408" s="479"/>
      <c r="AW1408" s="226"/>
      <c r="AX1408" s="440"/>
      <c r="AY1408" s="1246"/>
      <c r="AZ1408" s="402"/>
      <c r="BA1408" s="357"/>
      <c r="BB1408" s="357"/>
      <c r="BC1408" s="357"/>
    </row>
    <row r="1409" spans="1:55" s="146" customFormat="1">
      <c r="A1409" s="179"/>
      <c r="B1409" s="179"/>
      <c r="C1409" s="179"/>
      <c r="D1409" s="181"/>
      <c r="E1409" s="181"/>
      <c r="F1409" s="181"/>
      <c r="G1409" s="1110">
        <v>777142</v>
      </c>
      <c r="H1409" s="149" t="s">
        <v>1163</v>
      </c>
      <c r="I1409" s="533"/>
      <c r="J1409" s="547">
        <v>0.9</v>
      </c>
      <c r="K1409" s="787"/>
      <c r="L1409" s="692"/>
      <c r="M1409" s="547">
        <v>1.3</v>
      </c>
      <c r="N1409" s="787"/>
      <c r="O1409" s="692"/>
      <c r="P1409" s="547">
        <v>2.04</v>
      </c>
      <c r="Q1409" s="787"/>
      <c r="R1409" s="692"/>
      <c r="S1409" s="547">
        <v>3.07</v>
      </c>
      <c r="T1409" s="787"/>
      <c r="U1409" s="692"/>
      <c r="V1409" s="547">
        <v>3.8</v>
      </c>
      <c r="W1409" s="787"/>
      <c r="X1409" s="692"/>
      <c r="Y1409" s="547">
        <v>3.7</v>
      </c>
      <c r="Z1409" s="787"/>
      <c r="AA1409" s="692"/>
      <c r="AB1409" s="547">
        <v>3.6</v>
      </c>
      <c r="AC1409" s="787"/>
      <c r="AD1409" s="692"/>
      <c r="AE1409" s="547">
        <v>3.8</v>
      </c>
      <c r="AF1409" s="787"/>
      <c r="AG1409" s="692"/>
      <c r="AH1409" s="547">
        <v>2.8</v>
      </c>
      <c r="AI1409" s="787"/>
      <c r="AJ1409" s="692"/>
      <c r="AK1409" s="547">
        <v>2.6</v>
      </c>
      <c r="AL1409" s="787"/>
      <c r="AM1409" s="692"/>
      <c r="AN1409" s="547">
        <v>1.3</v>
      </c>
      <c r="AO1409" s="787"/>
      <c r="AP1409" s="692"/>
      <c r="AQ1409" s="547">
        <v>0.8</v>
      </c>
      <c r="AR1409" s="262"/>
      <c r="AS1409" s="324"/>
      <c r="AT1409" s="244">
        <f t="shared" si="55"/>
        <v>29.710000000000004</v>
      </c>
      <c r="AU1409" s="262"/>
      <c r="AV1409" s="479"/>
      <c r="AW1409" s="226"/>
      <c r="AX1409" s="440"/>
      <c r="AY1409" s="1246"/>
      <c r="AZ1409" s="402"/>
      <c r="BA1409" s="357"/>
      <c r="BB1409" s="357"/>
      <c r="BC1409" s="357"/>
    </row>
    <row r="1410" spans="1:55" s="146" customFormat="1">
      <c r="A1410" s="179"/>
      <c r="B1410" s="179"/>
      <c r="C1410" s="179"/>
      <c r="D1410" s="181"/>
      <c r="E1410" s="181"/>
      <c r="F1410" s="181"/>
      <c r="G1410" s="1110">
        <v>777141</v>
      </c>
      <c r="H1410" s="149" t="s">
        <v>1164</v>
      </c>
      <c r="I1410" s="533"/>
      <c r="J1410" s="547">
        <v>0.93</v>
      </c>
      <c r="K1410" s="787"/>
      <c r="L1410" s="692"/>
      <c r="M1410" s="547">
        <v>1.27</v>
      </c>
      <c r="N1410" s="787"/>
      <c r="O1410" s="692"/>
      <c r="P1410" s="547">
        <v>1.94</v>
      </c>
      <c r="Q1410" s="787"/>
      <c r="R1410" s="692"/>
      <c r="S1410" s="547">
        <v>3.54</v>
      </c>
      <c r="T1410" s="787"/>
      <c r="U1410" s="692"/>
      <c r="V1410" s="547">
        <v>3.64</v>
      </c>
      <c r="W1410" s="787"/>
      <c r="X1410" s="692"/>
      <c r="Y1410" s="547">
        <v>3.53</v>
      </c>
      <c r="Z1410" s="787"/>
      <c r="AA1410" s="692"/>
      <c r="AB1410" s="547">
        <v>3.53</v>
      </c>
      <c r="AC1410" s="787"/>
      <c r="AD1410" s="692"/>
      <c r="AE1410" s="547">
        <v>3.66</v>
      </c>
      <c r="AF1410" s="787"/>
      <c r="AG1410" s="692"/>
      <c r="AH1410" s="547">
        <v>3.44</v>
      </c>
      <c r="AI1410" s="787"/>
      <c r="AJ1410" s="692"/>
      <c r="AK1410" s="547">
        <v>2.4700000000000002</v>
      </c>
      <c r="AL1410" s="787"/>
      <c r="AM1410" s="692"/>
      <c r="AN1410" s="547">
        <v>1.26</v>
      </c>
      <c r="AO1410" s="787"/>
      <c r="AP1410" s="692"/>
      <c r="AQ1410" s="547">
        <v>0.59</v>
      </c>
      <c r="AR1410" s="262"/>
      <c r="AS1410" s="324"/>
      <c r="AT1410" s="244">
        <f t="shared" si="55"/>
        <v>29.8</v>
      </c>
      <c r="AU1410" s="262"/>
      <c r="AV1410" s="479"/>
      <c r="AW1410" s="226"/>
      <c r="AX1410" s="440"/>
      <c r="AY1410" s="1246"/>
      <c r="AZ1410" s="402"/>
      <c r="BA1410" s="357"/>
      <c r="BB1410" s="357"/>
      <c r="BC1410" s="357"/>
    </row>
    <row r="1411" spans="1:55" s="146" customFormat="1">
      <c r="A1411" s="179"/>
      <c r="B1411" s="179"/>
      <c r="C1411" s="179"/>
      <c r="D1411" s="181"/>
      <c r="E1411" s="181"/>
      <c r="F1411" s="181"/>
      <c r="G1411" s="1110">
        <v>777140</v>
      </c>
      <c r="H1411" s="149" t="s">
        <v>1165</v>
      </c>
      <c r="I1411" s="533"/>
      <c r="J1411" s="547">
        <v>0.74508200000000013</v>
      </c>
      <c r="K1411" s="787"/>
      <c r="L1411" s="692"/>
      <c r="M1411" s="547">
        <v>1.0557799999999997</v>
      </c>
      <c r="N1411" s="787"/>
      <c r="O1411" s="692"/>
      <c r="P1411" s="547">
        <v>1.610908</v>
      </c>
      <c r="Q1411" s="787"/>
      <c r="R1411" s="692"/>
      <c r="S1411" s="547">
        <v>2.9547919999999999</v>
      </c>
      <c r="T1411" s="787"/>
      <c r="U1411" s="692"/>
      <c r="V1411" s="547">
        <v>2.9994411561000001</v>
      </c>
      <c r="W1411" s="787"/>
      <c r="X1411" s="692"/>
      <c r="Y1411" s="547">
        <v>2.8702649999999998</v>
      </c>
      <c r="Z1411" s="787"/>
      <c r="AA1411" s="692"/>
      <c r="AB1411" s="547">
        <v>2.8606289999999994</v>
      </c>
      <c r="AC1411" s="787"/>
      <c r="AD1411" s="692"/>
      <c r="AE1411" s="547">
        <v>3.1268076237</v>
      </c>
      <c r="AF1411" s="787"/>
      <c r="AG1411" s="692"/>
      <c r="AH1411" s="547">
        <v>2.3503189999999998</v>
      </c>
      <c r="AI1411" s="787"/>
      <c r="AJ1411" s="692"/>
      <c r="AK1411" s="547">
        <v>2.2124730000000001</v>
      </c>
      <c r="AL1411" s="787"/>
      <c r="AM1411" s="692"/>
      <c r="AN1411" s="547">
        <v>1.1480679858300005</v>
      </c>
      <c r="AO1411" s="787"/>
      <c r="AP1411" s="692"/>
      <c r="AQ1411" s="547">
        <v>0.54723200000000005</v>
      </c>
      <c r="AR1411" s="262"/>
      <c r="AS1411" s="324"/>
      <c r="AT1411" s="244">
        <f t="shared" si="55"/>
        <v>24.481796765629998</v>
      </c>
      <c r="AU1411" s="262"/>
      <c r="AV1411" s="479"/>
      <c r="AW1411" s="226"/>
      <c r="AX1411" s="440"/>
      <c r="AY1411" s="1246"/>
      <c r="AZ1411" s="402"/>
      <c r="BA1411" s="357"/>
      <c r="BB1411" s="357"/>
      <c r="BC1411" s="357"/>
    </row>
    <row r="1412" spans="1:55" s="146" customFormat="1">
      <c r="A1412" s="179"/>
      <c r="B1412" s="179"/>
      <c r="C1412" s="179"/>
      <c r="D1412" s="181"/>
      <c r="E1412" s="181"/>
      <c r="F1412" s="181"/>
      <c r="G1412" s="1110">
        <v>777143</v>
      </c>
      <c r="H1412" s="149" t="s">
        <v>1166</v>
      </c>
      <c r="I1412" s="533"/>
      <c r="J1412" s="547">
        <v>0.95</v>
      </c>
      <c r="K1412" s="787"/>
      <c r="L1412" s="692"/>
      <c r="M1412" s="547">
        <v>1.32</v>
      </c>
      <c r="N1412" s="787"/>
      <c r="O1412" s="692"/>
      <c r="P1412" s="547">
        <v>2</v>
      </c>
      <c r="Q1412" s="787"/>
      <c r="R1412" s="692"/>
      <c r="S1412" s="547">
        <v>3.67</v>
      </c>
      <c r="T1412" s="787"/>
      <c r="U1412" s="692"/>
      <c r="V1412" s="547">
        <v>3.73</v>
      </c>
      <c r="W1412" s="787"/>
      <c r="X1412" s="692"/>
      <c r="Y1412" s="547">
        <v>3.62</v>
      </c>
      <c r="Z1412" s="787"/>
      <c r="AA1412" s="692"/>
      <c r="AB1412" s="547">
        <v>3.55</v>
      </c>
      <c r="AC1412" s="787"/>
      <c r="AD1412" s="692"/>
      <c r="AE1412" s="547">
        <v>3.74</v>
      </c>
      <c r="AF1412" s="787"/>
      <c r="AG1412" s="692"/>
      <c r="AH1412" s="547">
        <v>2.75</v>
      </c>
      <c r="AI1412" s="787"/>
      <c r="AJ1412" s="692"/>
      <c r="AK1412" s="547">
        <v>2.5499999999999998</v>
      </c>
      <c r="AL1412" s="787"/>
      <c r="AM1412" s="692"/>
      <c r="AN1412" s="547">
        <v>1.29</v>
      </c>
      <c r="AO1412" s="787"/>
      <c r="AP1412" s="692"/>
      <c r="AQ1412" s="547">
        <v>0.61</v>
      </c>
      <c r="AR1412" s="262"/>
      <c r="AS1412" s="324"/>
      <c r="AT1412" s="244">
        <f t="shared" si="55"/>
        <v>29.779999999999998</v>
      </c>
      <c r="AU1412" s="262"/>
      <c r="AV1412" s="479"/>
      <c r="AW1412" s="226"/>
      <c r="AX1412" s="440"/>
      <c r="AY1412" s="1246"/>
      <c r="AZ1412" s="402"/>
      <c r="BA1412" s="357"/>
      <c r="BB1412" s="357"/>
      <c r="BC1412" s="357"/>
    </row>
    <row r="1413" spans="1:55" s="146" customFormat="1">
      <c r="A1413" s="179"/>
      <c r="B1413" s="179"/>
      <c r="C1413" s="179"/>
      <c r="D1413" s="181"/>
      <c r="E1413" s="181"/>
      <c r="F1413" s="181"/>
      <c r="G1413" s="1110"/>
      <c r="H1413" s="947" t="s">
        <v>356</v>
      </c>
      <c r="I1413" s="533" t="s">
        <v>365</v>
      </c>
      <c r="J1413" s="787">
        <f>J1414</f>
        <v>1.1842860000000017</v>
      </c>
      <c r="K1413" s="787"/>
      <c r="L1413" s="692"/>
      <c r="M1413" s="787">
        <f>M1414</f>
        <v>1.6696320000000051</v>
      </c>
      <c r="N1413" s="787"/>
      <c r="O1413" s="692"/>
      <c r="P1413" s="787">
        <f>P1414</f>
        <v>2.8712280000000043</v>
      </c>
      <c r="Q1413" s="787"/>
      <c r="R1413" s="692"/>
      <c r="S1413" s="787">
        <f>S1414</f>
        <v>5.203883999999996</v>
      </c>
      <c r="T1413" s="787"/>
      <c r="U1413" s="692"/>
      <c r="V1413" s="787">
        <f>V1414</f>
        <v>5.4772259999999999</v>
      </c>
      <c r="W1413" s="787"/>
      <c r="X1413" s="692"/>
      <c r="Y1413" s="787">
        <f>Y1414</f>
        <v>5.3860980000000023</v>
      </c>
      <c r="Z1413" s="787"/>
      <c r="AA1413" s="692"/>
      <c r="AB1413" s="787">
        <f>AB1414</f>
        <v>5.3171879999999945</v>
      </c>
      <c r="AC1413" s="787"/>
      <c r="AD1413" s="692"/>
      <c r="AE1413" s="787">
        <f>AE1414</f>
        <v>5.4770940000000028</v>
      </c>
      <c r="AF1413" s="787"/>
      <c r="AG1413" s="692"/>
      <c r="AH1413" s="787">
        <f>AH1414</f>
        <v>4.1345639999999992</v>
      </c>
      <c r="AI1413" s="787"/>
      <c r="AJ1413" s="692"/>
      <c r="AK1413" s="787">
        <f>AK1414</f>
        <v>3.7896299999999967</v>
      </c>
      <c r="AL1413" s="787"/>
      <c r="AM1413" s="692"/>
      <c r="AN1413" s="787">
        <f>AN1414</f>
        <v>1.4687219999999961</v>
      </c>
      <c r="AO1413" s="787"/>
      <c r="AP1413" s="692"/>
      <c r="AQ1413" s="787">
        <f>AQ1414</f>
        <v>0.60487199999999908</v>
      </c>
      <c r="AR1413" s="262"/>
      <c r="AS1413" s="324"/>
      <c r="AT1413" s="787">
        <f>AT1414</f>
        <v>42.584423999999999</v>
      </c>
      <c r="AU1413" s="262"/>
      <c r="AV1413" s="479"/>
      <c r="AW1413" s="226"/>
      <c r="AX1413" s="440"/>
      <c r="AY1413" s="1246"/>
      <c r="AZ1413" s="402"/>
      <c r="BA1413" s="357"/>
      <c r="BB1413" s="357"/>
      <c r="BC1413" s="357"/>
    </row>
    <row r="1414" spans="1:55" s="146" customFormat="1">
      <c r="A1414" s="179"/>
      <c r="B1414" s="179"/>
      <c r="C1414" s="179"/>
      <c r="D1414" s="181"/>
      <c r="E1414" s="181"/>
      <c r="F1414" s="181"/>
      <c r="G1414" s="1110">
        <v>777119</v>
      </c>
      <c r="H1414" s="948" t="s">
        <v>1167</v>
      </c>
      <c r="I1414" s="533"/>
      <c r="J1414" s="547">
        <v>1.1842860000000017</v>
      </c>
      <c r="K1414" s="787"/>
      <c r="L1414" s="692"/>
      <c r="M1414" s="547">
        <v>1.6696320000000051</v>
      </c>
      <c r="N1414" s="787"/>
      <c r="O1414" s="692"/>
      <c r="P1414" s="547">
        <v>2.8712280000000043</v>
      </c>
      <c r="Q1414" s="787"/>
      <c r="R1414" s="692"/>
      <c r="S1414" s="547">
        <v>5.203883999999996</v>
      </c>
      <c r="T1414" s="787"/>
      <c r="U1414" s="692"/>
      <c r="V1414" s="547">
        <v>5.4772259999999999</v>
      </c>
      <c r="W1414" s="787"/>
      <c r="X1414" s="692"/>
      <c r="Y1414" s="547">
        <v>5.3860980000000023</v>
      </c>
      <c r="Z1414" s="787"/>
      <c r="AA1414" s="692"/>
      <c r="AB1414" s="547">
        <v>5.3171879999999945</v>
      </c>
      <c r="AC1414" s="787"/>
      <c r="AD1414" s="692"/>
      <c r="AE1414" s="547">
        <v>5.4770940000000028</v>
      </c>
      <c r="AF1414" s="787"/>
      <c r="AG1414" s="692"/>
      <c r="AH1414" s="547">
        <v>4.1345639999999992</v>
      </c>
      <c r="AI1414" s="787"/>
      <c r="AJ1414" s="692"/>
      <c r="AK1414" s="547">
        <v>3.7896299999999967</v>
      </c>
      <c r="AL1414" s="787"/>
      <c r="AM1414" s="692"/>
      <c r="AN1414" s="547">
        <v>1.4687219999999961</v>
      </c>
      <c r="AO1414" s="787"/>
      <c r="AP1414" s="692"/>
      <c r="AQ1414" s="547">
        <v>0.60487199999999908</v>
      </c>
      <c r="AR1414" s="262"/>
      <c r="AS1414" s="324"/>
      <c r="AT1414" s="244">
        <f t="shared" si="55"/>
        <v>42.584423999999999</v>
      </c>
      <c r="AU1414" s="262"/>
      <c r="AV1414" s="479"/>
      <c r="AW1414" s="226"/>
      <c r="AX1414" s="440"/>
      <c r="AY1414" s="1246"/>
      <c r="AZ1414" s="402"/>
      <c r="BA1414" s="357"/>
      <c r="BB1414" s="357"/>
      <c r="BC1414" s="357"/>
    </row>
    <row r="1415" spans="1:55" s="146" customFormat="1">
      <c r="A1415" s="179"/>
      <c r="B1415" s="179"/>
      <c r="C1415" s="179"/>
      <c r="D1415" s="181"/>
      <c r="E1415" s="181"/>
      <c r="F1415" s="181"/>
      <c r="G1415" s="1110"/>
      <c r="H1415" s="947" t="s">
        <v>355</v>
      </c>
      <c r="I1415" s="533" t="s">
        <v>365</v>
      </c>
      <c r="J1415" s="787">
        <f>J1416+J1417+J1418+J1419</f>
        <v>3.4940469000000003</v>
      </c>
      <c r="K1415" s="787"/>
      <c r="L1415" s="692"/>
      <c r="M1415" s="787">
        <f>M1416+M1417+M1418+M1419</f>
        <v>4.7161280000000003</v>
      </c>
      <c r="N1415" s="787"/>
      <c r="O1415" s="692"/>
      <c r="P1415" s="787">
        <f>P1416+P1417+P1418+P1419</f>
        <v>7.9025452999999999</v>
      </c>
      <c r="Q1415" s="787"/>
      <c r="R1415" s="692"/>
      <c r="S1415" s="787">
        <f>S1416+S1417+S1418+S1419</f>
        <v>12.379139</v>
      </c>
      <c r="T1415" s="787"/>
      <c r="U1415" s="692"/>
      <c r="V1415" s="787">
        <f>V1416+V1417+V1418+V1419</f>
        <v>13.41135792</v>
      </c>
      <c r="W1415" s="787"/>
      <c r="X1415" s="692"/>
      <c r="Y1415" s="787">
        <f>Y1416+Y1417+Y1418+Y1419</f>
        <v>13.403221855999998</v>
      </c>
      <c r="Z1415" s="787"/>
      <c r="AA1415" s="692"/>
      <c r="AB1415" s="787">
        <f>AB1416+AB1417+AB1418+AB1419</f>
        <v>13.67694</v>
      </c>
      <c r="AC1415" s="787"/>
      <c r="AD1415" s="692"/>
      <c r="AE1415" s="787">
        <f>AE1416+AE1417+AE1418+AE1419</f>
        <v>13.20613</v>
      </c>
      <c r="AF1415" s="787"/>
      <c r="AG1415" s="692"/>
      <c r="AH1415" s="787">
        <f>AH1416+AH1417+AH1418+AH1419</f>
        <v>10.797831</v>
      </c>
      <c r="AI1415" s="787"/>
      <c r="AJ1415" s="692"/>
      <c r="AK1415" s="787">
        <f>AK1416+AK1417+AK1418+AK1419</f>
        <v>8.5185929999999992</v>
      </c>
      <c r="AL1415" s="787"/>
      <c r="AM1415" s="692"/>
      <c r="AN1415" s="787">
        <f>AN1416+AN1417+AN1418+AN1419</f>
        <v>4.2685789999999999</v>
      </c>
      <c r="AO1415" s="787"/>
      <c r="AP1415" s="692"/>
      <c r="AQ1415" s="787">
        <f>AQ1416+AQ1417+AQ1418+AQ1419</f>
        <v>2.5414379760000001</v>
      </c>
      <c r="AR1415" s="262"/>
      <c r="AS1415" s="324"/>
      <c r="AT1415" s="787">
        <f>AT1416+AT1417+AT1418+AT1419</f>
        <v>108.315949952</v>
      </c>
      <c r="AU1415" s="262"/>
      <c r="AV1415" s="479"/>
      <c r="AW1415" s="226"/>
      <c r="AX1415" s="440"/>
      <c r="AY1415" s="1246"/>
      <c r="AZ1415" s="402"/>
      <c r="BA1415" s="357"/>
      <c r="BB1415" s="357"/>
      <c r="BC1415" s="357"/>
    </row>
    <row r="1416" spans="1:55" s="146" customFormat="1">
      <c r="A1416" s="179"/>
      <c r="B1416" s="179"/>
      <c r="C1416" s="179"/>
      <c r="D1416" s="181"/>
      <c r="E1416" s="181"/>
      <c r="F1416" s="181"/>
      <c r="G1416" s="1110">
        <v>777149</v>
      </c>
      <c r="H1416" s="948" t="s">
        <v>1168</v>
      </c>
      <c r="I1416" s="533"/>
      <c r="J1416" s="547">
        <v>0.87549390000000005</v>
      </c>
      <c r="K1416" s="787"/>
      <c r="L1416" s="692"/>
      <c r="M1416" s="547">
        <v>1.0949040000000001</v>
      </c>
      <c r="N1416" s="787"/>
      <c r="O1416" s="692"/>
      <c r="P1416" s="547">
        <v>1.7994862999999999</v>
      </c>
      <c r="Q1416" s="787"/>
      <c r="R1416" s="692"/>
      <c r="S1416" s="547">
        <v>3.3511980000000001</v>
      </c>
      <c r="T1416" s="787"/>
      <c r="U1416" s="692"/>
      <c r="V1416" s="547">
        <v>3.4044789999999998</v>
      </c>
      <c r="W1416" s="787"/>
      <c r="X1416" s="692"/>
      <c r="Y1416" s="547">
        <v>3.4622099999999998</v>
      </c>
      <c r="Z1416" s="787"/>
      <c r="AA1416" s="692"/>
      <c r="AB1416" s="547">
        <v>3.3704740000000002</v>
      </c>
      <c r="AC1416" s="787"/>
      <c r="AD1416" s="692"/>
      <c r="AE1416" s="547">
        <v>3.4709140000000001</v>
      </c>
      <c r="AF1416" s="787"/>
      <c r="AG1416" s="692"/>
      <c r="AH1416" s="547">
        <v>2.7253980000000002</v>
      </c>
      <c r="AI1416" s="787"/>
      <c r="AJ1416" s="692"/>
      <c r="AK1416" s="547">
        <v>2.5450940000000002</v>
      </c>
      <c r="AL1416" s="787"/>
      <c r="AM1416" s="692"/>
      <c r="AN1416" s="547">
        <v>1.050883</v>
      </c>
      <c r="AO1416" s="787"/>
      <c r="AP1416" s="692"/>
      <c r="AQ1416" s="547">
        <v>0.414893976</v>
      </c>
      <c r="AR1416" s="262"/>
      <c r="AS1416" s="324"/>
      <c r="AT1416" s="244">
        <f t="shared" si="55"/>
        <v>27.565428176000001</v>
      </c>
      <c r="AU1416" s="262"/>
      <c r="AV1416" s="479"/>
      <c r="AW1416" s="226"/>
      <c r="AX1416" s="440"/>
      <c r="AY1416" s="1246"/>
      <c r="AZ1416" s="402"/>
      <c r="BA1416" s="357"/>
      <c r="BB1416" s="357"/>
      <c r="BC1416" s="357"/>
    </row>
    <row r="1417" spans="1:55" s="146" customFormat="1">
      <c r="A1417" s="179"/>
      <c r="B1417" s="179"/>
      <c r="C1417" s="179"/>
      <c r="D1417" s="181"/>
      <c r="E1417" s="181"/>
      <c r="F1417" s="181"/>
      <c r="G1417" s="1110">
        <v>777150</v>
      </c>
      <c r="H1417" s="948" t="s">
        <v>1169</v>
      </c>
      <c r="I1417" s="533"/>
      <c r="J1417" s="548">
        <v>0.89102300000000001</v>
      </c>
      <c r="K1417" s="787"/>
      <c r="L1417" s="692"/>
      <c r="M1417" s="547">
        <v>0.95449300000000004</v>
      </c>
      <c r="N1417" s="787"/>
      <c r="O1417" s="692"/>
      <c r="P1417" s="547">
        <v>1.723976</v>
      </c>
      <c r="Q1417" s="787"/>
      <c r="R1417" s="692"/>
      <c r="S1417" s="547">
        <v>2.9750930000000002</v>
      </c>
      <c r="T1417" s="787"/>
      <c r="U1417" s="692"/>
      <c r="V1417" s="547">
        <v>3.1302139200000001</v>
      </c>
      <c r="W1417" s="787"/>
      <c r="X1417" s="692"/>
      <c r="Y1417" s="547">
        <v>3.2187958559999998</v>
      </c>
      <c r="Z1417" s="787"/>
      <c r="AA1417" s="692"/>
      <c r="AB1417" s="547">
        <v>3.3921000000000001</v>
      </c>
      <c r="AC1417" s="787"/>
      <c r="AD1417" s="692"/>
      <c r="AE1417" s="547">
        <v>3.1242999999999999</v>
      </c>
      <c r="AF1417" s="787"/>
      <c r="AG1417" s="692"/>
      <c r="AH1417" s="547">
        <v>2.5177</v>
      </c>
      <c r="AI1417" s="787"/>
      <c r="AJ1417" s="692"/>
      <c r="AK1417" s="547">
        <v>1.8662000000000001</v>
      </c>
      <c r="AL1417" s="787"/>
      <c r="AM1417" s="692"/>
      <c r="AN1417" s="547">
        <v>1.1119000000000001</v>
      </c>
      <c r="AO1417" s="787"/>
      <c r="AP1417" s="692"/>
      <c r="AQ1417" s="547">
        <v>0.75970000000000004</v>
      </c>
      <c r="AR1417" s="262"/>
      <c r="AS1417" s="324"/>
      <c r="AT1417" s="244">
        <f t="shared" si="55"/>
        <v>25.665494775999996</v>
      </c>
      <c r="AU1417" s="262"/>
      <c r="AV1417" s="479"/>
      <c r="AW1417" s="226"/>
      <c r="AX1417" s="440"/>
      <c r="AY1417" s="1246"/>
      <c r="AZ1417" s="402"/>
      <c r="BA1417" s="357"/>
      <c r="BB1417" s="357"/>
      <c r="BC1417" s="357"/>
    </row>
    <row r="1418" spans="1:55" s="146" customFormat="1">
      <c r="A1418" s="179"/>
      <c r="B1418" s="179"/>
      <c r="C1418" s="179"/>
      <c r="D1418" s="181"/>
      <c r="E1418" s="181"/>
      <c r="F1418" s="181"/>
      <c r="G1418" s="1110">
        <v>777151</v>
      </c>
      <c r="H1418" s="948" t="s">
        <v>1170</v>
      </c>
      <c r="I1418" s="533"/>
      <c r="J1418" s="547">
        <v>0.83023199999999997</v>
      </c>
      <c r="K1418" s="787"/>
      <c r="L1418" s="692"/>
      <c r="M1418" s="547">
        <v>1.2761039999999999</v>
      </c>
      <c r="N1418" s="787"/>
      <c r="O1418" s="692"/>
      <c r="P1418" s="547">
        <v>2.1024349999999998</v>
      </c>
      <c r="Q1418" s="787"/>
      <c r="R1418" s="692"/>
      <c r="S1418" s="547">
        <v>2.9146339999999999</v>
      </c>
      <c r="T1418" s="787"/>
      <c r="U1418" s="692"/>
      <c r="V1418" s="547">
        <v>3.269323</v>
      </c>
      <c r="W1418" s="787"/>
      <c r="X1418" s="692"/>
      <c r="Y1418" s="547">
        <v>3.1861660000000001</v>
      </c>
      <c r="Z1418" s="787"/>
      <c r="AA1418" s="692"/>
      <c r="AB1418" s="547">
        <v>3.2700809999999998</v>
      </c>
      <c r="AC1418" s="787"/>
      <c r="AD1418" s="692"/>
      <c r="AE1418" s="547">
        <v>3.1450239999999998</v>
      </c>
      <c r="AF1418" s="787"/>
      <c r="AG1418" s="692"/>
      <c r="AH1418" s="547">
        <v>2.6409760000000002</v>
      </c>
      <c r="AI1418" s="787"/>
      <c r="AJ1418" s="692"/>
      <c r="AK1418" s="547">
        <v>1.892916</v>
      </c>
      <c r="AL1418" s="787"/>
      <c r="AM1418" s="692"/>
      <c r="AN1418" s="547">
        <v>1.0381089999999999</v>
      </c>
      <c r="AO1418" s="787"/>
      <c r="AP1418" s="692"/>
      <c r="AQ1418" s="547">
        <v>0.65731200000000001</v>
      </c>
      <c r="AR1418" s="262"/>
      <c r="AS1418" s="324"/>
      <c r="AT1418" s="244">
        <f t="shared" si="55"/>
        <v>26.223311999999996</v>
      </c>
      <c r="AU1418" s="262"/>
      <c r="AV1418" s="479"/>
      <c r="AW1418" s="226"/>
      <c r="AX1418" s="440"/>
      <c r="AY1418" s="1246"/>
      <c r="AZ1418" s="402"/>
      <c r="BA1418" s="357"/>
      <c r="BB1418" s="357"/>
      <c r="BC1418" s="357"/>
    </row>
    <row r="1419" spans="1:55" s="146" customFormat="1">
      <c r="A1419" s="179"/>
      <c r="B1419" s="179"/>
      <c r="C1419" s="179"/>
      <c r="D1419" s="181"/>
      <c r="E1419" s="181"/>
      <c r="F1419" s="181"/>
      <c r="G1419" s="1110">
        <v>777152</v>
      </c>
      <c r="H1419" s="948" t="s">
        <v>1171</v>
      </c>
      <c r="I1419" s="533"/>
      <c r="J1419" s="547">
        <v>0.89729800000000004</v>
      </c>
      <c r="K1419" s="787"/>
      <c r="L1419" s="692"/>
      <c r="M1419" s="547">
        <v>1.3906270000000001</v>
      </c>
      <c r="N1419" s="787"/>
      <c r="O1419" s="692"/>
      <c r="P1419" s="547">
        <v>2.2766479999999998</v>
      </c>
      <c r="Q1419" s="787"/>
      <c r="R1419" s="692"/>
      <c r="S1419" s="547">
        <v>3.1382140000000001</v>
      </c>
      <c r="T1419" s="787"/>
      <c r="U1419" s="692"/>
      <c r="V1419" s="547">
        <v>3.607342</v>
      </c>
      <c r="W1419" s="787"/>
      <c r="X1419" s="692"/>
      <c r="Y1419" s="547">
        <v>3.5360499999999999</v>
      </c>
      <c r="Z1419" s="787"/>
      <c r="AA1419" s="692"/>
      <c r="AB1419" s="547">
        <v>3.644285</v>
      </c>
      <c r="AC1419" s="787"/>
      <c r="AD1419" s="692"/>
      <c r="AE1419" s="547">
        <v>3.4658920000000002</v>
      </c>
      <c r="AF1419" s="787"/>
      <c r="AG1419" s="692"/>
      <c r="AH1419" s="547">
        <v>2.9137569999999999</v>
      </c>
      <c r="AI1419" s="787"/>
      <c r="AJ1419" s="692"/>
      <c r="AK1419" s="547">
        <v>2.2143830000000002</v>
      </c>
      <c r="AL1419" s="787"/>
      <c r="AM1419" s="692"/>
      <c r="AN1419" s="547">
        <v>1.0676870000000001</v>
      </c>
      <c r="AO1419" s="787"/>
      <c r="AP1419" s="692"/>
      <c r="AQ1419" s="547">
        <v>0.70953200000000005</v>
      </c>
      <c r="AR1419" s="262"/>
      <c r="AS1419" s="324"/>
      <c r="AT1419" s="244">
        <f t="shared" si="55"/>
        <v>28.861715</v>
      </c>
      <c r="AU1419" s="262"/>
      <c r="AV1419" s="479"/>
      <c r="AW1419" s="226"/>
      <c r="AX1419" s="440"/>
      <c r="AY1419" s="1246"/>
      <c r="AZ1419" s="402"/>
      <c r="BA1419" s="357"/>
      <c r="BB1419" s="357"/>
      <c r="BC1419" s="357"/>
    </row>
    <row r="1420" spans="1:55" s="146" customFormat="1">
      <c r="A1420" s="179"/>
      <c r="B1420" s="179"/>
      <c r="C1420" s="179"/>
      <c r="D1420" s="181"/>
      <c r="E1420" s="181"/>
      <c r="F1420" s="181"/>
      <c r="G1420" s="1110"/>
      <c r="H1420" s="947" t="s">
        <v>357</v>
      </c>
      <c r="I1420" s="533" t="s">
        <v>365</v>
      </c>
      <c r="J1420" s="787">
        <f>J1421+J1422+J1423+J1424+J1425</f>
        <v>0.30106899999999998</v>
      </c>
      <c r="K1420" s="787"/>
      <c r="L1420" s="692"/>
      <c r="M1420" s="787">
        <f>M1421+M1422+M1423+M1424+M1425</f>
        <v>0.52521099999999998</v>
      </c>
      <c r="N1420" s="787"/>
      <c r="O1420" s="692"/>
      <c r="P1420" s="787">
        <f>P1421+P1422+P1423+P1424+P1425</f>
        <v>0.82089199999999996</v>
      </c>
      <c r="Q1420" s="787"/>
      <c r="R1420" s="692"/>
      <c r="S1420" s="787">
        <f>S1421+S1422+S1423+S1424+S1425</f>
        <v>1.1273580000000001</v>
      </c>
      <c r="T1420" s="787"/>
      <c r="U1420" s="692"/>
      <c r="V1420" s="787">
        <f>V1421+V1422+V1423+V1424+V1425</f>
        <v>1.287744</v>
      </c>
      <c r="W1420" s="787"/>
      <c r="X1420" s="692"/>
      <c r="Y1420" s="787">
        <f>Y1421+Y1422+Y1423+Y1424+Y1425</f>
        <v>1.2713350000000001</v>
      </c>
      <c r="Z1420" s="787"/>
      <c r="AA1420" s="692"/>
      <c r="AB1420" s="787">
        <f>AB1421+AB1422+AB1423+AB1424+AB1425</f>
        <v>1.314743</v>
      </c>
      <c r="AC1420" s="787"/>
      <c r="AD1420" s="692"/>
      <c r="AE1420" s="787">
        <f>AE1421+AE1422+AE1423+AE1424+AE1425</f>
        <v>1.276446</v>
      </c>
      <c r="AF1420" s="787"/>
      <c r="AG1420" s="692"/>
      <c r="AH1420" s="787">
        <f>AH1421+AH1422+AH1423+AH1424+AH1425</f>
        <v>1.0445389999999999</v>
      </c>
      <c r="AI1420" s="787"/>
      <c r="AJ1420" s="692"/>
      <c r="AK1420" s="787">
        <f>AK1421+AK1422+AK1423+AK1424+AK1425</f>
        <v>0.78823199999999993</v>
      </c>
      <c r="AL1420" s="787"/>
      <c r="AM1420" s="692"/>
      <c r="AN1420" s="787">
        <f>AN1421+AN1422+AN1423+AN1424+AN1425</f>
        <v>0.45820400000000006</v>
      </c>
      <c r="AO1420" s="787"/>
      <c r="AP1420" s="692"/>
      <c r="AQ1420" s="787">
        <f>AQ1421+AQ1422+AQ1423+AQ1424+AQ1425</f>
        <v>0.28750699999999996</v>
      </c>
      <c r="AR1420" s="262"/>
      <c r="AS1420" s="324"/>
      <c r="AT1420" s="787">
        <f>AT1421+AT1422+AT1423+AT1424+AT1425</f>
        <v>10.50328</v>
      </c>
      <c r="AU1420" s="262"/>
      <c r="AV1420" s="479"/>
      <c r="AW1420" s="226"/>
      <c r="AX1420" s="440"/>
      <c r="AY1420" s="1246"/>
      <c r="AZ1420" s="402"/>
      <c r="BA1420" s="357"/>
      <c r="BB1420" s="357"/>
      <c r="BC1420" s="357"/>
    </row>
    <row r="1421" spans="1:55" s="146" customFormat="1">
      <c r="A1421" s="179"/>
      <c r="B1421" s="179"/>
      <c r="C1421" s="179"/>
      <c r="D1421" s="181"/>
      <c r="E1421" s="181"/>
      <c r="F1421" s="181"/>
      <c r="G1421" s="1110">
        <v>777144</v>
      </c>
      <c r="H1421" s="948" t="s">
        <v>1172</v>
      </c>
      <c r="I1421" s="533"/>
      <c r="J1421" s="547">
        <v>4.0563000000000002E-2</v>
      </c>
      <c r="K1421" s="787"/>
      <c r="L1421" s="692"/>
      <c r="M1421" s="547">
        <v>7.0564000000000002E-2</v>
      </c>
      <c r="N1421" s="787"/>
      <c r="O1421" s="692"/>
      <c r="P1421" s="547">
        <v>0.109558</v>
      </c>
      <c r="Q1421" s="787"/>
      <c r="R1421" s="692"/>
      <c r="S1421" s="547">
        <v>0.14959900000000001</v>
      </c>
      <c r="T1421" s="787"/>
      <c r="U1421" s="692"/>
      <c r="V1421" s="547">
        <v>0.17127800000000001</v>
      </c>
      <c r="W1421" s="787"/>
      <c r="X1421" s="692"/>
      <c r="Y1421" s="547">
        <v>0.16789499999999999</v>
      </c>
      <c r="Z1421" s="787"/>
      <c r="AA1421" s="692"/>
      <c r="AB1421" s="547">
        <v>0.173656</v>
      </c>
      <c r="AC1421" s="787"/>
      <c r="AD1421" s="692"/>
      <c r="AE1421" s="547">
        <v>0.16797599999999999</v>
      </c>
      <c r="AF1421" s="787"/>
      <c r="AG1421" s="692"/>
      <c r="AH1421" s="547">
        <v>0.13814299999999999</v>
      </c>
      <c r="AI1421" s="787"/>
      <c r="AJ1421" s="692"/>
      <c r="AK1421" s="547">
        <v>0.104092</v>
      </c>
      <c r="AL1421" s="787"/>
      <c r="AM1421" s="692"/>
      <c r="AN1421" s="547">
        <v>6.0676000000000001E-2</v>
      </c>
      <c r="AO1421" s="787"/>
      <c r="AP1421" s="692"/>
      <c r="AQ1421" s="547">
        <v>3.8108999999999997E-2</v>
      </c>
      <c r="AR1421" s="262"/>
      <c r="AS1421" s="324"/>
      <c r="AT1421" s="244">
        <f t="shared" si="55"/>
        <v>1.392109</v>
      </c>
      <c r="AU1421" s="262"/>
      <c r="AV1421" s="479"/>
      <c r="AW1421" s="226"/>
      <c r="AX1421" s="440"/>
      <c r="AY1421" s="1246"/>
      <c r="AZ1421" s="402"/>
      <c r="BA1421" s="357"/>
      <c r="BB1421" s="357"/>
      <c r="BC1421" s="357"/>
    </row>
    <row r="1422" spans="1:55" s="146" customFormat="1">
      <c r="A1422" s="179"/>
      <c r="B1422" s="179"/>
      <c r="C1422" s="179"/>
      <c r="D1422" s="181"/>
      <c r="E1422" s="181"/>
      <c r="F1422" s="181"/>
      <c r="G1422" s="1110">
        <v>777145</v>
      </c>
      <c r="H1422" s="948" t="s">
        <v>1173</v>
      </c>
      <c r="I1422" s="533"/>
      <c r="J1422" s="547">
        <v>6.0859999999999997E-2</v>
      </c>
      <c r="K1422" s="787"/>
      <c r="L1422" s="692"/>
      <c r="M1422" s="547">
        <v>0.103976</v>
      </c>
      <c r="N1422" s="787"/>
      <c r="O1422" s="692"/>
      <c r="P1422" s="547">
        <v>0.16076099999999999</v>
      </c>
      <c r="Q1422" s="787"/>
      <c r="R1422" s="692"/>
      <c r="S1422" s="547">
        <v>0.21879599999999999</v>
      </c>
      <c r="T1422" s="787"/>
      <c r="U1422" s="692"/>
      <c r="V1422" s="547">
        <v>0.25060199999999999</v>
      </c>
      <c r="W1422" s="787"/>
      <c r="X1422" s="692"/>
      <c r="Y1422" s="547">
        <v>0.25197799999999998</v>
      </c>
      <c r="Z1422" s="787"/>
      <c r="AA1422" s="692"/>
      <c r="AB1422" s="547">
        <v>0.26145499999999999</v>
      </c>
      <c r="AC1422" s="787"/>
      <c r="AD1422" s="692"/>
      <c r="AE1422" s="547">
        <v>0.25386599999999998</v>
      </c>
      <c r="AF1422" s="787"/>
      <c r="AG1422" s="692"/>
      <c r="AH1422" s="547">
        <v>0.20874999999999999</v>
      </c>
      <c r="AI1422" s="787"/>
      <c r="AJ1422" s="692"/>
      <c r="AK1422" s="547">
        <v>0.157612</v>
      </c>
      <c r="AL1422" s="787"/>
      <c r="AM1422" s="692"/>
      <c r="AN1422" s="547">
        <v>9.2349000000000001E-2</v>
      </c>
      <c r="AO1422" s="787"/>
      <c r="AP1422" s="692"/>
      <c r="AQ1422" s="547">
        <v>5.7908000000000001E-2</v>
      </c>
      <c r="AR1422" s="262"/>
      <c r="AS1422" s="324"/>
      <c r="AT1422" s="244">
        <f t="shared" si="55"/>
        <v>2.0789129999999996</v>
      </c>
      <c r="AU1422" s="262"/>
      <c r="AV1422" s="479"/>
      <c r="AW1422" s="226"/>
      <c r="AX1422" s="440"/>
      <c r="AY1422" s="1246"/>
      <c r="AZ1422" s="402"/>
      <c r="BA1422" s="357"/>
      <c r="BB1422" s="357"/>
      <c r="BC1422" s="357"/>
    </row>
    <row r="1423" spans="1:55" s="146" customFormat="1">
      <c r="A1423" s="179"/>
      <c r="B1423" s="179"/>
      <c r="C1423" s="179"/>
      <c r="D1423" s="181"/>
      <c r="E1423" s="181"/>
      <c r="F1423" s="181"/>
      <c r="G1423" s="1110">
        <v>777146</v>
      </c>
      <c r="H1423" s="948" t="s">
        <v>1174</v>
      </c>
      <c r="I1423" s="533"/>
      <c r="J1423" s="547">
        <v>5.7272000000000003E-2</v>
      </c>
      <c r="K1423" s="787"/>
      <c r="L1423" s="692"/>
      <c r="M1423" s="547">
        <v>9.9995000000000001E-2</v>
      </c>
      <c r="N1423" s="787"/>
      <c r="O1423" s="692"/>
      <c r="P1423" s="547">
        <v>0.16406100000000001</v>
      </c>
      <c r="Q1423" s="787"/>
      <c r="R1423" s="692"/>
      <c r="S1423" s="547">
        <v>0.223995</v>
      </c>
      <c r="T1423" s="787"/>
      <c r="U1423" s="692"/>
      <c r="V1423" s="547">
        <v>0.25652799999999998</v>
      </c>
      <c r="W1423" s="787"/>
      <c r="X1423" s="692"/>
      <c r="Y1423" s="547">
        <v>0.25190499999999999</v>
      </c>
      <c r="Z1423" s="787"/>
      <c r="AA1423" s="692"/>
      <c r="AB1423" s="547">
        <v>0.25992799999999999</v>
      </c>
      <c r="AC1423" s="787"/>
      <c r="AD1423" s="692"/>
      <c r="AE1423" s="547">
        <v>0.253108</v>
      </c>
      <c r="AF1423" s="787"/>
      <c r="AG1423" s="692"/>
      <c r="AH1423" s="547">
        <v>0.20676700000000001</v>
      </c>
      <c r="AI1423" s="787"/>
      <c r="AJ1423" s="692"/>
      <c r="AK1423" s="547">
        <v>0.155228</v>
      </c>
      <c r="AL1423" s="787"/>
      <c r="AM1423" s="692"/>
      <c r="AN1423" s="547">
        <v>8.9852000000000001E-2</v>
      </c>
      <c r="AO1423" s="787"/>
      <c r="AP1423" s="692"/>
      <c r="AQ1423" s="547">
        <v>5.6205999999999999E-2</v>
      </c>
      <c r="AR1423" s="262"/>
      <c r="AS1423" s="324"/>
      <c r="AT1423" s="244">
        <f t="shared" si="55"/>
        <v>2.0748449999999998</v>
      </c>
      <c r="AU1423" s="262"/>
      <c r="AV1423" s="479"/>
      <c r="AW1423" s="226"/>
      <c r="AX1423" s="440"/>
      <c r="AY1423" s="1246"/>
      <c r="AZ1423" s="402"/>
      <c r="BA1423" s="357"/>
      <c r="BB1423" s="357"/>
      <c r="BC1423" s="357"/>
    </row>
    <row r="1424" spans="1:55" s="146" customFormat="1">
      <c r="A1424" s="179"/>
      <c r="B1424" s="179"/>
      <c r="C1424" s="179"/>
      <c r="D1424" s="181"/>
      <c r="E1424" s="181"/>
      <c r="F1424" s="181"/>
      <c r="G1424" s="1110">
        <v>777147</v>
      </c>
      <c r="H1424" s="948" t="s">
        <v>1175</v>
      </c>
      <c r="I1424" s="533"/>
      <c r="J1424" s="547">
        <v>6.1126E-2</v>
      </c>
      <c r="K1424" s="787"/>
      <c r="L1424" s="692"/>
      <c r="M1424" s="547">
        <v>0.107488</v>
      </c>
      <c r="N1424" s="787"/>
      <c r="O1424" s="692"/>
      <c r="P1424" s="547">
        <v>0.163301</v>
      </c>
      <c r="Q1424" s="787"/>
      <c r="R1424" s="692"/>
      <c r="S1424" s="547">
        <v>0.227497</v>
      </c>
      <c r="T1424" s="787"/>
      <c r="U1424" s="692"/>
      <c r="V1424" s="547">
        <v>0.26178499999999999</v>
      </c>
      <c r="W1424" s="787"/>
      <c r="X1424" s="692"/>
      <c r="Y1424" s="547">
        <v>0.25794</v>
      </c>
      <c r="Z1424" s="787"/>
      <c r="AA1424" s="692"/>
      <c r="AB1424" s="547">
        <v>0.26691399999999998</v>
      </c>
      <c r="AC1424" s="787"/>
      <c r="AD1424" s="692"/>
      <c r="AE1424" s="547">
        <v>0.25789499999999999</v>
      </c>
      <c r="AF1424" s="787"/>
      <c r="AG1424" s="692"/>
      <c r="AH1424" s="547">
        <v>0.209788</v>
      </c>
      <c r="AI1424" s="787"/>
      <c r="AJ1424" s="692"/>
      <c r="AK1424" s="547">
        <v>0.159856</v>
      </c>
      <c r="AL1424" s="787"/>
      <c r="AM1424" s="692"/>
      <c r="AN1424" s="547">
        <v>9.2763999999999999E-2</v>
      </c>
      <c r="AO1424" s="787"/>
      <c r="AP1424" s="692"/>
      <c r="AQ1424" s="547">
        <v>5.8244999999999998E-2</v>
      </c>
      <c r="AR1424" s="262"/>
      <c r="AS1424" s="324"/>
      <c r="AT1424" s="244">
        <f t="shared" si="55"/>
        <v>2.1245989999999999</v>
      </c>
      <c r="AU1424" s="262"/>
      <c r="AV1424" s="479"/>
      <c r="AW1424" s="226"/>
      <c r="AX1424" s="440"/>
      <c r="AY1424" s="1246"/>
      <c r="AZ1424" s="402"/>
      <c r="BA1424" s="357"/>
      <c r="BB1424" s="357"/>
      <c r="BC1424" s="357"/>
    </row>
    <row r="1425" spans="1:55" s="146" customFormat="1">
      <c r="A1425" s="179"/>
      <c r="B1425" s="179"/>
      <c r="C1425" s="179"/>
      <c r="D1425" s="181"/>
      <c r="E1425" s="181"/>
      <c r="F1425" s="181"/>
      <c r="G1425" s="1110">
        <v>777148</v>
      </c>
      <c r="H1425" s="948" t="s">
        <v>1176</v>
      </c>
      <c r="I1425" s="533"/>
      <c r="J1425" s="547">
        <v>8.1248000000000001E-2</v>
      </c>
      <c r="K1425" s="787"/>
      <c r="L1425" s="692"/>
      <c r="M1425" s="547">
        <v>0.14318800000000001</v>
      </c>
      <c r="N1425" s="787"/>
      <c r="O1425" s="692"/>
      <c r="P1425" s="547">
        <v>0.22321099999999999</v>
      </c>
      <c r="Q1425" s="787"/>
      <c r="R1425" s="692"/>
      <c r="S1425" s="547">
        <v>0.30747099999999999</v>
      </c>
      <c r="T1425" s="787"/>
      <c r="U1425" s="692"/>
      <c r="V1425" s="547">
        <v>0.347551</v>
      </c>
      <c r="W1425" s="787"/>
      <c r="X1425" s="692"/>
      <c r="Y1425" s="547">
        <v>0.341617</v>
      </c>
      <c r="Z1425" s="787"/>
      <c r="AA1425" s="692"/>
      <c r="AB1425" s="547">
        <v>0.35278999999999999</v>
      </c>
      <c r="AC1425" s="787"/>
      <c r="AD1425" s="692"/>
      <c r="AE1425" s="547">
        <v>0.34360099999999999</v>
      </c>
      <c r="AF1425" s="787"/>
      <c r="AG1425" s="692"/>
      <c r="AH1425" s="547">
        <v>0.28109099999999998</v>
      </c>
      <c r="AI1425" s="787"/>
      <c r="AJ1425" s="692"/>
      <c r="AK1425" s="547">
        <v>0.21144399999999999</v>
      </c>
      <c r="AL1425" s="787"/>
      <c r="AM1425" s="692"/>
      <c r="AN1425" s="547">
        <v>0.12256300000000001</v>
      </c>
      <c r="AO1425" s="787"/>
      <c r="AP1425" s="692"/>
      <c r="AQ1425" s="547">
        <v>7.7038999999999996E-2</v>
      </c>
      <c r="AR1425" s="262"/>
      <c r="AS1425" s="324"/>
      <c r="AT1425" s="244">
        <f t="shared" si="55"/>
        <v>2.8328139999999999</v>
      </c>
      <c r="AU1425" s="262"/>
      <c r="AV1425" s="479"/>
      <c r="AW1425" s="226"/>
      <c r="AX1425" s="440"/>
      <c r="AY1425" s="1246"/>
      <c r="AZ1425" s="402"/>
      <c r="BA1425" s="357"/>
      <c r="BB1425" s="357"/>
      <c r="BC1425" s="357"/>
    </row>
    <row r="1426" spans="1:55" s="146" customFormat="1">
      <c r="A1426" s="179"/>
      <c r="B1426" s="179"/>
      <c r="C1426" s="179"/>
      <c r="D1426" s="181"/>
      <c r="E1426" s="181"/>
      <c r="F1426" s="181"/>
      <c r="G1426" s="1216">
        <v>777234</v>
      </c>
      <c r="H1426" s="947" t="s">
        <v>1177</v>
      </c>
      <c r="I1426" s="533" t="s">
        <v>365</v>
      </c>
      <c r="J1426" s="787">
        <f>J1427+J1428+J1429</f>
        <v>2.9390930000000002</v>
      </c>
      <c r="K1426" s="787"/>
      <c r="L1426" s="692"/>
      <c r="M1426" s="787">
        <f>M1427+M1428+M1429</f>
        <v>4.8526930000000004</v>
      </c>
      <c r="N1426" s="787"/>
      <c r="O1426" s="692"/>
      <c r="P1426" s="787">
        <f>P1427+P1428+P1429</f>
        <v>7.4677540000000011</v>
      </c>
      <c r="Q1426" s="787"/>
      <c r="R1426" s="692"/>
      <c r="S1426" s="787">
        <f>S1427+S1428+S1429</f>
        <v>10.552317</v>
      </c>
      <c r="T1426" s="787"/>
      <c r="U1426" s="692"/>
      <c r="V1426" s="787">
        <f>V1427+V1428+V1429</f>
        <v>11.522998999999999</v>
      </c>
      <c r="W1426" s="787"/>
      <c r="X1426" s="692"/>
      <c r="Y1426" s="787">
        <f>Y1427+Y1428+Y1429</f>
        <v>11.549746000000001</v>
      </c>
      <c r="Z1426" s="787"/>
      <c r="AA1426" s="692"/>
      <c r="AB1426" s="787">
        <f>AB1427+AB1428+AB1429</f>
        <v>11.794129</v>
      </c>
      <c r="AC1426" s="787"/>
      <c r="AD1426" s="692"/>
      <c r="AE1426" s="787">
        <f>AE1427+AE1428+AE1429</f>
        <v>11.342995</v>
      </c>
      <c r="AF1426" s="787"/>
      <c r="AG1426" s="692"/>
      <c r="AH1426" s="787">
        <f>AH1427+AH1428+AH1429</f>
        <v>9.5584139999999991</v>
      </c>
      <c r="AI1426" s="787"/>
      <c r="AJ1426" s="692"/>
      <c r="AK1426" s="787">
        <f>AK1427+AK1428+AK1429</f>
        <v>6.9112869999999997</v>
      </c>
      <c r="AL1426" s="787"/>
      <c r="AM1426" s="692"/>
      <c r="AN1426" s="787">
        <f>AN1427+AN1428+AN1429</f>
        <v>3.9173179999999999</v>
      </c>
      <c r="AO1426" s="787"/>
      <c r="AP1426" s="692"/>
      <c r="AQ1426" s="787">
        <f>AQ1427+AQ1428+AQ1429</f>
        <v>2.4977269999999998</v>
      </c>
      <c r="AR1426" s="262"/>
      <c r="AS1426" s="324"/>
      <c r="AT1426" s="787">
        <f>AT1427+AT1428+AT1429</f>
        <v>94.906472000000008</v>
      </c>
      <c r="AU1426" s="262"/>
      <c r="AV1426" s="479"/>
      <c r="AW1426" s="226"/>
      <c r="AX1426" s="440"/>
      <c r="AY1426" s="1246"/>
      <c r="AZ1426" s="402"/>
      <c r="BA1426" s="357"/>
      <c r="BB1426" s="357"/>
      <c r="BC1426" s="357"/>
    </row>
    <row r="1427" spans="1:55" s="146" customFormat="1">
      <c r="A1427" s="179"/>
      <c r="B1427" s="179"/>
      <c r="C1427" s="179"/>
      <c r="D1427" s="181"/>
      <c r="E1427" s="181"/>
      <c r="F1427" s="181"/>
      <c r="G1427" s="1110"/>
      <c r="H1427" s="948" t="s">
        <v>1178</v>
      </c>
      <c r="I1427" s="533"/>
      <c r="J1427" s="547">
        <v>0.83859700000000004</v>
      </c>
      <c r="K1427" s="787"/>
      <c r="L1427" s="692"/>
      <c r="M1427" s="547">
        <v>1.402326</v>
      </c>
      <c r="N1427" s="787"/>
      <c r="O1427" s="692"/>
      <c r="P1427" s="547">
        <v>2.1696490000000002</v>
      </c>
      <c r="Q1427" s="787"/>
      <c r="R1427" s="692"/>
      <c r="S1427" s="547">
        <v>3.0262220000000002</v>
      </c>
      <c r="T1427" s="787"/>
      <c r="U1427" s="692"/>
      <c r="V1427" s="547">
        <v>3.3246929999999999</v>
      </c>
      <c r="W1427" s="787"/>
      <c r="X1427" s="692"/>
      <c r="Y1427" s="547">
        <v>3.3372120000000001</v>
      </c>
      <c r="Z1427" s="787"/>
      <c r="AA1427" s="692"/>
      <c r="AB1427" s="547">
        <v>3.4092850000000001</v>
      </c>
      <c r="AC1427" s="787"/>
      <c r="AD1427" s="692"/>
      <c r="AE1427" s="547">
        <v>3.2942770000000001</v>
      </c>
      <c r="AF1427" s="787"/>
      <c r="AG1427" s="692"/>
      <c r="AH1427" s="547">
        <v>2.7577799999999999</v>
      </c>
      <c r="AI1427" s="787"/>
      <c r="AJ1427" s="692"/>
      <c r="AK1427" s="547">
        <v>2.0077020000000001</v>
      </c>
      <c r="AL1427" s="787"/>
      <c r="AM1427" s="692"/>
      <c r="AN1427" s="547">
        <v>1.133329</v>
      </c>
      <c r="AO1427" s="787"/>
      <c r="AP1427" s="692"/>
      <c r="AQ1427" s="547">
        <v>0.71784599999999998</v>
      </c>
      <c r="AR1427" s="262"/>
      <c r="AS1427" s="324"/>
      <c r="AT1427" s="244">
        <f t="shared" si="55"/>
        <v>27.418918000000001</v>
      </c>
      <c r="AU1427" s="262"/>
      <c r="AV1427" s="479"/>
      <c r="AW1427" s="226"/>
      <c r="AX1427" s="440"/>
      <c r="AY1427" s="1246"/>
      <c r="AZ1427" s="402"/>
      <c r="BA1427" s="357"/>
      <c r="BB1427" s="357"/>
      <c r="BC1427" s="357"/>
    </row>
    <row r="1428" spans="1:55" s="146" customFormat="1">
      <c r="A1428" s="179"/>
      <c r="B1428" s="179"/>
      <c r="C1428" s="179"/>
      <c r="D1428" s="181"/>
      <c r="E1428" s="181"/>
      <c r="F1428" s="181"/>
      <c r="G1428" s="1110"/>
      <c r="H1428" s="948" t="s">
        <v>1179</v>
      </c>
      <c r="I1428" s="533"/>
      <c r="J1428" s="547">
        <v>1.064119</v>
      </c>
      <c r="K1428" s="787"/>
      <c r="L1428" s="692"/>
      <c r="M1428" s="547">
        <v>1.7475909999999999</v>
      </c>
      <c r="N1428" s="787"/>
      <c r="O1428" s="692"/>
      <c r="P1428" s="547">
        <v>2.6777839999999999</v>
      </c>
      <c r="Q1428" s="787"/>
      <c r="R1428" s="692"/>
      <c r="S1428" s="547">
        <v>3.7956629999999998</v>
      </c>
      <c r="T1428" s="787"/>
      <c r="U1428" s="692"/>
      <c r="V1428" s="547">
        <v>4.1322809999999999</v>
      </c>
      <c r="W1428" s="787"/>
      <c r="X1428" s="692"/>
      <c r="Y1428" s="547">
        <v>4.1452340000000003</v>
      </c>
      <c r="Z1428" s="787"/>
      <c r="AA1428" s="692"/>
      <c r="AB1428" s="547">
        <v>4.2276179999999997</v>
      </c>
      <c r="AC1428" s="787"/>
      <c r="AD1428" s="692"/>
      <c r="AE1428" s="547">
        <v>4.0545109999999998</v>
      </c>
      <c r="AF1428" s="787"/>
      <c r="AG1428" s="692"/>
      <c r="AH1428" s="547">
        <v>3.4178670000000002</v>
      </c>
      <c r="AI1428" s="787"/>
      <c r="AJ1428" s="692"/>
      <c r="AK1428" s="547">
        <v>2.4781110000000002</v>
      </c>
      <c r="AL1428" s="787"/>
      <c r="AM1428" s="692"/>
      <c r="AN1428" s="547">
        <v>1.410755</v>
      </c>
      <c r="AO1428" s="787"/>
      <c r="AP1428" s="692"/>
      <c r="AQ1428" s="547">
        <v>0.90501399999999999</v>
      </c>
      <c r="AR1428" s="262"/>
      <c r="AS1428" s="324"/>
      <c r="AT1428" s="244">
        <f t="shared" si="55"/>
        <v>34.056547999999999</v>
      </c>
      <c r="AU1428" s="262"/>
      <c r="AV1428" s="479"/>
      <c r="AW1428" s="226"/>
      <c r="AX1428" s="440"/>
      <c r="AY1428" s="1246"/>
      <c r="AZ1428" s="402"/>
      <c r="BA1428" s="357"/>
      <c r="BB1428" s="357"/>
      <c r="BC1428" s="357"/>
    </row>
    <row r="1429" spans="1:55" s="146" customFormat="1">
      <c r="A1429" s="179"/>
      <c r="B1429" s="179"/>
      <c r="C1429" s="179"/>
      <c r="D1429" s="181"/>
      <c r="E1429" s="181"/>
      <c r="F1429" s="181"/>
      <c r="G1429" s="1110"/>
      <c r="H1429" s="948" t="s">
        <v>1180</v>
      </c>
      <c r="I1429" s="533"/>
      <c r="J1429" s="547">
        <v>1.0363770000000001</v>
      </c>
      <c r="K1429" s="787"/>
      <c r="L1429" s="692"/>
      <c r="M1429" s="547">
        <v>1.7027760000000001</v>
      </c>
      <c r="N1429" s="787"/>
      <c r="O1429" s="692"/>
      <c r="P1429" s="547">
        <v>2.6203210000000001</v>
      </c>
      <c r="Q1429" s="787"/>
      <c r="R1429" s="692"/>
      <c r="S1429" s="547">
        <v>3.730432</v>
      </c>
      <c r="T1429" s="787"/>
      <c r="U1429" s="692"/>
      <c r="V1429" s="547">
        <v>4.0660249999999998</v>
      </c>
      <c r="W1429" s="787"/>
      <c r="X1429" s="692"/>
      <c r="Y1429" s="547">
        <v>4.0673000000000004</v>
      </c>
      <c r="Z1429" s="787"/>
      <c r="AA1429" s="692"/>
      <c r="AB1429" s="547">
        <v>4.1572259999999996</v>
      </c>
      <c r="AC1429" s="787"/>
      <c r="AD1429" s="692"/>
      <c r="AE1429" s="547">
        <v>3.9942069999999998</v>
      </c>
      <c r="AF1429" s="787"/>
      <c r="AG1429" s="692"/>
      <c r="AH1429" s="547">
        <v>3.3827669999999999</v>
      </c>
      <c r="AI1429" s="787"/>
      <c r="AJ1429" s="692"/>
      <c r="AK1429" s="547">
        <v>2.4254739999999999</v>
      </c>
      <c r="AL1429" s="787"/>
      <c r="AM1429" s="692"/>
      <c r="AN1429" s="547">
        <v>1.3732340000000001</v>
      </c>
      <c r="AO1429" s="787"/>
      <c r="AP1429" s="692"/>
      <c r="AQ1429" s="547">
        <v>0.87486699999999995</v>
      </c>
      <c r="AR1429" s="262"/>
      <c r="AS1429" s="324"/>
      <c r="AT1429" s="244">
        <f t="shared" si="55"/>
        <v>33.431006000000004</v>
      </c>
      <c r="AU1429" s="262"/>
      <c r="AV1429" s="479"/>
      <c r="AW1429" s="226"/>
      <c r="AX1429" s="440"/>
      <c r="AY1429" s="1247"/>
      <c r="AZ1429" s="402"/>
      <c r="BA1429" s="357"/>
      <c r="BB1429" s="357"/>
      <c r="BC1429" s="357"/>
    </row>
    <row r="1430" spans="1:55" s="146" customFormat="1">
      <c r="A1430" s="179"/>
      <c r="B1430" s="179"/>
      <c r="C1430" s="179"/>
      <c r="D1430" s="181"/>
      <c r="E1430" s="181"/>
      <c r="F1430" s="181"/>
      <c r="G1430" s="1216">
        <v>777350</v>
      </c>
      <c r="H1430" s="947" t="s">
        <v>1827</v>
      </c>
      <c r="I1430" s="533"/>
      <c r="J1430" s="787">
        <f>SUM(J1431:J1435)</f>
        <v>6.1842550000000003</v>
      </c>
      <c r="K1430" s="787"/>
      <c r="L1430" s="692"/>
      <c r="M1430" s="787">
        <f>SUM(M1431:M1435)</f>
        <v>8.0244130000000009</v>
      </c>
      <c r="N1430" s="787"/>
      <c r="O1430" s="692"/>
      <c r="P1430" s="787">
        <f>SUM(P1431:P1435)</f>
        <v>10.740947</v>
      </c>
      <c r="Q1430" s="787"/>
      <c r="R1430" s="692"/>
      <c r="S1430" s="787">
        <f>SUM(S1431:S1435)</f>
        <v>12.684155999999998</v>
      </c>
      <c r="T1430" s="787"/>
      <c r="U1430" s="692"/>
      <c r="V1430" s="787">
        <f>SUM(V1431:V1435)</f>
        <v>15.147904</v>
      </c>
      <c r="W1430" s="787"/>
      <c r="X1430" s="692"/>
      <c r="Y1430" s="787">
        <f>SUM(Y1431:Y1435)</f>
        <v>14.387558</v>
      </c>
      <c r="Z1430" s="787"/>
      <c r="AA1430" s="692"/>
      <c r="AB1430" s="787">
        <f>SUM(AB1431:AB1435)</f>
        <v>15.922523000000002</v>
      </c>
      <c r="AC1430" s="787"/>
      <c r="AD1430" s="692"/>
      <c r="AE1430" s="787">
        <f>SUM(AE1431:AE1435)</f>
        <v>15.007061999999999</v>
      </c>
      <c r="AF1430" s="1156"/>
      <c r="AG1430" s="692"/>
      <c r="AH1430" s="787">
        <f>SUM(AH1431:AH1435)</f>
        <v>12.760285</v>
      </c>
      <c r="AI1430" s="787"/>
      <c r="AJ1430" s="692"/>
      <c r="AK1430" s="787">
        <f>SUM(AK1431:AK1435)</f>
        <v>9.9920209999999994</v>
      </c>
      <c r="AL1430" s="787"/>
      <c r="AM1430" s="692"/>
      <c r="AN1430" s="787">
        <f>SUM(AN1431:AN1435)</f>
        <v>5.9341469999999994</v>
      </c>
      <c r="AO1430" s="787"/>
      <c r="AP1430" s="692"/>
      <c r="AQ1430" s="787">
        <f>SUM(AQ1431:AQ1435)</f>
        <v>5.0002809999999993</v>
      </c>
      <c r="AR1430" s="262"/>
      <c r="AS1430" s="324"/>
      <c r="AT1430" s="787">
        <f>SUM(AT1431:AT1435)</f>
        <v>131.785552</v>
      </c>
      <c r="AU1430" s="262"/>
      <c r="AV1430" s="479"/>
      <c r="AW1430" s="226"/>
      <c r="AX1430" s="440"/>
      <c r="AY1430" s="1144"/>
      <c r="AZ1430" s="402"/>
      <c r="BA1430" s="357"/>
      <c r="BB1430" s="357"/>
      <c r="BC1430" s="357"/>
    </row>
    <row r="1431" spans="1:55" s="146" customFormat="1">
      <c r="A1431" s="179"/>
      <c r="B1431" s="179"/>
      <c r="C1431" s="179"/>
      <c r="D1431" s="181"/>
      <c r="E1431" s="181"/>
      <c r="F1431" s="181"/>
      <c r="G1431" s="1110"/>
      <c r="H1431" s="948" t="s">
        <v>1828</v>
      </c>
      <c r="I1431" s="533"/>
      <c r="J1431" s="547">
        <v>1.39985</v>
      </c>
      <c r="K1431" s="787"/>
      <c r="L1431" s="692"/>
      <c r="M1431" s="547">
        <v>1.8201860000000001</v>
      </c>
      <c r="N1431" s="787"/>
      <c r="O1431" s="692"/>
      <c r="P1431" s="547">
        <v>2.438053</v>
      </c>
      <c r="Q1431" s="787"/>
      <c r="R1431" s="692"/>
      <c r="S1431" s="547">
        <v>2.8796050000000002</v>
      </c>
      <c r="T1431" s="787"/>
      <c r="U1431" s="692"/>
      <c r="V1431" s="547">
        <v>3.4382069999999998</v>
      </c>
      <c r="W1431" s="787"/>
      <c r="X1431" s="692"/>
      <c r="Y1431" s="547">
        <v>3.265012</v>
      </c>
      <c r="Z1431" s="787"/>
      <c r="AA1431" s="692"/>
      <c r="AB1431" s="547">
        <v>3.6142569999999998</v>
      </c>
      <c r="AC1431" s="787"/>
      <c r="AD1431" s="692"/>
      <c r="AE1431" s="547">
        <v>3.406803</v>
      </c>
      <c r="AF1431" s="787"/>
      <c r="AG1431" s="692"/>
      <c r="AH1431" s="547">
        <v>2.8967339999999999</v>
      </c>
      <c r="AI1431" s="787"/>
      <c r="AJ1431" s="692"/>
      <c r="AK1431" s="547">
        <v>2.2677130000000001</v>
      </c>
      <c r="AL1431" s="787"/>
      <c r="AM1431" s="692"/>
      <c r="AN1431" s="547">
        <v>1.3446929999999999</v>
      </c>
      <c r="AO1431" s="787"/>
      <c r="AP1431" s="692"/>
      <c r="AQ1431" s="547">
        <v>1.125016</v>
      </c>
      <c r="AR1431" s="262"/>
      <c r="AS1431" s="324"/>
      <c r="AT1431" s="244">
        <f t="shared" si="55"/>
        <v>29.896128999999998</v>
      </c>
      <c r="AU1431" s="262"/>
      <c r="AV1431" s="479"/>
      <c r="AW1431" s="226"/>
      <c r="AX1431" s="440"/>
      <c r="AY1431" s="1144"/>
      <c r="AZ1431" s="402"/>
      <c r="BA1431" s="357"/>
      <c r="BB1431" s="357"/>
      <c r="BC1431" s="357"/>
    </row>
    <row r="1432" spans="1:55" s="146" customFormat="1">
      <c r="A1432" s="179"/>
      <c r="B1432" s="179"/>
      <c r="C1432" s="179"/>
      <c r="D1432" s="181"/>
      <c r="E1432" s="181"/>
      <c r="F1432" s="181"/>
      <c r="G1432" s="1110"/>
      <c r="H1432" s="948" t="s">
        <v>1829</v>
      </c>
      <c r="I1432" s="533"/>
      <c r="J1432" s="547">
        <v>1.1269169999999999</v>
      </c>
      <c r="K1432" s="787"/>
      <c r="L1432" s="692"/>
      <c r="M1432" s="547">
        <v>1.4607129999999999</v>
      </c>
      <c r="N1432" s="787"/>
      <c r="O1432" s="692"/>
      <c r="P1432" s="547">
        <v>1.9546300000000001</v>
      </c>
      <c r="Q1432" s="787"/>
      <c r="R1432" s="692"/>
      <c r="S1432" s="547">
        <v>2.3076810000000001</v>
      </c>
      <c r="T1432" s="787"/>
      <c r="U1432" s="692"/>
      <c r="V1432" s="547">
        <v>2.7568459999999999</v>
      </c>
      <c r="W1432" s="787"/>
      <c r="X1432" s="692"/>
      <c r="Y1432" s="547">
        <v>2.6188609999999999</v>
      </c>
      <c r="Z1432" s="787"/>
      <c r="AA1432" s="692"/>
      <c r="AB1432" s="547">
        <v>2.8976860000000002</v>
      </c>
      <c r="AC1432" s="787"/>
      <c r="AD1432" s="692"/>
      <c r="AE1432" s="547">
        <v>2.7311519999999998</v>
      </c>
      <c r="AF1432" s="787"/>
      <c r="AG1432" s="692"/>
      <c r="AH1432" s="547">
        <v>2.321955</v>
      </c>
      <c r="AI1432" s="787"/>
      <c r="AJ1432" s="692"/>
      <c r="AK1432" s="547">
        <v>1.8185480000000001</v>
      </c>
      <c r="AL1432" s="787"/>
      <c r="AM1432" s="692"/>
      <c r="AN1432" s="547">
        <v>1.080319</v>
      </c>
      <c r="AO1432" s="787"/>
      <c r="AP1432" s="692"/>
      <c r="AQ1432" s="547">
        <v>0.93006299999999997</v>
      </c>
      <c r="AR1432" s="262"/>
      <c r="AS1432" s="324"/>
      <c r="AT1432" s="244">
        <f t="shared" si="55"/>
        <v>24.005371</v>
      </c>
      <c r="AU1432" s="262"/>
      <c r="AV1432" s="479"/>
      <c r="AW1432" s="226"/>
      <c r="AX1432" s="440"/>
      <c r="AY1432" s="1144"/>
      <c r="AZ1432" s="402"/>
      <c r="BA1432" s="357"/>
      <c r="BB1432" s="357"/>
      <c r="BC1432" s="357"/>
    </row>
    <row r="1433" spans="1:55" s="146" customFormat="1">
      <c r="A1433" s="179"/>
      <c r="B1433" s="179"/>
      <c r="C1433" s="179"/>
      <c r="D1433" s="181"/>
      <c r="E1433" s="181"/>
      <c r="F1433" s="181"/>
      <c r="G1433" s="1110"/>
      <c r="H1433" s="948" t="s">
        <v>1830</v>
      </c>
      <c r="I1433" s="533"/>
      <c r="J1433" s="547">
        <v>1.396997</v>
      </c>
      <c r="K1433" s="787"/>
      <c r="L1433" s="692"/>
      <c r="M1433" s="547">
        <v>1.818284</v>
      </c>
      <c r="N1433" s="787"/>
      <c r="O1433" s="692"/>
      <c r="P1433" s="547">
        <v>2.43615</v>
      </c>
      <c r="Q1433" s="787"/>
      <c r="R1433" s="692"/>
      <c r="S1433" s="547">
        <v>2.8777020000000002</v>
      </c>
      <c r="T1433" s="787"/>
      <c r="U1433" s="692"/>
      <c r="V1433" s="547">
        <v>3.4363039999999998</v>
      </c>
      <c r="W1433" s="787"/>
      <c r="X1433" s="692"/>
      <c r="Y1433" s="547">
        <v>3.2631079999999999</v>
      </c>
      <c r="Z1433" s="787"/>
      <c r="AA1433" s="692"/>
      <c r="AB1433" s="547">
        <v>3.6123530000000001</v>
      </c>
      <c r="AC1433" s="787"/>
      <c r="AD1433" s="692"/>
      <c r="AE1433" s="547">
        <v>3.4049</v>
      </c>
      <c r="AF1433" s="787"/>
      <c r="AG1433" s="692"/>
      <c r="AH1433" s="547">
        <v>2.8948309999999999</v>
      </c>
      <c r="AI1433" s="787"/>
      <c r="AJ1433" s="692"/>
      <c r="AK1433" s="547">
        <v>2.2667609999999998</v>
      </c>
      <c r="AL1433" s="787"/>
      <c r="AM1433" s="692"/>
      <c r="AN1433" s="547">
        <v>1.3427910000000001</v>
      </c>
      <c r="AO1433" s="787"/>
      <c r="AP1433" s="692"/>
      <c r="AQ1433" s="547">
        <v>1.1212120000000001</v>
      </c>
      <c r="AR1433" s="262"/>
      <c r="AS1433" s="324"/>
      <c r="AT1433" s="244">
        <f t="shared" si="55"/>
        <v>29.871392999999998</v>
      </c>
      <c r="AU1433" s="262"/>
      <c r="AV1433" s="479"/>
      <c r="AW1433" s="226"/>
      <c r="AX1433" s="440"/>
      <c r="AY1433" s="1144"/>
      <c r="AZ1433" s="402"/>
      <c r="BA1433" s="357"/>
      <c r="BB1433" s="357"/>
      <c r="BC1433" s="357"/>
    </row>
    <row r="1434" spans="1:55" s="146" customFormat="1">
      <c r="A1434" s="179"/>
      <c r="B1434" s="179"/>
      <c r="C1434" s="179"/>
      <c r="D1434" s="181"/>
      <c r="E1434" s="181"/>
      <c r="F1434" s="181"/>
      <c r="G1434" s="1110"/>
      <c r="H1434" s="948" t="s">
        <v>1831</v>
      </c>
      <c r="I1434" s="533"/>
      <c r="J1434" s="547">
        <v>1.131672</v>
      </c>
      <c r="K1434" s="787"/>
      <c r="L1434" s="692"/>
      <c r="M1434" s="547">
        <v>1.4635659999999999</v>
      </c>
      <c r="N1434" s="787"/>
      <c r="O1434" s="692"/>
      <c r="P1434" s="547">
        <v>1.9565330000000001</v>
      </c>
      <c r="Q1434" s="787"/>
      <c r="R1434" s="692"/>
      <c r="S1434" s="547">
        <v>2.3105359999999999</v>
      </c>
      <c r="T1434" s="787"/>
      <c r="U1434" s="692"/>
      <c r="V1434" s="547">
        <v>2.7587489999999999</v>
      </c>
      <c r="W1434" s="787"/>
      <c r="X1434" s="692"/>
      <c r="Y1434" s="547">
        <v>2.6207639999999999</v>
      </c>
      <c r="Z1434" s="787"/>
      <c r="AA1434" s="692"/>
      <c r="AB1434" s="547">
        <v>2.8995890000000002</v>
      </c>
      <c r="AC1434" s="787"/>
      <c r="AD1434" s="692"/>
      <c r="AE1434" s="547">
        <v>2.7330549999999998</v>
      </c>
      <c r="AF1434" s="787"/>
      <c r="AG1434" s="692"/>
      <c r="AH1434" s="547">
        <v>2.323858</v>
      </c>
      <c r="AI1434" s="787"/>
      <c r="AJ1434" s="692"/>
      <c r="AK1434" s="547">
        <v>1.820451</v>
      </c>
      <c r="AL1434" s="787"/>
      <c r="AM1434" s="692"/>
      <c r="AN1434" s="547">
        <v>1.0841229999999999</v>
      </c>
      <c r="AO1434" s="787"/>
      <c r="AP1434" s="692"/>
      <c r="AQ1434" s="547">
        <v>0.91389699999999996</v>
      </c>
      <c r="AR1434" s="262"/>
      <c r="AS1434" s="324"/>
      <c r="AT1434" s="244">
        <f t="shared" si="55"/>
        <v>24.016793</v>
      </c>
      <c r="AU1434" s="262"/>
      <c r="AV1434" s="479"/>
      <c r="AW1434" s="226"/>
      <c r="AX1434" s="440"/>
      <c r="AY1434" s="1144"/>
      <c r="AZ1434" s="402"/>
      <c r="BA1434" s="357"/>
      <c r="BB1434" s="357"/>
      <c r="BC1434" s="357"/>
    </row>
    <row r="1435" spans="1:55" s="146" customFormat="1">
      <c r="A1435" s="179"/>
      <c r="B1435" s="179"/>
      <c r="C1435" s="179"/>
      <c r="D1435" s="181"/>
      <c r="E1435" s="181"/>
      <c r="F1435" s="181"/>
      <c r="G1435" s="1110"/>
      <c r="H1435" s="948" t="s">
        <v>1832</v>
      </c>
      <c r="I1435" s="533"/>
      <c r="J1435" s="547">
        <v>1.128819</v>
      </c>
      <c r="K1435" s="787"/>
      <c r="L1435" s="692"/>
      <c r="M1435" s="547">
        <v>1.4616640000000001</v>
      </c>
      <c r="N1435" s="787"/>
      <c r="O1435" s="692"/>
      <c r="P1435" s="547">
        <v>1.955581</v>
      </c>
      <c r="Q1435" s="787"/>
      <c r="R1435" s="692"/>
      <c r="S1435" s="547">
        <v>2.3086319999999998</v>
      </c>
      <c r="T1435" s="787"/>
      <c r="U1435" s="692"/>
      <c r="V1435" s="547">
        <v>2.7577980000000002</v>
      </c>
      <c r="W1435" s="787"/>
      <c r="X1435" s="692"/>
      <c r="Y1435" s="547">
        <v>2.6198130000000002</v>
      </c>
      <c r="Z1435" s="787"/>
      <c r="AA1435" s="692"/>
      <c r="AB1435" s="547">
        <v>2.898638</v>
      </c>
      <c r="AC1435" s="787"/>
      <c r="AD1435" s="692"/>
      <c r="AE1435" s="547">
        <v>2.7311519999999998</v>
      </c>
      <c r="AF1435" s="787"/>
      <c r="AG1435" s="692"/>
      <c r="AH1435" s="547">
        <v>2.3229069999999998</v>
      </c>
      <c r="AI1435" s="787"/>
      <c r="AJ1435" s="692"/>
      <c r="AK1435" s="547">
        <v>1.8185480000000001</v>
      </c>
      <c r="AL1435" s="787"/>
      <c r="AM1435" s="692"/>
      <c r="AN1435" s="547">
        <v>1.0822210000000001</v>
      </c>
      <c r="AO1435" s="787"/>
      <c r="AP1435" s="692"/>
      <c r="AQ1435" s="547">
        <v>0.91009300000000004</v>
      </c>
      <c r="AR1435" s="262"/>
      <c r="AS1435" s="324"/>
      <c r="AT1435" s="244">
        <f t="shared" si="55"/>
        <v>23.995865999999999</v>
      </c>
      <c r="AU1435" s="262"/>
      <c r="AV1435" s="479"/>
      <c r="AW1435" s="226"/>
      <c r="AX1435" s="440"/>
      <c r="AY1435" s="1144"/>
      <c r="AZ1435" s="402"/>
      <c r="BA1435" s="357"/>
      <c r="BB1435" s="357"/>
      <c r="BC1435" s="357"/>
    </row>
    <row r="1436" spans="1:55" s="146" customFormat="1">
      <c r="A1436" s="179"/>
      <c r="B1436" s="179"/>
      <c r="C1436" s="179"/>
      <c r="D1436" s="181"/>
      <c r="E1436" s="181"/>
      <c r="F1436" s="181"/>
      <c r="G1436" s="1110"/>
      <c r="H1436" s="947" t="s">
        <v>871</v>
      </c>
      <c r="I1436" s="533" t="s">
        <v>365</v>
      </c>
      <c r="J1436" s="787">
        <f>J1437+J1438+J1439+J1440+J1441+J1442</f>
        <v>4.1191000000000004</v>
      </c>
      <c r="K1436" s="787"/>
      <c r="L1436" s="692"/>
      <c r="M1436" s="787">
        <f>M1437+M1438+M1439+M1440+M1441+M1442</f>
        <v>4.1201000000000008</v>
      </c>
      <c r="N1436" s="787"/>
      <c r="O1436" s="692"/>
      <c r="P1436" s="787">
        <f>P1437+P1438+P1439+P1440+P1441+P1442</f>
        <v>3.5069999999999997</v>
      </c>
      <c r="Q1436" s="787"/>
      <c r="R1436" s="692"/>
      <c r="S1436" s="787">
        <f>S1437+S1438+S1439+S1440+S1441+S1442</f>
        <v>2.5049999999999999</v>
      </c>
      <c r="T1436" s="787"/>
      <c r="U1436" s="692"/>
      <c r="V1436" s="787">
        <f>V1437+V1438+V1439+V1440+V1441+V1442</f>
        <v>2.2032000000000003</v>
      </c>
      <c r="W1436" s="787"/>
      <c r="X1436" s="692"/>
      <c r="Y1436" s="787">
        <f>Y1437+Y1438+Y1439+Y1440+Y1441+Y1442</f>
        <v>1.9545000000000003</v>
      </c>
      <c r="Z1436" s="787"/>
      <c r="AA1436" s="692"/>
      <c r="AB1436" s="787">
        <f>AB1437+AB1438+AB1439+AB1440+AB1441+AB1442</f>
        <v>1.9530000000000003</v>
      </c>
      <c r="AC1436" s="787"/>
      <c r="AD1436" s="692"/>
      <c r="AE1436" s="787">
        <f>AE1437+AE1438+AE1439+AE1440+AE1441+AE1442</f>
        <v>2.7982</v>
      </c>
      <c r="AF1436" s="788"/>
      <c r="AG1436" s="789"/>
      <c r="AH1436" s="787">
        <f>AH1437+AH1438+AH1439+AH1440+AH1441+AH1442</f>
        <v>3.1991999999999998</v>
      </c>
      <c r="AI1436" s="790"/>
      <c r="AJ1436" s="692"/>
      <c r="AK1436" s="787">
        <f>AK1437+AK1438+AK1439+AK1440+AK1441+AK1442</f>
        <v>4.5550000000000006</v>
      </c>
      <c r="AL1436" s="791"/>
      <c r="AM1436" s="792"/>
      <c r="AN1436" s="787">
        <f>AN1437+AN1438+AN1439+AN1440+AN1441+AN1442</f>
        <v>4.5746000000000002</v>
      </c>
      <c r="AO1436" s="791"/>
      <c r="AP1436" s="692"/>
      <c r="AQ1436" s="787">
        <f>AQ1437+AQ1438+AQ1439+AQ1440+AQ1441+AQ1442</f>
        <v>4.5095000000000001</v>
      </c>
      <c r="AR1436" s="262"/>
      <c r="AS1436" s="324"/>
      <c r="AT1436" s="787">
        <f>AT1437+AT1438+AT1439+AT1440+AT1441+AT1442</f>
        <v>39.998400000000004</v>
      </c>
      <c r="AU1436" s="262"/>
      <c r="AV1436" s="479"/>
      <c r="AW1436" s="226"/>
      <c r="AX1436" s="440"/>
      <c r="AY1436" s="1245">
        <v>123.908323</v>
      </c>
      <c r="AZ1436" s="402"/>
      <c r="BA1436" s="357"/>
      <c r="BB1436" s="357"/>
      <c r="BC1436" s="357"/>
    </row>
    <row r="1437" spans="1:55" s="146" customFormat="1">
      <c r="A1437" s="179"/>
      <c r="B1437" s="179"/>
      <c r="C1437" s="179"/>
      <c r="D1437" s="181"/>
      <c r="E1437" s="181"/>
      <c r="F1437" s="181"/>
      <c r="G1437" s="1110">
        <v>777124</v>
      </c>
      <c r="H1437" s="149" t="s">
        <v>1181</v>
      </c>
      <c r="I1437" s="533"/>
      <c r="J1437" s="547">
        <v>1.3366</v>
      </c>
      <c r="K1437" s="787"/>
      <c r="L1437" s="692"/>
      <c r="M1437" s="547">
        <v>1.3366</v>
      </c>
      <c r="N1437" s="787"/>
      <c r="O1437" s="692"/>
      <c r="P1437" s="547">
        <v>1.141</v>
      </c>
      <c r="Q1437" s="787"/>
      <c r="R1437" s="692"/>
      <c r="S1437" s="547">
        <v>0.81499999999999995</v>
      </c>
      <c r="T1437" s="787"/>
      <c r="U1437" s="692"/>
      <c r="V1437" s="547">
        <v>0.71719999999999995</v>
      </c>
      <c r="W1437" s="787"/>
      <c r="X1437" s="692"/>
      <c r="Y1437" s="547">
        <v>0.63570000000000004</v>
      </c>
      <c r="Z1437" s="787"/>
      <c r="AA1437" s="692"/>
      <c r="AB1437" s="547">
        <v>0.63570000000000004</v>
      </c>
      <c r="AC1437" s="787"/>
      <c r="AD1437" s="692"/>
      <c r="AE1437" s="547">
        <v>0.91279999999999994</v>
      </c>
      <c r="AF1437" s="787"/>
      <c r="AG1437" s="692"/>
      <c r="AH1437" s="547">
        <v>1.0431999999999999</v>
      </c>
      <c r="AI1437" s="787"/>
      <c r="AJ1437" s="692"/>
      <c r="AK1437" s="547">
        <v>1.5</v>
      </c>
      <c r="AL1437" s="787"/>
      <c r="AM1437" s="692"/>
      <c r="AN1437" s="547">
        <v>1.4996</v>
      </c>
      <c r="AO1437" s="787"/>
      <c r="AP1437" s="692"/>
      <c r="AQ1437" s="547">
        <v>1.4670000000000001</v>
      </c>
      <c r="AR1437" s="262"/>
      <c r="AS1437" s="324"/>
      <c r="AT1437" s="244">
        <f t="shared" si="55"/>
        <v>13.0404</v>
      </c>
      <c r="AU1437" s="262"/>
      <c r="AV1437" s="479"/>
      <c r="AW1437" s="226"/>
      <c r="AX1437" s="440"/>
      <c r="AY1437" s="1246"/>
      <c r="AZ1437" s="402"/>
      <c r="BA1437" s="357"/>
      <c r="BB1437" s="357"/>
      <c r="BC1437" s="357"/>
    </row>
    <row r="1438" spans="1:55" s="146" customFormat="1">
      <c r="A1438" s="179"/>
      <c r="B1438" s="179"/>
      <c r="C1438" s="179"/>
      <c r="D1438" s="181"/>
      <c r="E1438" s="181"/>
      <c r="F1438" s="181"/>
      <c r="G1438" s="1110">
        <v>777154</v>
      </c>
      <c r="H1438" s="149" t="s">
        <v>1182</v>
      </c>
      <c r="I1438" s="533"/>
      <c r="J1438" s="547">
        <v>0.246</v>
      </c>
      <c r="K1438" s="787"/>
      <c r="L1438" s="692"/>
      <c r="M1438" s="547">
        <v>0.246</v>
      </c>
      <c r="N1438" s="787"/>
      <c r="O1438" s="692"/>
      <c r="P1438" s="547">
        <v>0.21</v>
      </c>
      <c r="Q1438" s="787"/>
      <c r="R1438" s="692"/>
      <c r="S1438" s="547">
        <v>0.15</v>
      </c>
      <c r="T1438" s="787"/>
      <c r="U1438" s="692"/>
      <c r="V1438" s="547">
        <v>0.13200000000000001</v>
      </c>
      <c r="W1438" s="787"/>
      <c r="X1438" s="692"/>
      <c r="Y1438" s="547">
        <v>0.11700000000000001</v>
      </c>
      <c r="Z1438" s="787"/>
      <c r="AA1438" s="692"/>
      <c r="AB1438" s="547">
        <v>0.11700000000000001</v>
      </c>
      <c r="AC1438" s="787"/>
      <c r="AD1438" s="692"/>
      <c r="AE1438" s="547">
        <v>0.16800000000000001</v>
      </c>
      <c r="AF1438" s="787"/>
      <c r="AG1438" s="692"/>
      <c r="AH1438" s="547">
        <v>0.192</v>
      </c>
      <c r="AI1438" s="787"/>
      <c r="AJ1438" s="692"/>
      <c r="AK1438" s="547">
        <v>0.27600000000000002</v>
      </c>
      <c r="AL1438" s="787"/>
      <c r="AM1438" s="692"/>
      <c r="AN1438" s="547">
        <v>0.27600000000000002</v>
      </c>
      <c r="AO1438" s="787"/>
      <c r="AP1438" s="692"/>
      <c r="AQ1438" s="547">
        <v>0.27</v>
      </c>
      <c r="AR1438" s="262"/>
      <c r="AS1438" s="324"/>
      <c r="AT1438" s="244">
        <f t="shared" si="55"/>
        <v>2.4</v>
      </c>
      <c r="AU1438" s="262"/>
      <c r="AV1438" s="479"/>
      <c r="AW1438" s="226"/>
      <c r="AX1438" s="440"/>
      <c r="AY1438" s="1246"/>
      <c r="AZ1438" s="402"/>
      <c r="BA1438" s="357"/>
      <c r="BB1438" s="357"/>
      <c r="BC1438" s="357"/>
    </row>
    <row r="1439" spans="1:55" s="146" customFormat="1">
      <c r="A1439" s="179"/>
      <c r="B1439" s="179"/>
      <c r="C1439" s="179"/>
      <c r="D1439" s="181"/>
      <c r="E1439" s="181"/>
      <c r="F1439" s="181"/>
      <c r="G1439" s="1110">
        <v>777122</v>
      </c>
      <c r="H1439" s="149" t="s">
        <v>1183</v>
      </c>
      <c r="I1439" s="533"/>
      <c r="J1439" s="547">
        <v>1.1890000000000001</v>
      </c>
      <c r="K1439" s="787"/>
      <c r="L1439" s="692"/>
      <c r="M1439" s="547">
        <v>1.1890000000000001</v>
      </c>
      <c r="N1439" s="787"/>
      <c r="O1439" s="692"/>
      <c r="P1439" s="547">
        <v>1.0149999999999999</v>
      </c>
      <c r="Q1439" s="787"/>
      <c r="R1439" s="692"/>
      <c r="S1439" s="547">
        <v>0.72499999999999998</v>
      </c>
      <c r="T1439" s="787"/>
      <c r="U1439" s="692"/>
      <c r="V1439" s="547">
        <v>0.63800000000000001</v>
      </c>
      <c r="W1439" s="787"/>
      <c r="X1439" s="692"/>
      <c r="Y1439" s="547">
        <v>0.5655</v>
      </c>
      <c r="Z1439" s="787"/>
      <c r="AA1439" s="692"/>
      <c r="AB1439" s="547">
        <v>0.5655</v>
      </c>
      <c r="AC1439" s="787"/>
      <c r="AD1439" s="692"/>
      <c r="AE1439" s="547">
        <v>0.81200000000000006</v>
      </c>
      <c r="AF1439" s="787"/>
      <c r="AG1439" s="692"/>
      <c r="AH1439" s="547">
        <v>0.92800000000000005</v>
      </c>
      <c r="AI1439" s="787"/>
      <c r="AJ1439" s="692"/>
      <c r="AK1439" s="547">
        <v>1.3340000000000001</v>
      </c>
      <c r="AL1439" s="787"/>
      <c r="AM1439" s="692"/>
      <c r="AN1439" s="547">
        <v>1.3340000000000001</v>
      </c>
      <c r="AO1439" s="787"/>
      <c r="AP1439" s="692"/>
      <c r="AQ1439" s="547">
        <v>1.3049999999999999</v>
      </c>
      <c r="AR1439" s="262"/>
      <c r="AS1439" s="324"/>
      <c r="AT1439" s="244">
        <f t="shared" si="55"/>
        <v>11.6</v>
      </c>
      <c r="AU1439" s="262"/>
      <c r="AV1439" s="479"/>
      <c r="AW1439" s="226"/>
      <c r="AX1439" s="440"/>
      <c r="AY1439" s="1246"/>
      <c r="AZ1439" s="402"/>
      <c r="BA1439" s="357"/>
      <c r="BB1439" s="357"/>
      <c r="BC1439" s="357"/>
    </row>
    <row r="1440" spans="1:55" s="146" customFormat="1">
      <c r="A1440" s="179"/>
      <c r="B1440" s="179"/>
      <c r="C1440" s="179"/>
      <c r="D1440" s="181"/>
      <c r="E1440" s="181"/>
      <c r="F1440" s="181"/>
      <c r="G1440" s="1110">
        <v>777123</v>
      </c>
      <c r="H1440" s="149" t="s">
        <v>1184</v>
      </c>
      <c r="I1440" s="533"/>
      <c r="J1440" s="548">
        <v>0.75</v>
      </c>
      <c r="K1440" s="787"/>
      <c r="L1440" s="692"/>
      <c r="M1440" s="547">
        <v>0.75</v>
      </c>
      <c r="N1440" s="787"/>
      <c r="O1440" s="692"/>
      <c r="P1440" s="547">
        <v>0.63</v>
      </c>
      <c r="Q1440" s="787"/>
      <c r="R1440" s="692"/>
      <c r="S1440" s="547">
        <v>0.45</v>
      </c>
      <c r="T1440" s="787"/>
      <c r="U1440" s="692"/>
      <c r="V1440" s="547">
        <v>0.39500000000000002</v>
      </c>
      <c r="W1440" s="787"/>
      <c r="X1440" s="692"/>
      <c r="Y1440" s="547">
        <v>0.35</v>
      </c>
      <c r="Z1440" s="787"/>
      <c r="AA1440" s="692"/>
      <c r="AB1440" s="547">
        <v>0.35</v>
      </c>
      <c r="AC1440" s="787"/>
      <c r="AD1440" s="692"/>
      <c r="AE1440" s="547">
        <v>0.49540000000000001</v>
      </c>
      <c r="AF1440" s="787"/>
      <c r="AG1440" s="692"/>
      <c r="AH1440" s="547">
        <v>0.56899999999999995</v>
      </c>
      <c r="AI1440" s="787"/>
      <c r="AJ1440" s="692"/>
      <c r="AK1440" s="547">
        <v>0.85</v>
      </c>
      <c r="AL1440" s="787"/>
      <c r="AM1440" s="692"/>
      <c r="AN1440" s="547">
        <v>0.82</v>
      </c>
      <c r="AO1440" s="787"/>
      <c r="AP1440" s="692"/>
      <c r="AQ1440" s="547">
        <v>0.81</v>
      </c>
      <c r="AR1440" s="262"/>
      <c r="AS1440" s="324"/>
      <c r="AT1440" s="244">
        <f t="shared" si="55"/>
        <v>7.2194000000000003</v>
      </c>
      <c r="AU1440" s="262"/>
      <c r="AV1440" s="479"/>
      <c r="AW1440" s="226"/>
      <c r="AX1440" s="440"/>
      <c r="AY1440" s="1246"/>
      <c r="AZ1440" s="402"/>
      <c r="BA1440" s="357"/>
      <c r="BB1440" s="357"/>
      <c r="BC1440" s="357"/>
    </row>
    <row r="1441" spans="1:55" s="146" customFormat="1">
      <c r="A1441" s="179"/>
      <c r="B1441" s="179"/>
      <c r="C1441" s="179"/>
      <c r="D1441" s="181"/>
      <c r="E1441" s="181"/>
      <c r="F1441" s="181"/>
      <c r="G1441" s="1110">
        <v>777125</v>
      </c>
      <c r="H1441" s="149" t="s">
        <v>1185</v>
      </c>
      <c r="I1441" s="533"/>
      <c r="J1441" s="548">
        <v>0.3075</v>
      </c>
      <c r="K1441" s="787"/>
      <c r="L1441" s="692"/>
      <c r="M1441" s="547">
        <v>0.3075</v>
      </c>
      <c r="N1441" s="787"/>
      <c r="O1441" s="692"/>
      <c r="P1441" s="547">
        <v>0.26250000000000001</v>
      </c>
      <c r="Q1441" s="787"/>
      <c r="R1441" s="692"/>
      <c r="S1441" s="547">
        <v>0.1875</v>
      </c>
      <c r="T1441" s="787"/>
      <c r="U1441" s="692"/>
      <c r="V1441" s="547">
        <v>0.16500000000000001</v>
      </c>
      <c r="W1441" s="787"/>
      <c r="X1441" s="692"/>
      <c r="Y1441" s="547">
        <v>0.14630000000000001</v>
      </c>
      <c r="Z1441" s="787"/>
      <c r="AA1441" s="692"/>
      <c r="AB1441" s="547">
        <v>0.14630000000000001</v>
      </c>
      <c r="AC1441" s="787"/>
      <c r="AD1441" s="692"/>
      <c r="AE1441" s="547">
        <v>0.21</v>
      </c>
      <c r="AF1441" s="1014"/>
      <c r="AG1441" s="1015"/>
      <c r="AH1441" s="548">
        <v>0.24</v>
      </c>
      <c r="AI1441" s="1016"/>
      <c r="AJ1441" s="1015"/>
      <c r="AK1441" s="548">
        <v>0.34499999999999997</v>
      </c>
      <c r="AL1441" s="1017"/>
      <c r="AM1441" s="1018"/>
      <c r="AN1441" s="548">
        <v>0.34499999999999997</v>
      </c>
      <c r="AO1441" s="1017"/>
      <c r="AP1441" s="1018"/>
      <c r="AQ1441" s="548">
        <v>0.33750000000000002</v>
      </c>
      <c r="AR1441" s="262"/>
      <c r="AS1441" s="324"/>
      <c r="AT1441" s="244">
        <f t="shared" si="55"/>
        <v>3.0001000000000002</v>
      </c>
      <c r="AU1441" s="262"/>
      <c r="AV1441" s="479"/>
      <c r="AW1441" s="226"/>
      <c r="AX1441" s="440"/>
      <c r="AY1441" s="1246"/>
      <c r="AZ1441" s="402"/>
      <c r="BA1441" s="357"/>
      <c r="BB1441" s="357"/>
      <c r="BC1441" s="357"/>
    </row>
    <row r="1442" spans="1:55" s="146" customFormat="1">
      <c r="A1442" s="179"/>
      <c r="B1442" s="179"/>
      <c r="C1442" s="179"/>
      <c r="D1442" s="181"/>
      <c r="E1442" s="181"/>
      <c r="F1442" s="181"/>
      <c r="G1442" s="1110">
        <v>777121</v>
      </c>
      <c r="H1442" s="149" t="s">
        <v>1186</v>
      </c>
      <c r="I1442" s="533"/>
      <c r="J1442" s="548">
        <v>0.28999999999999998</v>
      </c>
      <c r="K1442" s="787"/>
      <c r="L1442" s="692"/>
      <c r="M1442" s="547">
        <v>0.29099999999999998</v>
      </c>
      <c r="N1442" s="787"/>
      <c r="O1442" s="692"/>
      <c r="P1442" s="547">
        <v>0.2485</v>
      </c>
      <c r="Q1442" s="787"/>
      <c r="R1442" s="692"/>
      <c r="S1442" s="547">
        <v>0.17749999999999999</v>
      </c>
      <c r="T1442" s="787"/>
      <c r="U1442" s="692"/>
      <c r="V1442" s="547">
        <v>0.156</v>
      </c>
      <c r="W1442" s="787"/>
      <c r="X1442" s="692"/>
      <c r="Y1442" s="547">
        <v>0.14000000000000001</v>
      </c>
      <c r="Z1442" s="787"/>
      <c r="AA1442" s="692"/>
      <c r="AB1442" s="547">
        <v>0.13850000000000001</v>
      </c>
      <c r="AC1442" s="787"/>
      <c r="AD1442" s="692"/>
      <c r="AE1442" s="547">
        <v>0.2</v>
      </c>
      <c r="AF1442" s="787"/>
      <c r="AG1442" s="692"/>
      <c r="AH1442" s="547">
        <v>0.22700000000000001</v>
      </c>
      <c r="AI1442" s="787"/>
      <c r="AJ1442" s="692"/>
      <c r="AK1442" s="547">
        <v>0.25</v>
      </c>
      <c r="AL1442" s="787"/>
      <c r="AM1442" s="692"/>
      <c r="AN1442" s="547">
        <v>0.3</v>
      </c>
      <c r="AO1442" s="787"/>
      <c r="AP1442" s="692"/>
      <c r="AQ1442" s="547">
        <v>0.32</v>
      </c>
      <c r="AR1442" s="262"/>
      <c r="AS1442" s="324"/>
      <c r="AT1442" s="244">
        <f t="shared" si="55"/>
        <v>2.7384999999999997</v>
      </c>
      <c r="AU1442" s="262"/>
      <c r="AV1442" s="479"/>
      <c r="AW1442" s="226"/>
      <c r="AX1442" s="440"/>
      <c r="AY1442" s="1246"/>
      <c r="AZ1442" s="402"/>
      <c r="BA1442" s="357"/>
      <c r="BB1442" s="357"/>
      <c r="BC1442" s="357"/>
    </row>
    <row r="1443" spans="1:55" s="146" customFormat="1">
      <c r="A1443" s="179"/>
      <c r="B1443" s="179"/>
      <c r="C1443" s="179"/>
      <c r="D1443" s="181"/>
      <c r="E1443" s="181"/>
      <c r="F1443" s="181"/>
      <c r="G1443" s="1110">
        <v>777126</v>
      </c>
      <c r="H1443" s="149" t="s">
        <v>358</v>
      </c>
      <c r="I1443" s="533" t="s">
        <v>365</v>
      </c>
      <c r="J1443" s="547">
        <v>9</v>
      </c>
      <c r="K1443" s="787"/>
      <c r="L1443" s="692"/>
      <c r="M1443" s="547">
        <v>9</v>
      </c>
      <c r="N1443" s="787"/>
      <c r="O1443" s="692"/>
      <c r="P1443" s="547">
        <v>8</v>
      </c>
      <c r="Q1443" s="787"/>
      <c r="R1443" s="692"/>
      <c r="S1443" s="547">
        <v>7</v>
      </c>
      <c r="T1443" s="787"/>
      <c r="U1443" s="692"/>
      <c r="V1443" s="547">
        <v>5</v>
      </c>
      <c r="W1443" s="787"/>
      <c r="X1443" s="692"/>
      <c r="Y1443" s="547">
        <v>5</v>
      </c>
      <c r="Z1443" s="787"/>
      <c r="AA1443" s="692"/>
      <c r="AB1443" s="547">
        <v>4</v>
      </c>
      <c r="AC1443" s="787"/>
      <c r="AD1443" s="692"/>
      <c r="AE1443" s="547">
        <v>7</v>
      </c>
      <c r="AF1443" s="787"/>
      <c r="AG1443" s="692"/>
      <c r="AH1443" s="547">
        <v>6</v>
      </c>
      <c r="AI1443" s="787"/>
      <c r="AJ1443" s="692"/>
      <c r="AK1443" s="547">
        <v>8</v>
      </c>
      <c r="AL1443" s="787"/>
      <c r="AM1443" s="692"/>
      <c r="AN1443" s="547">
        <v>8</v>
      </c>
      <c r="AO1443" s="787"/>
      <c r="AP1443" s="692"/>
      <c r="AQ1443" s="547">
        <v>9</v>
      </c>
      <c r="AR1443" s="262"/>
      <c r="AS1443" s="324"/>
      <c r="AT1443" s="244">
        <f t="shared" si="55"/>
        <v>85</v>
      </c>
      <c r="AU1443" s="262"/>
      <c r="AV1443" s="479"/>
      <c r="AW1443" s="226"/>
      <c r="AX1443" s="440"/>
      <c r="AY1443" s="1247"/>
      <c r="AZ1443" s="402"/>
      <c r="BA1443" s="357"/>
      <c r="BB1443" s="357"/>
      <c r="BC1443" s="357"/>
    </row>
    <row r="1444" spans="1:55" s="146" customFormat="1">
      <c r="A1444" s="179"/>
      <c r="B1444" s="179"/>
      <c r="C1444" s="179"/>
      <c r="D1444" s="181"/>
      <c r="E1444" s="181"/>
      <c r="F1444" s="181"/>
      <c r="G1444" s="1110">
        <v>777132</v>
      </c>
      <c r="H1444" s="149" t="s">
        <v>362</v>
      </c>
      <c r="I1444" s="533" t="s">
        <v>365</v>
      </c>
      <c r="J1444" s="244">
        <v>10.361000000000001</v>
      </c>
      <c r="K1444" s="262"/>
      <c r="L1444" s="324"/>
      <c r="M1444" s="244">
        <v>7.7880000000000003</v>
      </c>
      <c r="N1444" s="262"/>
      <c r="O1444" s="324"/>
      <c r="P1444" s="244">
        <v>8.9760000000000009</v>
      </c>
      <c r="Q1444" s="262"/>
      <c r="R1444" s="324"/>
      <c r="S1444" s="244">
        <v>9</v>
      </c>
      <c r="T1444" s="262"/>
      <c r="U1444" s="324"/>
      <c r="V1444" s="244">
        <v>8.395999999999999</v>
      </c>
      <c r="W1444" s="262"/>
      <c r="X1444" s="324"/>
      <c r="Y1444" s="244">
        <v>6.72</v>
      </c>
      <c r="Z1444" s="262"/>
      <c r="AA1444" s="324"/>
      <c r="AB1444" s="244">
        <v>6.96</v>
      </c>
      <c r="AC1444" s="262"/>
      <c r="AD1444" s="324"/>
      <c r="AE1444" s="244">
        <v>5.76</v>
      </c>
      <c r="AF1444" s="262"/>
      <c r="AG1444" s="324"/>
      <c r="AH1444" s="244">
        <v>7.3920000000000003</v>
      </c>
      <c r="AI1444" s="262"/>
      <c r="AJ1444" s="324"/>
      <c r="AK1444" s="244">
        <v>9.84</v>
      </c>
      <c r="AL1444" s="262"/>
      <c r="AM1444" s="324"/>
      <c r="AN1444" s="244">
        <v>9.8600000000000012</v>
      </c>
      <c r="AO1444" s="262"/>
      <c r="AP1444" s="324"/>
      <c r="AQ1444" s="244">
        <v>10.584</v>
      </c>
      <c r="AR1444" s="262"/>
      <c r="AS1444" s="324"/>
      <c r="AT1444" s="244">
        <f t="shared" si="55"/>
        <v>101.637</v>
      </c>
      <c r="AU1444" s="262"/>
      <c r="AV1444" s="479"/>
      <c r="AW1444" s="226"/>
      <c r="AX1444" s="440"/>
      <c r="AY1444" s="1245">
        <v>126.21686200000001</v>
      </c>
      <c r="AZ1444" s="402"/>
      <c r="BA1444" s="357"/>
      <c r="BB1444" s="357"/>
      <c r="BC1444" s="357"/>
    </row>
    <row r="1445" spans="1:55" s="146" customFormat="1">
      <c r="A1445" s="179"/>
      <c r="B1445" s="179"/>
      <c r="C1445" s="179"/>
      <c r="D1445" s="181"/>
      <c r="E1445" s="181"/>
      <c r="F1445" s="181"/>
      <c r="G1445" s="1110">
        <v>777133</v>
      </c>
      <c r="H1445" s="149" t="s">
        <v>1187</v>
      </c>
      <c r="I1445" s="533" t="s">
        <v>365</v>
      </c>
      <c r="J1445" s="244">
        <v>4.4889999999999999</v>
      </c>
      <c r="K1445" s="262"/>
      <c r="L1445" s="324"/>
      <c r="M1445" s="244">
        <v>5.5279999999999996</v>
      </c>
      <c r="N1445" s="262"/>
      <c r="O1445" s="324"/>
      <c r="P1445" s="244">
        <v>4.8360000000000003</v>
      </c>
      <c r="Q1445" s="262"/>
      <c r="R1445" s="324"/>
      <c r="S1445" s="244">
        <v>4.92</v>
      </c>
      <c r="T1445" s="262"/>
      <c r="U1445" s="324"/>
      <c r="V1445" s="244">
        <v>4.8360000000000003</v>
      </c>
      <c r="W1445" s="262"/>
      <c r="X1445" s="324"/>
      <c r="Y1445" s="244">
        <v>4.68</v>
      </c>
      <c r="Z1445" s="262"/>
      <c r="AA1445" s="324"/>
      <c r="AB1445" s="244">
        <v>4.8360000000000003</v>
      </c>
      <c r="AC1445" s="262"/>
      <c r="AD1445" s="324"/>
      <c r="AE1445" s="244">
        <v>4.8360000000000003</v>
      </c>
      <c r="AF1445" s="262"/>
      <c r="AG1445" s="324"/>
      <c r="AH1445" s="244">
        <v>4.68</v>
      </c>
      <c r="AI1445" s="262"/>
      <c r="AJ1445" s="324"/>
      <c r="AK1445" s="244">
        <v>6.3090000000000002</v>
      </c>
      <c r="AL1445" s="262"/>
      <c r="AM1445" s="324"/>
      <c r="AN1445" s="244">
        <v>6.4870000000000001</v>
      </c>
      <c r="AO1445" s="262"/>
      <c r="AP1445" s="324"/>
      <c r="AQ1445" s="244">
        <v>6.633</v>
      </c>
      <c r="AR1445" s="262"/>
      <c r="AS1445" s="324"/>
      <c r="AT1445" s="244">
        <f t="shared" si="55"/>
        <v>63.07</v>
      </c>
      <c r="AU1445" s="262"/>
      <c r="AV1445" s="479"/>
      <c r="AW1445" s="226"/>
      <c r="AX1445" s="440"/>
      <c r="AY1445" s="1246"/>
      <c r="AZ1445" s="402"/>
      <c r="BA1445" s="357"/>
      <c r="BB1445" s="357"/>
      <c r="BC1445" s="357"/>
    </row>
    <row r="1446" spans="1:55" s="146" customFormat="1" ht="18.75">
      <c r="A1446" s="179"/>
      <c r="B1446" s="179"/>
      <c r="C1446" s="179"/>
      <c r="D1446" s="181"/>
      <c r="E1446" s="181"/>
      <c r="F1446" s="181"/>
      <c r="G1446" s="181"/>
      <c r="H1446" s="7" t="s">
        <v>1635</v>
      </c>
      <c r="I1446" s="473"/>
      <c r="J1446" s="277">
        <f>SUM(J1447:J1448)</f>
        <v>347.75080199999996</v>
      </c>
      <c r="K1446" s="275">
        <f>L1446-J1446</f>
        <v>-179.77195798629782</v>
      </c>
      <c r="L1446" s="392">
        <f>Потребление!D79</f>
        <v>167.97884401370214</v>
      </c>
      <c r="M1446" s="274">
        <f>SUM(M1447:M1448)</f>
        <v>264.16400300000004</v>
      </c>
      <c r="N1446" s="275">
        <f>O1446-M1446</f>
        <v>-108.0966737901399</v>
      </c>
      <c r="O1446" s="392">
        <f>Потребление!E79</f>
        <v>156.06732920986013</v>
      </c>
      <c r="P1446" s="274">
        <f>SUM(P1447:P1448)</f>
        <v>189.32092600000001</v>
      </c>
      <c r="Q1446" s="275">
        <f>R1446-P1446</f>
        <v>-27.910328041294292</v>
      </c>
      <c r="R1446" s="392">
        <f>Потребление!F79</f>
        <v>161.41059795870572</v>
      </c>
      <c r="S1446" s="274">
        <f>SUM(S1447:S1448)</f>
        <v>182.62525599999998</v>
      </c>
      <c r="T1446" s="275">
        <f>U1446-S1446</f>
        <v>-57.004633992255251</v>
      </c>
      <c r="U1446" s="392">
        <f>Потребление!G79</f>
        <v>125.62062200774473</v>
      </c>
      <c r="V1446" s="274">
        <f>SUM(V1447:V1448)</f>
        <v>124.698866</v>
      </c>
      <c r="W1446" s="275">
        <f>X1446-V1446</f>
        <v>-15.17235847807207</v>
      </c>
      <c r="X1446" s="392">
        <f>Потребление!H79</f>
        <v>109.52650752192793</v>
      </c>
      <c r="Y1446" s="274">
        <f>SUM(Y1447:Y1448)</f>
        <v>189.47963099999998</v>
      </c>
      <c r="Z1446" s="275">
        <f>AA1446-Y1446</f>
        <v>-74.38323589707062</v>
      </c>
      <c r="AA1446" s="392">
        <f>Потребление!I79</f>
        <v>115.09639510292936</v>
      </c>
      <c r="AB1446" s="274">
        <f>SUM(AB1447:AB1448)</f>
        <v>179.94967500000001</v>
      </c>
      <c r="AC1446" s="275">
        <f>AD1446-AB1446</f>
        <v>-51.572964959728864</v>
      </c>
      <c r="AD1446" s="392">
        <f>Потребление!J79</f>
        <v>128.37671004027115</v>
      </c>
      <c r="AE1446" s="274">
        <f>SUM(AE1447:AE1448)</f>
        <v>179.97459800000001</v>
      </c>
      <c r="AF1446" s="275">
        <f>AG1446-AE1446</f>
        <v>-53.157399831509252</v>
      </c>
      <c r="AG1446" s="392">
        <f>Потребление!K79</f>
        <v>126.81719816849076</v>
      </c>
      <c r="AH1446" s="274">
        <f>SUM(AH1447:AH1448)</f>
        <v>158.84408199999999</v>
      </c>
      <c r="AI1446" s="275">
        <f>AJ1446-AH1446</f>
        <v>-47.202725035262162</v>
      </c>
      <c r="AJ1446" s="392">
        <f>Потребление!L79</f>
        <v>111.64135696473782</v>
      </c>
      <c r="AK1446" s="274">
        <f>SUM(AK1447:AK1448)</f>
        <v>168.09609699999999</v>
      </c>
      <c r="AL1446" s="275">
        <f>AM1446-AK1446</f>
        <v>-45.884204800248114</v>
      </c>
      <c r="AM1446" s="392">
        <f>Потребление!M79</f>
        <v>122.21189219975187</v>
      </c>
      <c r="AN1446" s="274">
        <f>SUM(AN1447:AN1448)</f>
        <v>289.52062999999998</v>
      </c>
      <c r="AO1446" s="275">
        <f>AP1446-AN1446</f>
        <v>-144.31553031580574</v>
      </c>
      <c r="AP1446" s="392">
        <f>Потребление!N79</f>
        <v>145.20509968419424</v>
      </c>
      <c r="AQ1446" s="274">
        <f>SUM(AQ1447:AQ1448)</f>
        <v>343.888125</v>
      </c>
      <c r="AR1446" s="275">
        <f>AS1446-AQ1446</f>
        <v>-161.28441135870645</v>
      </c>
      <c r="AS1446" s="392">
        <f>Потребление!O79</f>
        <v>182.60371364129355</v>
      </c>
      <c r="AT1446" s="274">
        <f>SUM(AT1447:AT1448)</f>
        <v>2618.3126910000001</v>
      </c>
      <c r="AU1446" s="275">
        <f>AV1446-AT1446</f>
        <v>-965.75642448639087</v>
      </c>
      <c r="AV1446" s="394">
        <f>L1446+O1446+R1446+U1446+X1446+AA1446+AD1446+AG1446+AJ1446+AM1446+AP1446+AS1446</f>
        <v>1652.5562665136092</v>
      </c>
      <c r="AW1446" s="395"/>
      <c r="AX1446" s="424"/>
      <c r="AY1446" s="298">
        <f>SUM(AY1447:AY1448)</f>
        <v>858.84766009999998</v>
      </c>
      <c r="AZ1446" s="402"/>
      <c r="BA1446" s="357"/>
      <c r="BB1446" s="357"/>
      <c r="BC1446" s="357"/>
    </row>
    <row r="1447" spans="1:55" s="146" customFormat="1">
      <c r="A1447" s="179"/>
      <c r="B1447" s="179"/>
      <c r="C1447" s="179"/>
      <c r="D1447" s="181"/>
      <c r="E1447" s="181"/>
      <c r="F1447" s="181"/>
      <c r="G1447" s="181"/>
      <c r="H1447" s="10" t="s">
        <v>56</v>
      </c>
      <c r="I1447" s="10"/>
      <c r="J1447" s="223">
        <f>SUM(J1449:J1451)</f>
        <v>347.68399999999997</v>
      </c>
      <c r="K1447" s="271"/>
      <c r="L1447" s="224">
        <f>L1446/L1390</f>
        <v>0.19696222082470033</v>
      </c>
      <c r="M1447" s="223">
        <f>SUM(M1449:M1451)</f>
        <v>264.03000000000003</v>
      </c>
      <c r="N1447" s="271"/>
      <c r="O1447" s="224">
        <f>O1446/O1390</f>
        <v>0.19579309037614964</v>
      </c>
      <c r="P1447" s="223">
        <f>SUM(P1449:P1451)</f>
        <v>189.01408000000001</v>
      </c>
      <c r="Q1447" s="271"/>
      <c r="R1447" s="224">
        <f>R1446/R1390</f>
        <v>0.20657533165458322</v>
      </c>
      <c r="S1447" s="223">
        <f>SUM(S1449:S1451)</f>
        <v>182.26</v>
      </c>
      <c r="T1447" s="271"/>
      <c r="U1447" s="224">
        <f>U1446/U1390</f>
        <v>0.19459853186132819</v>
      </c>
      <c r="V1447" s="223">
        <f>SUM(V1449:V1451)</f>
        <v>124.34899999999999</v>
      </c>
      <c r="W1447" s="271"/>
      <c r="X1447" s="224">
        <f>X1446/X1390</f>
        <v>0.19289203805823937</v>
      </c>
      <c r="Y1447" s="223">
        <f>SUM(Y1449:Y1451)</f>
        <v>189.1</v>
      </c>
      <c r="Z1447" s="271"/>
      <c r="AA1447" s="224">
        <f>AA1446/AA1390</f>
        <v>0.19890029001957268</v>
      </c>
      <c r="AB1447" s="223">
        <f>SUM(AB1449:AB1451)</f>
        <v>179.614</v>
      </c>
      <c r="AC1447" s="271"/>
      <c r="AD1447" s="224">
        <f>AD1446/AD1390</f>
        <v>0.19015635659151661</v>
      </c>
      <c r="AE1447" s="223">
        <f>SUM(AE1449:AE1451)</f>
        <v>179.614</v>
      </c>
      <c r="AF1447" s="271"/>
      <c r="AG1447" s="224">
        <f>AG1446/AG1390</f>
        <v>0.1852953656523417</v>
      </c>
      <c r="AH1447" s="223">
        <f>SUM(AH1449:AH1451)</f>
        <v>158.57</v>
      </c>
      <c r="AI1447" s="271"/>
      <c r="AJ1447" s="224">
        <f>AJ1446/AJ1390</f>
        <v>0.19462070866650036</v>
      </c>
      <c r="AK1447" s="223">
        <f>SUM(AK1449:AK1451)</f>
        <v>167.83999999999997</v>
      </c>
      <c r="AL1447" s="271"/>
      <c r="AM1447" s="224">
        <f>AM1446/AM1390</f>
        <v>0.18794223699804366</v>
      </c>
      <c r="AN1447" s="223">
        <f>SUM(AN1449:AN1451)</f>
        <v>289.39</v>
      </c>
      <c r="AO1447" s="271"/>
      <c r="AP1447" s="224">
        <f>AP1446/AP1390</f>
        <v>0.19660426251838992</v>
      </c>
      <c r="AQ1447" s="223">
        <f>SUM(AQ1449:AQ1451)</f>
        <v>343.84</v>
      </c>
      <c r="AR1447" s="271"/>
      <c r="AS1447" s="224">
        <f>AS1446/AS1390</f>
        <v>0.21215975871212397</v>
      </c>
      <c r="AT1447" s="223">
        <f>SUM(AT1449:AT1451)</f>
        <v>2615.3050800000001</v>
      </c>
      <c r="AU1447" s="271"/>
      <c r="AV1447" s="229"/>
      <c r="AW1447" s="226"/>
      <c r="AX1447" s="230"/>
      <c r="AY1447" s="231">
        <f>SUM(AY1449:AY1451)</f>
        <v>855.90909009999996</v>
      </c>
      <c r="AZ1447" s="402"/>
      <c r="BA1447" s="357"/>
      <c r="BB1447" s="357"/>
      <c r="BC1447" s="357"/>
    </row>
    <row r="1448" spans="1:55" s="146" customFormat="1">
      <c r="A1448" s="179"/>
      <c r="B1448" s="179"/>
      <c r="C1448" s="179"/>
      <c r="D1448" s="181"/>
      <c r="E1448" s="181"/>
      <c r="F1448" s="181"/>
      <c r="G1448" s="181"/>
      <c r="H1448" s="10" t="s">
        <v>347</v>
      </c>
      <c r="I1448" s="10"/>
      <c r="J1448" s="223">
        <f>J1452</f>
        <v>6.6802E-2</v>
      </c>
      <c r="K1448" s="271"/>
      <c r="L1448" s="224"/>
      <c r="M1448" s="270">
        <f>M1452</f>
        <v>0.13400300000000001</v>
      </c>
      <c r="N1448" s="271"/>
      <c r="O1448" s="224"/>
      <c r="P1448" s="270">
        <f>P1452</f>
        <v>0.30684600000000001</v>
      </c>
      <c r="Q1448" s="271"/>
      <c r="R1448" s="224"/>
      <c r="S1448" s="270">
        <f>S1452</f>
        <v>0.36525600000000003</v>
      </c>
      <c r="T1448" s="271"/>
      <c r="U1448" s="224"/>
      <c r="V1448" s="270">
        <f>V1452</f>
        <v>0.34986600000000001</v>
      </c>
      <c r="W1448" s="271"/>
      <c r="X1448" s="224"/>
      <c r="Y1448" s="270">
        <f>Y1452</f>
        <v>0.379631</v>
      </c>
      <c r="Z1448" s="271"/>
      <c r="AA1448" s="224"/>
      <c r="AB1448" s="270">
        <f>AB1452</f>
        <v>0.335675</v>
      </c>
      <c r="AC1448" s="271"/>
      <c r="AD1448" s="224"/>
      <c r="AE1448" s="270">
        <f>AE1452</f>
        <v>0.36059799999999997</v>
      </c>
      <c r="AF1448" s="271"/>
      <c r="AG1448" s="224"/>
      <c r="AH1448" s="270">
        <f>AH1452</f>
        <v>0.27408199999999999</v>
      </c>
      <c r="AI1448" s="271"/>
      <c r="AJ1448" s="224"/>
      <c r="AK1448" s="270">
        <f>AK1452</f>
        <v>0.25609700000000002</v>
      </c>
      <c r="AL1448" s="271"/>
      <c r="AM1448" s="224"/>
      <c r="AN1448" s="270">
        <f>AN1452</f>
        <v>0.13063</v>
      </c>
      <c r="AO1448" s="271"/>
      <c r="AP1448" s="224"/>
      <c r="AQ1448" s="270">
        <f>AQ1452</f>
        <v>4.8125000000000001E-2</v>
      </c>
      <c r="AR1448" s="271"/>
      <c r="AS1448" s="224"/>
      <c r="AT1448" s="270">
        <f>AT1452</f>
        <v>3.0076110000000003</v>
      </c>
      <c r="AU1448" s="271"/>
      <c r="AV1448" s="229"/>
      <c r="AW1448" s="226"/>
      <c r="AX1448" s="230"/>
      <c r="AY1448" s="231">
        <f>AY1452</f>
        <v>2.9385699999999999</v>
      </c>
      <c r="AZ1448" s="402"/>
      <c r="BA1448" s="357"/>
      <c r="BB1448" s="357"/>
      <c r="BC1448" s="357"/>
    </row>
    <row r="1449" spans="1:55" s="146" customFormat="1">
      <c r="A1449" s="179"/>
      <c r="B1449" s="179"/>
      <c r="C1449" s="179"/>
      <c r="D1449" s="181"/>
      <c r="E1449" s="181"/>
      <c r="F1449" s="181"/>
      <c r="G1449" s="1110">
        <v>777021</v>
      </c>
      <c r="H1449" s="149" t="s">
        <v>359</v>
      </c>
      <c r="I1449" s="516" t="s">
        <v>364</v>
      </c>
      <c r="J1449" s="244">
        <v>19.344000000000001</v>
      </c>
      <c r="K1449" s="262"/>
      <c r="L1449" s="324"/>
      <c r="M1449" s="244">
        <v>16.7</v>
      </c>
      <c r="N1449" s="262"/>
      <c r="O1449" s="324"/>
      <c r="P1449" s="244">
        <v>17.899999999999999</v>
      </c>
      <c r="Q1449" s="262"/>
      <c r="R1449" s="324"/>
      <c r="S1449" s="244">
        <v>13.32</v>
      </c>
      <c r="T1449" s="262"/>
      <c r="U1449" s="324"/>
      <c r="V1449" s="244">
        <v>9.6720000000000006</v>
      </c>
      <c r="W1449" s="262"/>
      <c r="X1449" s="324"/>
      <c r="Y1449" s="244">
        <v>7.92</v>
      </c>
      <c r="Z1449" s="262"/>
      <c r="AA1449" s="324"/>
      <c r="AB1449" s="244">
        <v>8.1839999999999993</v>
      </c>
      <c r="AC1449" s="262"/>
      <c r="AD1449" s="324"/>
      <c r="AE1449" s="244">
        <v>8.1839999999999993</v>
      </c>
      <c r="AF1449" s="262"/>
      <c r="AG1449" s="324"/>
      <c r="AH1449" s="244">
        <v>0</v>
      </c>
      <c r="AI1449" s="262"/>
      <c r="AJ1449" s="324"/>
      <c r="AK1449" s="244">
        <v>0</v>
      </c>
      <c r="AL1449" s="262"/>
      <c r="AM1449" s="324"/>
      <c r="AN1449" s="244">
        <v>16</v>
      </c>
      <c r="AO1449" s="262"/>
      <c r="AP1449" s="324"/>
      <c r="AQ1449" s="244">
        <v>16</v>
      </c>
      <c r="AR1449" s="262"/>
      <c r="AS1449" s="324"/>
      <c r="AT1449" s="244">
        <f>J1449+M1449+P1449+S1449+V1449+Y1449+AB1449+AE1449+AH1449+AK1449+AN1449+AQ1449</f>
        <v>133.22399999999999</v>
      </c>
      <c r="AU1449" s="262"/>
      <c r="AV1449" s="479"/>
      <c r="AW1449" s="226"/>
      <c r="AX1449" s="440"/>
      <c r="AY1449" s="438">
        <v>140.248268</v>
      </c>
      <c r="AZ1449" s="402"/>
      <c r="BA1449" s="357"/>
      <c r="BB1449" s="357"/>
      <c r="BC1449" s="357"/>
    </row>
    <row r="1450" spans="1:55" s="146" customFormat="1">
      <c r="A1450" s="179"/>
      <c r="B1450" s="179"/>
      <c r="C1450" s="179"/>
      <c r="D1450" s="181"/>
      <c r="E1450" s="181"/>
      <c r="F1450" s="181"/>
      <c r="G1450" s="1110">
        <v>777128</v>
      </c>
      <c r="H1450" s="149" t="s">
        <v>360</v>
      </c>
      <c r="I1450" s="516" t="s">
        <v>364</v>
      </c>
      <c r="J1450" s="244">
        <v>1</v>
      </c>
      <c r="K1450" s="262"/>
      <c r="L1450" s="324"/>
      <c r="M1450" s="244">
        <v>1.5</v>
      </c>
      <c r="N1450" s="262"/>
      <c r="O1450" s="324"/>
      <c r="P1450" s="244">
        <v>0.5</v>
      </c>
      <c r="Q1450" s="262"/>
      <c r="R1450" s="324"/>
      <c r="S1450" s="244">
        <v>0.5</v>
      </c>
      <c r="T1450" s="262"/>
      <c r="U1450" s="324"/>
      <c r="V1450" s="244">
        <v>0.5</v>
      </c>
      <c r="W1450" s="262"/>
      <c r="X1450" s="324"/>
      <c r="Y1450" s="244">
        <v>0.5</v>
      </c>
      <c r="Z1450" s="262"/>
      <c r="AA1450" s="324"/>
      <c r="AB1450" s="244">
        <v>1</v>
      </c>
      <c r="AC1450" s="262"/>
      <c r="AD1450" s="324"/>
      <c r="AE1450" s="244">
        <v>1</v>
      </c>
      <c r="AF1450" s="262"/>
      <c r="AG1450" s="324"/>
      <c r="AH1450" s="244">
        <v>0.5</v>
      </c>
      <c r="AI1450" s="262"/>
      <c r="AJ1450" s="324"/>
      <c r="AK1450" s="244">
        <v>0.5</v>
      </c>
      <c r="AL1450" s="262"/>
      <c r="AM1450" s="324"/>
      <c r="AN1450" s="244">
        <v>0.5</v>
      </c>
      <c r="AO1450" s="262"/>
      <c r="AP1450" s="324"/>
      <c r="AQ1450" s="244">
        <v>0.5</v>
      </c>
      <c r="AR1450" s="262"/>
      <c r="AS1450" s="324"/>
      <c r="AT1450" s="244">
        <f>J1450+M1450+P1450+S1450+V1450+Y1450+AB1450+AE1450+AH1450+AK1450+AN1450+AQ1450</f>
        <v>8.5</v>
      </c>
      <c r="AU1450" s="262"/>
      <c r="AV1450" s="479"/>
      <c r="AW1450" s="226"/>
      <c r="AX1450" s="440"/>
      <c r="AY1450" s="438">
        <v>297.80662899999999</v>
      </c>
      <c r="AZ1450" s="402"/>
      <c r="BA1450" s="357"/>
      <c r="BB1450" s="357"/>
      <c r="BC1450" s="357"/>
    </row>
    <row r="1451" spans="1:55" s="146" customFormat="1">
      <c r="A1451" s="179"/>
      <c r="B1451" s="179"/>
      <c r="C1451" s="179"/>
      <c r="D1451" s="181"/>
      <c r="E1451" s="181"/>
      <c r="F1451" s="181"/>
      <c r="G1451" s="1211">
        <v>777303</v>
      </c>
      <c r="H1451" s="149" t="s">
        <v>1469</v>
      </c>
      <c r="I1451" s="516" t="s">
        <v>364</v>
      </c>
      <c r="J1451" s="244">
        <v>327.33999999999997</v>
      </c>
      <c r="K1451" s="262"/>
      <c r="L1451" s="324"/>
      <c r="M1451" s="244">
        <v>245.83</v>
      </c>
      <c r="N1451" s="262"/>
      <c r="O1451" s="324"/>
      <c r="P1451" s="244">
        <v>170.61408</v>
      </c>
      <c r="Q1451" s="262"/>
      <c r="R1451" s="324"/>
      <c r="S1451" s="244">
        <v>168.44</v>
      </c>
      <c r="T1451" s="262"/>
      <c r="U1451" s="324"/>
      <c r="V1451" s="320">
        <f>164.177-50</f>
        <v>114.17699999999999</v>
      </c>
      <c r="W1451" s="262"/>
      <c r="X1451" s="324"/>
      <c r="Y1451" s="320">
        <f>287.68-107</f>
        <v>180.68</v>
      </c>
      <c r="Z1451" s="262"/>
      <c r="AA1451" s="324"/>
      <c r="AB1451" s="320">
        <f>320.43-150</f>
        <v>170.43</v>
      </c>
      <c r="AC1451" s="262"/>
      <c r="AD1451" s="324"/>
      <c r="AE1451" s="320">
        <f>320.43-150</f>
        <v>170.43</v>
      </c>
      <c r="AF1451" s="262"/>
      <c r="AG1451" s="324"/>
      <c r="AH1451" s="320">
        <f>258.07-100</f>
        <v>158.07</v>
      </c>
      <c r="AI1451" s="262"/>
      <c r="AJ1451" s="324"/>
      <c r="AK1451" s="320">
        <f>327.34-160</f>
        <v>167.33999999999997</v>
      </c>
      <c r="AL1451" s="262"/>
      <c r="AM1451" s="324"/>
      <c r="AN1451" s="244">
        <v>272.89</v>
      </c>
      <c r="AO1451" s="262"/>
      <c r="AP1451" s="324"/>
      <c r="AQ1451" s="244">
        <v>327.33999999999997</v>
      </c>
      <c r="AR1451" s="262"/>
      <c r="AS1451" s="324"/>
      <c r="AT1451" s="244">
        <f>J1451+M1451+P1451+S1451+V1451+Y1451+AB1451+AE1451+AH1451+AK1451+AN1451+AQ1451</f>
        <v>2473.5810799999999</v>
      </c>
      <c r="AU1451" s="262"/>
      <c r="AV1451" s="479"/>
      <c r="AW1451" s="226"/>
      <c r="AX1451" s="440"/>
      <c r="AY1451" s="438">
        <v>417.85419309999997</v>
      </c>
      <c r="AZ1451" s="402"/>
      <c r="BA1451" s="357"/>
      <c r="BB1451" s="357"/>
      <c r="BC1451" s="357"/>
    </row>
    <row r="1452" spans="1:55" s="146" customFormat="1" ht="16.5" thickBot="1">
      <c r="A1452" s="179"/>
      <c r="B1452" s="179"/>
      <c r="C1452" s="179"/>
      <c r="D1452" s="181"/>
      <c r="E1452" s="181"/>
      <c r="F1452" s="181"/>
      <c r="G1452" s="1110">
        <v>777136</v>
      </c>
      <c r="H1452" s="149" t="s">
        <v>361</v>
      </c>
      <c r="I1452" s="533" t="s">
        <v>365</v>
      </c>
      <c r="J1452" s="244">
        <v>6.6802E-2</v>
      </c>
      <c r="K1452" s="262"/>
      <c r="L1452" s="324"/>
      <c r="M1452" s="244">
        <v>0.13400300000000001</v>
      </c>
      <c r="N1452" s="262"/>
      <c r="O1452" s="324"/>
      <c r="P1452" s="244">
        <v>0.30684600000000001</v>
      </c>
      <c r="Q1452" s="262"/>
      <c r="R1452" s="324"/>
      <c r="S1452" s="244">
        <v>0.36525600000000003</v>
      </c>
      <c r="T1452" s="262"/>
      <c r="U1452" s="324"/>
      <c r="V1452" s="244">
        <v>0.34986600000000001</v>
      </c>
      <c r="W1452" s="262"/>
      <c r="X1452" s="324"/>
      <c r="Y1452" s="244">
        <v>0.379631</v>
      </c>
      <c r="Z1452" s="262"/>
      <c r="AA1452" s="324"/>
      <c r="AB1452" s="244">
        <v>0.335675</v>
      </c>
      <c r="AC1452" s="262"/>
      <c r="AD1452" s="324"/>
      <c r="AE1452" s="244">
        <v>0.36059799999999997</v>
      </c>
      <c r="AF1452" s="262"/>
      <c r="AG1452" s="324"/>
      <c r="AH1452" s="244">
        <v>0.27408199999999999</v>
      </c>
      <c r="AI1452" s="262"/>
      <c r="AJ1452" s="324"/>
      <c r="AK1452" s="244">
        <v>0.25609700000000002</v>
      </c>
      <c r="AL1452" s="262"/>
      <c r="AM1452" s="324"/>
      <c r="AN1452" s="244">
        <v>0.13063</v>
      </c>
      <c r="AO1452" s="262"/>
      <c r="AP1452" s="324"/>
      <c r="AQ1452" s="244">
        <v>4.8125000000000001E-2</v>
      </c>
      <c r="AR1452" s="262"/>
      <c r="AS1452" s="324"/>
      <c r="AT1452" s="244">
        <f>J1452+M1452+P1452+S1452+V1452+Y1452+AB1452+AE1452+AH1452+AK1452+AN1452+AQ1452</f>
        <v>3.0076110000000003</v>
      </c>
      <c r="AU1452" s="262"/>
      <c r="AV1452" s="479"/>
      <c r="AW1452" s="226"/>
      <c r="AX1452" s="440"/>
      <c r="AY1452" s="438">
        <v>2.9385699999999999</v>
      </c>
      <c r="AZ1452" s="402"/>
      <c r="BA1452" s="357"/>
      <c r="BB1452" s="357"/>
      <c r="BC1452" s="357"/>
    </row>
    <row r="1453" spans="1:55" s="24" customFormat="1">
      <c r="A1453" s="179"/>
      <c r="B1453" s="179"/>
      <c r="C1453" s="179"/>
      <c r="D1453" s="181"/>
      <c r="E1453" s="181"/>
      <c r="F1453" s="181"/>
      <c r="G1453" s="181"/>
      <c r="H1453" s="811" t="s">
        <v>514</v>
      </c>
      <c r="I1453" s="812"/>
      <c r="J1453" s="813"/>
      <c r="K1453" s="814">
        <f>K53+K54+K55+K56+K78+K79+K80+Январь!R36+Январь!O36-Январь!R47</f>
        <v>-4125.9474055000001</v>
      </c>
      <c r="L1453" s="265"/>
      <c r="M1453" s="813"/>
      <c r="N1453" s="814">
        <f>N53+N54+N55+N56+N78+N79+N80+Февраль!R36+Февраль!O36-Февраль!R47</f>
        <v>646.47948700000006</v>
      </c>
      <c r="O1453" s="265"/>
      <c r="P1453" s="813"/>
      <c r="Q1453" s="814">
        <f>Q53+Q54+Q55+Q56+Q78+Q79+Q80+Март!R36+Март!O36-Март!R47</f>
        <v>550.43886519999978</v>
      </c>
      <c r="R1453" s="265"/>
      <c r="S1453" s="813"/>
      <c r="T1453" s="814">
        <f>T53+T54+T55+T56+T78+T79+T80+Апрель!R36+Апрель!O36-Апрель!R47</f>
        <v>437.91975129999946</v>
      </c>
      <c r="U1453" s="265"/>
      <c r="V1453" s="813"/>
      <c r="W1453" s="814">
        <f>W53+W54+W55+W56+W78+W79+W80+Май!R36+Май!O36-Май!R47</f>
        <v>421.31902080000054</v>
      </c>
      <c r="X1453" s="265"/>
      <c r="Y1453" s="813"/>
      <c r="Z1453" s="814">
        <f>Z53+Z54+Z55+Z56+Z78+Z79+Z80+Июнь!R36+Июнь!O36-Июнь!R47</f>
        <v>299.76053499999989</v>
      </c>
      <c r="AA1453" s="265"/>
      <c r="AB1453" s="813"/>
      <c r="AC1453" s="814">
        <f>AC53+AC54+AC55+AC56+AC78+AC79+AC80+Июль!R36+Июль!O36-Июль!R47</f>
        <v>325.07996529999991</v>
      </c>
      <c r="AD1453" s="265"/>
      <c r="AE1453" s="813"/>
      <c r="AF1453" s="814">
        <f>AF53+AF54+AF55+AF56+AF78+AF79+AF80+Август!R36+Август!O36-Август!R47</f>
        <v>140.3998418000001</v>
      </c>
      <c r="AG1453" s="265"/>
      <c r="AH1453" s="813"/>
      <c r="AI1453" s="814">
        <f>AI53+AI54+AI55+AI56+AI78+AI79+AI80+Сентябрь!R36+Сентябрь!O36-Сентябрь!R47</f>
        <v>164.36016239999981</v>
      </c>
      <c r="AJ1453" s="265"/>
      <c r="AK1453" s="813"/>
      <c r="AL1453" s="814">
        <f>AL53+AL54+AL55+AL56+AL78+AL79+AL80+Октябрь!R36+Октябрь!O36-Октябрь!R47</f>
        <v>193.19983850000017</v>
      </c>
      <c r="AM1453" s="265"/>
      <c r="AN1453" s="813"/>
      <c r="AO1453" s="814">
        <f>AO53+AO54+AO55+AO56+AO78+AO79+AO80+Ноябрь!R36+Ноябрь!O36-Ноябрь!R47</f>
        <v>305.43963479999866</v>
      </c>
      <c r="AP1453" s="265"/>
      <c r="AQ1453" s="813"/>
      <c r="AR1453" s="814">
        <f>AR53+AR54+AR55+AR56+AR78+AR79+AR80+Декабрь!R36+Декабрь!O36-Декабрь!R47</f>
        <v>387.95995750000111</v>
      </c>
      <c r="AS1453" s="265"/>
      <c r="AT1453" s="813"/>
      <c r="AU1453" s="267">
        <f>K1453+N1453+Q1453+T1453+W1453+Z1453+AC1453+AF1453+AI1453+AL1453+AO1453+AR1453</f>
        <v>-253.59034590000056</v>
      </c>
      <c r="AV1453" s="815"/>
      <c r="AW1453" s="268"/>
      <c r="AX1453" s="816"/>
      <c r="AY1453" s="793"/>
      <c r="AZ1453" s="357"/>
      <c r="BA1453"/>
      <c r="BB1453"/>
      <c r="BC1453"/>
    </row>
    <row r="1454" spans="1:55" s="24" customFormat="1" ht="18.75">
      <c r="A1454" s="179"/>
      <c r="B1454" s="179"/>
      <c r="C1454" s="179"/>
      <c r="D1454" s="181">
        <v>610000</v>
      </c>
      <c r="E1454" s="181"/>
      <c r="F1454" s="181"/>
      <c r="G1454" s="181">
        <v>610000</v>
      </c>
      <c r="H1454" s="478" t="s">
        <v>54</v>
      </c>
      <c r="I1454" s="478"/>
      <c r="J1454" s="223">
        <f>SUM(J1455:J1458)</f>
        <v>20146.157581574418</v>
      </c>
      <c r="K1454" s="271">
        <f>L1454-J1454</f>
        <v>572.63692192193776</v>
      </c>
      <c r="L1454" s="224">
        <f>L1459+L1490+L1508+L1527+L1580+L1657+L1551+L1610+L1619+L1640+L1660</f>
        <v>20718.794503496356</v>
      </c>
      <c r="M1454" s="223">
        <f>SUM(M1455:M1458)</f>
        <v>18664.278959473071</v>
      </c>
      <c r="N1454" s="271">
        <f>O1454-M1454</f>
        <v>646.48404727895104</v>
      </c>
      <c r="O1454" s="224">
        <f>O1459+O1490+O1508+O1527+O1580+O1657+O1551+O1610+O1619+O1640+O1660</f>
        <v>19310.763006752022</v>
      </c>
      <c r="P1454" s="223">
        <f>SUM(P1455:P1458)</f>
        <v>18467.778032827071</v>
      </c>
      <c r="Q1454" s="271">
        <f>R1454-P1454</f>
        <v>550.44380680783797</v>
      </c>
      <c r="R1454" s="224">
        <f>R1459+R1490+R1508+R1527+R1580+R1657+R1551+R1610+R1619+R1640+R1660</f>
        <v>19018.221839634909</v>
      </c>
      <c r="S1454" s="223">
        <f>SUM(S1455:S1458)</f>
        <v>16928.483053847835</v>
      </c>
      <c r="T1454" s="271">
        <f>U1454-S1454</f>
        <v>437.9157972891262</v>
      </c>
      <c r="U1454" s="224">
        <f>U1459+U1490+U1508+U1527+U1580+U1657+U1551+U1610+U1619+U1640+U1660</f>
        <v>17366.398851136961</v>
      </c>
      <c r="V1454" s="223">
        <f>SUM(V1455:V1458)</f>
        <v>16284.685215230935</v>
      </c>
      <c r="W1454" s="271">
        <f>X1454-V1454</f>
        <v>421.32134845490327</v>
      </c>
      <c r="X1454" s="224">
        <f>X1459+X1490+X1508+X1527+X1580+X1657+X1551+X1610+X1619+X1640+X1660</f>
        <v>16706.006563685838</v>
      </c>
      <c r="Y1454" s="223">
        <f>SUM(Y1455:Y1458)</f>
        <v>14957.418730148906</v>
      </c>
      <c r="Z1454" s="271">
        <f>AA1454-Y1454</f>
        <v>299.76051918387748</v>
      </c>
      <c r="AA1454" s="224">
        <f>AA1459+AA1490+AA1508+AA1527+AA1580+AA1657+AA1551+AA1610+AA1619+AA1640+AA1660</f>
        <v>15257.179249332783</v>
      </c>
      <c r="AB1454" s="223">
        <f>SUM(AB1455:AB1458)</f>
        <v>15237.905118916586</v>
      </c>
      <c r="AC1454" s="271">
        <f>AD1454-AB1454</f>
        <v>325.08419266675082</v>
      </c>
      <c r="AD1454" s="224">
        <f>AD1459+AD1490+AD1508+AD1527+AD1580+AD1657+AD1551+AD1610+AD1619+AD1640+AD1660</f>
        <v>15562.989311583337</v>
      </c>
      <c r="AE1454" s="223">
        <f>SUM(AE1455:AE1458)</f>
        <v>15635.450571350895</v>
      </c>
      <c r="AF1454" s="271">
        <f>AG1454-AE1454</f>
        <v>140.39556600762444</v>
      </c>
      <c r="AG1454" s="224">
        <f>AG1459+AG1490+AG1508+AG1527+AG1580+AG1657+AG1551+AG1610+AG1619+AG1640+AG1660</f>
        <v>15775.84613735852</v>
      </c>
      <c r="AH1454" s="223">
        <f>SUM(AH1455:AH1458)</f>
        <v>16050.402927983783</v>
      </c>
      <c r="AI1454" s="271">
        <f>AJ1454-AH1454</f>
        <v>164.36225635744086</v>
      </c>
      <c r="AJ1454" s="224">
        <f>AJ1459+AJ1490+AJ1508+AJ1527+AJ1580+AJ1657+AJ1551+AJ1610+AJ1619+AJ1640+AJ1660</f>
        <v>16214.765184341224</v>
      </c>
      <c r="AK1454" s="223">
        <f>SUM(AK1455:AK1458)</f>
        <v>17984.190278358827</v>
      </c>
      <c r="AL1454" s="271">
        <f>AM1454-AK1454</f>
        <v>193.19546999981685</v>
      </c>
      <c r="AM1454" s="224">
        <f>AM1459+AM1490+AM1508+AM1527+AM1580+AM1657+AM1551+AM1610+AM1619+AM1640+AM1660</f>
        <v>18177.385748358643</v>
      </c>
      <c r="AN1454" s="223">
        <f>SUM(AN1455:AN1458)</f>
        <v>18861.26418958509</v>
      </c>
      <c r="AO1454" s="271">
        <f>AP1454-AN1454</f>
        <v>305.43709679881067</v>
      </c>
      <c r="AP1454" s="224">
        <f>AP1459+AP1490+AP1508+AP1527+AP1580+AP1657+AP1551+AP1610+AP1619+AP1640+AP1660</f>
        <v>19166.701286383901</v>
      </c>
      <c r="AQ1454" s="223">
        <f>SUM(AQ1455:AQ1458)</f>
        <v>20765.584344221686</v>
      </c>
      <c r="AR1454" s="271">
        <f>AS1454-AQ1454</f>
        <v>387.96185307660198</v>
      </c>
      <c r="AS1454" s="224">
        <f>AS1459+AS1490+AS1508+AS1527+AS1580+AS1657+AS1551+AS1610+AS1619+AS1640+AS1660</f>
        <v>21153.546197298288</v>
      </c>
      <c r="AT1454" s="223">
        <f>SUM(AT1455:AT1458)</f>
        <v>209983.59900351911</v>
      </c>
      <c r="AU1454" s="271">
        <f>AV1454-AT1454</f>
        <v>4444.9988758437103</v>
      </c>
      <c r="AV1454" s="225">
        <f>AV1459+AV1490+AV1508+AV1527+AV1580+AV1657+AV1551+AV1610+AV1619+AV1640+AV1660</f>
        <v>214428.59787936282</v>
      </c>
      <c r="AW1454" s="279"/>
      <c r="AX1454" s="227">
        <f>AX1459+AX1490+AX1508+AX1527+AX1580+AX1657+AX1551+AX1610+AX1619+AX1640+AX1660</f>
        <v>210147.58373349998</v>
      </c>
      <c r="AY1454" s="406">
        <f>SUM(AY1455:AY1458)</f>
        <v>205281.70652790001</v>
      </c>
      <c r="AZ1454" s="357"/>
      <c r="BA1454"/>
      <c r="BB1454"/>
      <c r="BC1454"/>
    </row>
    <row r="1455" spans="1:55" s="24" customFormat="1">
      <c r="A1455" s="179"/>
      <c r="B1455" s="179"/>
      <c r="C1455" s="179"/>
      <c r="D1455" s="181"/>
      <c r="E1455" s="181"/>
      <c r="F1455" s="181"/>
      <c r="G1455" s="181"/>
      <c r="H1455" s="126" t="s">
        <v>56</v>
      </c>
      <c r="I1455" s="126"/>
      <c r="J1455" s="223">
        <f>J1464+J1491+J1509+J1528+J1581+J1658+J1552+J1611+J1620+J1641+J1661</f>
        <v>11518.856249813241</v>
      </c>
      <c r="K1455" s="271"/>
      <c r="L1455" s="224"/>
      <c r="M1455" s="223">
        <f>M1464+M1491+M1509+M1528+M1581+M1658+M1552+M1611+M1620+M1641+M1661</f>
        <v>10877.135377695875</v>
      </c>
      <c r="N1455" s="271"/>
      <c r="O1455" s="224"/>
      <c r="P1455" s="223">
        <f>P1464+P1491+P1509+P1528+P1581+P1658+P1552+P1611+P1620+P1641+P1661</f>
        <v>10019.948684355299</v>
      </c>
      <c r="Q1455" s="271"/>
      <c r="R1455" s="224"/>
      <c r="S1455" s="223">
        <f>S1464+S1491+S1509+S1528+S1581+S1658+S1552+S1611+S1620+S1641+S1661</f>
        <v>8815.1907910229802</v>
      </c>
      <c r="T1455" s="271"/>
      <c r="U1455" s="224"/>
      <c r="V1455" s="223">
        <f>V1464+V1491+V1509+V1528+V1581+V1658+V1552+V1611+V1620+V1641+V1661</f>
        <v>6834.5438030961259</v>
      </c>
      <c r="W1455" s="271"/>
      <c r="X1455" s="224"/>
      <c r="Y1455" s="223">
        <f>Y1464+Y1491+Y1509+Y1528+Y1581+Y1658+Y1552+Y1611+Y1620+Y1641+Y1661</f>
        <v>5280.368247459648</v>
      </c>
      <c r="Z1455" s="271"/>
      <c r="AA1455" s="224"/>
      <c r="AB1455" s="223">
        <f>AB1464+AB1491+AB1509+AB1528+AB1581+AB1658+AB1552+AB1611+AB1620+AB1641+AB1661</f>
        <v>5176.6703821616811</v>
      </c>
      <c r="AC1455" s="271"/>
      <c r="AD1455" s="224"/>
      <c r="AE1455" s="223">
        <f>AE1464+AE1491+AE1509+AE1528+AE1581+AE1658+AE1552+AE1611+AE1620+AE1641+AE1661</f>
        <v>5235.9040448705246</v>
      </c>
      <c r="AF1455" s="271"/>
      <c r="AG1455" s="224"/>
      <c r="AH1455" s="223">
        <f>AH1464+AH1491+AH1509+AH1528+AH1581+AH1658+AH1552+AH1611+AH1620+AH1641+AH1661</f>
        <v>5747.924567481331</v>
      </c>
      <c r="AI1455" s="271"/>
      <c r="AJ1455" s="224"/>
      <c r="AK1455" s="223">
        <f>AK1464+AK1491+AK1509+AK1528+AK1581+AK1658+AK1552+AK1611+AK1620+AK1641+AK1661</f>
        <v>7692.5529183149265</v>
      </c>
      <c r="AL1455" s="271"/>
      <c r="AM1455" s="224"/>
      <c r="AN1455" s="223">
        <f>AN1464+AN1491+AN1509+AN1528+AN1581+AN1658+AN1552+AN1611+AN1620+AN1641+AN1661</f>
        <v>10351.630084688766</v>
      </c>
      <c r="AO1455" s="271"/>
      <c r="AP1455" s="224"/>
      <c r="AQ1455" s="223">
        <f>AQ1464+AQ1491+AQ1509+AQ1528+AQ1581+AQ1658+AQ1552+AQ1611+AQ1620+AQ1641+AQ1661</f>
        <v>12151.876282977228</v>
      </c>
      <c r="AR1455" s="271"/>
      <c r="AS1455" s="224"/>
      <c r="AT1455" s="223">
        <f>AT1464+AT1491+AT1509+AT1528+AT1581+AT1658+AT1552+AT1611+AT1620+AT1641+AT1661</f>
        <v>99702.601433937627</v>
      </c>
      <c r="AU1455" s="271"/>
      <c r="AV1455" s="229"/>
      <c r="AW1455" s="226"/>
      <c r="AX1455" s="366"/>
      <c r="AY1455" s="231">
        <f>AY1464+AY1491+AY1509+AY1528+AY1581+AY1658+AY1552+AY1611+AY1620+AY1641+AY1661</f>
        <v>93628.996605000022</v>
      </c>
      <c r="AZ1455" s="357"/>
      <c r="BA1455"/>
      <c r="BB1455"/>
      <c r="BC1455"/>
    </row>
    <row r="1456" spans="1:55" s="24" customFormat="1">
      <c r="A1456" s="179"/>
      <c r="B1456" s="179"/>
      <c r="C1456" s="179"/>
      <c r="D1456" s="181"/>
      <c r="E1456" s="181"/>
      <c r="F1456" s="181"/>
      <c r="G1456" s="181"/>
      <c r="H1456" s="126" t="s">
        <v>55</v>
      </c>
      <c r="I1456" s="126"/>
      <c r="J1456" s="223">
        <f>J1529+J1582+J1612+J1662</f>
        <v>7651.3177616969779</v>
      </c>
      <c r="K1456" s="271"/>
      <c r="L1456" s="224"/>
      <c r="M1456" s="223">
        <f>M1529+M1582+M1612+M1662</f>
        <v>6891.3506383707672</v>
      </c>
      <c r="N1456" s="271"/>
      <c r="O1456" s="224"/>
      <c r="P1456" s="223">
        <f>P1529+P1582+P1612+P1662</f>
        <v>7510.5614403660929</v>
      </c>
      <c r="Q1456" s="271"/>
      <c r="R1456" s="224"/>
      <c r="S1456" s="223">
        <f>S1529+S1582+S1612+S1662</f>
        <v>7233.5556796531482</v>
      </c>
      <c r="T1456" s="271"/>
      <c r="U1456" s="224"/>
      <c r="V1456" s="223">
        <f>V1529+V1582+V1612+V1662</f>
        <v>8620.5243966858834</v>
      </c>
      <c r="W1456" s="271"/>
      <c r="X1456" s="224"/>
      <c r="Y1456" s="223">
        <f>Y1529+Y1582+Y1612+Y1662</f>
        <v>8958.1620600826882</v>
      </c>
      <c r="Z1456" s="271"/>
      <c r="AA1456" s="224"/>
      <c r="AB1456" s="223">
        <f>AB1529+AB1582+AB1612+AB1662</f>
        <v>9374.5015158148963</v>
      </c>
      <c r="AC1456" s="271"/>
      <c r="AD1456" s="224"/>
      <c r="AE1456" s="223">
        <f>AE1529+AE1582+AE1612+AE1662</f>
        <v>9626.5877104886749</v>
      </c>
      <c r="AF1456" s="271"/>
      <c r="AG1456" s="224"/>
      <c r="AH1456" s="223">
        <f>AH1529+AH1582+AH1612+AH1662</f>
        <v>9519.9022735205635</v>
      </c>
      <c r="AI1456" s="271"/>
      <c r="AJ1456" s="224"/>
      <c r="AK1456" s="223">
        <f>AK1529+AK1582+AK1612+AK1662</f>
        <v>9399.3370276085498</v>
      </c>
      <c r="AL1456" s="271"/>
      <c r="AM1456" s="224"/>
      <c r="AN1456" s="223">
        <f>AN1529+AN1582+AN1612+AN1662</f>
        <v>7589.4287665325701</v>
      </c>
      <c r="AO1456" s="271"/>
      <c r="AP1456" s="224"/>
      <c r="AQ1456" s="223">
        <f>AQ1529+AQ1582+AQ1612+AQ1662</f>
        <v>7688.742071991519</v>
      </c>
      <c r="AR1456" s="271"/>
      <c r="AS1456" s="224"/>
      <c r="AT1456" s="223">
        <f>AT1529+AT1582+AT1612+AT1662</f>
        <v>100063.97134281235</v>
      </c>
      <c r="AU1456" s="271"/>
      <c r="AV1456" s="229"/>
      <c r="AW1456" s="226"/>
      <c r="AX1456" s="366"/>
      <c r="AY1456" s="231">
        <f>AY1529+AY1582+AY1612+AY1662</f>
        <v>101864.347989</v>
      </c>
      <c r="AZ1456" s="357"/>
      <c r="BA1456"/>
      <c r="BB1456"/>
      <c r="BC1456"/>
    </row>
    <row r="1457" spans="1:55" s="24" customFormat="1">
      <c r="A1457" s="179"/>
      <c r="B1457" s="179"/>
      <c r="C1457" s="179"/>
      <c r="D1457" s="181"/>
      <c r="E1457" s="181"/>
      <c r="F1457" s="181"/>
      <c r="G1457" s="181"/>
      <c r="H1457" s="126" t="s">
        <v>347</v>
      </c>
      <c r="I1457" s="126"/>
      <c r="J1457" s="223">
        <f>J1461+J1492+J1510+J1621+J1663</f>
        <v>7.7677007500000013</v>
      </c>
      <c r="K1457" s="271"/>
      <c r="L1457" s="224"/>
      <c r="M1457" s="223">
        <f>M1461+M1492+M1510+M1621+M1663</f>
        <v>14.779046041666668</v>
      </c>
      <c r="N1457" s="271"/>
      <c r="O1457" s="224"/>
      <c r="P1457" s="223">
        <f>P1461+P1492+P1510+P1621+P1663</f>
        <v>23.841671416666667</v>
      </c>
      <c r="Q1457" s="271"/>
      <c r="R1457" s="224"/>
      <c r="S1457" s="223">
        <f>S1461+S1492+S1510+S1621+S1663</f>
        <v>27.043536916666667</v>
      </c>
      <c r="T1457" s="271"/>
      <c r="U1457" s="224"/>
      <c r="V1457" s="223">
        <f>V1461+V1492+V1510+V1621+V1663</f>
        <v>33.2481905</v>
      </c>
      <c r="W1457" s="271"/>
      <c r="X1457" s="224"/>
      <c r="Y1457" s="223">
        <f>Y1461+Y1492+Y1510+Y1621+Y1663</f>
        <v>36.004270416666664</v>
      </c>
      <c r="Z1457" s="271"/>
      <c r="AA1457" s="224"/>
      <c r="AB1457" s="223">
        <f>AB1461+AB1492+AB1510+AB1621+AB1663</f>
        <v>33.686358499999997</v>
      </c>
      <c r="AC1457" s="271"/>
      <c r="AD1457" s="224"/>
      <c r="AE1457" s="223">
        <f>AE1461+AE1492+AE1510+AE1621+AE1663</f>
        <v>33.530760333333326</v>
      </c>
      <c r="AF1457" s="271"/>
      <c r="AG1457" s="224"/>
      <c r="AH1457" s="223">
        <f>AH1461+AH1492+AH1510+AH1621+AH1663</f>
        <v>26.256465833333333</v>
      </c>
      <c r="AI1457" s="271"/>
      <c r="AJ1457" s="224"/>
      <c r="AK1457" s="223">
        <f>AK1461+AK1492+AK1510+AK1621+AK1663</f>
        <v>8.394795666666667</v>
      </c>
      <c r="AL1457" s="271"/>
      <c r="AM1457" s="224"/>
      <c r="AN1457" s="223">
        <f>AN1461+AN1492+AN1510+AN1621+AN1663</f>
        <v>9.7239233333333317</v>
      </c>
      <c r="AO1457" s="271"/>
      <c r="AP1457" s="224"/>
      <c r="AQ1457" s="223">
        <f>AQ1461+AQ1492+AQ1510+AQ1621+AQ1663</f>
        <v>7.8376928534946231</v>
      </c>
      <c r="AR1457" s="271"/>
      <c r="AS1457" s="224"/>
      <c r="AT1457" s="223">
        <f>AT1461+AT1492+AT1510+AT1621+AT1663</f>
        <v>262.11441256182798</v>
      </c>
      <c r="AU1457" s="271"/>
      <c r="AV1457" s="229"/>
      <c r="AW1457" s="226"/>
      <c r="AX1457" s="366"/>
      <c r="AY1457" s="231">
        <f>AY1461+AY1492+AY1663</f>
        <v>65.406047000000001</v>
      </c>
      <c r="AZ1457" s="357"/>
      <c r="BA1457"/>
      <c r="BB1457"/>
      <c r="BC1457"/>
    </row>
    <row r="1458" spans="1:55" s="110" customFormat="1" ht="16.5" thickBot="1">
      <c r="A1458" s="179"/>
      <c r="B1458" s="179"/>
      <c r="C1458" s="179"/>
      <c r="D1458" s="181"/>
      <c r="E1458" s="181"/>
      <c r="F1458" s="181"/>
      <c r="G1458" s="181"/>
      <c r="H1458" s="133" t="s">
        <v>184</v>
      </c>
      <c r="I1458" s="133"/>
      <c r="J1458" s="820">
        <f>J1465+J1493+J1511+J1530+J1583+J1553+J1622+J1642+J1664</f>
        <v>968.21586931420109</v>
      </c>
      <c r="K1458" s="273">
        <f>K1453-K1454</f>
        <v>-4698.5843274219378</v>
      </c>
      <c r="L1458" s="233"/>
      <c r="M1458" s="232">
        <f>M1465+M1493+M1511+M1530+M1583+M1553+M1622+M1642+M1664</f>
        <v>881.01389736476176</v>
      </c>
      <c r="N1458" s="273"/>
      <c r="O1458" s="233"/>
      <c r="P1458" s="232">
        <f>P1465+P1493+P1511+P1530+P1583+P1553+P1622+P1642+P1664</f>
        <v>913.42623668901399</v>
      </c>
      <c r="Q1458" s="273"/>
      <c r="R1458" s="233"/>
      <c r="S1458" s="232">
        <f>S1465+S1493+S1511+S1530+S1583+S1553+S1622+S1642+S1664</f>
        <v>852.69304625504128</v>
      </c>
      <c r="T1458" s="273"/>
      <c r="U1458" s="233"/>
      <c r="V1458" s="232">
        <f>V1465+V1493+V1511+V1530+V1583+V1553+V1622+V1642+V1664</f>
        <v>796.36882494892461</v>
      </c>
      <c r="W1458" s="273"/>
      <c r="X1458" s="233"/>
      <c r="Y1458" s="232">
        <f>Y1465+Y1493+Y1511+Y1530+Y1583+Y1553+Y1622+Y1642+Y1664</f>
        <v>682.88415218990258</v>
      </c>
      <c r="Z1458" s="273"/>
      <c r="AA1458" s="233"/>
      <c r="AB1458" s="232">
        <f>AB1465+AB1493+AB1511+AB1530+AB1583+AB1553+AB1622+AB1642+AB1664</f>
        <v>653.04686244000925</v>
      </c>
      <c r="AC1458" s="273"/>
      <c r="AD1458" s="233"/>
      <c r="AE1458" s="232">
        <f>AE1465+AE1493+AE1511+AE1530+AE1583+AE1553+AE1622+AE1642+AE1664</f>
        <v>739.42805565836386</v>
      </c>
      <c r="AF1458" s="273"/>
      <c r="AG1458" s="233"/>
      <c r="AH1458" s="232">
        <f>AH1465+AH1493+AH1511+AH1530+AH1583+AH1553+AH1622+AH1642+AH1664</f>
        <v>756.31962114855548</v>
      </c>
      <c r="AI1458" s="273"/>
      <c r="AJ1458" s="233"/>
      <c r="AK1458" s="232">
        <f>AK1465+AK1493+AK1511+AK1530+AK1583+AK1553+AK1622+AK1642+AK1664</f>
        <v>883.90553676868365</v>
      </c>
      <c r="AL1458" s="273"/>
      <c r="AM1458" s="233"/>
      <c r="AN1458" s="232">
        <f>AN1465+AN1493+AN1511+AN1530+AN1583+AN1553+AN1622+AN1642+AN1664</f>
        <v>910.4814150304195</v>
      </c>
      <c r="AO1458" s="273"/>
      <c r="AP1458" s="233"/>
      <c r="AQ1458" s="232">
        <f>AQ1465+AQ1493+AQ1511+AQ1530+AQ1583+AQ1553+AQ1622+AQ1642+AQ1664</f>
        <v>917.12829639944187</v>
      </c>
      <c r="AR1458" s="273"/>
      <c r="AS1458" s="233"/>
      <c r="AT1458" s="232">
        <f>AT1465+AT1493+AT1511+AT1530+AT1583+AT1553+AT1622+AT1642+AT1664</f>
        <v>9954.9118142073185</v>
      </c>
      <c r="AU1458" s="273"/>
      <c r="AV1458" s="234"/>
      <c r="AW1458" s="235"/>
      <c r="AX1458" s="236"/>
      <c r="AY1458" s="237">
        <f>AY1465+AY1493+AY1511+AY1530+AY1583+AY1553+AY1622+AY1642+AY1664</f>
        <v>9722.9558869000011</v>
      </c>
      <c r="AZ1458" s="356"/>
      <c r="BA1458"/>
      <c r="BB1458"/>
      <c r="BC1458"/>
    </row>
    <row r="1459" spans="1:55" s="110" customFormat="1" ht="18.75">
      <c r="A1459" s="179"/>
      <c r="B1459" s="179"/>
      <c r="C1459" s="179"/>
      <c r="D1459" s="181">
        <v>610010</v>
      </c>
      <c r="E1459" s="181"/>
      <c r="F1459" s="181"/>
      <c r="G1459" s="1211">
        <v>356800</v>
      </c>
      <c r="H1459" s="474" t="s">
        <v>1636</v>
      </c>
      <c r="I1459" s="474"/>
      <c r="J1459" s="277">
        <f>SUM(J1460:J1462)</f>
        <v>785.16184246666694</v>
      </c>
      <c r="K1459" s="275">
        <f>L1459-J1459</f>
        <v>284.33516153333312</v>
      </c>
      <c r="L1459" s="341">
        <f>L1463+L1479</f>
        <v>1069.4970040000001</v>
      </c>
      <c r="M1459" s="274">
        <f>SUM(M1460:M1462)</f>
        <v>732.17076646733722</v>
      </c>
      <c r="N1459" s="275">
        <f>O1459-M1459</f>
        <v>276.22923353266276</v>
      </c>
      <c r="O1459" s="341">
        <f>O1463+O1479</f>
        <v>1008.4</v>
      </c>
      <c r="P1459" s="274">
        <f>SUM(P1460:P1462)</f>
        <v>716.77396694999959</v>
      </c>
      <c r="Q1459" s="275">
        <f>R1459-P1459</f>
        <v>271.22603305000041</v>
      </c>
      <c r="R1459" s="341">
        <f>R1463+R1479</f>
        <v>988</v>
      </c>
      <c r="S1459" s="274">
        <f>SUM(S1460:S1462)</f>
        <v>586.94530781666663</v>
      </c>
      <c r="T1459" s="275">
        <f>U1459-S1459</f>
        <v>282.05469218333337</v>
      </c>
      <c r="U1459" s="341">
        <f>U1463+U1479</f>
        <v>869</v>
      </c>
      <c r="V1459" s="274">
        <f>SUM(V1460:V1462)</f>
        <v>468.94799000000006</v>
      </c>
      <c r="W1459" s="275">
        <f>X1459-V1459</f>
        <v>341.05200999999994</v>
      </c>
      <c r="X1459" s="341">
        <f>X1463+X1479</f>
        <v>810</v>
      </c>
      <c r="Y1459" s="274">
        <f>SUM(Y1460:Y1462)</f>
        <v>445.05545604999998</v>
      </c>
      <c r="Z1459" s="275">
        <f>AA1459-Y1459</f>
        <v>296.94454395000002</v>
      </c>
      <c r="AA1459" s="341">
        <f>AA1463+AA1479</f>
        <v>742</v>
      </c>
      <c r="AB1459" s="274">
        <f>SUM(AB1460:AB1462)</f>
        <v>399.78324556666661</v>
      </c>
      <c r="AC1459" s="275">
        <f>AD1459-AB1459</f>
        <v>352.21675443333339</v>
      </c>
      <c r="AD1459" s="341">
        <f>AD1463+AD1479</f>
        <v>752</v>
      </c>
      <c r="AE1459" s="274">
        <f>SUM(AE1460:AE1462)</f>
        <v>403.55852733333336</v>
      </c>
      <c r="AF1459" s="275">
        <f>AG1459-AE1459</f>
        <v>368.44147266666664</v>
      </c>
      <c r="AG1459" s="341">
        <f>AG1463+AG1479</f>
        <v>772</v>
      </c>
      <c r="AH1459" s="274">
        <f>SUM(AH1460:AH1462)</f>
        <v>382.35979609999981</v>
      </c>
      <c r="AI1459" s="275">
        <f>AJ1459-AH1459</f>
        <v>413.64020390000019</v>
      </c>
      <c r="AJ1459" s="341">
        <f>AJ1463+AJ1479</f>
        <v>796</v>
      </c>
      <c r="AK1459" s="274">
        <f>SUM(AK1460:AK1462)</f>
        <v>527.4228884333337</v>
      </c>
      <c r="AL1459" s="275">
        <f>AM1459-AK1459</f>
        <v>410.5771115666663</v>
      </c>
      <c r="AM1459" s="341">
        <f>AM1463+AM1479</f>
        <v>938</v>
      </c>
      <c r="AN1459" s="274">
        <f>SUM(AN1460:AN1462)</f>
        <v>658.40004456666645</v>
      </c>
      <c r="AO1459" s="275">
        <f>AP1459-AN1459</f>
        <v>342.59995543333355</v>
      </c>
      <c r="AP1459" s="341">
        <f>AP1463+AP1479</f>
        <v>1001</v>
      </c>
      <c r="AQ1459" s="274">
        <f>SUM(AQ1460:AQ1462)</f>
        <v>696.6265232249998</v>
      </c>
      <c r="AR1459" s="275">
        <f>AS1459-AQ1459</f>
        <v>399.3734767750002</v>
      </c>
      <c r="AS1459" s="341">
        <f>AS1463+AS1479</f>
        <v>1096</v>
      </c>
      <c r="AT1459" s="274">
        <f>SUM(AT1460:AT1462)</f>
        <v>6803.2063549756713</v>
      </c>
      <c r="AU1459" s="275">
        <f>AV1459-AT1459</f>
        <v>4038.6906490243291</v>
      </c>
      <c r="AV1459" s="278">
        <f>AV1463+AV1479</f>
        <v>10841.897004</v>
      </c>
      <c r="AW1459" s="279"/>
      <c r="AX1459" s="794">
        <f>AX1463+AX1479</f>
        <v>10795.374028</v>
      </c>
      <c r="AY1459" s="443">
        <f>SUM(AY1460:AY1462)</f>
        <v>6943.8833519999989</v>
      </c>
      <c r="AZ1459" s="356"/>
      <c r="BA1459"/>
      <c r="BB1459"/>
      <c r="BC1459"/>
    </row>
    <row r="1460" spans="1:55" s="110" customFormat="1">
      <c r="A1460" s="179"/>
      <c r="B1460" s="179"/>
      <c r="C1460" s="179"/>
      <c r="D1460" s="181"/>
      <c r="E1460" s="181"/>
      <c r="F1460" s="181"/>
      <c r="G1460" s="181"/>
      <c r="H1460" s="126" t="s">
        <v>56</v>
      </c>
      <c r="I1460" s="126"/>
      <c r="J1460" s="223">
        <f>J1464</f>
        <v>696.71553546666689</v>
      </c>
      <c r="K1460" s="271"/>
      <c r="L1460" s="224"/>
      <c r="M1460" s="270">
        <f>M1464</f>
        <v>645.84870736666608</v>
      </c>
      <c r="N1460" s="271"/>
      <c r="O1460" s="224"/>
      <c r="P1460" s="270">
        <f>P1464</f>
        <v>638.58259803333294</v>
      </c>
      <c r="Q1460" s="271"/>
      <c r="R1460" s="224"/>
      <c r="S1460" s="270">
        <f>S1464</f>
        <v>508.97919589999998</v>
      </c>
      <c r="T1460" s="271"/>
      <c r="U1460" s="224"/>
      <c r="V1460" s="270">
        <f>V1464</f>
        <v>404.03723450000001</v>
      </c>
      <c r="W1460" s="271"/>
      <c r="X1460" s="224"/>
      <c r="Y1460" s="270">
        <f>Y1464</f>
        <v>370.9625331333333</v>
      </c>
      <c r="Z1460" s="271"/>
      <c r="AA1460" s="224"/>
      <c r="AB1460" s="270">
        <f>AB1464</f>
        <v>329.13506206666659</v>
      </c>
      <c r="AC1460" s="271"/>
      <c r="AD1460" s="224"/>
      <c r="AE1460" s="270">
        <f>AE1464</f>
        <v>330.54852950000003</v>
      </c>
      <c r="AF1460" s="271"/>
      <c r="AG1460" s="224"/>
      <c r="AH1460" s="270">
        <f>AH1464</f>
        <v>311.53309776666651</v>
      </c>
      <c r="AI1460" s="271"/>
      <c r="AJ1460" s="224"/>
      <c r="AK1460" s="270">
        <f>AK1464</f>
        <v>450.4835837666671</v>
      </c>
      <c r="AL1460" s="271"/>
      <c r="AM1460" s="224"/>
      <c r="AN1460" s="270">
        <f>AN1464</f>
        <v>574.7733637333331</v>
      </c>
      <c r="AO1460" s="271"/>
      <c r="AP1460" s="224"/>
      <c r="AQ1460" s="270">
        <f>AQ1464</f>
        <v>611.86747326666648</v>
      </c>
      <c r="AR1460" s="271"/>
      <c r="AS1460" s="224"/>
      <c r="AT1460" s="270">
        <f>AT1464</f>
        <v>5873.4669144999998</v>
      </c>
      <c r="AU1460" s="271"/>
      <c r="AV1460" s="229"/>
      <c r="AW1460" s="226"/>
      <c r="AX1460" s="230"/>
      <c r="AY1460" s="231">
        <f>AY1464</f>
        <v>5799.5601419999994</v>
      </c>
      <c r="AZ1460" s="356"/>
      <c r="BA1460"/>
      <c r="BB1460"/>
      <c r="BC1460"/>
    </row>
    <row r="1461" spans="1:55" s="110" customFormat="1">
      <c r="A1461" s="179"/>
      <c r="B1461" s="179"/>
      <c r="C1461" s="179"/>
      <c r="D1461" s="181"/>
      <c r="E1461" s="181"/>
      <c r="F1461" s="181"/>
      <c r="G1461" s="181"/>
      <c r="H1461" s="126" t="s">
        <v>347</v>
      </c>
      <c r="I1461" s="126"/>
      <c r="J1461" s="223">
        <f>J1480</f>
        <v>3.4201870000000003</v>
      </c>
      <c r="K1461" s="271"/>
      <c r="L1461" s="224"/>
      <c r="M1461" s="223">
        <f>M1480</f>
        <v>7.3774070416666664</v>
      </c>
      <c r="N1461" s="271"/>
      <c r="O1461" s="224"/>
      <c r="P1461" s="223">
        <f>P1480</f>
        <v>12.748368916666667</v>
      </c>
      <c r="Q1461" s="271"/>
      <c r="R1461" s="224"/>
      <c r="S1461" s="223">
        <f>S1480</f>
        <v>13.529111916666668</v>
      </c>
      <c r="T1461" s="271"/>
      <c r="U1461" s="224"/>
      <c r="V1461" s="223">
        <f>V1480</f>
        <v>16.351755499999999</v>
      </c>
      <c r="W1461" s="271"/>
      <c r="X1461" s="224"/>
      <c r="Y1461" s="223">
        <f>Y1480</f>
        <v>19.873922916666668</v>
      </c>
      <c r="Z1461" s="271"/>
      <c r="AA1461" s="224"/>
      <c r="AB1461" s="223">
        <f>AB1480</f>
        <v>17.4081835</v>
      </c>
      <c r="AC1461" s="271"/>
      <c r="AD1461" s="224"/>
      <c r="AE1461" s="223">
        <f>AE1480</f>
        <v>16.891367833333334</v>
      </c>
      <c r="AF1461" s="271"/>
      <c r="AG1461" s="224"/>
      <c r="AH1461" s="223">
        <f>AH1480</f>
        <v>13.120528333333331</v>
      </c>
      <c r="AI1461" s="271"/>
      <c r="AJ1461" s="224"/>
      <c r="AK1461" s="223">
        <f>AK1480</f>
        <v>0.51779566666666665</v>
      </c>
      <c r="AL1461" s="271"/>
      <c r="AM1461" s="224"/>
      <c r="AN1461" s="223">
        <f>AN1480</f>
        <v>3.6536008333333334</v>
      </c>
      <c r="AO1461" s="271"/>
      <c r="AP1461" s="224"/>
      <c r="AQ1461" s="223">
        <f>AQ1480</f>
        <v>2.817633958333333</v>
      </c>
      <c r="AR1461" s="271"/>
      <c r="AS1461" s="224"/>
      <c r="AT1461" s="223">
        <f>AT1480</f>
        <v>127.70986341666668</v>
      </c>
      <c r="AU1461" s="271"/>
      <c r="AV1461" s="229"/>
      <c r="AW1461" s="226"/>
      <c r="AX1461" s="230"/>
      <c r="AY1461" s="231">
        <f>AY1480</f>
        <v>46.884053999999999</v>
      </c>
      <c r="AZ1461" s="356"/>
      <c r="BA1461"/>
      <c r="BB1461"/>
      <c r="BC1461"/>
    </row>
    <row r="1462" spans="1:55" s="110" customFormat="1">
      <c r="A1462" s="179"/>
      <c r="B1462" s="179"/>
      <c r="C1462" s="179"/>
      <c r="D1462" s="181"/>
      <c r="E1462" s="181"/>
      <c r="F1462" s="181"/>
      <c r="G1462" s="181"/>
      <c r="H1462" s="124" t="s">
        <v>184</v>
      </c>
      <c r="I1462" s="126"/>
      <c r="J1462" s="223">
        <f>J1465</f>
        <v>85.026120000000006</v>
      </c>
      <c r="K1462" s="271"/>
      <c r="L1462" s="224"/>
      <c r="M1462" s="270">
        <f>M1465</f>
        <v>78.944652059004497</v>
      </c>
      <c r="N1462" s="271"/>
      <c r="O1462" s="224"/>
      <c r="P1462" s="270">
        <f>P1465</f>
        <v>65.442999999999998</v>
      </c>
      <c r="Q1462" s="271"/>
      <c r="R1462" s="224"/>
      <c r="S1462" s="270">
        <f>S1465</f>
        <v>64.436999999999998</v>
      </c>
      <c r="T1462" s="271"/>
      <c r="U1462" s="224"/>
      <c r="V1462" s="270">
        <f>V1465</f>
        <v>48.559000000000005</v>
      </c>
      <c r="W1462" s="271"/>
      <c r="X1462" s="224"/>
      <c r="Y1462" s="270">
        <f>Y1465</f>
        <v>54.219000000000001</v>
      </c>
      <c r="Z1462" s="271"/>
      <c r="AA1462" s="224"/>
      <c r="AB1462" s="270">
        <f>AB1465</f>
        <v>53.24</v>
      </c>
      <c r="AC1462" s="271"/>
      <c r="AD1462" s="224"/>
      <c r="AE1462" s="270">
        <f>AE1465</f>
        <v>56.11863000000001</v>
      </c>
      <c r="AF1462" s="271"/>
      <c r="AG1462" s="224"/>
      <c r="AH1462" s="270">
        <f>AH1465</f>
        <v>57.70617</v>
      </c>
      <c r="AI1462" s="271"/>
      <c r="AJ1462" s="224"/>
      <c r="AK1462" s="270">
        <f>AK1465</f>
        <v>76.421509</v>
      </c>
      <c r="AL1462" s="271"/>
      <c r="AM1462" s="224"/>
      <c r="AN1462" s="270">
        <f>AN1465</f>
        <v>79.973079999999996</v>
      </c>
      <c r="AO1462" s="271"/>
      <c r="AP1462" s="224"/>
      <c r="AQ1462" s="270">
        <f>AQ1465</f>
        <v>81.941416000000004</v>
      </c>
      <c r="AR1462" s="271"/>
      <c r="AS1462" s="224"/>
      <c r="AT1462" s="270">
        <f>AT1465</f>
        <v>802.02957705900451</v>
      </c>
      <c r="AU1462" s="271"/>
      <c r="AV1462" s="229"/>
      <c r="AW1462" s="226"/>
      <c r="AX1462" s="230"/>
      <c r="AY1462" s="231">
        <f>AY1465</f>
        <v>1097.4391559999999</v>
      </c>
      <c r="AZ1462" s="356"/>
      <c r="BA1462"/>
      <c r="BB1462"/>
      <c r="BC1462"/>
    </row>
    <row r="1463" spans="1:55" s="113" customFormat="1">
      <c r="A1463" s="179"/>
      <c r="B1463" s="179"/>
      <c r="C1463" s="179"/>
      <c r="D1463" s="181"/>
      <c r="E1463" s="181"/>
      <c r="F1463" s="181"/>
      <c r="G1463" s="181"/>
      <c r="H1463" s="111" t="s">
        <v>57</v>
      </c>
      <c r="I1463" s="111"/>
      <c r="J1463" s="277">
        <f>SUM(J1464:J1465)</f>
        <v>781.74165546666688</v>
      </c>
      <c r="K1463" s="275">
        <f>L1463-J1463</f>
        <v>229.75534853333318</v>
      </c>
      <c r="L1463" s="276">
        <f>Потребление!D83</f>
        <v>1011.4970040000001</v>
      </c>
      <c r="M1463" s="274">
        <f>SUM(M1464:M1465)</f>
        <v>724.79335942567059</v>
      </c>
      <c r="N1463" s="275">
        <f>O1463-M1463</f>
        <v>231.20664057432941</v>
      </c>
      <c r="O1463" s="276">
        <f>Потребление!E83</f>
        <v>956</v>
      </c>
      <c r="P1463" s="274">
        <f>SUM(P1464:P1465)</f>
        <v>704.02559803333293</v>
      </c>
      <c r="Q1463" s="275">
        <f>R1463-P1463</f>
        <v>234.97440196666707</v>
      </c>
      <c r="R1463" s="276">
        <f>Потребление!F83</f>
        <v>939</v>
      </c>
      <c r="S1463" s="274">
        <f>SUM(S1464:S1465)</f>
        <v>573.41619589999993</v>
      </c>
      <c r="T1463" s="275">
        <f>U1463-S1463</f>
        <v>252.58380410000007</v>
      </c>
      <c r="U1463" s="276">
        <f>Потребление!G83</f>
        <v>826</v>
      </c>
      <c r="V1463" s="274">
        <f>SUM(V1464:V1465)</f>
        <v>452.59623450000004</v>
      </c>
      <c r="W1463" s="275">
        <f>X1463-V1463</f>
        <v>318.40376549999996</v>
      </c>
      <c r="X1463" s="276">
        <f>Потребление!H83</f>
        <v>771</v>
      </c>
      <c r="Y1463" s="274">
        <f>SUM(Y1464:Y1465)</f>
        <v>425.18153313333329</v>
      </c>
      <c r="Z1463" s="275">
        <f>AA1463-Y1463</f>
        <v>281.81846686666671</v>
      </c>
      <c r="AA1463" s="276">
        <f>Потребление!I83</f>
        <v>707</v>
      </c>
      <c r="AB1463" s="274">
        <f>SUM(AB1464:AB1465)</f>
        <v>382.3750620666666</v>
      </c>
      <c r="AC1463" s="275">
        <f>AD1463-AB1463</f>
        <v>333.6249379333334</v>
      </c>
      <c r="AD1463" s="276">
        <f>Потребление!J83</f>
        <v>716</v>
      </c>
      <c r="AE1463" s="274">
        <f>SUM(AE1464:AE1465)</f>
        <v>386.66715950000003</v>
      </c>
      <c r="AF1463" s="275">
        <f>AG1463-AE1463</f>
        <v>349.33284049999997</v>
      </c>
      <c r="AG1463" s="276">
        <f>Потребление!K83</f>
        <v>736</v>
      </c>
      <c r="AH1463" s="274">
        <f>SUM(AH1464:AH1465)</f>
        <v>369.2392677666665</v>
      </c>
      <c r="AI1463" s="275">
        <f>AJ1463-AH1463</f>
        <v>388.7607322333335</v>
      </c>
      <c r="AJ1463" s="276">
        <f>Потребление!L83</f>
        <v>758</v>
      </c>
      <c r="AK1463" s="274">
        <f>SUM(AK1464:AK1465)</f>
        <v>526.90509276666705</v>
      </c>
      <c r="AL1463" s="275">
        <f>AM1463-AK1463</f>
        <v>365.09490723333295</v>
      </c>
      <c r="AM1463" s="276">
        <f>Потребление!M83</f>
        <v>892</v>
      </c>
      <c r="AN1463" s="274">
        <f>SUM(AN1464:AN1465)</f>
        <v>654.74644373333308</v>
      </c>
      <c r="AO1463" s="275">
        <f>AP1463-AN1463</f>
        <v>296.25355626666692</v>
      </c>
      <c r="AP1463" s="276">
        <f>Потребление!N83</f>
        <v>951</v>
      </c>
      <c r="AQ1463" s="274">
        <f>SUM(AQ1464:AQ1465)</f>
        <v>693.80888926666648</v>
      </c>
      <c r="AR1463" s="275">
        <f>AS1463-AQ1463</f>
        <v>344.19111073333352</v>
      </c>
      <c r="AS1463" s="276">
        <f>Потребление!O83</f>
        <v>1038</v>
      </c>
      <c r="AT1463" s="274">
        <f>SUM(AT1464:AT1465)</f>
        <v>6675.4964915590044</v>
      </c>
      <c r="AU1463" s="275">
        <f>AV1463-AT1463</f>
        <v>3626.0005124409963</v>
      </c>
      <c r="AV1463" s="278">
        <f>L1463+O1463+R1463+U1463+X1463+AA1463+AD1463+AG1463+AJ1463+AM1463+AP1463+AS1463</f>
        <v>10301.497004000001</v>
      </c>
      <c r="AW1463" s="279"/>
      <c r="AX1463" s="1067">
        <v>10248.535324</v>
      </c>
      <c r="AY1463" s="298">
        <f>SUM(AY1464:AY1465)</f>
        <v>6896.9992979999988</v>
      </c>
      <c r="AZ1463" s="355"/>
      <c r="BA1463"/>
      <c r="BB1463"/>
      <c r="BC1463"/>
    </row>
    <row r="1464" spans="1:55" s="113" customFormat="1">
      <c r="A1464" s="179"/>
      <c r="B1464" s="179"/>
      <c r="C1464" s="179"/>
      <c r="D1464" s="181"/>
      <c r="E1464" s="181"/>
      <c r="F1464" s="181"/>
      <c r="G1464" s="181"/>
      <c r="H1464" s="126" t="s">
        <v>56</v>
      </c>
      <c r="I1464" s="126"/>
      <c r="J1464" s="223">
        <f>SUM(J1467:J1473)</f>
        <v>696.71553546666689</v>
      </c>
      <c r="K1464" s="271"/>
      <c r="L1464" s="224"/>
      <c r="M1464" s="270">
        <f>SUM(M1467:M1473)</f>
        <v>645.84870736666608</v>
      </c>
      <c r="N1464" s="271"/>
      <c r="O1464" s="224"/>
      <c r="P1464" s="270">
        <f>SUM(P1467:P1473)</f>
        <v>638.58259803333294</v>
      </c>
      <c r="Q1464" s="271"/>
      <c r="R1464" s="224"/>
      <c r="S1464" s="270">
        <f>SUM(S1467:S1473)</f>
        <v>508.97919589999998</v>
      </c>
      <c r="T1464" s="271"/>
      <c r="U1464" s="224"/>
      <c r="V1464" s="270">
        <f>SUM(V1467:V1473)</f>
        <v>404.03723450000001</v>
      </c>
      <c r="W1464" s="271"/>
      <c r="X1464" s="224"/>
      <c r="Y1464" s="270">
        <f>SUM(Y1467:Y1473)</f>
        <v>370.9625331333333</v>
      </c>
      <c r="Z1464" s="271"/>
      <c r="AA1464" s="224"/>
      <c r="AB1464" s="270">
        <f>SUM(AB1467:AB1473)</f>
        <v>329.13506206666659</v>
      </c>
      <c r="AC1464" s="271"/>
      <c r="AD1464" s="224"/>
      <c r="AE1464" s="270">
        <f>SUM(AE1467:AE1473)</f>
        <v>330.54852950000003</v>
      </c>
      <c r="AF1464" s="271"/>
      <c r="AG1464" s="224"/>
      <c r="AH1464" s="270">
        <f>SUM(AH1467:AH1473)</f>
        <v>311.53309776666651</v>
      </c>
      <c r="AI1464" s="271"/>
      <c r="AJ1464" s="224"/>
      <c r="AK1464" s="270">
        <f>SUM(AK1467:AK1473)</f>
        <v>450.4835837666671</v>
      </c>
      <c r="AL1464" s="271"/>
      <c r="AM1464" s="224"/>
      <c r="AN1464" s="270">
        <f>SUM(AN1467:AN1473)</f>
        <v>574.7733637333331</v>
      </c>
      <c r="AO1464" s="271"/>
      <c r="AP1464" s="224"/>
      <c r="AQ1464" s="270">
        <f>SUM(AQ1467:AQ1473)</f>
        <v>611.86747326666648</v>
      </c>
      <c r="AR1464" s="271"/>
      <c r="AS1464" s="224"/>
      <c r="AT1464" s="270">
        <f>SUM(AT1467:AT1473)</f>
        <v>5873.4669144999998</v>
      </c>
      <c r="AU1464" s="271"/>
      <c r="AV1464" s="229"/>
      <c r="AW1464" s="226"/>
      <c r="AX1464" s="407"/>
      <c r="AY1464" s="231">
        <f>SUM(AY1466:AY1473)</f>
        <v>5799.5601419999994</v>
      </c>
      <c r="AZ1464" s="355"/>
      <c r="BA1464"/>
      <c r="BB1464"/>
      <c r="BC1464"/>
    </row>
    <row r="1465" spans="1:55" s="146" customFormat="1">
      <c r="A1465" s="179"/>
      <c r="B1465" s="179"/>
      <c r="C1465" s="179"/>
      <c r="D1465" s="181"/>
      <c r="E1465" s="181"/>
      <c r="F1465" s="181"/>
      <c r="G1465" s="181"/>
      <c r="H1465" s="124" t="s">
        <v>184</v>
      </c>
      <c r="I1465" s="124"/>
      <c r="J1465" s="223">
        <f>J1474</f>
        <v>85.026120000000006</v>
      </c>
      <c r="K1465" s="271"/>
      <c r="L1465" s="224"/>
      <c r="M1465" s="270">
        <f>M1474</f>
        <v>78.944652059004497</v>
      </c>
      <c r="N1465" s="271"/>
      <c r="O1465" s="224"/>
      <c r="P1465" s="270">
        <f>P1474</f>
        <v>65.442999999999998</v>
      </c>
      <c r="Q1465" s="271"/>
      <c r="R1465" s="224"/>
      <c r="S1465" s="270">
        <f>S1474</f>
        <v>64.436999999999998</v>
      </c>
      <c r="T1465" s="271"/>
      <c r="U1465" s="224"/>
      <c r="V1465" s="270">
        <f>V1474</f>
        <v>48.559000000000005</v>
      </c>
      <c r="W1465" s="271"/>
      <c r="X1465" s="224"/>
      <c r="Y1465" s="270">
        <f>Y1474</f>
        <v>54.219000000000001</v>
      </c>
      <c r="Z1465" s="271"/>
      <c r="AA1465" s="224"/>
      <c r="AB1465" s="270">
        <f>AB1474</f>
        <v>53.24</v>
      </c>
      <c r="AC1465" s="271"/>
      <c r="AD1465" s="224"/>
      <c r="AE1465" s="270">
        <f>AE1474</f>
        <v>56.11863000000001</v>
      </c>
      <c r="AF1465" s="271"/>
      <c r="AG1465" s="224"/>
      <c r="AH1465" s="270">
        <f>AH1474</f>
        <v>57.70617</v>
      </c>
      <c r="AI1465" s="271"/>
      <c r="AJ1465" s="224"/>
      <c r="AK1465" s="270">
        <f>AK1474</f>
        <v>76.421509</v>
      </c>
      <c r="AL1465" s="271"/>
      <c r="AM1465" s="224"/>
      <c r="AN1465" s="270">
        <f>AN1474</f>
        <v>79.973079999999996</v>
      </c>
      <c r="AO1465" s="271"/>
      <c r="AP1465" s="224"/>
      <c r="AQ1465" s="270">
        <f>AQ1474</f>
        <v>81.941416000000004</v>
      </c>
      <c r="AR1465" s="271"/>
      <c r="AS1465" s="224"/>
      <c r="AT1465" s="270">
        <f>AT1474</f>
        <v>802.02957705900451</v>
      </c>
      <c r="AU1465" s="271"/>
      <c r="AV1465" s="229"/>
      <c r="AW1465" s="226"/>
      <c r="AX1465" s="407"/>
      <c r="AY1465" s="231">
        <f>AY1474</f>
        <v>1097.4391559999999</v>
      </c>
      <c r="AZ1465" s="402"/>
      <c r="BA1465"/>
      <c r="BB1465"/>
      <c r="BC1465"/>
    </row>
    <row r="1466" spans="1:55" s="24" customFormat="1">
      <c r="A1466" s="179"/>
      <c r="B1466" s="179"/>
      <c r="C1466" s="179"/>
      <c r="D1466" s="181">
        <v>356810</v>
      </c>
      <c r="E1466" s="181"/>
      <c r="F1466" s="181"/>
      <c r="G1466" s="1110">
        <v>356810</v>
      </c>
      <c r="H1466" s="134" t="s">
        <v>478</v>
      </c>
      <c r="I1466" s="516" t="s">
        <v>364</v>
      </c>
      <c r="J1466" s="262">
        <f>SUM(J1467:J1469)</f>
        <v>183.32599999999999</v>
      </c>
      <c r="K1466" s="323"/>
      <c r="L1466" s="324"/>
      <c r="M1466" s="317">
        <f>SUM(M1467:M1469)</f>
        <v>174.12200000000001</v>
      </c>
      <c r="N1466" s="323"/>
      <c r="O1466" s="324"/>
      <c r="P1466" s="317">
        <f>SUM(P1467:P1469)</f>
        <v>155.12599999999998</v>
      </c>
      <c r="Q1466" s="323"/>
      <c r="R1466" s="324"/>
      <c r="S1466" s="317">
        <f>SUM(S1467:S1469)</f>
        <v>85.68</v>
      </c>
      <c r="T1466" s="323"/>
      <c r="U1466" s="324"/>
      <c r="V1466" s="317">
        <f>SUM(V1467:V1469)</f>
        <v>57.356999999999999</v>
      </c>
      <c r="W1466" s="323"/>
      <c r="X1466" s="324"/>
      <c r="Y1466" s="317">
        <f>SUM(Y1467:Y1469)</f>
        <v>67.228999999999999</v>
      </c>
      <c r="Z1466" s="323"/>
      <c r="AA1466" s="324"/>
      <c r="AB1466" s="317">
        <f>SUM(AB1467:AB1469)</f>
        <v>41.686</v>
      </c>
      <c r="AC1466" s="323"/>
      <c r="AD1466" s="324"/>
      <c r="AE1466" s="317">
        <f>SUM(AE1467:AE1469)</f>
        <v>42.971999999999994</v>
      </c>
      <c r="AF1466" s="323"/>
      <c r="AG1466" s="324"/>
      <c r="AH1466" s="317">
        <f>SUM(AH1467:AH1469)</f>
        <v>43.695999999999998</v>
      </c>
      <c r="AI1466" s="323"/>
      <c r="AJ1466" s="324"/>
      <c r="AK1466" s="317">
        <f>SUM(AK1467:AK1469)</f>
        <v>109.62700000000001</v>
      </c>
      <c r="AL1466" s="323"/>
      <c r="AM1466" s="324"/>
      <c r="AN1466" s="317">
        <f>SUM(AN1467:AN1469)</f>
        <v>170.066</v>
      </c>
      <c r="AO1466" s="323"/>
      <c r="AP1466" s="324"/>
      <c r="AQ1466" s="317">
        <f>SUM(AQ1467:AQ1469)</f>
        <v>170.46499999999997</v>
      </c>
      <c r="AR1466" s="323"/>
      <c r="AS1466" s="324"/>
      <c r="AT1466" s="317">
        <f>SUM(AT1467:AT1469)</f>
        <v>1301.3519999999999</v>
      </c>
      <c r="AU1466" s="323"/>
      <c r="AV1466" s="325"/>
      <c r="AW1466" s="226"/>
      <c r="AX1466" s="408"/>
      <c r="AY1466" s="1068">
        <v>1126.416864</v>
      </c>
      <c r="AZ1466" s="357"/>
      <c r="BA1466"/>
      <c r="BB1466"/>
      <c r="BC1466"/>
    </row>
    <row r="1467" spans="1:55" s="24" customFormat="1">
      <c r="A1467" s="179"/>
      <c r="B1467" s="179"/>
      <c r="C1467" s="179"/>
      <c r="D1467" s="181"/>
      <c r="E1467" s="181"/>
      <c r="F1467" s="181"/>
      <c r="G1467" s="1110"/>
      <c r="H1467" s="122" t="s">
        <v>1014</v>
      </c>
      <c r="I1467" s="122"/>
      <c r="J1467" s="244">
        <v>102.974</v>
      </c>
      <c r="K1467" s="246"/>
      <c r="L1467" s="282"/>
      <c r="M1467" s="244">
        <v>98.221000000000004</v>
      </c>
      <c r="N1467" s="246"/>
      <c r="O1467" s="282"/>
      <c r="P1467" s="244">
        <v>83.361999999999995</v>
      </c>
      <c r="Q1467" s="246"/>
      <c r="R1467" s="282"/>
      <c r="S1467" s="244">
        <v>42.48</v>
      </c>
      <c r="T1467" s="246"/>
      <c r="U1467" s="282"/>
      <c r="V1467" s="244">
        <v>34.302</v>
      </c>
      <c r="W1467" s="246"/>
      <c r="X1467" s="282"/>
      <c r="Y1467" s="244">
        <v>23.685000000000002</v>
      </c>
      <c r="Z1467" s="246"/>
      <c r="AA1467" s="282"/>
      <c r="AB1467" s="345">
        <v>30.928000000000001</v>
      </c>
      <c r="AC1467" s="246"/>
      <c r="AD1467" s="282"/>
      <c r="AE1467" s="244">
        <v>20.844999999999999</v>
      </c>
      <c r="AF1467" s="246"/>
      <c r="AG1467" s="282"/>
      <c r="AH1467" s="244">
        <v>29.872</v>
      </c>
      <c r="AI1467" s="246"/>
      <c r="AJ1467" s="282"/>
      <c r="AK1467" s="244">
        <v>66.215000000000003</v>
      </c>
      <c r="AL1467" s="246"/>
      <c r="AM1467" s="282"/>
      <c r="AN1467" s="834">
        <v>100.73099999999999</v>
      </c>
      <c r="AO1467" s="246"/>
      <c r="AP1467" s="282"/>
      <c r="AQ1467" s="834">
        <v>104.99299999999999</v>
      </c>
      <c r="AR1467" s="246"/>
      <c r="AS1467" s="282"/>
      <c r="AT1467" s="244">
        <f t="shared" ref="AT1467:AT1478" si="56">J1467+M1467+P1467+S1467+V1467+Y1467+AB1467+AE1467+AH1467+AK1467+AN1467+AQ1467</f>
        <v>738.60799999999995</v>
      </c>
      <c r="AU1467" s="246"/>
      <c r="AV1467" s="336"/>
      <c r="AW1467" s="285"/>
      <c r="AX1467" s="375"/>
      <c r="AY1467" s="373"/>
      <c r="AZ1467" s="357"/>
      <c r="BA1467"/>
      <c r="BB1467"/>
      <c r="BC1467"/>
    </row>
    <row r="1468" spans="1:55" s="24" customFormat="1">
      <c r="A1468" s="179"/>
      <c r="B1468" s="179"/>
      <c r="C1468" s="179"/>
      <c r="D1468" s="181"/>
      <c r="E1468" s="181"/>
      <c r="F1468" s="181"/>
      <c r="G1468" s="1110"/>
      <c r="H1468" s="122" t="s">
        <v>1015</v>
      </c>
      <c r="I1468" s="122"/>
      <c r="J1468" s="244">
        <v>40.175999999999995</v>
      </c>
      <c r="K1468" s="246"/>
      <c r="L1468" s="282"/>
      <c r="M1468" s="244">
        <v>41.064</v>
      </c>
      <c r="N1468" s="246"/>
      <c r="O1468" s="282"/>
      <c r="P1468" s="244">
        <v>31.763999999999999</v>
      </c>
      <c r="Q1468" s="246"/>
      <c r="R1468" s="282"/>
      <c r="S1468" s="244">
        <v>43.2</v>
      </c>
      <c r="T1468" s="246"/>
      <c r="U1468" s="282"/>
      <c r="V1468" s="345">
        <v>0</v>
      </c>
      <c r="W1468" s="246"/>
      <c r="X1468" s="282"/>
      <c r="Y1468" s="345">
        <f>18.544+25</f>
        <v>43.543999999999997</v>
      </c>
      <c r="Z1468" s="246"/>
      <c r="AA1468" s="282"/>
      <c r="AB1468" s="244">
        <v>10.757999999999999</v>
      </c>
      <c r="AC1468" s="246"/>
      <c r="AD1468" s="282"/>
      <c r="AE1468" s="244">
        <v>22.126999999999999</v>
      </c>
      <c r="AF1468" s="246"/>
      <c r="AG1468" s="282"/>
      <c r="AH1468" s="244">
        <v>0</v>
      </c>
      <c r="AI1468" s="246"/>
      <c r="AJ1468" s="282"/>
      <c r="AK1468" s="244">
        <v>14.396000000000001</v>
      </c>
      <c r="AL1468" s="246"/>
      <c r="AM1468" s="282"/>
      <c r="AN1468" s="1206">
        <f>14.055+20</f>
        <v>34.055</v>
      </c>
      <c r="AO1468" s="246"/>
      <c r="AP1468" s="282"/>
      <c r="AQ1468" s="834">
        <v>32.735999999999997</v>
      </c>
      <c r="AR1468" s="246"/>
      <c r="AS1468" s="282"/>
      <c r="AT1468" s="244">
        <f t="shared" si="56"/>
        <v>313.82</v>
      </c>
      <c r="AU1468" s="246"/>
      <c r="AV1468" s="336"/>
      <c r="AW1468" s="285"/>
      <c r="AX1468" s="375"/>
      <c r="AY1468" s="338"/>
      <c r="AZ1468" s="357"/>
      <c r="BA1468"/>
      <c r="BB1468"/>
      <c r="BC1468"/>
    </row>
    <row r="1469" spans="1:55" s="24" customFormat="1">
      <c r="A1469" s="179"/>
      <c r="B1469" s="179"/>
      <c r="C1469" s="179"/>
      <c r="D1469" s="181"/>
      <c r="E1469" s="181"/>
      <c r="F1469" s="181"/>
      <c r="G1469" s="1110"/>
      <c r="H1469" s="122" t="s">
        <v>1016</v>
      </c>
      <c r="I1469" s="122"/>
      <c r="J1469" s="244">
        <v>40.175999999999995</v>
      </c>
      <c r="K1469" s="246"/>
      <c r="L1469" s="282"/>
      <c r="M1469" s="345">
        <f>19.837+15</f>
        <v>34.837000000000003</v>
      </c>
      <c r="N1469" s="246"/>
      <c r="O1469" s="282"/>
      <c r="P1469" s="345">
        <f>0+40</f>
        <v>40</v>
      </c>
      <c r="Q1469" s="246"/>
      <c r="R1469" s="282"/>
      <c r="S1469" s="345">
        <v>0</v>
      </c>
      <c r="T1469" s="246"/>
      <c r="U1469" s="282"/>
      <c r="V1469" s="244">
        <v>23.055</v>
      </c>
      <c r="W1469" s="246"/>
      <c r="X1469" s="282"/>
      <c r="Y1469" s="345">
        <v>0</v>
      </c>
      <c r="Z1469" s="246"/>
      <c r="AA1469" s="282"/>
      <c r="AB1469" s="244">
        <v>0</v>
      </c>
      <c r="AC1469" s="246"/>
      <c r="AD1469" s="282"/>
      <c r="AE1469" s="244">
        <v>0</v>
      </c>
      <c r="AF1469" s="246"/>
      <c r="AG1469" s="282"/>
      <c r="AH1469" s="244">
        <v>13.824</v>
      </c>
      <c r="AI1469" s="246"/>
      <c r="AJ1469" s="282"/>
      <c r="AK1469" s="244">
        <v>29.015999999999998</v>
      </c>
      <c r="AL1469" s="246"/>
      <c r="AM1469" s="282"/>
      <c r="AN1469" s="834">
        <v>35.28</v>
      </c>
      <c r="AO1469" s="246"/>
      <c r="AP1469" s="282"/>
      <c r="AQ1469" s="834">
        <v>32.735999999999997</v>
      </c>
      <c r="AR1469" s="246"/>
      <c r="AS1469" s="282"/>
      <c r="AT1469" s="244">
        <f t="shared" si="56"/>
        <v>248.92400000000001</v>
      </c>
      <c r="AU1469" s="246"/>
      <c r="AV1469" s="336"/>
      <c r="AW1469" s="285"/>
      <c r="AX1469" s="375"/>
      <c r="AY1469" s="338"/>
      <c r="AZ1469" s="357"/>
      <c r="BA1469"/>
      <c r="BB1469"/>
      <c r="BC1469"/>
    </row>
    <row r="1470" spans="1:55" s="24" customFormat="1">
      <c r="A1470" s="179"/>
      <c r="B1470" s="179"/>
      <c r="C1470" s="179"/>
      <c r="D1470" s="181">
        <v>356813</v>
      </c>
      <c r="E1470" s="181"/>
      <c r="F1470" s="181"/>
      <c r="G1470" s="1110">
        <v>356813</v>
      </c>
      <c r="H1470" s="122" t="s">
        <v>1017</v>
      </c>
      <c r="I1470" s="516" t="s">
        <v>364</v>
      </c>
      <c r="J1470" s="345">
        <f>260.4744+30</f>
        <v>290.4744</v>
      </c>
      <c r="K1470" s="246"/>
      <c r="L1470" s="282"/>
      <c r="M1470" s="345">
        <f>240.816+30</f>
        <v>270.81600000000003</v>
      </c>
      <c r="N1470" s="246"/>
      <c r="O1470" s="282"/>
      <c r="P1470" s="345">
        <f>223.2+40</f>
        <v>263.2</v>
      </c>
      <c r="Q1470" s="246"/>
      <c r="R1470" s="282"/>
      <c r="S1470" s="345">
        <f>147.79+100</f>
        <v>247.79</v>
      </c>
      <c r="T1470" s="246"/>
      <c r="U1470" s="282"/>
      <c r="V1470" s="345">
        <f>80.891+100</f>
        <v>180.89100000000002</v>
      </c>
      <c r="W1470" s="246"/>
      <c r="X1470" s="282"/>
      <c r="Y1470" s="345">
        <f>84.634+70</f>
        <v>154.63400000000001</v>
      </c>
      <c r="Z1470" s="246"/>
      <c r="AA1470" s="282"/>
      <c r="AB1470" s="345">
        <f>106.646+50</f>
        <v>156.64600000000002</v>
      </c>
      <c r="AC1470" s="246"/>
      <c r="AD1470" s="282"/>
      <c r="AE1470" s="345">
        <f>110.063+45</f>
        <v>155.06299999999999</v>
      </c>
      <c r="AF1470" s="246"/>
      <c r="AG1470" s="282"/>
      <c r="AH1470" s="345">
        <f>108.82+30</f>
        <v>138.82</v>
      </c>
      <c r="AI1470" s="246"/>
      <c r="AJ1470" s="282"/>
      <c r="AK1470" s="345">
        <f>171.641+20</f>
        <v>191.64099999999999</v>
      </c>
      <c r="AL1470" s="246"/>
      <c r="AM1470" s="282"/>
      <c r="AN1470" s="345">
        <f>233.28+10</f>
        <v>243.28</v>
      </c>
      <c r="AO1470" s="246"/>
      <c r="AP1470" s="282"/>
      <c r="AQ1470" s="244">
        <v>257.6472</v>
      </c>
      <c r="AR1470" s="246"/>
      <c r="AS1470" s="282"/>
      <c r="AT1470" s="244">
        <f t="shared" si="56"/>
        <v>2550.9025999999999</v>
      </c>
      <c r="AU1470" s="246"/>
      <c r="AV1470" s="336"/>
      <c r="AW1470" s="285"/>
      <c r="AX1470" s="375"/>
      <c r="AY1470" s="438">
        <v>2635.7184280000001</v>
      </c>
      <c r="AZ1470" s="357"/>
      <c r="BA1470"/>
      <c r="BB1470"/>
      <c r="BC1470"/>
    </row>
    <row r="1471" spans="1:55" s="24" customFormat="1">
      <c r="A1471" s="179"/>
      <c r="B1471" s="179"/>
      <c r="C1471" s="179"/>
      <c r="D1471" s="181">
        <v>356844</v>
      </c>
      <c r="E1471" s="181"/>
      <c r="F1471" s="181"/>
      <c r="G1471" s="1110">
        <v>356844</v>
      </c>
      <c r="H1471" s="122" t="s">
        <v>1453</v>
      </c>
      <c r="I1471" s="516" t="s">
        <v>364</v>
      </c>
      <c r="J1471" s="244">
        <v>0.68279999999999996</v>
      </c>
      <c r="K1471" s="246"/>
      <c r="L1471" s="282"/>
      <c r="M1471" s="244">
        <v>0.70979999999999999</v>
      </c>
      <c r="N1471" s="246"/>
      <c r="O1471" s="282"/>
      <c r="P1471" s="244">
        <v>0.73680000000000001</v>
      </c>
      <c r="Q1471" s="246"/>
      <c r="R1471" s="282"/>
      <c r="S1471" s="244">
        <v>0.7772</v>
      </c>
      <c r="T1471" s="246"/>
      <c r="U1471" s="282"/>
      <c r="V1471" s="244">
        <v>0.76880000000000004</v>
      </c>
      <c r="W1471" s="246"/>
      <c r="X1471" s="282"/>
      <c r="Y1471" s="244">
        <v>0.74160000000000004</v>
      </c>
      <c r="Z1471" s="246"/>
      <c r="AA1471" s="282"/>
      <c r="AB1471" s="244">
        <v>0.72399999999999998</v>
      </c>
      <c r="AC1471" s="246"/>
      <c r="AD1471" s="282"/>
      <c r="AE1471" s="244">
        <v>0.75039999999999996</v>
      </c>
      <c r="AF1471" s="246"/>
      <c r="AG1471" s="282"/>
      <c r="AH1471" s="244">
        <v>0.78559999999999997</v>
      </c>
      <c r="AI1471" s="246"/>
      <c r="AJ1471" s="282"/>
      <c r="AK1471" s="244">
        <v>0.86519999999999997</v>
      </c>
      <c r="AL1471" s="246"/>
      <c r="AM1471" s="282"/>
      <c r="AN1471" s="244">
        <v>0.87439999999999996</v>
      </c>
      <c r="AO1471" s="246"/>
      <c r="AP1471" s="282"/>
      <c r="AQ1471" s="244">
        <v>0.76639999999999997</v>
      </c>
      <c r="AR1471" s="246"/>
      <c r="AS1471" s="282"/>
      <c r="AT1471" s="244">
        <f t="shared" si="56"/>
        <v>9.1829999999999998</v>
      </c>
      <c r="AU1471" s="246"/>
      <c r="AV1471" s="336"/>
      <c r="AW1471" s="285"/>
      <c r="AX1471" s="375"/>
      <c r="AY1471" s="438">
        <v>1.1207560000000001</v>
      </c>
      <c r="AZ1471" s="357"/>
      <c r="BA1471"/>
      <c r="BB1471"/>
      <c r="BC1471"/>
    </row>
    <row r="1472" spans="1:55" s="24" customFormat="1">
      <c r="A1472" s="179"/>
      <c r="B1472" s="179"/>
      <c r="C1472" s="179"/>
      <c r="D1472" s="181">
        <v>356811</v>
      </c>
      <c r="E1472" s="181"/>
      <c r="F1472" s="181"/>
      <c r="G1472" s="1110">
        <v>356811</v>
      </c>
      <c r="H1472" s="122" t="s">
        <v>1018</v>
      </c>
      <c r="I1472" s="516" t="s">
        <v>364</v>
      </c>
      <c r="J1472" s="345">
        <f>191.764335466667+20</f>
        <v>211.76433546666701</v>
      </c>
      <c r="K1472" s="246"/>
      <c r="L1472" s="282"/>
      <c r="M1472" s="345">
        <f>170.519907366666+20</f>
        <v>190.51990736666599</v>
      </c>
      <c r="N1472" s="246"/>
      <c r="O1472" s="282"/>
      <c r="P1472" s="345">
        <f>159.009798033333+50</f>
        <v>209.009798033333</v>
      </c>
      <c r="Q1472" s="246"/>
      <c r="R1472" s="282"/>
      <c r="S1472" s="345">
        <f>133.6419959+30</f>
        <v>163.64199590000001</v>
      </c>
      <c r="T1472" s="246"/>
      <c r="U1472" s="282"/>
      <c r="V1472" s="345">
        <f>114.6714345+40</f>
        <v>154.6714345</v>
      </c>
      <c r="W1472" s="246"/>
      <c r="X1472" s="282"/>
      <c r="Y1472" s="345">
        <f>98.5299331333333+40</f>
        <v>138.52993313333332</v>
      </c>
      <c r="Z1472" s="246"/>
      <c r="AA1472" s="282"/>
      <c r="AB1472" s="345">
        <f>98.7490620666666+20</f>
        <v>118.7490620666666</v>
      </c>
      <c r="AC1472" s="246"/>
      <c r="AD1472" s="282"/>
      <c r="AE1472" s="345">
        <f>106.2951295+15</f>
        <v>121.2951295</v>
      </c>
      <c r="AF1472" s="246"/>
      <c r="AG1472" s="282"/>
      <c r="AH1472" s="244">
        <v>118.23149776666651</v>
      </c>
      <c r="AI1472" s="246"/>
      <c r="AJ1472" s="282"/>
      <c r="AK1472" s="345">
        <f>127.882383766667+10</f>
        <v>137.882383766667</v>
      </c>
      <c r="AL1472" s="246"/>
      <c r="AM1472" s="282"/>
      <c r="AN1472" s="834">
        <v>150.52296373333317</v>
      </c>
      <c r="AO1472" s="246"/>
      <c r="AP1472" s="282"/>
      <c r="AQ1472" s="834">
        <v>172.95887326666659</v>
      </c>
      <c r="AR1472" s="246"/>
      <c r="AS1472" s="282"/>
      <c r="AT1472" s="244">
        <f t="shared" si="56"/>
        <v>1887.7773144999994</v>
      </c>
      <c r="AU1472" s="246"/>
      <c r="AV1472" s="336"/>
      <c r="AW1472" s="285"/>
      <c r="AX1472" s="375"/>
      <c r="AY1472" s="438">
        <v>2021.344296</v>
      </c>
      <c r="AZ1472" s="357"/>
      <c r="BA1472"/>
      <c r="BB1472"/>
      <c r="BC1472"/>
    </row>
    <row r="1473" spans="1:55" s="24" customFormat="1">
      <c r="A1473" s="179"/>
      <c r="B1473" s="179"/>
      <c r="C1473" s="179"/>
      <c r="D1473" s="181">
        <v>356839</v>
      </c>
      <c r="E1473" s="181"/>
      <c r="F1473" s="181"/>
      <c r="G1473" s="1110">
        <v>356839</v>
      </c>
      <c r="H1473" s="125" t="s">
        <v>1188</v>
      </c>
      <c r="I1473" s="533" t="s">
        <v>365</v>
      </c>
      <c r="J1473" s="244">
        <v>10.468</v>
      </c>
      <c r="K1473" s="246"/>
      <c r="L1473" s="282"/>
      <c r="M1473" s="244">
        <v>9.6810000000000009</v>
      </c>
      <c r="N1473" s="246"/>
      <c r="O1473" s="282"/>
      <c r="P1473" s="244">
        <v>10.51</v>
      </c>
      <c r="Q1473" s="246"/>
      <c r="R1473" s="282"/>
      <c r="S1473" s="244">
        <v>11.09</v>
      </c>
      <c r="T1473" s="246"/>
      <c r="U1473" s="282"/>
      <c r="V1473" s="244">
        <v>10.349</v>
      </c>
      <c r="W1473" s="246"/>
      <c r="X1473" s="282"/>
      <c r="Y1473" s="244">
        <v>9.8279999999999994</v>
      </c>
      <c r="Z1473" s="246"/>
      <c r="AA1473" s="282"/>
      <c r="AB1473" s="244">
        <v>11.33</v>
      </c>
      <c r="AC1473" s="246"/>
      <c r="AD1473" s="282"/>
      <c r="AE1473" s="244">
        <v>10.468</v>
      </c>
      <c r="AF1473" s="246"/>
      <c r="AG1473" s="282"/>
      <c r="AH1473" s="244">
        <v>10</v>
      </c>
      <c r="AI1473" s="246"/>
      <c r="AJ1473" s="282"/>
      <c r="AK1473" s="244">
        <v>10.468</v>
      </c>
      <c r="AL1473" s="246"/>
      <c r="AM1473" s="282"/>
      <c r="AN1473" s="244">
        <v>10.029999999999999</v>
      </c>
      <c r="AO1473" s="246"/>
      <c r="AP1473" s="282"/>
      <c r="AQ1473" s="244">
        <v>10.029999999999999</v>
      </c>
      <c r="AR1473" s="246"/>
      <c r="AS1473" s="282"/>
      <c r="AT1473" s="244">
        <f>J1473+M1473+P1473+S1473+V1473+Y1473+AB1473+AE1473+AH1473+AK1473+AN1473+AQ1473</f>
        <v>124.25200000000001</v>
      </c>
      <c r="AU1473" s="246"/>
      <c r="AV1473" s="336"/>
      <c r="AW1473" s="285"/>
      <c r="AX1473" s="375"/>
      <c r="AY1473" s="438">
        <v>14.959797999999999</v>
      </c>
      <c r="AZ1473" s="357"/>
      <c r="BA1473"/>
      <c r="BB1473"/>
      <c r="BC1473"/>
    </row>
    <row r="1474" spans="1:55" s="24" customFormat="1">
      <c r="A1474" s="179"/>
      <c r="B1474" s="179"/>
      <c r="C1474" s="179"/>
      <c r="D1474" s="181"/>
      <c r="E1474" s="181"/>
      <c r="F1474" s="181"/>
      <c r="G1474" s="1110"/>
      <c r="H1474" s="138" t="s">
        <v>174</v>
      </c>
      <c r="I1474" s="138"/>
      <c r="J1474" s="319">
        <f>SUM(J1475:J1478)</f>
        <v>85.026120000000006</v>
      </c>
      <c r="K1474" s="288"/>
      <c r="L1474" s="289"/>
      <c r="M1474" s="287">
        <f>SUM(M1475:M1478)</f>
        <v>78.944652059004497</v>
      </c>
      <c r="N1474" s="288"/>
      <c r="O1474" s="289"/>
      <c r="P1474" s="287">
        <f>SUM(P1475:P1478)</f>
        <v>65.442999999999998</v>
      </c>
      <c r="Q1474" s="288"/>
      <c r="R1474" s="289"/>
      <c r="S1474" s="287">
        <f>SUM(S1475:S1478)</f>
        <v>64.436999999999998</v>
      </c>
      <c r="T1474" s="288"/>
      <c r="U1474" s="289"/>
      <c r="V1474" s="287">
        <f>SUM(V1475:V1478)</f>
        <v>48.559000000000005</v>
      </c>
      <c r="W1474" s="288"/>
      <c r="X1474" s="289"/>
      <c r="Y1474" s="287">
        <f>SUM(Y1475:Y1478)</f>
        <v>54.219000000000001</v>
      </c>
      <c r="Z1474" s="288"/>
      <c r="AA1474" s="289"/>
      <c r="AB1474" s="287">
        <f>SUM(AB1475:AB1478)</f>
        <v>53.24</v>
      </c>
      <c r="AC1474" s="288"/>
      <c r="AD1474" s="289"/>
      <c r="AE1474" s="287">
        <f>SUM(AE1475:AE1478)</f>
        <v>56.11863000000001</v>
      </c>
      <c r="AF1474" s="288"/>
      <c r="AG1474" s="289"/>
      <c r="AH1474" s="287">
        <f>SUM(AH1475:AH1478)</f>
        <v>57.70617</v>
      </c>
      <c r="AI1474" s="288"/>
      <c r="AJ1474" s="289"/>
      <c r="AK1474" s="287">
        <f>SUM(AK1475:AK1478)</f>
        <v>76.421509</v>
      </c>
      <c r="AL1474" s="288"/>
      <c r="AM1474" s="289"/>
      <c r="AN1474" s="287">
        <f>SUM(AN1475:AN1478)</f>
        <v>79.973079999999996</v>
      </c>
      <c r="AO1474" s="288"/>
      <c r="AP1474" s="289"/>
      <c r="AQ1474" s="287">
        <f>SUM(AQ1475:AQ1478)</f>
        <v>81.941416000000004</v>
      </c>
      <c r="AR1474" s="288"/>
      <c r="AS1474" s="289"/>
      <c r="AT1474" s="287">
        <f>SUM(AT1475:AT1478)</f>
        <v>802.02957705900451</v>
      </c>
      <c r="AU1474" s="288"/>
      <c r="AV1474" s="290"/>
      <c r="AW1474" s="285"/>
      <c r="AX1474" s="409"/>
      <c r="AY1474" s="436">
        <v>1097.4391559999999</v>
      </c>
      <c r="AZ1474" s="357"/>
      <c r="BA1474"/>
      <c r="BB1474"/>
      <c r="BC1474"/>
    </row>
    <row r="1475" spans="1:55" s="24" customFormat="1">
      <c r="A1475" s="179"/>
      <c r="B1475" s="179"/>
      <c r="C1475" s="179"/>
      <c r="D1475" s="181">
        <v>356843</v>
      </c>
      <c r="E1475" s="181"/>
      <c r="F1475" s="181"/>
      <c r="G1475" s="1110">
        <v>356843</v>
      </c>
      <c r="H1475" s="136" t="s">
        <v>482</v>
      </c>
      <c r="I1475" s="827" t="s">
        <v>364</v>
      </c>
      <c r="J1475" s="294">
        <v>67.034000000000006</v>
      </c>
      <c r="K1475" s="288"/>
      <c r="L1475" s="289"/>
      <c r="M1475" s="294">
        <v>64.519000000000005</v>
      </c>
      <c r="N1475" s="288"/>
      <c r="O1475" s="289"/>
      <c r="P1475" s="294">
        <v>53.866</v>
      </c>
      <c r="Q1475" s="288"/>
      <c r="R1475" s="289"/>
      <c r="S1475" s="294">
        <v>54.94</v>
      </c>
      <c r="T1475" s="288"/>
      <c r="U1475" s="289"/>
      <c r="V1475" s="294">
        <v>40.548000000000002</v>
      </c>
      <c r="W1475" s="288"/>
      <c r="X1475" s="289"/>
      <c r="Y1475" s="294">
        <v>45.36</v>
      </c>
      <c r="Z1475" s="288"/>
      <c r="AA1475" s="289"/>
      <c r="AB1475" s="294">
        <v>43.82</v>
      </c>
      <c r="AC1475" s="288"/>
      <c r="AD1475" s="289"/>
      <c r="AE1475" s="294">
        <v>45.38</v>
      </c>
      <c r="AF1475" s="288"/>
      <c r="AG1475" s="289"/>
      <c r="AH1475" s="294">
        <v>45.36</v>
      </c>
      <c r="AI1475" s="288"/>
      <c r="AJ1475" s="289"/>
      <c r="AK1475" s="294">
        <v>63.24</v>
      </c>
      <c r="AL1475" s="288"/>
      <c r="AM1475" s="289"/>
      <c r="AN1475" s="294">
        <v>65.88</v>
      </c>
      <c r="AO1475" s="288"/>
      <c r="AP1475" s="289"/>
      <c r="AQ1475" s="294">
        <v>65.099999999999994</v>
      </c>
      <c r="AR1475" s="288"/>
      <c r="AS1475" s="289"/>
      <c r="AT1475" s="294">
        <f>J1475+M1475+P1475+S1475+V1475+Y1475+AB1475+AE1475+AH1475+AK1475+AN1475+AQ1475</f>
        <v>655.04700000000003</v>
      </c>
      <c r="AU1475" s="288"/>
      <c r="AV1475" s="290"/>
      <c r="AW1475" s="285"/>
      <c r="AX1475" s="409"/>
      <c r="AY1475" s="313"/>
      <c r="AZ1475" s="357"/>
      <c r="BA1475"/>
      <c r="BB1475"/>
      <c r="BC1475"/>
    </row>
    <row r="1476" spans="1:55" s="113" customFormat="1">
      <c r="A1476" s="179"/>
      <c r="B1476" s="179"/>
      <c r="C1476" s="179"/>
      <c r="D1476" s="181">
        <v>356861</v>
      </c>
      <c r="E1476" s="181"/>
      <c r="F1476" s="181"/>
      <c r="G1476" s="1110">
        <v>356861</v>
      </c>
      <c r="H1476" s="145" t="s">
        <v>479</v>
      </c>
      <c r="I1476" s="518" t="s">
        <v>365</v>
      </c>
      <c r="J1476" s="294">
        <v>8.5</v>
      </c>
      <c r="K1476" s="288"/>
      <c r="L1476" s="289"/>
      <c r="M1476" s="294">
        <v>7</v>
      </c>
      <c r="N1476" s="288"/>
      <c r="O1476" s="289"/>
      <c r="P1476" s="294">
        <v>6.1000000000000005</v>
      </c>
      <c r="Q1476" s="288"/>
      <c r="R1476" s="289"/>
      <c r="S1476" s="294">
        <v>3.9000000000000004</v>
      </c>
      <c r="T1476" s="288"/>
      <c r="U1476" s="289"/>
      <c r="V1476" s="294">
        <v>2.5</v>
      </c>
      <c r="W1476" s="288"/>
      <c r="X1476" s="289"/>
      <c r="Y1476" s="294">
        <v>3</v>
      </c>
      <c r="Z1476" s="288"/>
      <c r="AA1476" s="289"/>
      <c r="AB1476" s="294">
        <v>3.1</v>
      </c>
      <c r="AC1476" s="288"/>
      <c r="AD1476" s="289"/>
      <c r="AE1476" s="294">
        <v>3.2</v>
      </c>
      <c r="AF1476" s="288"/>
      <c r="AG1476" s="289"/>
      <c r="AH1476" s="294">
        <v>3</v>
      </c>
      <c r="AI1476" s="288"/>
      <c r="AJ1476" s="289"/>
      <c r="AK1476" s="294">
        <v>4.0999999999999996</v>
      </c>
      <c r="AL1476" s="288"/>
      <c r="AM1476" s="289"/>
      <c r="AN1476" s="294">
        <v>5.1000000000000005</v>
      </c>
      <c r="AO1476" s="288"/>
      <c r="AP1476" s="289"/>
      <c r="AQ1476" s="294">
        <v>7.4</v>
      </c>
      <c r="AR1476" s="288"/>
      <c r="AS1476" s="289"/>
      <c r="AT1476" s="294">
        <f t="shared" si="56"/>
        <v>56.900000000000006</v>
      </c>
      <c r="AU1476" s="288"/>
      <c r="AV1476" s="290"/>
      <c r="AW1476" s="285"/>
      <c r="AX1476" s="409"/>
      <c r="AY1476" s="313"/>
      <c r="AZ1476" s="355"/>
      <c r="BA1476"/>
      <c r="BB1476"/>
      <c r="BC1476"/>
    </row>
    <row r="1477" spans="1:55" s="113" customFormat="1">
      <c r="A1477" s="179"/>
      <c r="B1477" s="179"/>
      <c r="C1477" s="179"/>
      <c r="D1477" s="181">
        <v>356842</v>
      </c>
      <c r="E1477" s="181"/>
      <c r="F1477" s="181"/>
      <c r="G1477" s="1110">
        <v>356842</v>
      </c>
      <c r="H1477" s="145" t="s">
        <v>480</v>
      </c>
      <c r="I1477" s="518" t="s">
        <v>365</v>
      </c>
      <c r="J1477" s="294">
        <v>5.8410000000000002</v>
      </c>
      <c r="K1477" s="288"/>
      <c r="L1477" s="289"/>
      <c r="M1477" s="294">
        <v>5.44</v>
      </c>
      <c r="N1477" s="288"/>
      <c r="O1477" s="289"/>
      <c r="P1477" s="294">
        <v>5.3559999999999999</v>
      </c>
      <c r="Q1477" s="288"/>
      <c r="R1477" s="289"/>
      <c r="S1477" s="294">
        <v>5.5010000000000003</v>
      </c>
      <c r="T1477" s="288"/>
      <c r="U1477" s="289"/>
      <c r="V1477" s="294">
        <v>5.5110000000000001</v>
      </c>
      <c r="W1477" s="288"/>
      <c r="X1477" s="289"/>
      <c r="Y1477" s="294">
        <v>5.859</v>
      </c>
      <c r="Z1477" s="288"/>
      <c r="AA1477" s="289"/>
      <c r="AB1477" s="294">
        <v>6.32</v>
      </c>
      <c r="AC1477" s="288"/>
      <c r="AD1477" s="289"/>
      <c r="AE1477" s="294">
        <v>6.3250000000000002</v>
      </c>
      <c r="AF1477" s="288"/>
      <c r="AG1477" s="289"/>
      <c r="AH1477" s="294">
        <v>5.9459999999999997</v>
      </c>
      <c r="AI1477" s="288"/>
      <c r="AJ1477" s="289"/>
      <c r="AK1477" s="294">
        <v>5.5679999999999996</v>
      </c>
      <c r="AL1477" s="288"/>
      <c r="AM1477" s="289"/>
      <c r="AN1477" s="294">
        <v>5.6230000000000002</v>
      </c>
      <c r="AO1477" s="288"/>
      <c r="AP1477" s="289"/>
      <c r="AQ1477" s="294">
        <v>5.9589999999999996</v>
      </c>
      <c r="AR1477" s="288"/>
      <c r="AS1477" s="289"/>
      <c r="AT1477" s="294">
        <f t="shared" si="56"/>
        <v>69.248999999999995</v>
      </c>
      <c r="AU1477" s="288"/>
      <c r="AV1477" s="290"/>
      <c r="AW1477" s="285"/>
      <c r="AX1477" s="409"/>
      <c r="AY1477" s="313"/>
      <c r="AZ1477" s="355"/>
      <c r="BA1477"/>
      <c r="BB1477"/>
      <c r="BC1477"/>
    </row>
    <row r="1478" spans="1:55" s="24" customFormat="1">
      <c r="A1478" s="179"/>
      <c r="B1478" s="179"/>
      <c r="C1478" s="179"/>
      <c r="D1478" s="181">
        <v>356845</v>
      </c>
      <c r="E1478" s="181"/>
      <c r="F1478" s="181"/>
      <c r="G1478" s="1110">
        <v>356845</v>
      </c>
      <c r="H1478" s="145" t="s">
        <v>481</v>
      </c>
      <c r="I1478" s="518" t="s">
        <v>365</v>
      </c>
      <c r="J1478" s="294">
        <v>3.6511200000000001</v>
      </c>
      <c r="K1478" s="288"/>
      <c r="L1478" s="289"/>
      <c r="M1478" s="294">
        <v>1.9856520590044899</v>
      </c>
      <c r="N1478" s="288"/>
      <c r="O1478" s="289"/>
      <c r="P1478" s="294">
        <v>0.121</v>
      </c>
      <c r="Q1478" s="288"/>
      <c r="R1478" s="289"/>
      <c r="S1478" s="294">
        <v>9.6000000000000002E-2</v>
      </c>
      <c r="T1478" s="288"/>
      <c r="U1478" s="289"/>
      <c r="V1478" s="294">
        <v>0</v>
      </c>
      <c r="W1478" s="288"/>
      <c r="X1478" s="289"/>
      <c r="Y1478" s="294">
        <v>0</v>
      </c>
      <c r="Z1478" s="288"/>
      <c r="AA1478" s="289"/>
      <c r="AB1478" s="294">
        <v>0</v>
      </c>
      <c r="AC1478" s="288"/>
      <c r="AD1478" s="289"/>
      <c r="AE1478" s="294">
        <v>1.21363</v>
      </c>
      <c r="AF1478" s="288"/>
      <c r="AG1478" s="289"/>
      <c r="AH1478" s="294">
        <v>3.4001700000000001</v>
      </c>
      <c r="AI1478" s="288"/>
      <c r="AJ1478" s="289"/>
      <c r="AK1478" s="294">
        <v>3.513509</v>
      </c>
      <c r="AL1478" s="288"/>
      <c r="AM1478" s="289"/>
      <c r="AN1478" s="294">
        <v>3.3700800000000002</v>
      </c>
      <c r="AO1478" s="288"/>
      <c r="AP1478" s="289"/>
      <c r="AQ1478" s="294">
        <v>3.4824160000000002</v>
      </c>
      <c r="AR1478" s="288"/>
      <c r="AS1478" s="289"/>
      <c r="AT1478" s="294">
        <f t="shared" si="56"/>
        <v>20.83357705900449</v>
      </c>
      <c r="AU1478" s="288"/>
      <c r="AV1478" s="290"/>
      <c r="AW1478" s="285"/>
      <c r="AX1478" s="409"/>
      <c r="AY1478" s="313"/>
      <c r="AZ1478" s="357"/>
      <c r="BA1478"/>
      <c r="BB1478"/>
      <c r="BC1478"/>
    </row>
    <row r="1479" spans="1:55" s="24" customFormat="1">
      <c r="A1479" s="179"/>
      <c r="B1479" s="179"/>
      <c r="C1479" s="179"/>
      <c r="D1479" s="181"/>
      <c r="E1479" s="181"/>
      <c r="F1479" s="181"/>
      <c r="G1479" s="181"/>
      <c r="H1479" s="111" t="s">
        <v>58</v>
      </c>
      <c r="I1479" s="111"/>
      <c r="J1479" s="277">
        <f>J1480</f>
        <v>3.4201870000000003</v>
      </c>
      <c r="K1479" s="275">
        <f>L1479-J1479</f>
        <v>54.579813000000001</v>
      </c>
      <c r="L1479" s="276">
        <f>Потребление!D84</f>
        <v>58</v>
      </c>
      <c r="M1479" s="274">
        <f>M1480</f>
        <v>7.3774070416666664</v>
      </c>
      <c r="N1479" s="275">
        <f>O1479-M1479</f>
        <v>45.022592958333313</v>
      </c>
      <c r="O1479" s="276">
        <f>Потребление!E84</f>
        <v>52.399999999999977</v>
      </c>
      <c r="P1479" s="274">
        <f>P1480</f>
        <v>12.748368916666667</v>
      </c>
      <c r="Q1479" s="275">
        <f>R1479-P1479</f>
        <v>36.251631083333336</v>
      </c>
      <c r="R1479" s="276">
        <f>Потребление!F84</f>
        <v>49</v>
      </c>
      <c r="S1479" s="274">
        <f>S1480</f>
        <v>13.529111916666668</v>
      </c>
      <c r="T1479" s="275">
        <f>U1479-S1479</f>
        <v>29.470888083333332</v>
      </c>
      <c r="U1479" s="276">
        <f>Потребление!G84</f>
        <v>43</v>
      </c>
      <c r="V1479" s="274">
        <f>V1480</f>
        <v>16.351755499999999</v>
      </c>
      <c r="W1479" s="275">
        <f>X1479-V1479</f>
        <v>22.648244500000001</v>
      </c>
      <c r="X1479" s="276">
        <f>Потребление!H84</f>
        <v>39</v>
      </c>
      <c r="Y1479" s="274">
        <f>Y1480</f>
        <v>19.873922916666668</v>
      </c>
      <c r="Z1479" s="275">
        <f>AA1479-Y1479</f>
        <v>15.126077083333332</v>
      </c>
      <c r="AA1479" s="276">
        <f>Потребление!I84</f>
        <v>35</v>
      </c>
      <c r="AB1479" s="274">
        <f>AB1480</f>
        <v>17.4081835</v>
      </c>
      <c r="AC1479" s="275">
        <f>AD1479-AB1479</f>
        <v>18.5918165</v>
      </c>
      <c r="AD1479" s="276">
        <f>Потребление!J84</f>
        <v>36</v>
      </c>
      <c r="AE1479" s="274">
        <f>AE1480</f>
        <v>16.891367833333334</v>
      </c>
      <c r="AF1479" s="275">
        <f>AG1479-AE1479</f>
        <v>19.108632166666666</v>
      </c>
      <c r="AG1479" s="276">
        <f>Потребление!K84</f>
        <v>36</v>
      </c>
      <c r="AH1479" s="274">
        <f>AH1480</f>
        <v>13.120528333333331</v>
      </c>
      <c r="AI1479" s="275">
        <f>AJ1479-AH1479</f>
        <v>24.879471666666667</v>
      </c>
      <c r="AJ1479" s="276">
        <f>Потребление!L84</f>
        <v>38</v>
      </c>
      <c r="AK1479" s="274">
        <f>AK1480</f>
        <v>0.51779566666666665</v>
      </c>
      <c r="AL1479" s="275">
        <f>AM1479-AK1479</f>
        <v>45.482204333333335</v>
      </c>
      <c r="AM1479" s="276">
        <f>Потребление!M84</f>
        <v>46</v>
      </c>
      <c r="AN1479" s="274">
        <f>AN1480</f>
        <v>3.6536008333333334</v>
      </c>
      <c r="AO1479" s="275">
        <f>AP1479-AN1479</f>
        <v>46.346399166666664</v>
      </c>
      <c r="AP1479" s="276">
        <f>Потребление!N84</f>
        <v>50</v>
      </c>
      <c r="AQ1479" s="274">
        <f>AQ1480</f>
        <v>2.817633958333333</v>
      </c>
      <c r="AR1479" s="275">
        <f>AS1479-AQ1479</f>
        <v>55.182366041666668</v>
      </c>
      <c r="AS1479" s="276">
        <f>Потребление!O84</f>
        <v>58</v>
      </c>
      <c r="AT1479" s="274">
        <f>AT1480</f>
        <v>127.70986341666668</v>
      </c>
      <c r="AU1479" s="275">
        <f>AV1479-AT1479</f>
        <v>412.6901365833333</v>
      </c>
      <c r="AV1479" s="278">
        <f>L1479+O1479+R1479+U1479+X1479+AA1479+AD1479+AG1479+AJ1479+AM1479+AP1479+AS1479</f>
        <v>540.4</v>
      </c>
      <c r="AW1479" s="279"/>
      <c r="AX1479" s="1067">
        <v>546.83870400000001</v>
      </c>
      <c r="AY1479" s="298">
        <f>AY1480</f>
        <v>46.884053999999999</v>
      </c>
      <c r="AZ1479" s="357"/>
      <c r="BA1479"/>
      <c r="BB1479"/>
      <c r="BC1479"/>
    </row>
    <row r="1480" spans="1:55" s="24" customFormat="1">
      <c r="A1480" s="179"/>
      <c r="B1480" s="179"/>
      <c r="C1480" s="179"/>
      <c r="D1480" s="181"/>
      <c r="E1480" s="181"/>
      <c r="F1480" s="181"/>
      <c r="G1480" s="181"/>
      <c r="H1480" s="126" t="s">
        <v>347</v>
      </c>
      <c r="I1480" s="126"/>
      <c r="J1480" s="223">
        <f>SUM(J1481:J1489)</f>
        <v>3.4201870000000003</v>
      </c>
      <c r="K1480" s="271"/>
      <c r="L1480" s="224"/>
      <c r="M1480" s="223">
        <f>SUM(M1481:M1489)</f>
        <v>7.3774070416666664</v>
      </c>
      <c r="N1480" s="271"/>
      <c r="O1480" s="224"/>
      <c r="P1480" s="223">
        <f>SUM(P1481:P1489)</f>
        <v>12.748368916666667</v>
      </c>
      <c r="Q1480" s="271"/>
      <c r="R1480" s="224"/>
      <c r="S1480" s="223">
        <f>SUM(S1481:S1489)</f>
        <v>13.529111916666668</v>
      </c>
      <c r="T1480" s="271"/>
      <c r="U1480" s="224"/>
      <c r="V1480" s="223">
        <f>SUM(V1481:V1489)</f>
        <v>16.351755499999999</v>
      </c>
      <c r="W1480" s="271"/>
      <c r="X1480" s="224"/>
      <c r="Y1480" s="223">
        <f>SUM(Y1481:Y1489)</f>
        <v>19.873922916666668</v>
      </c>
      <c r="Z1480" s="271"/>
      <c r="AA1480" s="224"/>
      <c r="AB1480" s="223">
        <f>SUM(AB1481:AB1489)</f>
        <v>17.4081835</v>
      </c>
      <c r="AC1480" s="271"/>
      <c r="AD1480" s="224"/>
      <c r="AE1480" s="223">
        <f>SUM(AE1481:AE1489)</f>
        <v>16.891367833333334</v>
      </c>
      <c r="AF1480" s="271"/>
      <c r="AG1480" s="224"/>
      <c r="AH1480" s="223">
        <f>SUM(AH1481:AH1489)</f>
        <v>13.120528333333331</v>
      </c>
      <c r="AI1480" s="271"/>
      <c r="AJ1480" s="224"/>
      <c r="AK1480" s="223">
        <f>SUM(AK1481:AK1489)</f>
        <v>0.51779566666666665</v>
      </c>
      <c r="AL1480" s="271"/>
      <c r="AM1480" s="224"/>
      <c r="AN1480" s="223">
        <f>SUM(AN1481:AN1489)</f>
        <v>3.6536008333333334</v>
      </c>
      <c r="AO1480" s="271"/>
      <c r="AP1480" s="224"/>
      <c r="AQ1480" s="223">
        <f>SUM(AQ1481:AQ1489)</f>
        <v>2.817633958333333</v>
      </c>
      <c r="AR1480" s="271"/>
      <c r="AS1480" s="224"/>
      <c r="AT1480" s="223">
        <f>SUM(AT1481:AT1489)</f>
        <v>127.70986341666668</v>
      </c>
      <c r="AU1480" s="271"/>
      <c r="AV1480" s="229"/>
      <c r="AW1480" s="226"/>
      <c r="AX1480" s="230"/>
      <c r="AY1480" s="231">
        <f>SUM(AY1481:AY1487)</f>
        <v>46.884053999999999</v>
      </c>
      <c r="AZ1480" s="357"/>
      <c r="BA1480"/>
      <c r="BB1480"/>
      <c r="BC1480"/>
    </row>
    <row r="1481" spans="1:55" s="24" customFormat="1">
      <c r="A1481" s="1116"/>
      <c r="B1481" s="1116"/>
      <c r="C1481" s="1116"/>
      <c r="D1481" s="1110">
        <v>777161</v>
      </c>
      <c r="E1481" s="1110"/>
      <c r="F1481" s="1110"/>
      <c r="G1481" s="1110">
        <v>777161</v>
      </c>
      <c r="H1481" s="532" t="s">
        <v>483</v>
      </c>
      <c r="I1481" s="516" t="s">
        <v>364</v>
      </c>
      <c r="J1481" s="244">
        <v>0.21927233333333332</v>
      </c>
      <c r="K1481" s="246"/>
      <c r="L1481" s="412"/>
      <c r="M1481" s="244">
        <v>0.57857533333333333</v>
      </c>
      <c r="N1481" s="246"/>
      <c r="O1481" s="412"/>
      <c r="P1481" s="244">
        <v>0.83370666666666671</v>
      </c>
      <c r="Q1481" s="246"/>
      <c r="R1481" s="412"/>
      <c r="S1481" s="244">
        <v>0.87771433333333315</v>
      </c>
      <c r="T1481" s="246"/>
      <c r="U1481" s="412"/>
      <c r="V1481" s="244">
        <v>0.92631166666666676</v>
      </c>
      <c r="W1481" s="246"/>
      <c r="X1481" s="412"/>
      <c r="Y1481" s="244">
        <v>0.87852533333333327</v>
      </c>
      <c r="Z1481" s="246"/>
      <c r="AA1481" s="412"/>
      <c r="AB1481" s="244">
        <v>0.83414366666666673</v>
      </c>
      <c r="AC1481" s="246"/>
      <c r="AD1481" s="412"/>
      <c r="AE1481" s="244">
        <v>0.79383633333333325</v>
      </c>
      <c r="AF1481" s="246"/>
      <c r="AG1481" s="412"/>
      <c r="AH1481" s="244">
        <v>0.66919066666666671</v>
      </c>
      <c r="AI1481" s="246"/>
      <c r="AJ1481" s="412"/>
      <c r="AK1481" s="244">
        <v>0.51779566666666665</v>
      </c>
      <c r="AL1481" s="246"/>
      <c r="AM1481" s="412"/>
      <c r="AN1481" s="244">
        <v>0.31653100000000001</v>
      </c>
      <c r="AO1481" s="246"/>
      <c r="AP1481" s="412"/>
      <c r="AQ1481" s="244">
        <v>0.1933343333333333</v>
      </c>
      <c r="AR1481" s="323"/>
      <c r="AS1481" s="530"/>
      <c r="AT1481" s="244">
        <f>J1481+M1481+P1481+S1481+V1481+Y1481+AB1481+AE1481+AH1481+AK1481+AN1481+AQ1481</f>
        <v>7.6389373333333328</v>
      </c>
      <c r="AU1481" s="323"/>
      <c r="AV1481" s="479"/>
      <c r="AW1481" s="279"/>
      <c r="AX1481" s="531"/>
      <c r="AY1481" s="438">
        <v>7.4212109999999996</v>
      </c>
      <c r="AZ1481" s="357"/>
      <c r="BA1481"/>
      <c r="BB1481"/>
      <c r="BC1481"/>
    </row>
    <row r="1482" spans="1:55" s="24" customFormat="1">
      <c r="A1482" s="1116"/>
      <c r="B1482" s="1116"/>
      <c r="C1482" s="1116"/>
      <c r="D1482" s="1110">
        <v>777254</v>
      </c>
      <c r="E1482" s="1110"/>
      <c r="F1482" s="1110"/>
      <c r="G1482" s="1110">
        <v>777254</v>
      </c>
      <c r="H1482" s="532" t="s">
        <v>846</v>
      </c>
      <c r="I1482" s="516" t="s">
        <v>364</v>
      </c>
      <c r="J1482" s="244">
        <v>0.28841366666666668</v>
      </c>
      <c r="K1482" s="246"/>
      <c r="L1482" s="282"/>
      <c r="M1482" s="244">
        <v>0.42725733333333332</v>
      </c>
      <c r="N1482" s="246"/>
      <c r="O1482" s="282"/>
      <c r="P1482" s="244">
        <v>0.80262699999999998</v>
      </c>
      <c r="Q1482" s="246"/>
      <c r="R1482" s="282"/>
      <c r="S1482" s="244">
        <v>0.87301933333333337</v>
      </c>
      <c r="T1482" s="246"/>
      <c r="U1482" s="282"/>
      <c r="V1482" s="244">
        <v>0.90831633333333339</v>
      </c>
      <c r="W1482" s="246"/>
      <c r="X1482" s="282"/>
      <c r="Y1482" s="244">
        <v>0.87034733333333336</v>
      </c>
      <c r="Z1482" s="246"/>
      <c r="AA1482" s="282"/>
      <c r="AB1482" s="244">
        <v>0.82104833333333338</v>
      </c>
      <c r="AC1482" s="246"/>
      <c r="AD1482" s="282"/>
      <c r="AE1482" s="244">
        <v>0.80030699999999999</v>
      </c>
      <c r="AF1482" s="246"/>
      <c r="AG1482" s="282"/>
      <c r="AH1482" s="244">
        <v>0.71775166666666668</v>
      </c>
      <c r="AI1482" s="246"/>
      <c r="AJ1482" s="282"/>
      <c r="AK1482" s="244">
        <v>0</v>
      </c>
      <c r="AL1482" s="246"/>
      <c r="AM1482" s="282"/>
      <c r="AN1482" s="244">
        <v>0.3332303333333333</v>
      </c>
      <c r="AO1482" s="246"/>
      <c r="AP1482" s="282"/>
      <c r="AQ1482" s="244">
        <v>0.191747</v>
      </c>
      <c r="AR1482" s="246"/>
      <c r="AS1482" s="282"/>
      <c r="AT1482" s="244">
        <f>J1482+M1482+P1482+S1482+V1482+Y1482+AB1482+AE1482+AH1482+AK1482+AN1482+AQ1482</f>
        <v>7.0340653333333334</v>
      </c>
      <c r="AU1482" s="323"/>
      <c r="AV1482" s="479"/>
      <c r="AW1482" s="279"/>
      <c r="AX1482" s="531"/>
      <c r="AY1482" s="438">
        <v>7.4670889999999996</v>
      </c>
      <c r="AZ1482" s="357"/>
      <c r="BA1482"/>
      <c r="BB1482"/>
      <c r="BC1482"/>
    </row>
    <row r="1483" spans="1:55" s="24" customFormat="1">
      <c r="A1483" s="1116"/>
      <c r="B1483" s="1116"/>
      <c r="C1483" s="1116"/>
      <c r="D1483" s="1110">
        <v>356815</v>
      </c>
      <c r="E1483" s="1110"/>
      <c r="F1483" s="1110"/>
      <c r="G1483" s="1110">
        <v>356815</v>
      </c>
      <c r="H1483" s="532" t="s">
        <v>873</v>
      </c>
      <c r="I1483" s="516" t="s">
        <v>364</v>
      </c>
      <c r="J1483" s="244">
        <v>3.94305E-2</v>
      </c>
      <c r="K1483" s="246"/>
      <c r="L1483" s="282"/>
      <c r="M1483" s="244">
        <v>0.182172</v>
      </c>
      <c r="N1483" s="246"/>
      <c r="O1483" s="282"/>
      <c r="P1483" s="244">
        <v>0.46900599999999998</v>
      </c>
      <c r="Q1483" s="246"/>
      <c r="R1483" s="282"/>
      <c r="S1483" s="244">
        <v>0.42917300000000003</v>
      </c>
      <c r="T1483" s="246"/>
      <c r="U1483" s="282"/>
      <c r="V1483" s="244">
        <v>0.63144400000000001</v>
      </c>
      <c r="W1483" s="246"/>
      <c r="X1483" s="282"/>
      <c r="Y1483" s="244">
        <v>0.83513499999999996</v>
      </c>
      <c r="Z1483" s="246"/>
      <c r="AA1483" s="282"/>
      <c r="AB1483" s="244">
        <v>0.68785799999999997</v>
      </c>
      <c r="AC1483" s="246"/>
      <c r="AD1483" s="282"/>
      <c r="AE1483" s="244">
        <v>0.67082299999999995</v>
      </c>
      <c r="AF1483" s="246"/>
      <c r="AG1483" s="282"/>
      <c r="AH1483" s="244">
        <v>0.57843900000000004</v>
      </c>
      <c r="AI1483" s="246"/>
      <c r="AJ1483" s="282"/>
      <c r="AK1483" s="244">
        <v>0</v>
      </c>
      <c r="AL1483" s="246"/>
      <c r="AM1483" s="282"/>
      <c r="AN1483" s="244">
        <v>4.9332000000000001E-2</v>
      </c>
      <c r="AO1483" s="246"/>
      <c r="AP1483" s="282"/>
      <c r="AQ1483" s="244">
        <v>9.2421500000000004E-2</v>
      </c>
      <c r="AR1483" s="246"/>
      <c r="AS1483" s="282"/>
      <c r="AT1483" s="244">
        <f>J1483+M1483+P1483+S1483+V1483+Y1483+AB1483+AE1483+AH1483+AK1483+AN1483+AQ1483</f>
        <v>4.6652339999999999</v>
      </c>
      <c r="AU1483" s="323"/>
      <c r="AV1483" s="479"/>
      <c r="AW1483" s="279"/>
      <c r="AX1483" s="531"/>
      <c r="AY1483" s="438">
        <v>5.3501070000000004</v>
      </c>
      <c r="AZ1483" s="357"/>
      <c r="BA1483"/>
      <c r="BB1483"/>
      <c r="BC1483"/>
    </row>
    <row r="1484" spans="1:55" s="24" customFormat="1">
      <c r="A1484" s="1116"/>
      <c r="B1484" s="1116"/>
      <c r="C1484" s="1116"/>
      <c r="D1484" s="1110"/>
      <c r="E1484" s="1110"/>
      <c r="F1484" s="1110"/>
      <c r="G1484" s="1110">
        <v>777351</v>
      </c>
      <c r="H1484" s="532" t="s">
        <v>1189</v>
      </c>
      <c r="I1484" s="516" t="s">
        <v>364</v>
      </c>
      <c r="J1484" s="244">
        <v>0.24596000000000001</v>
      </c>
      <c r="K1484" s="246"/>
      <c r="L1484" s="282"/>
      <c r="M1484" s="244">
        <v>0.92422649999999995</v>
      </c>
      <c r="N1484" s="246"/>
      <c r="O1484" s="282"/>
      <c r="P1484" s="244">
        <v>1.669173</v>
      </c>
      <c r="Q1484" s="246"/>
      <c r="R1484" s="282"/>
      <c r="S1484" s="244">
        <v>2.087485</v>
      </c>
      <c r="T1484" s="246"/>
      <c r="U1484" s="282"/>
      <c r="V1484" s="244">
        <v>2.1075300000000001</v>
      </c>
      <c r="W1484" s="246"/>
      <c r="X1484" s="282"/>
      <c r="Y1484" s="244">
        <v>3.3509509999999998</v>
      </c>
      <c r="Z1484" s="246"/>
      <c r="AA1484" s="282"/>
      <c r="AB1484" s="244">
        <v>2.9881820000000001</v>
      </c>
      <c r="AC1484" s="246"/>
      <c r="AD1484" s="282"/>
      <c r="AE1484" s="244">
        <v>2.5696300000000001</v>
      </c>
      <c r="AF1484" s="246"/>
      <c r="AG1484" s="282"/>
      <c r="AH1484" s="244">
        <v>1.8904719999999999</v>
      </c>
      <c r="AI1484" s="246"/>
      <c r="AJ1484" s="282"/>
      <c r="AK1484" s="244">
        <v>0</v>
      </c>
      <c r="AL1484" s="246"/>
      <c r="AM1484" s="282"/>
      <c r="AN1484" s="244">
        <v>0.29791000000000001</v>
      </c>
      <c r="AO1484" s="246"/>
      <c r="AP1484" s="282"/>
      <c r="AQ1484" s="244">
        <v>0.38157750000000001</v>
      </c>
      <c r="AR1484" s="246"/>
      <c r="AS1484" s="282"/>
      <c r="AT1484" s="244">
        <f>J1484+M1484+P1484+S1484+V1484+Y1484+AB1484+AE1484+AH1484+AK1484+AN1484+AQ1484</f>
        <v>18.513097000000002</v>
      </c>
      <c r="AU1484" s="323"/>
      <c r="AV1484" s="479"/>
      <c r="AW1484" s="279"/>
      <c r="AX1484" s="531"/>
      <c r="AY1484" s="1068">
        <v>20.316281</v>
      </c>
      <c r="AZ1484" s="357"/>
      <c r="BA1484"/>
      <c r="BB1484"/>
      <c r="BC1484"/>
    </row>
    <row r="1485" spans="1:55" s="24" customFormat="1">
      <c r="A1485" s="1116"/>
      <c r="B1485" s="1116"/>
      <c r="C1485" s="1116"/>
      <c r="D1485" s="1110"/>
      <c r="E1485" s="1110"/>
      <c r="F1485" s="1110"/>
      <c r="G1485" s="1110">
        <v>777792</v>
      </c>
      <c r="H1485" s="532" t="s">
        <v>1513</v>
      </c>
      <c r="I1485" s="516" t="s">
        <v>364</v>
      </c>
      <c r="J1485" s="244">
        <v>6.1490000000000003E-2</v>
      </c>
      <c r="K1485" s="246"/>
      <c r="L1485" s="282"/>
      <c r="M1485" s="244">
        <v>0.23105662499999999</v>
      </c>
      <c r="N1485" s="246"/>
      <c r="O1485" s="282"/>
      <c r="P1485" s="244">
        <v>0.41729325</v>
      </c>
      <c r="Q1485" s="246"/>
      <c r="R1485" s="282"/>
      <c r="S1485" s="244">
        <v>0.52187125000000001</v>
      </c>
      <c r="T1485" s="246"/>
      <c r="U1485" s="282"/>
      <c r="V1485" s="244">
        <v>0.52688250000000003</v>
      </c>
      <c r="W1485" s="246"/>
      <c r="X1485" s="282"/>
      <c r="Y1485" s="244">
        <v>0.83773774999999995</v>
      </c>
      <c r="Z1485" s="246"/>
      <c r="AA1485" s="282"/>
      <c r="AB1485" s="244">
        <v>0.74704550000000003</v>
      </c>
      <c r="AC1485" s="246"/>
      <c r="AD1485" s="282"/>
      <c r="AE1485" s="244">
        <v>0.64240750000000002</v>
      </c>
      <c r="AF1485" s="246"/>
      <c r="AG1485" s="282"/>
      <c r="AH1485" s="244">
        <v>0.47261799999999998</v>
      </c>
      <c r="AI1485" s="246"/>
      <c r="AJ1485" s="282"/>
      <c r="AK1485" s="244">
        <v>0</v>
      </c>
      <c r="AL1485" s="246"/>
      <c r="AM1485" s="282"/>
      <c r="AN1485" s="244">
        <v>7.4477500000000002E-2</v>
      </c>
      <c r="AO1485" s="246"/>
      <c r="AP1485" s="282"/>
      <c r="AQ1485" s="244">
        <v>9.5394375000000003E-2</v>
      </c>
      <c r="AR1485" s="246"/>
      <c r="AS1485" s="282"/>
      <c r="AT1485" s="244">
        <f t="shared" ref="AT1485:AT1486" si="57">J1485+M1485+P1485+S1485+V1485+Y1485+AB1485+AE1485+AH1485+AK1485+AN1485+AQ1485</f>
        <v>4.6282742500000005</v>
      </c>
      <c r="AU1485" s="323"/>
      <c r="AV1485" s="479"/>
      <c r="AW1485" s="279"/>
      <c r="AX1485" s="531"/>
      <c r="AY1485" s="957"/>
      <c r="AZ1485" s="357"/>
      <c r="BA1485"/>
      <c r="BB1485"/>
      <c r="BC1485"/>
    </row>
    <row r="1486" spans="1:55" s="24" customFormat="1">
      <c r="A1486" s="1116"/>
      <c r="B1486" s="1116"/>
      <c r="C1486" s="1116"/>
      <c r="D1486" s="1110"/>
      <c r="E1486" s="1110"/>
      <c r="F1486" s="1110"/>
      <c r="G1486" s="1110">
        <v>777793</v>
      </c>
      <c r="H1486" s="532" t="s">
        <v>1514</v>
      </c>
      <c r="I1486" s="516" t="s">
        <v>364</v>
      </c>
      <c r="J1486" s="244">
        <v>0.19715250000000001</v>
      </c>
      <c r="K1486" s="246"/>
      <c r="L1486" s="282"/>
      <c r="M1486" s="244">
        <v>0.91086</v>
      </c>
      <c r="N1486" s="246"/>
      <c r="O1486" s="282"/>
      <c r="P1486" s="244">
        <v>2.3450299999999999</v>
      </c>
      <c r="Q1486" s="246"/>
      <c r="R1486" s="282"/>
      <c r="S1486" s="244">
        <v>2.1458650000000001</v>
      </c>
      <c r="T1486" s="246"/>
      <c r="U1486" s="282"/>
      <c r="V1486" s="244">
        <v>3.1572199999999997</v>
      </c>
      <c r="W1486" s="246"/>
      <c r="X1486" s="282"/>
      <c r="Y1486" s="244">
        <v>4.175675</v>
      </c>
      <c r="Z1486" s="246"/>
      <c r="AA1486" s="282"/>
      <c r="AB1486" s="244">
        <v>3.4392899999999997</v>
      </c>
      <c r="AC1486" s="246"/>
      <c r="AD1486" s="282"/>
      <c r="AE1486" s="244">
        <v>3.3541149999999997</v>
      </c>
      <c r="AF1486" s="246"/>
      <c r="AG1486" s="282"/>
      <c r="AH1486" s="244">
        <v>2.8921950000000001</v>
      </c>
      <c r="AI1486" s="246"/>
      <c r="AJ1486" s="282"/>
      <c r="AK1486" s="244">
        <v>0</v>
      </c>
      <c r="AL1486" s="246"/>
      <c r="AM1486" s="282"/>
      <c r="AN1486" s="244">
        <v>0.24666000000000002</v>
      </c>
      <c r="AO1486" s="246"/>
      <c r="AP1486" s="282"/>
      <c r="AQ1486" s="244">
        <v>0.4621075</v>
      </c>
      <c r="AR1486" s="246"/>
      <c r="AS1486" s="282"/>
      <c r="AT1486" s="244">
        <f t="shared" si="57"/>
        <v>23.326169999999998</v>
      </c>
      <c r="AU1486" s="323"/>
      <c r="AV1486" s="479"/>
      <c r="AW1486" s="279"/>
      <c r="AX1486" s="531"/>
      <c r="AY1486" s="957"/>
      <c r="AZ1486" s="357"/>
      <c r="BA1486"/>
      <c r="BB1486"/>
      <c r="BC1486"/>
    </row>
    <row r="1487" spans="1:55" s="24" customFormat="1">
      <c r="A1487" s="1116"/>
      <c r="B1487" s="1116"/>
      <c r="C1487" s="1116"/>
      <c r="D1487" s="1110">
        <v>777270</v>
      </c>
      <c r="E1487" s="1110"/>
      <c r="F1487" s="1110"/>
      <c r="G1487" s="1110">
        <v>356815</v>
      </c>
      <c r="H1487" s="532" t="s">
        <v>874</v>
      </c>
      <c r="I1487" s="516" t="s">
        <v>364</v>
      </c>
      <c r="J1487" s="244">
        <v>0.24949866666666665</v>
      </c>
      <c r="K1487" s="246"/>
      <c r="L1487" s="282"/>
      <c r="M1487" s="244">
        <v>0.40679399999999999</v>
      </c>
      <c r="N1487" s="246"/>
      <c r="O1487" s="282"/>
      <c r="P1487" s="244">
        <v>0.59743849999999998</v>
      </c>
      <c r="Q1487" s="246"/>
      <c r="R1487" s="282"/>
      <c r="S1487" s="244">
        <v>0.61669350000000001</v>
      </c>
      <c r="T1487" s="246"/>
      <c r="U1487" s="282"/>
      <c r="V1487" s="244">
        <v>0.782254</v>
      </c>
      <c r="W1487" s="246"/>
      <c r="X1487" s="282"/>
      <c r="Y1487" s="244">
        <v>0.80556399999999995</v>
      </c>
      <c r="Z1487" s="246"/>
      <c r="AA1487" s="282"/>
      <c r="AB1487" s="244">
        <v>0.71072500000000005</v>
      </c>
      <c r="AC1487" s="246"/>
      <c r="AD1487" s="282"/>
      <c r="AE1487" s="244">
        <v>0.752826</v>
      </c>
      <c r="AF1487" s="246"/>
      <c r="AG1487" s="282"/>
      <c r="AH1487" s="244">
        <v>0.55051399999999995</v>
      </c>
      <c r="AI1487" s="246"/>
      <c r="AJ1487" s="282"/>
      <c r="AK1487" s="244">
        <v>0</v>
      </c>
      <c r="AL1487" s="246"/>
      <c r="AM1487" s="282"/>
      <c r="AN1487" s="244">
        <v>0.24294499999999999</v>
      </c>
      <c r="AO1487" s="246"/>
      <c r="AP1487" s="282"/>
      <c r="AQ1487" s="244">
        <v>0.13447366666666666</v>
      </c>
      <c r="AR1487" s="246"/>
      <c r="AS1487" s="282"/>
      <c r="AT1487" s="244">
        <f>J1487+M1487+P1487+S1487+V1487+Y1487+AB1487+AE1487+AH1487+AK1487+AN1487+AQ1487</f>
        <v>5.8497263333333329</v>
      </c>
      <c r="AU1487" s="323"/>
      <c r="AV1487" s="479"/>
      <c r="AW1487" s="279"/>
      <c r="AX1487" s="531"/>
      <c r="AY1487" s="438">
        <v>6.3293660000000003</v>
      </c>
      <c r="AZ1487" s="357"/>
      <c r="BA1487"/>
      <c r="BB1487"/>
      <c r="BC1487"/>
    </row>
    <row r="1488" spans="1:55" s="24" customFormat="1">
      <c r="A1488" s="1116"/>
      <c r="B1488" s="1116"/>
      <c r="C1488" s="1116"/>
      <c r="D1488" s="1110"/>
      <c r="E1488" s="1110"/>
      <c r="F1488" s="1110"/>
      <c r="G1488" s="1110">
        <v>777395</v>
      </c>
      <c r="H1488" s="1125" t="s">
        <v>1687</v>
      </c>
      <c r="I1488" s="516"/>
      <c r="J1488" s="244">
        <v>1.9959893333333334</v>
      </c>
      <c r="K1488" s="246"/>
      <c r="L1488" s="282"/>
      <c r="M1488" s="244">
        <v>3.2543519999999999</v>
      </c>
      <c r="N1488" s="246"/>
      <c r="O1488" s="282"/>
      <c r="P1488" s="244">
        <v>4.7795079999999999</v>
      </c>
      <c r="Q1488" s="246"/>
      <c r="R1488" s="282"/>
      <c r="S1488" s="244">
        <v>4.933548</v>
      </c>
      <c r="T1488" s="246"/>
      <c r="U1488" s="282"/>
      <c r="V1488" s="244">
        <v>6.258032</v>
      </c>
      <c r="W1488" s="246"/>
      <c r="X1488" s="282"/>
      <c r="Y1488" s="244">
        <v>6.4445120000000005</v>
      </c>
      <c r="Z1488" s="246"/>
      <c r="AA1488" s="282"/>
      <c r="AB1488" s="244">
        <v>5.6858000000000004</v>
      </c>
      <c r="AC1488" s="246"/>
      <c r="AD1488" s="282"/>
      <c r="AE1488" s="244">
        <v>6.022608</v>
      </c>
      <c r="AF1488" s="246"/>
      <c r="AG1488" s="282"/>
      <c r="AH1488" s="244">
        <v>4.4041119999999996</v>
      </c>
      <c r="AI1488" s="246"/>
      <c r="AJ1488" s="282"/>
      <c r="AK1488" s="244">
        <v>0</v>
      </c>
      <c r="AL1488" s="246"/>
      <c r="AM1488" s="282"/>
      <c r="AN1488" s="244">
        <v>1.94356</v>
      </c>
      <c r="AO1488" s="246"/>
      <c r="AP1488" s="282"/>
      <c r="AQ1488" s="244">
        <v>1.0757893333333333</v>
      </c>
      <c r="AR1488" s="246"/>
      <c r="AS1488" s="282"/>
      <c r="AT1488" s="244">
        <f t="shared" ref="AT1488:AT1489" si="58">J1488+M1488+P1488+S1488+V1488+Y1488+AB1488+AE1488+AH1488+AK1488+AN1488+AQ1488</f>
        <v>46.797810666666663</v>
      </c>
      <c r="AU1488" s="323"/>
      <c r="AV1488" s="479"/>
      <c r="AW1488" s="279"/>
      <c r="AX1488" s="531"/>
      <c r="AY1488" s="438"/>
      <c r="AZ1488" s="357"/>
      <c r="BA1488"/>
      <c r="BB1488"/>
      <c r="BC1488"/>
    </row>
    <row r="1489" spans="1:55" s="24" customFormat="1">
      <c r="A1489" s="1116"/>
      <c r="B1489" s="1116"/>
      <c r="C1489" s="1116"/>
      <c r="D1489" s="1110"/>
      <c r="E1489" s="1110"/>
      <c r="F1489" s="1110"/>
      <c r="G1489" s="1110">
        <v>777394</v>
      </c>
      <c r="H1489" s="1125" t="s">
        <v>1688</v>
      </c>
      <c r="I1489" s="516"/>
      <c r="J1489" s="244">
        <v>0.12298000000000001</v>
      </c>
      <c r="K1489" s="246"/>
      <c r="L1489" s="282"/>
      <c r="M1489" s="244">
        <v>0.46211324999999998</v>
      </c>
      <c r="N1489" s="246"/>
      <c r="O1489" s="282"/>
      <c r="P1489" s="244">
        <v>0.83458650000000001</v>
      </c>
      <c r="Q1489" s="246"/>
      <c r="R1489" s="282"/>
      <c r="S1489" s="244">
        <v>1.0437425</v>
      </c>
      <c r="T1489" s="246"/>
      <c r="U1489" s="282"/>
      <c r="V1489" s="244">
        <v>1.0537650000000001</v>
      </c>
      <c r="W1489" s="246"/>
      <c r="X1489" s="282"/>
      <c r="Y1489" s="244">
        <v>1.6754754999999999</v>
      </c>
      <c r="Z1489" s="246"/>
      <c r="AA1489" s="282"/>
      <c r="AB1489" s="244">
        <v>1.4940910000000001</v>
      </c>
      <c r="AC1489" s="246"/>
      <c r="AD1489" s="282"/>
      <c r="AE1489" s="244">
        <v>1.284815</v>
      </c>
      <c r="AF1489" s="246"/>
      <c r="AG1489" s="282"/>
      <c r="AH1489" s="244">
        <v>0.94523599999999997</v>
      </c>
      <c r="AI1489" s="246"/>
      <c r="AJ1489" s="282"/>
      <c r="AK1489" s="244">
        <v>0</v>
      </c>
      <c r="AL1489" s="246"/>
      <c r="AM1489" s="282"/>
      <c r="AN1489" s="244">
        <v>0.148955</v>
      </c>
      <c r="AO1489" s="246"/>
      <c r="AP1489" s="282"/>
      <c r="AQ1489" s="244">
        <v>0.19078875000000001</v>
      </c>
      <c r="AR1489" s="246"/>
      <c r="AS1489" s="282"/>
      <c r="AT1489" s="244">
        <f t="shared" si="58"/>
        <v>9.256548500000001</v>
      </c>
      <c r="AU1489" s="323"/>
      <c r="AV1489" s="479"/>
      <c r="AW1489" s="279"/>
      <c r="AX1489" s="531"/>
      <c r="AY1489" s="438"/>
      <c r="AZ1489" s="357"/>
      <c r="BA1489"/>
      <c r="BB1489"/>
      <c r="BC1489"/>
    </row>
    <row r="1490" spans="1:55" s="24" customFormat="1" ht="18.75">
      <c r="A1490" s="179"/>
      <c r="B1490" s="179"/>
      <c r="C1490" s="179"/>
      <c r="D1490" s="181">
        <v>356900</v>
      </c>
      <c r="E1490" s="181"/>
      <c r="F1490" s="181"/>
      <c r="G1490" s="181">
        <v>356900</v>
      </c>
      <c r="H1490" s="474" t="s">
        <v>1637</v>
      </c>
      <c r="I1490" s="474"/>
      <c r="J1490" s="277">
        <f>SUM(J1491:J1493)</f>
        <v>654.31151375000002</v>
      </c>
      <c r="K1490" s="275">
        <f>L1490-J1490</f>
        <v>-68.594065417835964</v>
      </c>
      <c r="L1490" s="276">
        <f>Потребление!D85</f>
        <v>585.71744833216405</v>
      </c>
      <c r="M1490" s="274">
        <f>SUM(M1491:M1493)</f>
        <v>617.80845499999998</v>
      </c>
      <c r="N1490" s="275">
        <f>O1490-M1490</f>
        <v>-80.009562708711087</v>
      </c>
      <c r="O1490" s="276">
        <f>Потребление!E85</f>
        <v>537.79889229128889</v>
      </c>
      <c r="P1490" s="274">
        <f>SUM(P1491:P1493)</f>
        <v>586.72150250000004</v>
      </c>
      <c r="Q1490" s="275">
        <f>R1490-P1490</f>
        <v>-85.538887908100037</v>
      </c>
      <c r="R1490" s="276">
        <f>Потребление!F85</f>
        <v>501.18261459190001</v>
      </c>
      <c r="S1490" s="274">
        <f>SUM(S1491:S1493)</f>
        <v>535.50142500000004</v>
      </c>
      <c r="T1490" s="275">
        <f>U1490-S1490</f>
        <v>-86.313050631183216</v>
      </c>
      <c r="U1490" s="276">
        <f>Потребление!G85</f>
        <v>449.18837436881682</v>
      </c>
      <c r="V1490" s="274">
        <f>SUM(V1491:V1493)</f>
        <v>472.89403499999992</v>
      </c>
      <c r="W1490" s="275">
        <f>X1490-V1490</f>
        <v>-66.782219677596913</v>
      </c>
      <c r="X1490" s="276">
        <f>Потребление!H85</f>
        <v>406.111815322403</v>
      </c>
      <c r="Y1490" s="274">
        <f>SUM(Y1491:Y1493)</f>
        <v>464.54014749999999</v>
      </c>
      <c r="Z1490" s="275">
        <f>AA1490-Y1490</f>
        <v>-99.234315176000393</v>
      </c>
      <c r="AA1490" s="276">
        <f>Потребление!I85</f>
        <v>365.3058323239996</v>
      </c>
      <c r="AB1490" s="274">
        <f>SUM(AB1491:AB1493)</f>
        <v>460.69377499999996</v>
      </c>
      <c r="AC1490" s="275">
        <f>AD1490-AB1490</f>
        <v>-87.26575831676314</v>
      </c>
      <c r="AD1490" s="276">
        <f>Потребление!J85</f>
        <v>373.42801668323682</v>
      </c>
      <c r="AE1490" s="274">
        <f>SUM(AE1491:AE1493)</f>
        <v>514.68339249999997</v>
      </c>
      <c r="AF1490" s="275">
        <f>AG1490-AE1490</f>
        <v>-133.65699907137395</v>
      </c>
      <c r="AG1490" s="276">
        <f>Потребление!K85</f>
        <v>381.02639342862602</v>
      </c>
      <c r="AH1490" s="274">
        <f>SUM(AH1491:AH1493)</f>
        <v>448.21713749999998</v>
      </c>
      <c r="AI1490" s="275">
        <f>AJ1490-AH1490</f>
        <v>-45.546236192658114</v>
      </c>
      <c r="AJ1490" s="276">
        <f>Потребление!L85</f>
        <v>402.67090130734186</v>
      </c>
      <c r="AK1490" s="274">
        <f>SUM(AK1491:AK1493)</f>
        <v>502.5224</v>
      </c>
      <c r="AL1490" s="275">
        <f>AM1490-AK1490</f>
        <v>-26.038604644293002</v>
      </c>
      <c r="AM1490" s="276">
        <f>Потребление!M85</f>
        <v>476.483795355707</v>
      </c>
      <c r="AN1490" s="274">
        <f>SUM(AN1491:AN1493)</f>
        <v>603.45532249999997</v>
      </c>
      <c r="AO1490" s="275">
        <f>AP1490-AN1490</f>
        <v>-76.494622270332002</v>
      </c>
      <c r="AP1490" s="276">
        <f>Потребление!N85</f>
        <v>526.96070022966796</v>
      </c>
      <c r="AQ1490" s="274">
        <f>SUM(AQ1491:AQ1493)</f>
        <v>676.49928624999995</v>
      </c>
      <c r="AR1490" s="275">
        <f>AS1490-AQ1490</f>
        <v>-84.374070485151947</v>
      </c>
      <c r="AS1490" s="276">
        <f>Потребление!O85</f>
        <v>592.12521576484801</v>
      </c>
      <c r="AT1490" s="274">
        <f>SUM(AT1491:AT1493)</f>
        <v>6537.848392500001</v>
      </c>
      <c r="AU1490" s="275">
        <f>AV1490-AT1490</f>
        <v>-939.84839250000186</v>
      </c>
      <c r="AV1490" s="278">
        <f>L1490+O1490+R1490+U1490+X1490+AA1490+AD1490+AG1490+AJ1490+AM1490+AP1490+AS1490</f>
        <v>5597.9999999999991</v>
      </c>
      <c r="AW1490" s="279"/>
      <c r="AX1490" s="1067">
        <v>5531.4014367999998</v>
      </c>
      <c r="AY1490" s="298">
        <f>SUM(AY1491:AY1493)</f>
        <v>5887.0581810000003</v>
      </c>
      <c r="AZ1490" s="357"/>
      <c r="BA1490"/>
      <c r="BB1490"/>
      <c r="BC1490"/>
    </row>
    <row r="1491" spans="1:55" s="24" customFormat="1">
      <c r="A1491" s="179"/>
      <c r="B1491" s="179"/>
      <c r="C1491" s="179"/>
      <c r="D1491" s="181"/>
      <c r="E1491" s="181"/>
      <c r="F1491" s="181"/>
      <c r="G1491" s="181"/>
      <c r="H1491" s="126" t="s">
        <v>56</v>
      </c>
      <c r="I1491" s="126"/>
      <c r="J1491" s="223">
        <f>SUM(J1494,J1497)</f>
        <v>636.02959999999996</v>
      </c>
      <c r="K1491" s="271"/>
      <c r="L1491" s="224"/>
      <c r="M1491" s="223">
        <f>SUM(M1494,M1497)</f>
        <v>599.47439999999995</v>
      </c>
      <c r="N1491" s="271"/>
      <c r="O1491" s="224"/>
      <c r="P1491" s="223">
        <f>SUM(P1494,P1497)</f>
        <v>565.22</v>
      </c>
      <c r="Q1491" s="271"/>
      <c r="R1491" s="224"/>
      <c r="S1491" s="223">
        <f>SUM(S1494,S1497)</f>
        <v>514.85599999999999</v>
      </c>
      <c r="T1491" s="271"/>
      <c r="U1491" s="224"/>
      <c r="V1491" s="223">
        <f>SUM(V1494,V1497)</f>
        <v>449.59999999999997</v>
      </c>
      <c r="W1491" s="271"/>
      <c r="X1491" s="224"/>
      <c r="Y1491" s="223">
        <f>SUM(Y1494,Y1497)</f>
        <v>447.03999999999996</v>
      </c>
      <c r="Z1491" s="271"/>
      <c r="AA1491" s="224"/>
      <c r="AB1491" s="223">
        <f>SUM(AB1494,AB1497)</f>
        <v>439.37199999999996</v>
      </c>
      <c r="AC1491" s="271"/>
      <c r="AD1491" s="224"/>
      <c r="AE1491" s="223">
        <f>SUM(AE1494,AE1497)</f>
        <v>493.65199999999993</v>
      </c>
      <c r="AF1491" s="271"/>
      <c r="AG1491" s="224"/>
      <c r="AH1491" s="223">
        <f>SUM(AH1494,AH1497)</f>
        <v>427.97199999999998</v>
      </c>
      <c r="AI1491" s="271"/>
      <c r="AJ1491" s="224"/>
      <c r="AK1491" s="223">
        <f>SUM(AK1494,AK1497)</f>
        <v>486.23599999999999</v>
      </c>
      <c r="AL1491" s="271"/>
      <c r="AM1491" s="224"/>
      <c r="AN1491" s="223">
        <f>SUM(AN1494,AN1497)</f>
        <v>586.70799999999997</v>
      </c>
      <c r="AO1491" s="271"/>
      <c r="AP1491" s="224"/>
      <c r="AQ1491" s="223">
        <f>SUM(AQ1494,AQ1497)</f>
        <v>658.97359999999992</v>
      </c>
      <c r="AR1491" s="271"/>
      <c r="AS1491" s="224"/>
      <c r="AT1491" s="223">
        <f>SUM(AT1494,AT1497)</f>
        <v>6305.133600000001</v>
      </c>
      <c r="AU1491" s="271"/>
      <c r="AV1491" s="229"/>
      <c r="AW1491" s="226"/>
      <c r="AX1491" s="230"/>
      <c r="AY1491" s="231">
        <f>SUM(AY1494,AY1497,AY1502)</f>
        <v>5729.7465140000004</v>
      </c>
      <c r="AZ1491" s="357"/>
      <c r="BA1491"/>
      <c r="BB1491"/>
      <c r="BC1491"/>
    </row>
    <row r="1492" spans="1:55" s="24" customFormat="1">
      <c r="A1492" s="179"/>
      <c r="B1492" s="179"/>
      <c r="C1492" s="179"/>
      <c r="D1492" s="181"/>
      <c r="E1492" s="181"/>
      <c r="F1492" s="181"/>
      <c r="G1492" s="181"/>
      <c r="H1492" s="126" t="s">
        <v>347</v>
      </c>
      <c r="I1492" s="126"/>
      <c r="J1492" s="223">
        <f>SUM(J1501:J1505)</f>
        <v>3.0845137500000002</v>
      </c>
      <c r="K1492" s="271"/>
      <c r="L1492" s="224"/>
      <c r="M1492" s="223">
        <f>SUM(M1501:M1505)</f>
        <v>5.3218550000000002</v>
      </c>
      <c r="N1492" s="271"/>
      <c r="O1492" s="224"/>
      <c r="P1492" s="223">
        <f>SUM(P1501:P1505)</f>
        <v>7.4123025</v>
      </c>
      <c r="Q1492" s="271"/>
      <c r="R1492" s="224"/>
      <c r="S1492" s="223">
        <f>SUM(S1501:S1505)</f>
        <v>8.846425</v>
      </c>
      <c r="T1492" s="271"/>
      <c r="U1492" s="224"/>
      <c r="V1492" s="223">
        <f>SUM(V1501:V1505)</f>
        <v>11.176435</v>
      </c>
      <c r="W1492" s="271"/>
      <c r="X1492" s="224"/>
      <c r="Y1492" s="223">
        <f>SUM(Y1501:Y1505)</f>
        <v>10.5173475</v>
      </c>
      <c r="Z1492" s="271"/>
      <c r="AA1492" s="224"/>
      <c r="AB1492" s="223">
        <f>SUM(AB1501:AB1505)</f>
        <v>10.554175000000001</v>
      </c>
      <c r="AC1492" s="271"/>
      <c r="AD1492" s="224"/>
      <c r="AE1492" s="223">
        <f>SUM(AE1501:AE1505)</f>
        <v>10.906392499999999</v>
      </c>
      <c r="AF1492" s="271"/>
      <c r="AG1492" s="224"/>
      <c r="AH1492" s="223">
        <f>SUM(AH1501:AH1505)</f>
        <v>8.6009375000000006</v>
      </c>
      <c r="AI1492" s="271"/>
      <c r="AJ1492" s="224"/>
      <c r="AK1492" s="223">
        <f>SUM(AK1501:AK1505)</f>
        <v>4.5</v>
      </c>
      <c r="AL1492" s="271"/>
      <c r="AM1492" s="224"/>
      <c r="AN1492" s="223">
        <f>SUM(AN1501:AN1505)</f>
        <v>4.2733224999999999</v>
      </c>
      <c r="AO1492" s="271"/>
      <c r="AP1492" s="224"/>
      <c r="AQ1492" s="223">
        <f>SUM(AQ1501:AQ1505)</f>
        <v>2.72488625</v>
      </c>
      <c r="AR1492" s="271"/>
      <c r="AS1492" s="224"/>
      <c r="AT1492" s="223">
        <f>SUM(AT1501:AT1505)</f>
        <v>87.918592500000003</v>
      </c>
      <c r="AU1492" s="271"/>
      <c r="AV1492" s="229"/>
      <c r="AW1492" s="226"/>
      <c r="AX1492" s="230"/>
      <c r="AY1492" s="231">
        <f>AY1501</f>
        <v>12.515466999999999</v>
      </c>
      <c r="AZ1492" s="357"/>
      <c r="BA1492"/>
      <c r="BB1492"/>
      <c r="BC1492"/>
    </row>
    <row r="1493" spans="1:55" s="24" customFormat="1">
      <c r="A1493" s="179"/>
      <c r="B1493" s="179"/>
      <c r="C1493" s="179"/>
      <c r="D1493" s="181"/>
      <c r="E1493" s="181"/>
      <c r="F1493" s="181"/>
      <c r="G1493" s="181"/>
      <c r="H1493" s="124" t="s">
        <v>184</v>
      </c>
      <c r="I1493" s="124"/>
      <c r="J1493" s="223">
        <f>J1506</f>
        <v>15.1974</v>
      </c>
      <c r="K1493" s="271"/>
      <c r="L1493" s="224"/>
      <c r="M1493" s="270">
        <f>M1506</f>
        <v>13.0122</v>
      </c>
      <c r="N1493" s="271"/>
      <c r="O1493" s="224"/>
      <c r="P1493" s="270">
        <f>P1506</f>
        <v>14.089199999999993</v>
      </c>
      <c r="Q1493" s="271"/>
      <c r="R1493" s="224"/>
      <c r="S1493" s="270">
        <f>S1506</f>
        <v>11.799000000000065</v>
      </c>
      <c r="T1493" s="271"/>
      <c r="U1493" s="224"/>
      <c r="V1493" s="270">
        <f>V1506</f>
        <v>12.117599999999948</v>
      </c>
      <c r="W1493" s="271"/>
      <c r="X1493" s="224"/>
      <c r="Y1493" s="270">
        <f>Y1506</f>
        <v>6.9827999999999939</v>
      </c>
      <c r="Z1493" s="271"/>
      <c r="AA1493" s="224"/>
      <c r="AB1493" s="270">
        <f>AB1506</f>
        <v>10.767599999999996</v>
      </c>
      <c r="AC1493" s="271"/>
      <c r="AD1493" s="224"/>
      <c r="AE1493" s="270">
        <f>AE1506</f>
        <v>10.125000000000007</v>
      </c>
      <c r="AF1493" s="271"/>
      <c r="AG1493" s="224"/>
      <c r="AH1493" s="270">
        <f>AH1506</f>
        <v>11.644199999999994</v>
      </c>
      <c r="AI1493" s="271"/>
      <c r="AJ1493" s="224"/>
      <c r="AK1493" s="270">
        <f>AK1506</f>
        <v>11.7864</v>
      </c>
      <c r="AL1493" s="271"/>
      <c r="AM1493" s="224"/>
      <c r="AN1493" s="270">
        <f>AN1506</f>
        <v>12.474000000000007</v>
      </c>
      <c r="AO1493" s="271"/>
      <c r="AP1493" s="224"/>
      <c r="AQ1493" s="270">
        <f>AQ1506</f>
        <v>14.800799999999992</v>
      </c>
      <c r="AR1493" s="271"/>
      <c r="AS1493" s="224"/>
      <c r="AT1493" s="270">
        <f>AT1506</f>
        <v>144.7962</v>
      </c>
      <c r="AU1493" s="271"/>
      <c r="AV1493" s="229"/>
      <c r="AW1493" s="226"/>
      <c r="AX1493" s="230"/>
      <c r="AY1493" s="231">
        <f>AY1506</f>
        <v>144.7962</v>
      </c>
      <c r="AZ1493" s="357"/>
      <c r="BA1493"/>
      <c r="BB1493"/>
      <c r="BC1493"/>
    </row>
    <row r="1494" spans="1:55" s="24" customFormat="1">
      <c r="A1494" s="179"/>
      <c r="B1494" s="179"/>
      <c r="C1494" s="179"/>
      <c r="D1494" s="181">
        <v>356901</v>
      </c>
      <c r="E1494" s="181"/>
      <c r="F1494" s="181"/>
      <c r="G1494" s="1110">
        <v>356901</v>
      </c>
      <c r="H1494" s="134" t="s">
        <v>711</v>
      </c>
      <c r="I1494" s="516" t="s">
        <v>364</v>
      </c>
      <c r="J1494" s="262">
        <f>SUM(J1495:J1496)</f>
        <v>540.5</v>
      </c>
      <c r="K1494" s="323"/>
      <c r="L1494" s="324"/>
      <c r="M1494" s="317">
        <f>SUM(M1495:M1496)</f>
        <v>513.9</v>
      </c>
      <c r="N1494" s="323"/>
      <c r="O1494" s="324"/>
      <c r="P1494" s="317">
        <f>SUM(P1495:P1496)</f>
        <v>475.7</v>
      </c>
      <c r="Q1494" s="323"/>
      <c r="R1494" s="324"/>
      <c r="S1494" s="317">
        <f>SUM(S1495:S1496)</f>
        <v>440</v>
      </c>
      <c r="T1494" s="323"/>
      <c r="U1494" s="324"/>
      <c r="V1494" s="317">
        <f>SUM(V1495:V1496)</f>
        <v>432.2</v>
      </c>
      <c r="W1494" s="323"/>
      <c r="X1494" s="324"/>
      <c r="Y1494" s="317">
        <f>SUM(Y1495:Y1496)</f>
        <v>438.4</v>
      </c>
      <c r="Z1494" s="323"/>
      <c r="AA1494" s="324"/>
      <c r="AB1494" s="317">
        <f>SUM(AB1495:AB1496)</f>
        <v>433.9</v>
      </c>
      <c r="AC1494" s="323"/>
      <c r="AD1494" s="324"/>
      <c r="AE1494" s="317">
        <f>SUM(AE1495:AE1496)</f>
        <v>485.29999999999995</v>
      </c>
      <c r="AF1494" s="323"/>
      <c r="AG1494" s="324"/>
      <c r="AH1494" s="317">
        <f>SUM(AH1495:AH1496)</f>
        <v>410.5</v>
      </c>
      <c r="AI1494" s="323"/>
      <c r="AJ1494" s="324"/>
      <c r="AK1494" s="317">
        <f>SUM(AK1495:AK1496)</f>
        <v>434.9</v>
      </c>
      <c r="AL1494" s="323"/>
      <c r="AM1494" s="324"/>
      <c r="AN1494" s="317">
        <f>SUM(AN1495:AN1496)</f>
        <v>495.9</v>
      </c>
      <c r="AO1494" s="323"/>
      <c r="AP1494" s="324"/>
      <c r="AQ1494" s="317">
        <f>SUM(AQ1495:AQ1496)</f>
        <v>562.69999999999993</v>
      </c>
      <c r="AR1494" s="323"/>
      <c r="AS1494" s="324"/>
      <c r="AT1494" s="317">
        <f>SUM(AT1495:AT1496)</f>
        <v>5663.9000000000005</v>
      </c>
      <c r="AU1494" s="323"/>
      <c r="AV1494" s="325"/>
      <c r="AW1494" s="226"/>
      <c r="AX1494" s="328"/>
      <c r="AY1494" s="1068">
        <v>5080.9607169999999</v>
      </c>
      <c r="AZ1494" s="357"/>
      <c r="BA1494"/>
      <c r="BB1494"/>
      <c r="BC1494"/>
    </row>
    <row r="1495" spans="1:55" s="24" customFormat="1">
      <c r="A1495" s="179"/>
      <c r="B1495" s="179"/>
      <c r="C1495" s="179"/>
      <c r="D1495" s="181"/>
      <c r="E1495" s="181"/>
      <c r="F1495" s="181"/>
      <c r="G1495" s="1110"/>
      <c r="H1495" s="122" t="s">
        <v>711</v>
      </c>
      <c r="I1495" s="122"/>
      <c r="J1495" s="345">
        <f>474.6+30</f>
        <v>504.6</v>
      </c>
      <c r="K1495" s="246"/>
      <c r="L1495" s="282"/>
      <c r="M1495" s="345">
        <f>399+74</f>
        <v>473</v>
      </c>
      <c r="N1495" s="246"/>
      <c r="O1495" s="282"/>
      <c r="P1495" s="345">
        <f>399.8+50</f>
        <v>449.8</v>
      </c>
      <c r="Q1495" s="246"/>
      <c r="R1495" s="282"/>
      <c r="S1495" s="345">
        <f>384.1+30</f>
        <v>414.1</v>
      </c>
      <c r="T1495" s="246"/>
      <c r="U1495" s="282"/>
      <c r="V1495" s="345">
        <f>376.3+30</f>
        <v>406.3</v>
      </c>
      <c r="W1495" s="246"/>
      <c r="X1495" s="282"/>
      <c r="Y1495" s="345">
        <f>322.5+90</f>
        <v>412.5</v>
      </c>
      <c r="Z1495" s="246"/>
      <c r="AA1495" s="282"/>
      <c r="AB1495" s="244">
        <v>408</v>
      </c>
      <c r="AC1495" s="246"/>
      <c r="AD1495" s="282"/>
      <c r="AE1495" s="345">
        <f>379.4+80</f>
        <v>459.4</v>
      </c>
      <c r="AF1495" s="246"/>
      <c r="AG1495" s="282"/>
      <c r="AH1495" s="345">
        <f>334.6+50</f>
        <v>384.6</v>
      </c>
      <c r="AI1495" s="246"/>
      <c r="AJ1495" s="282"/>
      <c r="AK1495" s="345">
        <f>359+50</f>
        <v>409</v>
      </c>
      <c r="AL1495" s="246"/>
      <c r="AM1495" s="282"/>
      <c r="AN1495" s="1205">
        <f>420+20+30</f>
        <v>470</v>
      </c>
      <c r="AO1495" s="246"/>
      <c r="AP1495" s="282"/>
      <c r="AQ1495" s="1205">
        <f>436.8+100</f>
        <v>536.79999999999995</v>
      </c>
      <c r="AR1495" s="246"/>
      <c r="AS1495" s="282"/>
      <c r="AT1495" s="244">
        <f t="shared" ref="AT1495:AT1505" si="59">J1495+M1495+P1495+S1495+V1495+Y1495+AB1495+AE1495+AH1495+AK1495+AN1495+AQ1495</f>
        <v>5328.1</v>
      </c>
      <c r="AU1495" s="246"/>
      <c r="AV1495" s="336"/>
      <c r="AW1495" s="285"/>
      <c r="AX1495" s="249"/>
      <c r="AY1495" s="338"/>
      <c r="AZ1495" s="357"/>
      <c r="BA1495"/>
      <c r="BB1495"/>
      <c r="BC1495"/>
    </row>
    <row r="1496" spans="1:55" s="24" customFormat="1">
      <c r="A1496" s="179"/>
      <c r="B1496" s="179"/>
      <c r="C1496" s="179"/>
      <c r="D1496" s="181"/>
      <c r="E1496" s="181"/>
      <c r="F1496" s="181"/>
      <c r="G1496" s="1110"/>
      <c r="H1496" s="122" t="s">
        <v>712</v>
      </c>
      <c r="I1496" s="122"/>
      <c r="J1496" s="345">
        <f>25.9+10</f>
        <v>35.9</v>
      </c>
      <c r="K1496" s="246"/>
      <c r="L1496" s="282"/>
      <c r="M1496" s="345">
        <f>25.9+15</f>
        <v>40.9</v>
      </c>
      <c r="N1496" s="246"/>
      <c r="O1496" s="282"/>
      <c r="P1496" s="244">
        <v>25.9</v>
      </c>
      <c r="Q1496" s="246"/>
      <c r="R1496" s="282"/>
      <c r="S1496" s="244">
        <v>25.9</v>
      </c>
      <c r="T1496" s="246"/>
      <c r="U1496" s="282"/>
      <c r="V1496" s="244">
        <v>25.9</v>
      </c>
      <c r="W1496" s="246"/>
      <c r="X1496" s="282"/>
      <c r="Y1496" s="244">
        <v>25.9</v>
      </c>
      <c r="Z1496" s="246"/>
      <c r="AA1496" s="282"/>
      <c r="AB1496" s="244">
        <v>25.9</v>
      </c>
      <c r="AC1496" s="246"/>
      <c r="AD1496" s="282"/>
      <c r="AE1496" s="244">
        <v>25.9</v>
      </c>
      <c r="AF1496" s="246"/>
      <c r="AG1496" s="282"/>
      <c r="AH1496" s="244">
        <v>25.9</v>
      </c>
      <c r="AI1496" s="246"/>
      <c r="AJ1496" s="282"/>
      <c r="AK1496" s="244">
        <v>25.9</v>
      </c>
      <c r="AL1496" s="246"/>
      <c r="AM1496" s="282"/>
      <c r="AN1496" s="1013">
        <v>25.9</v>
      </c>
      <c r="AO1496" s="246"/>
      <c r="AP1496" s="282"/>
      <c r="AQ1496" s="1013">
        <v>25.9</v>
      </c>
      <c r="AR1496" s="246"/>
      <c r="AS1496" s="282"/>
      <c r="AT1496" s="244">
        <f t="shared" si="59"/>
        <v>335.79999999999995</v>
      </c>
      <c r="AU1496" s="246"/>
      <c r="AV1496" s="336"/>
      <c r="AW1496" s="285"/>
      <c r="AX1496" s="249"/>
      <c r="AY1496" s="338"/>
      <c r="AZ1496" s="357"/>
      <c r="BA1496"/>
      <c r="BB1496"/>
      <c r="BC1496"/>
    </row>
    <row r="1497" spans="1:55" s="24" customFormat="1">
      <c r="A1497" s="179"/>
      <c r="B1497" s="179"/>
      <c r="C1497" s="179"/>
      <c r="D1497" s="181">
        <v>356926</v>
      </c>
      <c r="E1497" s="181"/>
      <c r="F1497" s="181"/>
      <c r="G1497" s="1110">
        <v>356926</v>
      </c>
      <c r="H1497" s="132" t="s">
        <v>713</v>
      </c>
      <c r="I1497" s="516" t="s">
        <v>364</v>
      </c>
      <c r="J1497" s="262">
        <f>SUM(J1498:J1500)</f>
        <v>95.529600000000002</v>
      </c>
      <c r="K1497" s="246"/>
      <c r="L1497" s="282"/>
      <c r="M1497" s="317">
        <f>SUM(M1498:M1500)</f>
        <v>85.574399999999997</v>
      </c>
      <c r="N1497" s="246"/>
      <c r="O1497" s="282"/>
      <c r="P1497" s="317">
        <f>SUM(P1498:P1500)</f>
        <v>89.52000000000001</v>
      </c>
      <c r="Q1497" s="246"/>
      <c r="R1497" s="282"/>
      <c r="S1497" s="317">
        <f>SUM(S1498:S1500)</f>
        <v>74.856000000000009</v>
      </c>
      <c r="T1497" s="246"/>
      <c r="U1497" s="282"/>
      <c r="V1497" s="317">
        <f>SUM(V1498:V1500)</f>
        <v>17.399999999999999</v>
      </c>
      <c r="W1497" s="246"/>
      <c r="X1497" s="282"/>
      <c r="Y1497" s="317">
        <f>SUM(Y1498:Y1500)</f>
        <v>8.64</v>
      </c>
      <c r="Z1497" s="246"/>
      <c r="AA1497" s="282"/>
      <c r="AB1497" s="317">
        <f>SUM(AB1498:AB1500)</f>
        <v>5.4720000000000004</v>
      </c>
      <c r="AC1497" s="246"/>
      <c r="AD1497" s="282"/>
      <c r="AE1497" s="317">
        <f>SUM(AE1498:AE1500)</f>
        <v>8.3520000000000003</v>
      </c>
      <c r="AF1497" s="246"/>
      <c r="AG1497" s="282"/>
      <c r="AH1497" s="317">
        <f>SUM(AH1498:AH1500)</f>
        <v>17.472000000000001</v>
      </c>
      <c r="AI1497" s="246"/>
      <c r="AJ1497" s="282"/>
      <c r="AK1497" s="317">
        <f>SUM(AK1498:AK1500)</f>
        <v>51.335999999999999</v>
      </c>
      <c r="AL1497" s="246"/>
      <c r="AM1497" s="282"/>
      <c r="AN1497" s="317">
        <f>SUM(AN1498:AN1500)</f>
        <v>90.807999999999993</v>
      </c>
      <c r="AO1497" s="246"/>
      <c r="AP1497" s="282"/>
      <c r="AQ1497" s="317">
        <f>SUM(AQ1498:AQ1500)</f>
        <v>96.273600000000002</v>
      </c>
      <c r="AR1497" s="246"/>
      <c r="AS1497" s="282"/>
      <c r="AT1497" s="317">
        <f>SUM(AT1498:AT1500)</f>
        <v>641.23360000000002</v>
      </c>
      <c r="AU1497" s="246"/>
      <c r="AV1497" s="336"/>
      <c r="AW1497" s="285"/>
      <c r="AX1497" s="249"/>
      <c r="AY1497" s="1068">
        <v>648.785797</v>
      </c>
      <c r="AZ1497" s="357"/>
      <c r="BA1497"/>
      <c r="BB1497"/>
      <c r="BC1497"/>
    </row>
    <row r="1498" spans="1:55" s="24" customFormat="1">
      <c r="A1498" s="179"/>
      <c r="B1498" s="179"/>
      <c r="C1498" s="179"/>
      <c r="D1498" s="181"/>
      <c r="E1498" s="181"/>
      <c r="F1498" s="181"/>
      <c r="G1498" s="1110"/>
      <c r="H1498" s="148" t="s">
        <v>714</v>
      </c>
      <c r="I1498" s="148"/>
      <c r="J1498" s="244">
        <v>15.1776</v>
      </c>
      <c r="K1498" s="246"/>
      <c r="L1498" s="282"/>
      <c r="M1498" s="244">
        <v>14.198400000000001</v>
      </c>
      <c r="N1498" s="246"/>
      <c r="O1498" s="282"/>
      <c r="P1498" s="244">
        <v>13.391999999999999</v>
      </c>
      <c r="Q1498" s="246"/>
      <c r="R1498" s="282"/>
      <c r="S1498" s="244">
        <v>11.016</v>
      </c>
      <c r="T1498" s="246"/>
      <c r="U1498" s="282"/>
      <c r="V1498" s="244">
        <v>8.3520000000000003</v>
      </c>
      <c r="W1498" s="246"/>
      <c r="X1498" s="282"/>
      <c r="Y1498" s="244">
        <v>8.64</v>
      </c>
      <c r="Z1498" s="246"/>
      <c r="AA1498" s="282"/>
      <c r="AB1498" s="244">
        <v>5.4720000000000004</v>
      </c>
      <c r="AC1498" s="246"/>
      <c r="AD1498" s="282"/>
      <c r="AE1498" s="244">
        <v>8.3520000000000003</v>
      </c>
      <c r="AF1498" s="246"/>
      <c r="AG1498" s="282"/>
      <c r="AH1498" s="244">
        <v>8.0640000000000001</v>
      </c>
      <c r="AI1498" s="246"/>
      <c r="AJ1498" s="282"/>
      <c r="AK1498" s="244">
        <v>8.9280000000000008</v>
      </c>
      <c r="AL1498" s="246"/>
      <c r="AM1498" s="282"/>
      <c r="AN1498" s="244">
        <v>14.688000000000001</v>
      </c>
      <c r="AO1498" s="246"/>
      <c r="AP1498" s="282"/>
      <c r="AQ1498" s="244">
        <v>15.1776</v>
      </c>
      <c r="AR1498" s="246"/>
      <c r="AS1498" s="282"/>
      <c r="AT1498" s="244">
        <f t="shared" si="59"/>
        <v>131.45759999999999</v>
      </c>
      <c r="AU1498" s="246"/>
      <c r="AV1498" s="336"/>
      <c r="AW1498" s="285"/>
      <c r="AX1498" s="249"/>
      <c r="AY1498" s="338"/>
      <c r="AZ1498" s="357"/>
      <c r="BA1498"/>
      <c r="BB1498"/>
      <c r="BC1498"/>
    </row>
    <row r="1499" spans="1:55" s="24" customFormat="1">
      <c r="A1499" s="179"/>
      <c r="B1499" s="179"/>
      <c r="C1499" s="179"/>
      <c r="D1499" s="181"/>
      <c r="E1499" s="181"/>
      <c r="F1499" s="181"/>
      <c r="G1499" s="1110"/>
      <c r="H1499" s="127" t="s">
        <v>715</v>
      </c>
      <c r="I1499" s="127"/>
      <c r="J1499" s="244">
        <v>19.344000000000001</v>
      </c>
      <c r="K1499" s="246"/>
      <c r="L1499" s="282"/>
      <c r="M1499" s="244">
        <v>18.096</v>
      </c>
      <c r="N1499" s="246"/>
      <c r="O1499" s="282"/>
      <c r="P1499" s="244">
        <v>11.16</v>
      </c>
      <c r="Q1499" s="246"/>
      <c r="R1499" s="282"/>
      <c r="S1499" s="244">
        <v>0</v>
      </c>
      <c r="T1499" s="246"/>
      <c r="U1499" s="282"/>
      <c r="V1499" s="244">
        <v>9.048</v>
      </c>
      <c r="W1499" s="246"/>
      <c r="X1499" s="282"/>
      <c r="Y1499" s="244">
        <v>0</v>
      </c>
      <c r="Z1499" s="246"/>
      <c r="AA1499" s="282"/>
      <c r="AB1499" s="244">
        <v>0</v>
      </c>
      <c r="AC1499" s="246"/>
      <c r="AD1499" s="282"/>
      <c r="AE1499" s="244">
        <v>0</v>
      </c>
      <c r="AF1499" s="246"/>
      <c r="AG1499" s="282"/>
      <c r="AH1499" s="244">
        <v>9.4079999999999995</v>
      </c>
      <c r="AI1499" s="246"/>
      <c r="AJ1499" s="282"/>
      <c r="AK1499" s="244">
        <v>0</v>
      </c>
      <c r="AL1499" s="246"/>
      <c r="AM1499" s="282"/>
      <c r="AN1499" s="345">
        <f>10.8+5</f>
        <v>15.8</v>
      </c>
      <c r="AO1499" s="246"/>
      <c r="AP1499" s="282"/>
      <c r="AQ1499" s="244">
        <v>19.344000000000001</v>
      </c>
      <c r="AR1499" s="246"/>
      <c r="AS1499" s="282"/>
      <c r="AT1499" s="244">
        <f t="shared" si="59"/>
        <v>102.19999999999999</v>
      </c>
      <c r="AU1499" s="246"/>
      <c r="AV1499" s="336"/>
      <c r="AW1499" s="285"/>
      <c r="AX1499" s="249"/>
      <c r="AY1499" s="338"/>
      <c r="AZ1499" s="357"/>
      <c r="BA1499"/>
      <c r="BB1499"/>
      <c r="BC1499"/>
    </row>
    <row r="1500" spans="1:55" s="24" customFormat="1">
      <c r="A1500" s="179"/>
      <c r="B1500" s="179"/>
      <c r="C1500" s="179"/>
      <c r="D1500" s="181"/>
      <c r="E1500" s="181"/>
      <c r="F1500" s="181"/>
      <c r="G1500" s="1110"/>
      <c r="H1500" s="127" t="s">
        <v>716</v>
      </c>
      <c r="I1500" s="127"/>
      <c r="J1500" s="244">
        <v>61.008000000000003</v>
      </c>
      <c r="K1500" s="246"/>
      <c r="L1500" s="282"/>
      <c r="M1500" s="345">
        <f>38.28+15</f>
        <v>53.28</v>
      </c>
      <c r="N1500" s="246"/>
      <c r="O1500" s="282"/>
      <c r="P1500" s="345">
        <f>34.968+30</f>
        <v>64.968000000000004</v>
      </c>
      <c r="Q1500" s="246"/>
      <c r="R1500" s="282"/>
      <c r="S1500" s="345">
        <f>33.84+30</f>
        <v>63.84</v>
      </c>
      <c r="T1500" s="246"/>
      <c r="U1500" s="282"/>
      <c r="V1500" s="244">
        <v>0</v>
      </c>
      <c r="W1500" s="246"/>
      <c r="X1500" s="282"/>
      <c r="Y1500" s="244">
        <v>0</v>
      </c>
      <c r="Z1500" s="246"/>
      <c r="AA1500" s="282"/>
      <c r="AB1500" s="244">
        <v>0</v>
      </c>
      <c r="AC1500" s="246"/>
      <c r="AD1500" s="282"/>
      <c r="AE1500" s="244">
        <v>0</v>
      </c>
      <c r="AF1500" s="246"/>
      <c r="AG1500" s="282"/>
      <c r="AH1500" s="244">
        <v>0</v>
      </c>
      <c r="AI1500" s="246"/>
      <c r="AJ1500" s="282"/>
      <c r="AK1500" s="244">
        <v>42.408000000000001</v>
      </c>
      <c r="AL1500" s="246"/>
      <c r="AM1500" s="282"/>
      <c r="AN1500" s="345">
        <f>40.32+20</f>
        <v>60.32</v>
      </c>
      <c r="AO1500" s="246"/>
      <c r="AP1500" s="282"/>
      <c r="AQ1500" s="244">
        <v>61.752000000000002</v>
      </c>
      <c r="AR1500" s="246"/>
      <c r="AS1500" s="282"/>
      <c r="AT1500" s="244">
        <f t="shared" si="59"/>
        <v>407.57600000000002</v>
      </c>
      <c r="AU1500" s="246"/>
      <c r="AV1500" s="336"/>
      <c r="AW1500" s="285"/>
      <c r="AX1500" s="249"/>
      <c r="AY1500" s="338"/>
      <c r="AZ1500" s="357"/>
      <c r="BA1500"/>
      <c r="BB1500"/>
      <c r="BC1500"/>
    </row>
    <row r="1501" spans="1:55" s="110" customFormat="1">
      <c r="A1501" s="179"/>
      <c r="B1501" s="179"/>
      <c r="C1501" s="179"/>
      <c r="D1501" s="181"/>
      <c r="E1501" s="181"/>
      <c r="F1501" s="181"/>
      <c r="G1501" s="1211">
        <v>777287</v>
      </c>
      <c r="H1501" s="127" t="s">
        <v>1190</v>
      </c>
      <c r="I1501" s="533" t="s">
        <v>365</v>
      </c>
      <c r="J1501" s="244">
        <v>0.57380549999999997</v>
      </c>
      <c r="K1501" s="246"/>
      <c r="L1501" s="282"/>
      <c r="M1501" s="244">
        <v>1.0487420000000001</v>
      </c>
      <c r="N1501" s="246"/>
      <c r="O1501" s="282"/>
      <c r="P1501" s="244">
        <v>1.1649210000000001</v>
      </c>
      <c r="Q1501" s="246"/>
      <c r="R1501" s="282"/>
      <c r="S1501" s="244">
        <v>1.1385700000000001</v>
      </c>
      <c r="T1501" s="246"/>
      <c r="U1501" s="282"/>
      <c r="V1501" s="244">
        <v>1.470574</v>
      </c>
      <c r="W1501" s="246"/>
      <c r="X1501" s="282"/>
      <c r="Y1501" s="244">
        <v>1.3629389999999999</v>
      </c>
      <c r="Z1501" s="246"/>
      <c r="AA1501" s="282"/>
      <c r="AB1501" s="244">
        <v>1.22167</v>
      </c>
      <c r="AC1501" s="246"/>
      <c r="AD1501" s="282"/>
      <c r="AE1501" s="244">
        <v>1.362557</v>
      </c>
      <c r="AF1501" s="246"/>
      <c r="AG1501" s="282"/>
      <c r="AH1501" s="244">
        <v>1.040375</v>
      </c>
      <c r="AI1501" s="246"/>
      <c r="AJ1501" s="282"/>
      <c r="AK1501" s="244">
        <v>0</v>
      </c>
      <c r="AL1501" s="246"/>
      <c r="AM1501" s="282"/>
      <c r="AN1501" s="244">
        <v>0.74932900000000002</v>
      </c>
      <c r="AO1501" s="246"/>
      <c r="AP1501" s="282"/>
      <c r="AQ1501" s="244">
        <v>0.48995450000000002</v>
      </c>
      <c r="AR1501" s="246"/>
      <c r="AS1501" s="282"/>
      <c r="AT1501" s="244">
        <f t="shared" si="59"/>
        <v>11.623436999999999</v>
      </c>
      <c r="AU1501" s="246"/>
      <c r="AV1501" s="336"/>
      <c r="AW1501" s="285"/>
      <c r="AX1501" s="249"/>
      <c r="AY1501" s="438">
        <v>12.515466999999999</v>
      </c>
      <c r="AZ1501" s="356"/>
      <c r="BA1501"/>
      <c r="BB1501"/>
      <c r="BC1501"/>
    </row>
    <row r="1502" spans="1:55" s="110" customFormat="1">
      <c r="A1502" s="179"/>
      <c r="B1502" s="179"/>
      <c r="C1502" s="179"/>
      <c r="D1502" s="181"/>
      <c r="E1502" s="181"/>
      <c r="F1502" s="181"/>
      <c r="G1502" s="1211">
        <v>777821</v>
      </c>
      <c r="H1502" s="1126" t="s">
        <v>1689</v>
      </c>
      <c r="I1502" s="533"/>
      <c r="J1502" s="244">
        <v>0.86070824999999995</v>
      </c>
      <c r="K1502" s="246"/>
      <c r="L1502" s="282"/>
      <c r="M1502" s="244">
        <v>1.5731130000000002</v>
      </c>
      <c r="N1502" s="246"/>
      <c r="O1502" s="282"/>
      <c r="P1502" s="244">
        <v>1.7473815000000001</v>
      </c>
      <c r="Q1502" s="246"/>
      <c r="R1502" s="282"/>
      <c r="S1502" s="244">
        <v>1.7078550000000001</v>
      </c>
      <c r="T1502" s="246"/>
      <c r="U1502" s="282"/>
      <c r="V1502" s="244">
        <v>2.2058610000000001</v>
      </c>
      <c r="W1502" s="246"/>
      <c r="X1502" s="282"/>
      <c r="Y1502" s="244">
        <v>2.0444084999999999</v>
      </c>
      <c r="Z1502" s="246"/>
      <c r="AA1502" s="282"/>
      <c r="AB1502" s="244">
        <v>1.8325050000000001</v>
      </c>
      <c r="AC1502" s="246"/>
      <c r="AD1502" s="282"/>
      <c r="AE1502" s="244">
        <v>2.0438355000000001</v>
      </c>
      <c r="AF1502" s="246"/>
      <c r="AG1502" s="282"/>
      <c r="AH1502" s="244">
        <v>1.5605625000000001</v>
      </c>
      <c r="AI1502" s="246"/>
      <c r="AJ1502" s="282"/>
      <c r="AK1502" s="244">
        <v>0</v>
      </c>
      <c r="AL1502" s="246"/>
      <c r="AM1502" s="282"/>
      <c r="AN1502" s="244">
        <v>1.1239935000000001</v>
      </c>
      <c r="AO1502" s="246"/>
      <c r="AP1502" s="282"/>
      <c r="AQ1502" s="244">
        <v>0.73493174999999999</v>
      </c>
      <c r="AR1502" s="246"/>
      <c r="AS1502" s="282"/>
      <c r="AT1502" s="244">
        <f t="shared" si="59"/>
        <v>17.4351555</v>
      </c>
      <c r="AU1502" s="246"/>
      <c r="AV1502" s="336"/>
      <c r="AW1502" s="285"/>
      <c r="AX1502" s="249"/>
      <c r="AY1502" s="438">
        <v>0</v>
      </c>
      <c r="AZ1502" s="356"/>
      <c r="BA1502"/>
      <c r="BB1502"/>
      <c r="BC1502"/>
    </row>
    <row r="1503" spans="1:55" s="110" customFormat="1">
      <c r="A1503" s="179"/>
      <c r="B1503" s="179"/>
      <c r="C1503" s="179"/>
      <c r="D1503" s="181"/>
      <c r="E1503" s="181"/>
      <c r="F1503" s="181"/>
      <c r="G1503" s="1110">
        <v>777385</v>
      </c>
      <c r="H1503" s="1126" t="s">
        <v>1690</v>
      </c>
      <c r="I1503" s="533"/>
      <c r="J1503" s="244">
        <v>0.55000000000000004</v>
      </c>
      <c r="K1503" s="246"/>
      <c r="L1503" s="282"/>
      <c r="M1503" s="244">
        <v>0.9</v>
      </c>
      <c r="N1503" s="246"/>
      <c r="O1503" s="282"/>
      <c r="P1503" s="244">
        <v>1.5</v>
      </c>
      <c r="Q1503" s="246"/>
      <c r="R1503" s="282"/>
      <c r="S1503" s="244">
        <v>2</v>
      </c>
      <c r="T1503" s="246"/>
      <c r="U1503" s="282"/>
      <c r="V1503" s="244">
        <v>2.5</v>
      </c>
      <c r="W1503" s="246"/>
      <c r="X1503" s="282"/>
      <c r="Y1503" s="244">
        <v>2.37</v>
      </c>
      <c r="Z1503" s="246"/>
      <c r="AA1503" s="282"/>
      <c r="AB1503" s="244">
        <v>2.5</v>
      </c>
      <c r="AC1503" s="246"/>
      <c r="AD1503" s="282"/>
      <c r="AE1503" s="244">
        <v>2.5</v>
      </c>
      <c r="AF1503" s="246"/>
      <c r="AG1503" s="282"/>
      <c r="AH1503" s="244">
        <v>2</v>
      </c>
      <c r="AI1503" s="246"/>
      <c r="AJ1503" s="282"/>
      <c r="AK1503" s="244">
        <v>1.5</v>
      </c>
      <c r="AL1503" s="246"/>
      <c r="AM1503" s="282"/>
      <c r="AN1503" s="244">
        <v>0.8</v>
      </c>
      <c r="AO1503" s="246"/>
      <c r="AP1503" s="282"/>
      <c r="AQ1503" s="244">
        <v>0.5</v>
      </c>
      <c r="AR1503" s="246"/>
      <c r="AS1503" s="282"/>
      <c r="AT1503" s="244">
        <f t="shared" si="59"/>
        <v>19.62</v>
      </c>
      <c r="AU1503" s="246"/>
      <c r="AV1503" s="336"/>
      <c r="AW1503" s="285"/>
      <c r="AX1503" s="249"/>
      <c r="AY1503" s="438"/>
      <c r="AZ1503" s="356"/>
      <c r="BA1503"/>
      <c r="BB1503"/>
      <c r="BC1503"/>
    </row>
    <row r="1504" spans="1:55" s="110" customFormat="1">
      <c r="A1504" s="179"/>
      <c r="B1504" s="179"/>
      <c r="C1504" s="179"/>
      <c r="D1504" s="181"/>
      <c r="E1504" s="181"/>
      <c r="F1504" s="181"/>
      <c r="G1504" s="1110">
        <v>777357</v>
      </c>
      <c r="H1504" s="1126" t="s">
        <v>1691</v>
      </c>
      <c r="I1504" s="533"/>
      <c r="J1504" s="244">
        <v>0.55000000000000004</v>
      </c>
      <c r="K1504" s="246"/>
      <c r="L1504" s="282"/>
      <c r="M1504" s="244">
        <v>0.9</v>
      </c>
      <c r="N1504" s="246"/>
      <c r="O1504" s="282"/>
      <c r="P1504" s="244">
        <v>1.5</v>
      </c>
      <c r="Q1504" s="246"/>
      <c r="R1504" s="282"/>
      <c r="S1504" s="244">
        <v>2</v>
      </c>
      <c r="T1504" s="246"/>
      <c r="U1504" s="282"/>
      <c r="V1504" s="244">
        <v>2.5</v>
      </c>
      <c r="W1504" s="246"/>
      <c r="X1504" s="282"/>
      <c r="Y1504" s="244">
        <v>2.37</v>
      </c>
      <c r="Z1504" s="246"/>
      <c r="AA1504" s="282"/>
      <c r="AB1504" s="244">
        <v>2.5</v>
      </c>
      <c r="AC1504" s="246"/>
      <c r="AD1504" s="282"/>
      <c r="AE1504" s="244">
        <v>2.5</v>
      </c>
      <c r="AF1504" s="246"/>
      <c r="AG1504" s="282"/>
      <c r="AH1504" s="244">
        <v>2</v>
      </c>
      <c r="AI1504" s="246"/>
      <c r="AJ1504" s="282"/>
      <c r="AK1504" s="244">
        <v>1.5</v>
      </c>
      <c r="AL1504" s="246"/>
      <c r="AM1504" s="282"/>
      <c r="AN1504" s="244">
        <v>0.8</v>
      </c>
      <c r="AO1504" s="246"/>
      <c r="AP1504" s="282"/>
      <c r="AQ1504" s="244">
        <v>0.5</v>
      </c>
      <c r="AR1504" s="246"/>
      <c r="AS1504" s="282"/>
      <c r="AT1504" s="244">
        <f t="shared" si="59"/>
        <v>19.62</v>
      </c>
      <c r="AU1504" s="246"/>
      <c r="AV1504" s="336"/>
      <c r="AW1504" s="285"/>
      <c r="AX1504" s="249"/>
      <c r="AY1504" s="438"/>
      <c r="AZ1504" s="356"/>
      <c r="BA1504"/>
      <c r="BB1504"/>
      <c r="BC1504"/>
    </row>
    <row r="1505" spans="1:55" s="110" customFormat="1">
      <c r="A1505" s="179"/>
      <c r="B1505" s="179"/>
      <c r="C1505" s="179"/>
      <c r="D1505" s="181"/>
      <c r="E1505" s="181"/>
      <c r="F1505" s="181"/>
      <c r="G1505" s="1110">
        <v>777386</v>
      </c>
      <c r="H1505" s="1126" t="s">
        <v>1692</v>
      </c>
      <c r="I1505" s="533"/>
      <c r="J1505" s="244">
        <v>0.55000000000000004</v>
      </c>
      <c r="K1505" s="246"/>
      <c r="L1505" s="282"/>
      <c r="M1505" s="244">
        <v>0.9</v>
      </c>
      <c r="N1505" s="246"/>
      <c r="O1505" s="282"/>
      <c r="P1505" s="244">
        <v>1.5</v>
      </c>
      <c r="Q1505" s="246"/>
      <c r="R1505" s="282"/>
      <c r="S1505" s="244">
        <v>2</v>
      </c>
      <c r="T1505" s="246"/>
      <c r="U1505" s="282"/>
      <c r="V1505" s="244">
        <v>2.5</v>
      </c>
      <c r="W1505" s="246"/>
      <c r="X1505" s="282"/>
      <c r="Y1505" s="244">
        <v>2.37</v>
      </c>
      <c r="Z1505" s="246"/>
      <c r="AA1505" s="282"/>
      <c r="AB1505" s="244">
        <v>2.5</v>
      </c>
      <c r="AC1505" s="246"/>
      <c r="AD1505" s="282"/>
      <c r="AE1505" s="244">
        <v>2.5</v>
      </c>
      <c r="AF1505" s="246"/>
      <c r="AG1505" s="282"/>
      <c r="AH1505" s="244">
        <v>2</v>
      </c>
      <c r="AI1505" s="246"/>
      <c r="AJ1505" s="282"/>
      <c r="AK1505" s="244">
        <v>1.5</v>
      </c>
      <c r="AL1505" s="246"/>
      <c r="AM1505" s="282"/>
      <c r="AN1505" s="244">
        <v>0.8</v>
      </c>
      <c r="AO1505" s="246"/>
      <c r="AP1505" s="282"/>
      <c r="AQ1505" s="244">
        <v>0.5</v>
      </c>
      <c r="AR1505" s="246"/>
      <c r="AS1505" s="282"/>
      <c r="AT1505" s="244">
        <f t="shared" si="59"/>
        <v>19.62</v>
      </c>
      <c r="AU1505" s="246"/>
      <c r="AV1505" s="336"/>
      <c r="AW1505" s="285"/>
      <c r="AX1505" s="249"/>
      <c r="AY1505" s="438"/>
      <c r="AZ1505" s="356"/>
      <c r="BA1505"/>
      <c r="BB1505"/>
      <c r="BC1505"/>
    </row>
    <row r="1506" spans="1:55" s="113" customFormat="1">
      <c r="A1506" s="179"/>
      <c r="B1506" s="179"/>
      <c r="C1506" s="179"/>
      <c r="D1506" s="181"/>
      <c r="E1506" s="181"/>
      <c r="F1506" s="181"/>
      <c r="G1506" s="1110"/>
      <c r="H1506" s="138" t="s">
        <v>174</v>
      </c>
      <c r="I1506" s="138"/>
      <c r="J1506" s="319">
        <f>SUM(J1507:J1507)</f>
        <v>15.1974</v>
      </c>
      <c r="K1506" s="288"/>
      <c r="L1506" s="289"/>
      <c r="M1506" s="287">
        <f>SUM(M1507:M1507)</f>
        <v>13.0122</v>
      </c>
      <c r="N1506" s="288"/>
      <c r="O1506" s="289"/>
      <c r="P1506" s="287">
        <f>SUM(P1507:P1507)</f>
        <v>14.089199999999993</v>
      </c>
      <c r="Q1506" s="288"/>
      <c r="R1506" s="289"/>
      <c r="S1506" s="287">
        <f>SUM(S1507:S1507)</f>
        <v>11.799000000000065</v>
      </c>
      <c r="T1506" s="288"/>
      <c r="U1506" s="289"/>
      <c r="V1506" s="287">
        <f>SUM(V1507:V1507)</f>
        <v>12.117599999999948</v>
      </c>
      <c r="W1506" s="288"/>
      <c r="X1506" s="289"/>
      <c r="Y1506" s="287">
        <f>SUM(Y1507:Y1507)</f>
        <v>6.9827999999999939</v>
      </c>
      <c r="Z1506" s="288"/>
      <c r="AA1506" s="289"/>
      <c r="AB1506" s="287">
        <f>SUM(AB1507:AB1507)</f>
        <v>10.767599999999996</v>
      </c>
      <c r="AC1506" s="288"/>
      <c r="AD1506" s="289"/>
      <c r="AE1506" s="287">
        <f>SUM(AE1507:AE1507)</f>
        <v>10.125000000000007</v>
      </c>
      <c r="AF1506" s="288"/>
      <c r="AG1506" s="289"/>
      <c r="AH1506" s="287">
        <f>SUM(AH1507:AH1507)</f>
        <v>11.644199999999994</v>
      </c>
      <c r="AI1506" s="288"/>
      <c r="AJ1506" s="289"/>
      <c r="AK1506" s="287">
        <f>SUM(AK1507:AK1507)</f>
        <v>11.7864</v>
      </c>
      <c r="AL1506" s="288"/>
      <c r="AM1506" s="289"/>
      <c r="AN1506" s="287">
        <f>SUM(AN1507:AN1507)</f>
        <v>12.474000000000007</v>
      </c>
      <c r="AO1506" s="288"/>
      <c r="AP1506" s="289"/>
      <c r="AQ1506" s="287">
        <f>SUM(AQ1507:AQ1507)</f>
        <v>14.800799999999992</v>
      </c>
      <c r="AR1506" s="288"/>
      <c r="AS1506" s="289"/>
      <c r="AT1506" s="287">
        <f>SUM(AT1507:AT1507)</f>
        <v>144.7962</v>
      </c>
      <c r="AU1506" s="288"/>
      <c r="AV1506" s="290"/>
      <c r="AW1506" s="285"/>
      <c r="AX1506" s="295"/>
      <c r="AY1506" s="436">
        <v>144.7962</v>
      </c>
      <c r="AZ1506" s="355"/>
      <c r="BA1506"/>
      <c r="BB1506"/>
      <c r="BC1506"/>
    </row>
    <row r="1507" spans="1:55" s="113" customFormat="1">
      <c r="A1507" s="179"/>
      <c r="B1507" s="179"/>
      <c r="C1507" s="179"/>
      <c r="D1507" s="181">
        <v>356941</v>
      </c>
      <c r="E1507" s="181"/>
      <c r="F1507" s="181"/>
      <c r="G1507" s="1110">
        <v>356941</v>
      </c>
      <c r="H1507" s="145" t="s">
        <v>485</v>
      </c>
      <c r="I1507" s="518" t="s">
        <v>365</v>
      </c>
      <c r="J1507" s="294">
        <v>15.1974</v>
      </c>
      <c r="K1507" s="288"/>
      <c r="L1507" s="289"/>
      <c r="M1507" s="294">
        <v>13.0122</v>
      </c>
      <c r="N1507" s="288"/>
      <c r="O1507" s="289"/>
      <c r="P1507" s="294">
        <v>14.089199999999993</v>
      </c>
      <c r="Q1507" s="288"/>
      <c r="R1507" s="289"/>
      <c r="S1507" s="294">
        <v>11.799000000000065</v>
      </c>
      <c r="T1507" s="288"/>
      <c r="U1507" s="289"/>
      <c r="V1507" s="294">
        <v>12.117599999999948</v>
      </c>
      <c r="W1507" s="288"/>
      <c r="X1507" s="289"/>
      <c r="Y1507" s="294">
        <v>6.9827999999999939</v>
      </c>
      <c r="Z1507" s="288"/>
      <c r="AA1507" s="289"/>
      <c r="AB1507" s="294">
        <v>10.767599999999996</v>
      </c>
      <c r="AC1507" s="288"/>
      <c r="AD1507" s="289"/>
      <c r="AE1507" s="294">
        <v>10.125000000000007</v>
      </c>
      <c r="AF1507" s="288"/>
      <c r="AG1507" s="289"/>
      <c r="AH1507" s="294">
        <v>11.644199999999994</v>
      </c>
      <c r="AI1507" s="288"/>
      <c r="AJ1507" s="289"/>
      <c r="AK1507" s="294">
        <v>11.7864</v>
      </c>
      <c r="AL1507" s="288"/>
      <c r="AM1507" s="289"/>
      <c r="AN1507" s="294">
        <v>12.474000000000007</v>
      </c>
      <c r="AO1507" s="288"/>
      <c r="AP1507" s="289"/>
      <c r="AQ1507" s="294">
        <v>14.800799999999992</v>
      </c>
      <c r="AR1507" s="288"/>
      <c r="AS1507" s="289"/>
      <c r="AT1507" s="294">
        <f>J1507+M1507+P1507+S1507+V1507+Y1507+AB1507+AE1507+AH1507+AK1507+AN1507+AQ1507</f>
        <v>144.7962</v>
      </c>
      <c r="AU1507" s="288"/>
      <c r="AV1507" s="290"/>
      <c r="AW1507" s="285"/>
      <c r="AX1507" s="295"/>
      <c r="AY1507" s="313"/>
      <c r="AZ1507" s="355"/>
      <c r="BA1507"/>
      <c r="BB1507"/>
      <c r="BC1507"/>
    </row>
    <row r="1508" spans="1:55" s="113" customFormat="1" ht="18.75">
      <c r="A1508" s="179"/>
      <c r="B1508" s="179"/>
      <c r="C1508" s="179"/>
      <c r="D1508" s="181">
        <v>362300</v>
      </c>
      <c r="E1508" s="181"/>
      <c r="F1508" s="181"/>
      <c r="G1508" s="181">
        <v>362300</v>
      </c>
      <c r="H1508" s="474" t="s">
        <v>1638</v>
      </c>
      <c r="I1508" s="474"/>
      <c r="J1508" s="277">
        <f>SUM(J1509:J1511)</f>
        <v>841.69878114620099</v>
      </c>
      <c r="K1508" s="275">
        <f>L1508-J1508</f>
        <v>-18.226860750739206</v>
      </c>
      <c r="L1508" s="276">
        <f>Потребление!D86</f>
        <v>823.47192039546178</v>
      </c>
      <c r="M1508" s="274">
        <f>SUM(M1509:M1511)</f>
        <v>798.259023649803</v>
      </c>
      <c r="N1508" s="275">
        <f>O1508-M1508</f>
        <v>-57.0562968671303</v>
      </c>
      <c r="O1508" s="276">
        <f>Потребление!E86</f>
        <v>741.2027267826727</v>
      </c>
      <c r="P1508" s="274">
        <f>SUM(P1509:P1511)</f>
        <v>773.03093186368108</v>
      </c>
      <c r="Q1508" s="275">
        <f>R1508-P1508</f>
        <v>-31.657093257061319</v>
      </c>
      <c r="R1508" s="276">
        <f>Потребление!F86</f>
        <v>741.37383860661976</v>
      </c>
      <c r="S1508" s="274">
        <f>SUM(S1509:S1511)</f>
        <v>689.02289025504115</v>
      </c>
      <c r="T1508" s="275">
        <f>U1508-S1508</f>
        <v>-14.063980552698126</v>
      </c>
      <c r="U1508" s="276">
        <f>Потребление!G86</f>
        <v>674.95890970234302</v>
      </c>
      <c r="V1508" s="274">
        <f>SUM(V1509:V1511)</f>
        <v>569.55542306892471</v>
      </c>
      <c r="W1508" s="275">
        <f>X1508-V1508</f>
        <v>57.129180888997325</v>
      </c>
      <c r="X1508" s="276">
        <f>Потребление!H86</f>
        <v>626.68460395792204</v>
      </c>
      <c r="Y1508" s="274">
        <f>SUM(Y1509:Y1511)</f>
        <v>568.94431018990258</v>
      </c>
      <c r="Z1508" s="275">
        <f>AA1508-Y1508</f>
        <v>-0.5862309943835271</v>
      </c>
      <c r="AA1508" s="276">
        <f>Потребление!I86</f>
        <v>568.35807919551905</v>
      </c>
      <c r="AB1508" s="274">
        <f>SUM(AB1509:AB1511)</f>
        <v>545.3949544400092</v>
      </c>
      <c r="AC1508" s="275">
        <f>AD1508-AB1508</f>
        <v>36.306078366391716</v>
      </c>
      <c r="AD1508" s="276">
        <f>Потребление!J86</f>
        <v>581.70103280640092</v>
      </c>
      <c r="AE1508" s="274">
        <f>SUM(AE1509:AE1511)</f>
        <v>616.57910765836391</v>
      </c>
      <c r="AF1508" s="275">
        <f>AG1508-AE1508</f>
        <v>-28.618785443666866</v>
      </c>
      <c r="AG1508" s="276">
        <f>Потребление!K86</f>
        <v>587.96032221469704</v>
      </c>
      <c r="AH1508" s="274">
        <f>SUM(AH1509:AH1511)</f>
        <v>575.94987814855551</v>
      </c>
      <c r="AI1508" s="275">
        <f>AJ1508-AH1508</f>
        <v>37.086059831338503</v>
      </c>
      <c r="AJ1508" s="276">
        <f>Потребление!L86</f>
        <v>613.03593797989402</v>
      </c>
      <c r="AK1508" s="274">
        <f>SUM(AK1509:AK1511)</f>
        <v>688.5036269433507</v>
      </c>
      <c r="AL1508" s="275">
        <f>AM1508-AK1508</f>
        <v>1.4492828944032681</v>
      </c>
      <c r="AM1508" s="276">
        <f>Потребление!M86</f>
        <v>689.95290983775396</v>
      </c>
      <c r="AN1508" s="274">
        <f>SUM(AN1509:AN1511)</f>
        <v>740.22103820508664</v>
      </c>
      <c r="AO1508" s="275">
        <f>AP1508-AN1508</f>
        <v>4.6633331238064102</v>
      </c>
      <c r="AP1508" s="276">
        <f>Потребление!N86</f>
        <v>744.88437132889305</v>
      </c>
      <c r="AQ1508" s="274">
        <f>SUM(AQ1509:AQ1511)</f>
        <v>879.12047579991531</v>
      </c>
      <c r="AR1508" s="275">
        <f>AS1508-AQ1508</f>
        <v>-32.705128608093219</v>
      </c>
      <c r="AS1508" s="276">
        <f>Потребление!O86</f>
        <v>846.41534719182209</v>
      </c>
      <c r="AT1508" s="274">
        <f>SUM(AT1509:AT1511)</f>
        <v>8286.2804413688336</v>
      </c>
      <c r="AU1508" s="275">
        <f>AV1508-AT1508</f>
        <v>-46.280441368833635</v>
      </c>
      <c r="AV1508" s="278">
        <f>L1508+O1508+R1508+U1508+X1508+AA1508+AD1508+AG1508+AJ1508+AM1508+AP1508+AS1508</f>
        <v>8240</v>
      </c>
      <c r="AW1508" s="279"/>
      <c r="AX1508" s="1067">
        <v>7960.4977651999998</v>
      </c>
      <c r="AY1508" s="298">
        <f>SUM(AY1509:AY1511)</f>
        <v>7176.2751520000002</v>
      </c>
      <c r="AZ1508" s="355"/>
      <c r="BA1508"/>
      <c r="BB1508"/>
      <c r="BC1508"/>
    </row>
    <row r="1509" spans="1:55" s="24" customFormat="1">
      <c r="A1509" s="179"/>
      <c r="B1509" s="179"/>
      <c r="C1509" s="179"/>
      <c r="D1509" s="181"/>
      <c r="E1509" s="181"/>
      <c r="F1509" s="181"/>
      <c r="G1509" s="181"/>
      <c r="H1509" s="126" t="s">
        <v>56</v>
      </c>
      <c r="I1509" s="126"/>
      <c r="J1509" s="223">
        <f>SUM(J1512:J1513,J1516:J1518)</f>
        <v>685.32604483199998</v>
      </c>
      <c r="K1509" s="271"/>
      <c r="L1509" s="224"/>
      <c r="M1509" s="270">
        <f>SUM(M1512:M1513,M1516:M1518)</f>
        <v>654.90665817466709</v>
      </c>
      <c r="N1509" s="271"/>
      <c r="O1509" s="224"/>
      <c r="P1509" s="270">
        <f>SUM(P1512:P1513,P1516:P1518)</f>
        <v>633.51865817466705</v>
      </c>
      <c r="Q1509" s="271"/>
      <c r="R1509" s="224"/>
      <c r="S1509" s="270">
        <f>SUM(S1512:S1513,S1516:S1518)</f>
        <v>564.8599999999999</v>
      </c>
      <c r="T1509" s="271"/>
      <c r="U1509" s="224"/>
      <c r="V1509" s="270">
        <f>SUM(V1512:V1513,V1516:V1518)</f>
        <v>446.93493311999998</v>
      </c>
      <c r="W1509" s="271"/>
      <c r="X1509" s="224"/>
      <c r="Y1509" s="270">
        <f>SUM(Y1512:Y1513,Y1516:Y1518)</f>
        <v>461.70000000000005</v>
      </c>
      <c r="Z1509" s="271"/>
      <c r="AA1509" s="224"/>
      <c r="AB1509" s="270">
        <f>SUM(AB1512:AB1513,AB1516:AB1518)</f>
        <v>442.24399999999997</v>
      </c>
      <c r="AC1509" s="271"/>
      <c r="AD1509" s="224"/>
      <c r="AE1509" s="270">
        <f>SUM(AE1512:AE1513,AE1516:AE1518)</f>
        <v>503.28000000000003</v>
      </c>
      <c r="AF1509" s="271"/>
      <c r="AG1509" s="224"/>
      <c r="AH1509" s="270">
        <f>SUM(AH1512:AH1513,AH1516:AH1518)</f>
        <v>453.15515200000004</v>
      </c>
      <c r="AI1509" s="271"/>
      <c r="AJ1509" s="224"/>
      <c r="AK1509" s="270">
        <f>SUM(AK1512:AK1513,AK1516:AK1518)</f>
        <v>549.05430917466697</v>
      </c>
      <c r="AL1509" s="271"/>
      <c r="AM1509" s="224"/>
      <c r="AN1509" s="270">
        <f>SUM(AN1512:AN1513,AN1516:AN1518)</f>
        <v>594.16266017466705</v>
      </c>
      <c r="AO1509" s="271"/>
      <c r="AP1509" s="224"/>
      <c r="AQ1509" s="270">
        <f>SUM(AQ1512:AQ1513,AQ1516:AQ1518)</f>
        <v>722.60992617466695</v>
      </c>
      <c r="AR1509" s="271"/>
      <c r="AS1509" s="224"/>
      <c r="AT1509" s="270">
        <f>SUM(AT1512:AT1513,AT1516:AT1518)</f>
        <v>6711.752341825335</v>
      </c>
      <c r="AU1509" s="271"/>
      <c r="AV1509" s="229"/>
      <c r="AW1509" s="226"/>
      <c r="AX1509" s="230"/>
      <c r="AY1509" s="231">
        <f>SUM(AY1512:AY1513,AY1516:AY1518)</f>
        <v>5696.0536600000005</v>
      </c>
      <c r="AZ1509" s="357"/>
      <c r="BA1509"/>
      <c r="BB1509"/>
      <c r="BC1509"/>
    </row>
    <row r="1510" spans="1:55" s="24" customFormat="1">
      <c r="A1510" s="179"/>
      <c r="B1510" s="179"/>
      <c r="C1510" s="179"/>
      <c r="D1510" s="181"/>
      <c r="E1510" s="181"/>
      <c r="F1510" s="181"/>
      <c r="G1510" s="181"/>
      <c r="H1510" s="126" t="s">
        <v>347</v>
      </c>
      <c r="I1510" s="126"/>
      <c r="J1510" s="223">
        <f>SUM(J1521:J1523)</f>
        <v>1.1000000000000001</v>
      </c>
      <c r="K1510" s="271"/>
      <c r="L1510" s="224"/>
      <c r="M1510" s="223">
        <f>SUM(M1521:M1523)</f>
        <v>1.8</v>
      </c>
      <c r="N1510" s="271"/>
      <c r="O1510" s="224"/>
      <c r="P1510" s="223">
        <f>SUM(P1521:P1523)</f>
        <v>3</v>
      </c>
      <c r="Q1510" s="271"/>
      <c r="R1510" s="224"/>
      <c r="S1510" s="223">
        <f>SUM(S1521:S1523)</f>
        <v>4</v>
      </c>
      <c r="T1510" s="271"/>
      <c r="U1510" s="224"/>
      <c r="V1510" s="223">
        <f>SUM(V1521:V1523)</f>
        <v>5</v>
      </c>
      <c r="W1510" s="271"/>
      <c r="X1510" s="224"/>
      <c r="Y1510" s="223">
        <f>SUM(Y1521:Y1523)</f>
        <v>4.74</v>
      </c>
      <c r="Z1510" s="271"/>
      <c r="AA1510" s="224"/>
      <c r="AB1510" s="223">
        <f>SUM(AB1521:AB1523)</f>
        <v>5</v>
      </c>
      <c r="AC1510" s="271"/>
      <c r="AD1510" s="224"/>
      <c r="AE1510" s="223">
        <f>SUM(AE1521:AE1523)</f>
        <v>5</v>
      </c>
      <c r="AF1510" s="271"/>
      <c r="AG1510" s="224"/>
      <c r="AH1510" s="223">
        <f>SUM(AH1521:AH1523)</f>
        <v>4</v>
      </c>
      <c r="AI1510" s="271"/>
      <c r="AJ1510" s="224"/>
      <c r="AK1510" s="223">
        <f>SUM(AK1521:AK1523)</f>
        <v>3</v>
      </c>
      <c r="AL1510" s="271"/>
      <c r="AM1510" s="224"/>
      <c r="AN1510" s="223">
        <f>SUM(AN1521:AN1523)</f>
        <v>1.6</v>
      </c>
      <c r="AO1510" s="271"/>
      <c r="AP1510" s="224"/>
      <c r="AQ1510" s="223">
        <f>SUM(AQ1521:AQ1523)</f>
        <v>1.7586392258064516</v>
      </c>
      <c r="AR1510" s="271"/>
      <c r="AS1510" s="224"/>
      <c r="AT1510" s="223">
        <f>SUM(AT1521:AT1523)</f>
        <v>39.998639225806457</v>
      </c>
      <c r="AU1510" s="271"/>
      <c r="AV1510" s="229"/>
      <c r="AW1510" s="226"/>
      <c r="AX1510" s="230"/>
      <c r="AY1510" s="231"/>
      <c r="AZ1510" s="357"/>
      <c r="BA1510"/>
      <c r="BB1510"/>
      <c r="BC1510"/>
    </row>
    <row r="1511" spans="1:55" s="24" customFormat="1">
      <c r="A1511" s="179"/>
      <c r="B1511" s="179"/>
      <c r="C1511" s="179"/>
      <c r="D1511" s="181"/>
      <c r="E1511" s="181"/>
      <c r="F1511" s="181"/>
      <c r="G1511" s="181"/>
      <c r="H1511" s="124" t="s">
        <v>184</v>
      </c>
      <c r="I1511" s="124"/>
      <c r="J1511" s="223">
        <f>J1524</f>
        <v>155.27273631420101</v>
      </c>
      <c r="K1511" s="271"/>
      <c r="L1511" s="224"/>
      <c r="M1511" s="270">
        <f>M1524</f>
        <v>141.55236547513599</v>
      </c>
      <c r="N1511" s="271"/>
      <c r="O1511" s="224"/>
      <c r="P1511" s="270">
        <f>P1524</f>
        <v>136.51227368901399</v>
      </c>
      <c r="Q1511" s="271"/>
      <c r="R1511" s="224"/>
      <c r="S1511" s="270">
        <f>S1524</f>
        <v>120.16289025504121</v>
      </c>
      <c r="T1511" s="271"/>
      <c r="U1511" s="224"/>
      <c r="V1511" s="270">
        <f>V1524</f>
        <v>117.6204899489247</v>
      </c>
      <c r="W1511" s="271"/>
      <c r="X1511" s="224"/>
      <c r="Y1511" s="270">
        <f>Y1524</f>
        <v>102.50431018990247</v>
      </c>
      <c r="Z1511" s="271"/>
      <c r="AA1511" s="224"/>
      <c r="AB1511" s="270">
        <f>AB1524</f>
        <v>98.15095444000923</v>
      </c>
      <c r="AC1511" s="271"/>
      <c r="AD1511" s="224"/>
      <c r="AE1511" s="270">
        <f>AE1524</f>
        <v>108.29910765836384</v>
      </c>
      <c r="AF1511" s="271"/>
      <c r="AG1511" s="224"/>
      <c r="AH1511" s="270">
        <f>AH1524</f>
        <v>118.79472614855547</v>
      </c>
      <c r="AI1511" s="271"/>
      <c r="AJ1511" s="224"/>
      <c r="AK1511" s="270">
        <f>AK1524</f>
        <v>136.44931776868376</v>
      </c>
      <c r="AL1511" s="271"/>
      <c r="AM1511" s="224"/>
      <c r="AN1511" s="270">
        <f>AN1524</f>
        <v>144.4583780304196</v>
      </c>
      <c r="AO1511" s="271"/>
      <c r="AP1511" s="224"/>
      <c r="AQ1511" s="270">
        <f>AQ1524</f>
        <v>154.75191039944201</v>
      </c>
      <c r="AR1511" s="271"/>
      <c r="AS1511" s="224"/>
      <c r="AT1511" s="270">
        <f>AT1524</f>
        <v>1534.5294603176933</v>
      </c>
      <c r="AU1511" s="271"/>
      <c r="AV1511" s="229"/>
      <c r="AW1511" s="226"/>
      <c r="AX1511" s="230"/>
      <c r="AY1511" s="231">
        <f>AY1524</f>
        <v>1480.2214919999999</v>
      </c>
      <c r="AZ1511" s="357"/>
      <c r="BA1511"/>
      <c r="BB1511"/>
      <c r="BC1511"/>
    </row>
    <row r="1512" spans="1:55" s="24" customFormat="1">
      <c r="A1512" s="179"/>
      <c r="B1512" s="179"/>
      <c r="C1512" s="179"/>
      <c r="D1512" s="181">
        <v>362311</v>
      </c>
      <c r="E1512" s="181"/>
      <c r="F1512" s="181"/>
      <c r="G1512" s="1110">
        <v>362311</v>
      </c>
      <c r="H1512" s="122" t="s">
        <v>717</v>
      </c>
      <c r="I1512" s="516" t="s">
        <v>364</v>
      </c>
      <c r="J1512" s="244">
        <v>288.26404483200002</v>
      </c>
      <c r="K1512" s="246"/>
      <c r="L1512" s="282"/>
      <c r="M1512" s="345">
        <f>234.514658174667+40</f>
        <v>274.51465817466703</v>
      </c>
      <c r="N1512" s="246"/>
      <c r="O1512" s="282"/>
      <c r="P1512" s="345">
        <f>227.943658174667+20</f>
        <v>247.94365817466701</v>
      </c>
      <c r="Q1512" s="246"/>
      <c r="R1512" s="282"/>
      <c r="S1512" s="244">
        <v>183.6</v>
      </c>
      <c r="T1512" s="246"/>
      <c r="U1512" s="282"/>
      <c r="V1512" s="345">
        <f>111.60093312+10</f>
        <v>121.60093311999999</v>
      </c>
      <c r="W1512" s="246"/>
      <c r="X1512" s="282"/>
      <c r="Y1512" s="244">
        <v>114</v>
      </c>
      <c r="Z1512" s="246"/>
      <c r="AA1512" s="282"/>
      <c r="AB1512" s="345">
        <f>91.884+20</f>
        <v>111.884</v>
      </c>
      <c r="AC1512" s="246"/>
      <c r="AD1512" s="282"/>
      <c r="AE1512" s="345">
        <f>107.88+15</f>
        <v>122.88</v>
      </c>
      <c r="AF1512" s="246"/>
      <c r="AG1512" s="282"/>
      <c r="AH1512" s="244">
        <v>135.71615199999999</v>
      </c>
      <c r="AI1512" s="246"/>
      <c r="AJ1512" s="282"/>
      <c r="AK1512" s="244">
        <v>198.45230917466699</v>
      </c>
      <c r="AL1512" s="246"/>
      <c r="AM1512" s="282"/>
      <c r="AN1512" s="244">
        <v>248.76666017466701</v>
      </c>
      <c r="AO1512" s="246"/>
      <c r="AP1512" s="282"/>
      <c r="AQ1512" s="244">
        <v>292.45792617466702</v>
      </c>
      <c r="AR1512" s="246"/>
      <c r="AS1512" s="282"/>
      <c r="AT1512" s="244">
        <f t="shared" ref="AT1512:AT1526" si="60">J1512+M1512+P1512+S1512+V1512+Y1512+AB1512+AE1512+AH1512+AK1512+AN1512+AQ1512</f>
        <v>2340.0803418253349</v>
      </c>
      <c r="AU1512" s="246"/>
      <c r="AV1512" s="336"/>
      <c r="AW1512" s="285"/>
      <c r="AX1512" s="249"/>
      <c r="AY1512" s="438">
        <v>2060.868391</v>
      </c>
      <c r="AZ1512" s="357"/>
      <c r="BA1512"/>
      <c r="BB1512"/>
      <c r="BC1512"/>
    </row>
    <row r="1513" spans="1:55" s="24" customFormat="1">
      <c r="A1513" s="179"/>
      <c r="B1513" s="179"/>
      <c r="C1513" s="179"/>
      <c r="D1513" s="181">
        <v>362310</v>
      </c>
      <c r="E1513" s="181"/>
      <c r="F1513" s="181"/>
      <c r="G1513" s="1110">
        <v>362310</v>
      </c>
      <c r="H1513" s="134" t="s">
        <v>718</v>
      </c>
      <c r="I1513" s="516" t="s">
        <v>364</v>
      </c>
      <c r="J1513" s="262">
        <f>SUM(J1514:J1515)</f>
        <v>8.9280000000000008</v>
      </c>
      <c r="K1513" s="246"/>
      <c r="L1513" s="282"/>
      <c r="M1513" s="317">
        <f>SUM(M1514:M1515)</f>
        <v>8.2080000000000002</v>
      </c>
      <c r="N1513" s="246"/>
      <c r="O1513" s="282"/>
      <c r="P1513" s="317">
        <f>SUM(P1514:P1515)</f>
        <v>8.6159999999999997</v>
      </c>
      <c r="Q1513" s="246"/>
      <c r="R1513" s="282"/>
      <c r="S1513" s="317">
        <f>SUM(S1514:S1515)</f>
        <v>7.82</v>
      </c>
      <c r="T1513" s="246"/>
      <c r="U1513" s="282"/>
      <c r="V1513" s="317">
        <f>SUM(V1514:V1515)</f>
        <v>3.9430000000000005</v>
      </c>
      <c r="W1513" s="246"/>
      <c r="X1513" s="282"/>
      <c r="Y1513" s="317">
        <f>SUM(Y1514:Y1515)</f>
        <v>1.9</v>
      </c>
      <c r="Z1513" s="246"/>
      <c r="AA1513" s="282"/>
      <c r="AB1513" s="317">
        <f>SUM(AB1514:AB1515)</f>
        <v>1.744</v>
      </c>
      <c r="AC1513" s="246"/>
      <c r="AD1513" s="282"/>
      <c r="AE1513" s="317">
        <f>SUM(AE1514:AE1515)</f>
        <v>0</v>
      </c>
      <c r="AF1513" s="246"/>
      <c r="AG1513" s="282"/>
      <c r="AH1513" s="317">
        <f>SUM(AH1514:AH1515)</f>
        <v>2.3039999999999998</v>
      </c>
      <c r="AI1513" s="246"/>
      <c r="AJ1513" s="282"/>
      <c r="AK1513" s="317">
        <f>SUM(AK1514:AK1515)</f>
        <v>7.8860000000000001</v>
      </c>
      <c r="AL1513" s="246"/>
      <c r="AM1513" s="282"/>
      <c r="AN1513" s="317">
        <f>SUM(AN1514:AN1515)</f>
        <v>8.4459999999999997</v>
      </c>
      <c r="AO1513" s="246"/>
      <c r="AP1513" s="282"/>
      <c r="AQ1513" s="317">
        <f>SUM(AQ1514:AQ1515)</f>
        <v>8.9280000000000008</v>
      </c>
      <c r="AR1513" s="246"/>
      <c r="AS1513" s="282"/>
      <c r="AT1513" s="317">
        <f>SUM(AT1514:AT1515)</f>
        <v>68.722999999999985</v>
      </c>
      <c r="AU1513" s="246"/>
      <c r="AV1513" s="336"/>
      <c r="AW1513" s="285"/>
      <c r="AX1513" s="249"/>
      <c r="AY1513" s="1068">
        <v>61.430134000000002</v>
      </c>
      <c r="AZ1513" s="357"/>
      <c r="BA1513"/>
      <c r="BB1513"/>
      <c r="BC1513"/>
    </row>
    <row r="1514" spans="1:55" s="24" customFormat="1">
      <c r="A1514" s="179"/>
      <c r="B1514" s="179"/>
      <c r="C1514" s="179"/>
      <c r="D1514" s="181"/>
      <c r="E1514" s="181"/>
      <c r="F1514" s="181"/>
      <c r="G1514" s="1110"/>
      <c r="H1514" s="122" t="s">
        <v>718</v>
      </c>
      <c r="I1514" s="122"/>
      <c r="J1514" s="244">
        <v>4.4640000000000004</v>
      </c>
      <c r="K1514" s="246"/>
      <c r="L1514" s="282"/>
      <c r="M1514" s="244">
        <v>4.032</v>
      </c>
      <c r="N1514" s="246"/>
      <c r="O1514" s="282"/>
      <c r="P1514" s="244">
        <v>4.1520000000000001</v>
      </c>
      <c r="Q1514" s="246"/>
      <c r="R1514" s="282"/>
      <c r="S1514" s="244">
        <v>3.5</v>
      </c>
      <c r="T1514" s="246"/>
      <c r="U1514" s="282"/>
      <c r="V1514" s="244">
        <v>0.64700000000000002</v>
      </c>
      <c r="W1514" s="246"/>
      <c r="X1514" s="282"/>
      <c r="Y1514" s="244">
        <v>0</v>
      </c>
      <c r="Z1514" s="246"/>
      <c r="AA1514" s="282"/>
      <c r="AB1514" s="244">
        <v>0</v>
      </c>
      <c r="AC1514" s="246"/>
      <c r="AD1514" s="282"/>
      <c r="AE1514" s="244">
        <v>0</v>
      </c>
      <c r="AF1514" s="246"/>
      <c r="AG1514" s="282"/>
      <c r="AH1514" s="244">
        <v>0</v>
      </c>
      <c r="AI1514" s="246"/>
      <c r="AJ1514" s="282"/>
      <c r="AK1514" s="244">
        <v>3.4220000000000006</v>
      </c>
      <c r="AL1514" s="246"/>
      <c r="AM1514" s="282"/>
      <c r="AN1514" s="244">
        <v>4.1260000000000003</v>
      </c>
      <c r="AO1514" s="246"/>
      <c r="AP1514" s="282"/>
      <c r="AQ1514" s="244">
        <v>4.4640000000000004</v>
      </c>
      <c r="AR1514" s="246"/>
      <c r="AS1514" s="282"/>
      <c r="AT1514" s="244">
        <f t="shared" si="60"/>
        <v>28.807000000000002</v>
      </c>
      <c r="AU1514" s="246"/>
      <c r="AV1514" s="336"/>
      <c r="AW1514" s="285"/>
      <c r="AX1514" s="249"/>
      <c r="AY1514" s="338"/>
      <c r="AZ1514" s="357"/>
      <c r="BA1514"/>
      <c r="BB1514"/>
      <c r="BC1514"/>
    </row>
    <row r="1515" spans="1:55" s="24" customFormat="1">
      <c r="A1515" s="179"/>
      <c r="B1515" s="179"/>
      <c r="C1515" s="179"/>
      <c r="D1515" s="181"/>
      <c r="E1515" s="181"/>
      <c r="F1515" s="181"/>
      <c r="G1515" s="1110"/>
      <c r="H1515" s="122" t="s">
        <v>719</v>
      </c>
      <c r="I1515" s="122"/>
      <c r="J1515" s="244">
        <v>4.4640000000000004</v>
      </c>
      <c r="K1515" s="246"/>
      <c r="L1515" s="282"/>
      <c r="M1515" s="244">
        <v>4.1760000000000002</v>
      </c>
      <c r="N1515" s="246"/>
      <c r="O1515" s="282"/>
      <c r="P1515" s="244">
        <v>4.4640000000000004</v>
      </c>
      <c r="Q1515" s="246"/>
      <c r="R1515" s="282"/>
      <c r="S1515" s="244">
        <v>4.32</v>
      </c>
      <c r="T1515" s="246"/>
      <c r="U1515" s="282"/>
      <c r="V1515" s="244">
        <v>3.2960000000000003</v>
      </c>
      <c r="W1515" s="246"/>
      <c r="X1515" s="282"/>
      <c r="Y1515" s="244">
        <v>1.9</v>
      </c>
      <c r="Z1515" s="246"/>
      <c r="AA1515" s="282"/>
      <c r="AB1515" s="244">
        <v>1.744</v>
      </c>
      <c r="AC1515" s="246"/>
      <c r="AD1515" s="282"/>
      <c r="AE1515" s="244">
        <v>0</v>
      </c>
      <c r="AF1515" s="246"/>
      <c r="AG1515" s="282"/>
      <c r="AH1515" s="244">
        <v>2.3039999999999998</v>
      </c>
      <c r="AI1515" s="246"/>
      <c r="AJ1515" s="282"/>
      <c r="AK1515" s="244">
        <v>4.4639999999999995</v>
      </c>
      <c r="AL1515" s="246"/>
      <c r="AM1515" s="282"/>
      <c r="AN1515" s="244">
        <v>4.3199999999999994</v>
      </c>
      <c r="AO1515" s="246"/>
      <c r="AP1515" s="282"/>
      <c r="AQ1515" s="244">
        <v>4.4640000000000004</v>
      </c>
      <c r="AR1515" s="246"/>
      <c r="AS1515" s="282"/>
      <c r="AT1515" s="244">
        <f t="shared" si="60"/>
        <v>39.91599999999999</v>
      </c>
      <c r="AU1515" s="246"/>
      <c r="AV1515" s="336"/>
      <c r="AW1515" s="285"/>
      <c r="AX1515" s="249"/>
      <c r="AY1515" s="338"/>
      <c r="AZ1515" s="357"/>
      <c r="BA1515"/>
      <c r="BB1515"/>
      <c r="BC1515"/>
    </row>
    <row r="1516" spans="1:55" s="24" customFormat="1">
      <c r="A1516" s="179"/>
      <c r="B1516" s="179"/>
      <c r="C1516" s="179"/>
      <c r="D1516" s="181">
        <v>362328</v>
      </c>
      <c r="E1516" s="181"/>
      <c r="F1516" s="181"/>
      <c r="G1516" s="1110">
        <v>362328</v>
      </c>
      <c r="H1516" s="122" t="s">
        <v>720</v>
      </c>
      <c r="I1516" s="516" t="s">
        <v>364</v>
      </c>
      <c r="J1516" s="244">
        <v>7.0339999999999998</v>
      </c>
      <c r="K1516" s="246"/>
      <c r="L1516" s="282"/>
      <c r="M1516" s="244">
        <v>5.9420000000000002</v>
      </c>
      <c r="N1516" s="246"/>
      <c r="O1516" s="282"/>
      <c r="P1516" s="244">
        <v>5.3019999999999996</v>
      </c>
      <c r="Q1516" s="246"/>
      <c r="R1516" s="282"/>
      <c r="S1516" s="244">
        <v>4.32</v>
      </c>
      <c r="T1516" s="246"/>
      <c r="U1516" s="282"/>
      <c r="V1516" s="244">
        <v>1.7070000000000001</v>
      </c>
      <c r="W1516" s="246"/>
      <c r="X1516" s="282"/>
      <c r="Y1516" s="244">
        <v>0</v>
      </c>
      <c r="Z1516" s="246"/>
      <c r="AA1516" s="282"/>
      <c r="AB1516" s="244">
        <v>0</v>
      </c>
      <c r="AC1516" s="246"/>
      <c r="AD1516" s="282"/>
      <c r="AE1516" s="244">
        <v>0</v>
      </c>
      <c r="AF1516" s="246"/>
      <c r="AG1516" s="282"/>
      <c r="AH1516" s="244">
        <v>1.423</v>
      </c>
      <c r="AI1516" s="246"/>
      <c r="AJ1516" s="282"/>
      <c r="AK1516" s="244">
        <v>4.4639999999999995</v>
      </c>
      <c r="AL1516" s="246"/>
      <c r="AM1516" s="282"/>
      <c r="AN1516" s="244">
        <v>5.6779999999999999</v>
      </c>
      <c r="AO1516" s="246"/>
      <c r="AP1516" s="282"/>
      <c r="AQ1516" s="244">
        <v>6.7839999999999998</v>
      </c>
      <c r="AR1516" s="246"/>
      <c r="AS1516" s="282"/>
      <c r="AT1516" s="244">
        <f t="shared" si="60"/>
        <v>42.653999999999996</v>
      </c>
      <c r="AU1516" s="246"/>
      <c r="AV1516" s="336"/>
      <c r="AW1516" s="285"/>
      <c r="AX1516" s="249"/>
      <c r="AY1516" s="438">
        <v>38.349680999999997</v>
      </c>
      <c r="AZ1516" s="357"/>
      <c r="BA1516"/>
      <c r="BB1516"/>
      <c r="BC1516"/>
    </row>
    <row r="1517" spans="1:55" s="24" customFormat="1">
      <c r="A1517" s="179"/>
      <c r="B1517" s="179"/>
      <c r="C1517" s="179"/>
      <c r="D1517" s="181">
        <v>362327</v>
      </c>
      <c r="E1517" s="181"/>
      <c r="F1517" s="181"/>
      <c r="G1517" s="1110">
        <v>362327</v>
      </c>
      <c r="H1517" s="127" t="s">
        <v>721</v>
      </c>
      <c r="I1517" s="516" t="s">
        <v>364</v>
      </c>
      <c r="J1517" s="244">
        <v>7.6</v>
      </c>
      <c r="K1517" s="246"/>
      <c r="L1517" s="282"/>
      <c r="M1517" s="244">
        <v>6.5419999999999998</v>
      </c>
      <c r="N1517" s="246"/>
      <c r="O1517" s="282"/>
      <c r="P1517" s="244">
        <v>5.3570000000000002</v>
      </c>
      <c r="Q1517" s="246"/>
      <c r="R1517" s="282"/>
      <c r="S1517" s="244">
        <v>5.04</v>
      </c>
      <c r="T1517" s="246"/>
      <c r="U1517" s="282"/>
      <c r="V1517" s="244">
        <v>2.6880000000000002</v>
      </c>
      <c r="W1517" s="246"/>
      <c r="X1517" s="282"/>
      <c r="Y1517" s="244">
        <v>0</v>
      </c>
      <c r="Z1517" s="246"/>
      <c r="AA1517" s="282"/>
      <c r="AB1517" s="244">
        <v>0</v>
      </c>
      <c r="AC1517" s="246"/>
      <c r="AD1517" s="282"/>
      <c r="AE1517" s="244">
        <v>0</v>
      </c>
      <c r="AF1517" s="246"/>
      <c r="AG1517" s="282"/>
      <c r="AH1517" s="244">
        <v>2.1120000000000001</v>
      </c>
      <c r="AI1517" s="246"/>
      <c r="AJ1517" s="282"/>
      <c r="AK1517" s="244">
        <v>5.952</v>
      </c>
      <c r="AL1517" s="246"/>
      <c r="AM1517" s="282"/>
      <c r="AN1517" s="244">
        <v>5.4720000000000004</v>
      </c>
      <c r="AO1517" s="246"/>
      <c r="AP1517" s="282"/>
      <c r="AQ1517" s="244">
        <v>7.44</v>
      </c>
      <c r="AR1517" s="246"/>
      <c r="AS1517" s="282"/>
      <c r="AT1517" s="244">
        <f t="shared" si="60"/>
        <v>48.202999999999996</v>
      </c>
      <c r="AU1517" s="246"/>
      <c r="AV1517" s="336"/>
      <c r="AW1517" s="285"/>
      <c r="AX1517" s="249"/>
      <c r="AY1517" s="438">
        <v>43.838576000000003</v>
      </c>
      <c r="AZ1517" s="357"/>
      <c r="BA1517"/>
      <c r="BB1517"/>
      <c r="BC1517"/>
    </row>
    <row r="1518" spans="1:55" s="24" customFormat="1">
      <c r="A1518" s="179"/>
      <c r="B1518" s="179"/>
      <c r="C1518" s="179"/>
      <c r="D1518" s="181">
        <v>362309</v>
      </c>
      <c r="E1518" s="181"/>
      <c r="F1518" s="181"/>
      <c r="G1518" s="1110">
        <v>362309</v>
      </c>
      <c r="H1518" s="132" t="s">
        <v>722</v>
      </c>
      <c r="I1518" s="516" t="s">
        <v>364</v>
      </c>
      <c r="J1518" s="262">
        <f>SUM(J1519:J1520)</f>
        <v>373.5</v>
      </c>
      <c r="K1518" s="246"/>
      <c r="L1518" s="282"/>
      <c r="M1518" s="317">
        <f>SUM(M1519:M1520)</f>
        <v>359.70000000000005</v>
      </c>
      <c r="N1518" s="246"/>
      <c r="O1518" s="282"/>
      <c r="P1518" s="317">
        <f>SUM(P1519:P1520)</f>
        <v>366.3</v>
      </c>
      <c r="Q1518" s="246"/>
      <c r="R1518" s="282"/>
      <c r="S1518" s="317">
        <f>SUM(S1519:S1520)</f>
        <v>364.08</v>
      </c>
      <c r="T1518" s="246"/>
      <c r="U1518" s="282"/>
      <c r="V1518" s="317">
        <f>SUM(V1519:V1520)</f>
        <v>316.99599999999998</v>
      </c>
      <c r="W1518" s="246"/>
      <c r="X1518" s="282"/>
      <c r="Y1518" s="317">
        <f>SUM(Y1519:Y1520)</f>
        <v>345.8</v>
      </c>
      <c r="Z1518" s="246"/>
      <c r="AA1518" s="282"/>
      <c r="AB1518" s="317">
        <f>SUM(AB1519:AB1520)</f>
        <v>328.61599999999999</v>
      </c>
      <c r="AC1518" s="246"/>
      <c r="AD1518" s="282"/>
      <c r="AE1518" s="317">
        <f>SUM(AE1519:AE1520)</f>
        <v>380.40000000000003</v>
      </c>
      <c r="AF1518" s="246"/>
      <c r="AG1518" s="282"/>
      <c r="AH1518" s="317">
        <f>SUM(AH1519:AH1520)</f>
        <v>311.60000000000002</v>
      </c>
      <c r="AI1518" s="246"/>
      <c r="AJ1518" s="282"/>
      <c r="AK1518" s="317">
        <f>SUM(AK1519:AK1520)</f>
        <v>332.3</v>
      </c>
      <c r="AL1518" s="246"/>
      <c r="AM1518" s="282"/>
      <c r="AN1518" s="317">
        <f>SUM(AN1519:AN1520)</f>
        <v>325.8</v>
      </c>
      <c r="AO1518" s="246"/>
      <c r="AP1518" s="282"/>
      <c r="AQ1518" s="317">
        <f>SUM(AQ1519:AQ1520)</f>
        <v>407</v>
      </c>
      <c r="AR1518" s="246"/>
      <c r="AS1518" s="282"/>
      <c r="AT1518" s="317">
        <f>SUM(AT1519:AT1520)</f>
        <v>4212.0919999999996</v>
      </c>
      <c r="AU1518" s="246"/>
      <c r="AV1518" s="336"/>
      <c r="AW1518" s="285"/>
      <c r="AX1518" s="249"/>
      <c r="AY1518" s="1068">
        <v>3491.5668780000001</v>
      </c>
      <c r="AZ1518" s="357"/>
      <c r="BA1518"/>
      <c r="BB1518"/>
      <c r="BC1518"/>
    </row>
    <row r="1519" spans="1:55" s="24" customFormat="1">
      <c r="A1519" s="179"/>
      <c r="B1519" s="179"/>
      <c r="C1519" s="179"/>
      <c r="D1519" s="181"/>
      <c r="E1519" s="181"/>
      <c r="F1519" s="181"/>
      <c r="G1519" s="1110"/>
      <c r="H1519" s="122" t="s">
        <v>723</v>
      </c>
      <c r="I1519" s="122"/>
      <c r="J1519" s="345">
        <f>233.3+20</f>
        <v>253.3</v>
      </c>
      <c r="K1519" s="246"/>
      <c r="L1519" s="282"/>
      <c r="M1519" s="345">
        <f>181.4+50</f>
        <v>231.4</v>
      </c>
      <c r="N1519" s="246"/>
      <c r="O1519" s="282"/>
      <c r="P1519" s="345">
        <f>159.8+80</f>
        <v>239.8</v>
      </c>
      <c r="Q1519" s="246"/>
      <c r="R1519" s="282"/>
      <c r="S1519" s="244">
        <v>237.6</v>
      </c>
      <c r="T1519" s="246"/>
      <c r="U1519" s="282"/>
      <c r="V1519" s="244">
        <v>207.3</v>
      </c>
      <c r="W1519" s="246"/>
      <c r="X1519" s="282"/>
      <c r="Y1519" s="345">
        <f>147+40</f>
        <v>187</v>
      </c>
      <c r="Z1519" s="246"/>
      <c r="AA1519" s="282"/>
      <c r="AB1519" s="244">
        <v>210</v>
      </c>
      <c r="AC1519" s="246"/>
      <c r="AD1519" s="282"/>
      <c r="AE1519" s="345">
        <f>201.6+60</f>
        <v>261.60000000000002</v>
      </c>
      <c r="AF1519" s="246"/>
      <c r="AG1519" s="282"/>
      <c r="AH1519" s="345">
        <f>155.5+30</f>
        <v>185.5</v>
      </c>
      <c r="AI1519" s="246"/>
      <c r="AJ1519" s="282"/>
      <c r="AK1519" s="345">
        <f>228.9+20</f>
        <v>248.9</v>
      </c>
      <c r="AL1519" s="246"/>
      <c r="AM1519" s="282"/>
      <c r="AN1519" s="345">
        <f>190.1+40</f>
        <v>230.1</v>
      </c>
      <c r="AO1519" s="246"/>
      <c r="AP1519" s="282"/>
      <c r="AQ1519" s="345">
        <f>177.2+110</f>
        <v>287.2</v>
      </c>
      <c r="AR1519" s="246"/>
      <c r="AS1519" s="282"/>
      <c r="AT1519" s="244">
        <f t="shared" si="60"/>
        <v>2779.7</v>
      </c>
      <c r="AU1519" s="246"/>
      <c r="AV1519" s="336"/>
      <c r="AW1519" s="285"/>
      <c r="AX1519" s="249"/>
      <c r="AY1519" s="338"/>
      <c r="AZ1519" s="357"/>
      <c r="BA1519"/>
      <c r="BB1519"/>
      <c r="BC1519"/>
    </row>
    <row r="1520" spans="1:55" s="24" customFormat="1">
      <c r="A1520" s="179"/>
      <c r="B1520" s="179"/>
      <c r="C1520" s="179"/>
      <c r="D1520" s="181"/>
      <c r="E1520" s="181"/>
      <c r="F1520" s="181"/>
      <c r="G1520" s="1110"/>
      <c r="H1520" s="795" t="s">
        <v>875</v>
      </c>
      <c r="I1520" s="122"/>
      <c r="J1520" s="345">
        <f>110.2+10</f>
        <v>120.2</v>
      </c>
      <c r="K1520" s="246"/>
      <c r="L1520" s="282"/>
      <c r="M1520" s="345">
        <f>118.3+10</f>
        <v>128.30000000000001</v>
      </c>
      <c r="N1520" s="246"/>
      <c r="O1520" s="282"/>
      <c r="P1520" s="244">
        <v>126.5</v>
      </c>
      <c r="Q1520" s="246"/>
      <c r="R1520" s="282"/>
      <c r="S1520" s="345">
        <f>96.48+30</f>
        <v>126.48</v>
      </c>
      <c r="T1520" s="246"/>
      <c r="U1520" s="282"/>
      <c r="V1520" s="345">
        <f>99.696+10</f>
        <v>109.696</v>
      </c>
      <c r="W1520" s="246"/>
      <c r="X1520" s="282"/>
      <c r="Y1520" s="345">
        <f>118.8+40</f>
        <v>158.80000000000001</v>
      </c>
      <c r="Z1520" s="246"/>
      <c r="AA1520" s="282"/>
      <c r="AB1520" s="345">
        <f>99.696+18.92</f>
        <v>118.616</v>
      </c>
      <c r="AC1520" s="246"/>
      <c r="AD1520" s="282"/>
      <c r="AE1520" s="244">
        <v>118.8</v>
      </c>
      <c r="AF1520" s="246"/>
      <c r="AG1520" s="282"/>
      <c r="AH1520" s="345">
        <f>106.1+20</f>
        <v>126.1</v>
      </c>
      <c r="AI1520" s="246"/>
      <c r="AJ1520" s="282"/>
      <c r="AK1520" s="345">
        <f>73.4+10</f>
        <v>83.4</v>
      </c>
      <c r="AL1520" s="246"/>
      <c r="AM1520" s="282"/>
      <c r="AN1520" s="345">
        <f>85.7+10</f>
        <v>95.7</v>
      </c>
      <c r="AO1520" s="246"/>
      <c r="AP1520" s="282"/>
      <c r="AQ1520" s="345">
        <f>89.8+30</f>
        <v>119.8</v>
      </c>
      <c r="AR1520" s="246"/>
      <c r="AS1520" s="282"/>
      <c r="AT1520" s="244">
        <f t="shared" si="60"/>
        <v>1432.3920000000001</v>
      </c>
      <c r="AU1520" s="246"/>
      <c r="AV1520" s="336"/>
      <c r="AW1520" s="285"/>
      <c r="AX1520" s="249"/>
      <c r="AY1520" s="338"/>
      <c r="AZ1520" s="357"/>
      <c r="BA1520"/>
      <c r="BB1520"/>
      <c r="BC1520"/>
    </row>
    <row r="1521" spans="1:55" s="24" customFormat="1">
      <c r="A1521" s="179"/>
      <c r="B1521" s="179"/>
      <c r="C1521" s="179"/>
      <c r="D1521" s="181"/>
      <c r="E1521" s="181"/>
      <c r="F1521" s="181"/>
      <c r="G1521" s="1110">
        <v>777360</v>
      </c>
      <c r="H1521" s="795" t="s">
        <v>1693</v>
      </c>
      <c r="I1521" s="122"/>
      <c r="J1521" s="244">
        <v>0.55000000000000004</v>
      </c>
      <c r="K1521" s="246"/>
      <c r="L1521" s="282"/>
      <c r="M1521" s="244">
        <v>0.9</v>
      </c>
      <c r="N1521" s="246"/>
      <c r="O1521" s="282"/>
      <c r="P1521" s="244">
        <v>1.5</v>
      </c>
      <c r="Q1521" s="246"/>
      <c r="R1521" s="282"/>
      <c r="S1521" s="244">
        <v>2</v>
      </c>
      <c r="T1521" s="246"/>
      <c r="U1521" s="282"/>
      <c r="V1521" s="244">
        <v>2.5</v>
      </c>
      <c r="W1521" s="246"/>
      <c r="X1521" s="282"/>
      <c r="Y1521" s="244">
        <v>2.37</v>
      </c>
      <c r="Z1521" s="246"/>
      <c r="AA1521" s="282"/>
      <c r="AB1521" s="244">
        <v>2.5</v>
      </c>
      <c r="AC1521" s="246"/>
      <c r="AD1521" s="282"/>
      <c r="AE1521" s="244">
        <v>2.5</v>
      </c>
      <c r="AF1521" s="246"/>
      <c r="AG1521" s="282"/>
      <c r="AH1521" s="244">
        <v>2</v>
      </c>
      <c r="AI1521" s="246"/>
      <c r="AJ1521" s="282"/>
      <c r="AK1521" s="244">
        <v>1.5</v>
      </c>
      <c r="AL1521" s="246"/>
      <c r="AM1521" s="282"/>
      <c r="AN1521" s="244">
        <v>0.8</v>
      </c>
      <c r="AO1521" s="246"/>
      <c r="AP1521" s="282"/>
      <c r="AQ1521" s="244">
        <v>0.5</v>
      </c>
      <c r="AR1521" s="246"/>
      <c r="AS1521" s="282"/>
      <c r="AT1521" s="244">
        <f t="shared" si="60"/>
        <v>19.62</v>
      </c>
      <c r="AU1521" s="246"/>
      <c r="AV1521" s="336"/>
      <c r="AW1521" s="285"/>
      <c r="AX1521" s="249"/>
      <c r="AY1521" s="338"/>
      <c r="AZ1521" s="357"/>
      <c r="BA1521"/>
      <c r="BB1521"/>
      <c r="BC1521"/>
    </row>
    <row r="1522" spans="1:55" s="24" customFormat="1">
      <c r="A1522" s="179"/>
      <c r="B1522" s="179"/>
      <c r="C1522" s="179"/>
      <c r="D1522" s="181"/>
      <c r="E1522" s="181"/>
      <c r="F1522" s="181"/>
      <c r="G1522" s="1110">
        <v>777359</v>
      </c>
      <c r="H1522" s="795" t="s">
        <v>1694</v>
      </c>
      <c r="I1522" s="122"/>
      <c r="J1522" s="244">
        <v>0.55000000000000004</v>
      </c>
      <c r="K1522" s="246"/>
      <c r="L1522" s="282"/>
      <c r="M1522" s="244">
        <v>0.9</v>
      </c>
      <c r="N1522" s="246"/>
      <c r="O1522" s="282"/>
      <c r="P1522" s="244">
        <v>1.5</v>
      </c>
      <c r="Q1522" s="246"/>
      <c r="R1522" s="282"/>
      <c r="S1522" s="244">
        <v>2</v>
      </c>
      <c r="T1522" s="246"/>
      <c r="U1522" s="282"/>
      <c r="V1522" s="244">
        <v>2.5</v>
      </c>
      <c r="W1522" s="246"/>
      <c r="X1522" s="282"/>
      <c r="Y1522" s="244">
        <v>2.37</v>
      </c>
      <c r="Z1522" s="246"/>
      <c r="AA1522" s="282"/>
      <c r="AB1522" s="244">
        <v>2.5</v>
      </c>
      <c r="AC1522" s="246"/>
      <c r="AD1522" s="282"/>
      <c r="AE1522" s="244">
        <v>2.5</v>
      </c>
      <c r="AF1522" s="246"/>
      <c r="AG1522" s="282"/>
      <c r="AH1522" s="244">
        <v>2</v>
      </c>
      <c r="AI1522" s="246"/>
      <c r="AJ1522" s="282"/>
      <c r="AK1522" s="244">
        <v>1.5</v>
      </c>
      <c r="AL1522" s="246"/>
      <c r="AM1522" s="282"/>
      <c r="AN1522" s="244">
        <v>0.8</v>
      </c>
      <c r="AO1522" s="246"/>
      <c r="AP1522" s="282"/>
      <c r="AQ1522" s="244">
        <v>0.5</v>
      </c>
      <c r="AR1522" s="246"/>
      <c r="AS1522" s="282"/>
      <c r="AT1522" s="244">
        <f t="shared" si="60"/>
        <v>19.62</v>
      </c>
      <c r="AU1522" s="246"/>
      <c r="AV1522" s="336"/>
      <c r="AW1522" s="285"/>
      <c r="AX1522" s="249"/>
      <c r="AY1522" s="338"/>
      <c r="AZ1522" s="357"/>
      <c r="BA1522"/>
      <c r="BB1522"/>
      <c r="BC1522"/>
    </row>
    <row r="1523" spans="1:55" s="24" customFormat="1">
      <c r="A1523" s="179"/>
      <c r="B1523" s="179"/>
      <c r="C1523" s="179"/>
      <c r="D1523" s="181"/>
      <c r="E1523" s="181"/>
      <c r="F1523" s="181"/>
      <c r="G1523" s="1211">
        <v>777398</v>
      </c>
      <c r="H1523" s="795" t="s">
        <v>1695</v>
      </c>
      <c r="I1523" s="122"/>
      <c r="J1523" s="244">
        <v>0</v>
      </c>
      <c r="K1523" s="246"/>
      <c r="L1523" s="282"/>
      <c r="M1523" s="244">
        <v>0</v>
      </c>
      <c r="N1523" s="246"/>
      <c r="O1523" s="282"/>
      <c r="P1523" s="244">
        <v>0</v>
      </c>
      <c r="Q1523" s="246"/>
      <c r="R1523" s="282"/>
      <c r="S1523" s="244">
        <v>0</v>
      </c>
      <c r="T1523" s="246"/>
      <c r="U1523" s="282"/>
      <c r="V1523" s="244">
        <v>0</v>
      </c>
      <c r="W1523" s="246"/>
      <c r="X1523" s="282"/>
      <c r="Y1523" s="244">
        <v>0</v>
      </c>
      <c r="Z1523" s="246"/>
      <c r="AA1523" s="282"/>
      <c r="AB1523" s="244">
        <v>0</v>
      </c>
      <c r="AC1523" s="246"/>
      <c r="AD1523" s="282"/>
      <c r="AE1523" s="244">
        <v>0</v>
      </c>
      <c r="AF1523" s="246"/>
      <c r="AG1523" s="282"/>
      <c r="AH1523" s="244">
        <v>0</v>
      </c>
      <c r="AI1523" s="246"/>
      <c r="AJ1523" s="282"/>
      <c r="AK1523" s="244">
        <v>0</v>
      </c>
      <c r="AL1523" s="246"/>
      <c r="AM1523" s="282"/>
      <c r="AN1523" s="244">
        <v>0</v>
      </c>
      <c r="AO1523" s="246"/>
      <c r="AP1523" s="282"/>
      <c r="AQ1523" s="244">
        <v>0.7586392258064516</v>
      </c>
      <c r="AR1523" s="246"/>
      <c r="AS1523" s="282"/>
      <c r="AT1523" s="244">
        <f t="shared" si="60"/>
        <v>0.7586392258064516</v>
      </c>
      <c r="AU1523" s="246"/>
      <c r="AV1523" s="336"/>
      <c r="AW1523" s="285"/>
      <c r="AX1523" s="249"/>
      <c r="AY1523" s="338"/>
      <c r="AZ1523" s="357"/>
      <c r="BA1523"/>
      <c r="BB1523"/>
      <c r="BC1523"/>
    </row>
    <row r="1524" spans="1:55" s="24" customFormat="1">
      <c r="A1524" s="179"/>
      <c r="B1524" s="179"/>
      <c r="C1524" s="179"/>
      <c r="D1524" s="181"/>
      <c r="E1524" s="181"/>
      <c r="F1524" s="181"/>
      <c r="G1524" s="1110"/>
      <c r="H1524" s="138" t="s">
        <v>174</v>
      </c>
      <c r="I1524" s="138"/>
      <c r="J1524" s="319">
        <f>SUM(J1525:J1526)</f>
        <v>155.27273631420101</v>
      </c>
      <c r="K1524" s="288"/>
      <c r="L1524" s="289"/>
      <c r="M1524" s="287">
        <f>SUM(M1525:M1526)</f>
        <v>141.55236547513599</v>
      </c>
      <c r="N1524" s="288"/>
      <c r="O1524" s="289"/>
      <c r="P1524" s="287">
        <f>SUM(P1525:P1526)</f>
        <v>136.51227368901399</v>
      </c>
      <c r="Q1524" s="288"/>
      <c r="R1524" s="289"/>
      <c r="S1524" s="287">
        <f>SUM(S1525:S1526)</f>
        <v>120.16289025504121</v>
      </c>
      <c r="T1524" s="288"/>
      <c r="U1524" s="289"/>
      <c r="V1524" s="287">
        <f>SUM(V1525:V1526)</f>
        <v>117.6204899489247</v>
      </c>
      <c r="W1524" s="288"/>
      <c r="X1524" s="289"/>
      <c r="Y1524" s="287">
        <f>SUM(Y1525:Y1526)</f>
        <v>102.50431018990247</v>
      </c>
      <c r="Z1524" s="288"/>
      <c r="AA1524" s="289"/>
      <c r="AB1524" s="287">
        <f>SUM(AB1525:AB1526)</f>
        <v>98.15095444000923</v>
      </c>
      <c r="AC1524" s="288"/>
      <c r="AD1524" s="289"/>
      <c r="AE1524" s="287">
        <f>SUM(AE1525:AE1526)</f>
        <v>108.29910765836384</v>
      </c>
      <c r="AF1524" s="288"/>
      <c r="AG1524" s="289"/>
      <c r="AH1524" s="287">
        <f>SUM(AH1525:AH1526)</f>
        <v>118.79472614855547</v>
      </c>
      <c r="AI1524" s="288"/>
      <c r="AJ1524" s="289"/>
      <c r="AK1524" s="287">
        <f>SUM(AK1525:AK1526)</f>
        <v>136.44931776868376</v>
      </c>
      <c r="AL1524" s="288"/>
      <c r="AM1524" s="289"/>
      <c r="AN1524" s="287">
        <f>SUM(AN1525:AN1526)</f>
        <v>144.4583780304196</v>
      </c>
      <c r="AO1524" s="288"/>
      <c r="AP1524" s="289"/>
      <c r="AQ1524" s="287">
        <f>SUM(AQ1525:AQ1526)</f>
        <v>154.75191039944201</v>
      </c>
      <c r="AR1524" s="288"/>
      <c r="AS1524" s="289"/>
      <c r="AT1524" s="287">
        <f>SUM(AT1525:AT1526)</f>
        <v>1534.5294603176933</v>
      </c>
      <c r="AU1524" s="288"/>
      <c r="AV1524" s="290"/>
      <c r="AW1524" s="285"/>
      <c r="AX1524" s="295"/>
      <c r="AY1524" s="436">
        <v>1480.2214919999999</v>
      </c>
      <c r="AZ1524" s="357"/>
      <c r="BA1524"/>
      <c r="BB1524"/>
      <c r="BC1524"/>
    </row>
    <row r="1525" spans="1:55" s="24" customFormat="1">
      <c r="A1525" s="179"/>
      <c r="B1525" s="179"/>
      <c r="C1525" s="179"/>
      <c r="D1525" s="181">
        <v>362342</v>
      </c>
      <c r="E1525" s="181"/>
      <c r="F1525" s="181"/>
      <c r="G1525" s="1110">
        <v>362342</v>
      </c>
      <c r="H1525" s="136" t="s">
        <v>488</v>
      </c>
      <c r="I1525" s="518" t="s">
        <v>364</v>
      </c>
      <c r="J1525" s="294">
        <v>152.44553631420101</v>
      </c>
      <c r="K1525" s="288"/>
      <c r="L1525" s="289"/>
      <c r="M1525" s="294">
        <v>139.13060447513598</v>
      </c>
      <c r="N1525" s="288"/>
      <c r="O1525" s="289"/>
      <c r="P1525" s="294">
        <v>134.81270868901399</v>
      </c>
      <c r="Q1525" s="288"/>
      <c r="R1525" s="289"/>
      <c r="S1525" s="294">
        <v>119.19347425504121</v>
      </c>
      <c r="T1525" s="288"/>
      <c r="U1525" s="289"/>
      <c r="V1525" s="294">
        <v>117.6204899489247</v>
      </c>
      <c r="W1525" s="288"/>
      <c r="X1525" s="289"/>
      <c r="Y1525" s="294">
        <v>102.50431018990247</v>
      </c>
      <c r="Z1525" s="288"/>
      <c r="AA1525" s="289"/>
      <c r="AB1525" s="294">
        <v>98.15095444000923</v>
      </c>
      <c r="AC1525" s="288"/>
      <c r="AD1525" s="289"/>
      <c r="AE1525" s="294">
        <v>108.29910765836384</v>
      </c>
      <c r="AF1525" s="288"/>
      <c r="AG1525" s="289"/>
      <c r="AH1525" s="294">
        <v>118.79472614855547</v>
      </c>
      <c r="AI1525" s="288"/>
      <c r="AJ1525" s="289"/>
      <c r="AK1525" s="294">
        <v>136.44931776868376</v>
      </c>
      <c r="AL1525" s="288"/>
      <c r="AM1525" s="289"/>
      <c r="AN1525" s="294">
        <v>143.53059403041959</v>
      </c>
      <c r="AO1525" s="288"/>
      <c r="AP1525" s="289"/>
      <c r="AQ1525" s="294">
        <v>152.073510399442</v>
      </c>
      <c r="AR1525" s="288"/>
      <c r="AS1525" s="289"/>
      <c r="AT1525" s="294">
        <f t="shared" si="60"/>
        <v>1523.0053343176933</v>
      </c>
      <c r="AU1525" s="288"/>
      <c r="AV1525" s="290"/>
      <c r="AW1525" s="285"/>
      <c r="AX1525" s="295"/>
      <c r="AY1525" s="437">
        <v>1466.986118</v>
      </c>
      <c r="AZ1525" s="357"/>
      <c r="BA1525"/>
      <c r="BB1525"/>
      <c r="BC1525"/>
    </row>
    <row r="1526" spans="1:55" s="24" customFormat="1">
      <c r="A1526" s="179"/>
      <c r="B1526" s="179"/>
      <c r="C1526" s="179"/>
      <c r="D1526" s="181">
        <v>362340</v>
      </c>
      <c r="E1526" s="181"/>
      <c r="F1526" s="181"/>
      <c r="G1526" s="1110">
        <v>362340</v>
      </c>
      <c r="H1526" s="145" t="s">
        <v>489</v>
      </c>
      <c r="I1526" s="518" t="s">
        <v>365</v>
      </c>
      <c r="J1526" s="294">
        <v>2.8271999999999999</v>
      </c>
      <c r="K1526" s="288"/>
      <c r="L1526" s="289"/>
      <c r="M1526" s="294">
        <v>2.4217610000000001</v>
      </c>
      <c r="N1526" s="288"/>
      <c r="O1526" s="289"/>
      <c r="P1526" s="294">
        <v>1.699565</v>
      </c>
      <c r="Q1526" s="288"/>
      <c r="R1526" s="289"/>
      <c r="S1526" s="294">
        <v>0.96941600000000006</v>
      </c>
      <c r="T1526" s="288"/>
      <c r="U1526" s="289"/>
      <c r="V1526" s="294">
        <v>0</v>
      </c>
      <c r="W1526" s="288"/>
      <c r="X1526" s="289"/>
      <c r="Y1526" s="294">
        <v>0</v>
      </c>
      <c r="Z1526" s="288"/>
      <c r="AA1526" s="289"/>
      <c r="AB1526" s="294">
        <v>0</v>
      </c>
      <c r="AC1526" s="288"/>
      <c r="AD1526" s="289"/>
      <c r="AE1526" s="294">
        <v>0</v>
      </c>
      <c r="AF1526" s="288"/>
      <c r="AG1526" s="289"/>
      <c r="AH1526" s="294">
        <v>0</v>
      </c>
      <c r="AI1526" s="288"/>
      <c r="AJ1526" s="289"/>
      <c r="AK1526" s="294">
        <v>0</v>
      </c>
      <c r="AL1526" s="288"/>
      <c r="AM1526" s="289"/>
      <c r="AN1526" s="294">
        <v>0.92778399999999994</v>
      </c>
      <c r="AO1526" s="288"/>
      <c r="AP1526" s="289"/>
      <c r="AQ1526" s="294">
        <v>2.6783999999999999</v>
      </c>
      <c r="AR1526" s="288"/>
      <c r="AS1526" s="289"/>
      <c r="AT1526" s="294">
        <f t="shared" si="60"/>
        <v>11.524125999999999</v>
      </c>
      <c r="AU1526" s="288"/>
      <c r="AV1526" s="290"/>
      <c r="AW1526" s="285"/>
      <c r="AX1526" s="295"/>
      <c r="AY1526" s="313">
        <f>AY1524-AY1525</f>
        <v>13.235373999999865</v>
      </c>
      <c r="AZ1526" s="357"/>
      <c r="BA1526"/>
      <c r="BB1526"/>
      <c r="BC1526"/>
    </row>
    <row r="1527" spans="1:55" s="24" customFormat="1" ht="18.75">
      <c r="A1527" s="179"/>
      <c r="B1527" s="179"/>
      <c r="C1527" s="179"/>
      <c r="D1527" s="181">
        <v>357000</v>
      </c>
      <c r="E1527" s="181"/>
      <c r="F1527" s="181"/>
      <c r="G1527" s="181">
        <v>357000</v>
      </c>
      <c r="H1527" s="474" t="s">
        <v>1639</v>
      </c>
      <c r="I1527" s="474"/>
      <c r="J1527" s="277">
        <f>SUM(J1528:J1530)</f>
        <v>4734.0170821982692</v>
      </c>
      <c r="K1527" s="275">
        <f>L1527-J1527</f>
        <v>754.18291780173058</v>
      </c>
      <c r="L1527" s="276">
        <f>Потребление!D87</f>
        <v>5488.2</v>
      </c>
      <c r="M1527" s="277">
        <f>SUM(M1528:M1530)</f>
        <v>4389.5105454386148</v>
      </c>
      <c r="N1527" s="275">
        <f>O1527-M1527</f>
        <v>711.08945456138554</v>
      </c>
      <c r="O1527" s="276">
        <f>Потребление!E87</f>
        <v>5100.6000000000004</v>
      </c>
      <c r="P1527" s="277">
        <f>SUM(P1528:P1530)</f>
        <v>4346.1853608028896</v>
      </c>
      <c r="Q1527" s="275">
        <f>R1527-P1527</f>
        <v>593.01463919711023</v>
      </c>
      <c r="R1527" s="276">
        <f>Потребление!F87</f>
        <v>4939.2</v>
      </c>
      <c r="S1527" s="277">
        <f>SUM(S1528:S1530)</f>
        <v>4096.7642577613969</v>
      </c>
      <c r="T1527" s="275">
        <f>U1527-S1527</f>
        <v>338.13574223860269</v>
      </c>
      <c r="U1527" s="276">
        <f>Потребление!G87</f>
        <v>4434.8999999999996</v>
      </c>
      <c r="V1527" s="277">
        <f>SUM(V1528:V1530)</f>
        <v>4280.0806339060573</v>
      </c>
      <c r="W1527" s="275">
        <f>X1527-V1527</f>
        <v>-11.480633906056937</v>
      </c>
      <c r="X1527" s="276">
        <f>Потребление!H87</f>
        <v>4268.6000000000004</v>
      </c>
      <c r="Y1527" s="277">
        <f>SUM(Y1528:Y1530)</f>
        <v>4097.605851824098</v>
      </c>
      <c r="Z1527" s="275">
        <f>AA1527-Y1527</f>
        <v>-160.70585182409786</v>
      </c>
      <c r="AA1527" s="276">
        <f>Потребление!I87</f>
        <v>3936.9</v>
      </c>
      <c r="AB1527" s="277">
        <f>SUM(AB1528:AB1530)</f>
        <v>4308.9165373629021</v>
      </c>
      <c r="AC1527" s="275">
        <f>AD1527-AB1527</f>
        <v>-341.61653736290191</v>
      </c>
      <c r="AD1527" s="276">
        <f>Потребление!J87</f>
        <v>3967.3</v>
      </c>
      <c r="AE1527" s="277">
        <f>SUM(AE1528:AE1530)</f>
        <v>4515.8347781733228</v>
      </c>
      <c r="AF1527" s="275">
        <f>AG1527-AE1527</f>
        <v>-467.43477817332268</v>
      </c>
      <c r="AG1527" s="276">
        <f>Потребление!K87</f>
        <v>4048.4</v>
      </c>
      <c r="AH1527" s="277">
        <f>SUM(AH1528:AH1530)</f>
        <v>4359.4791768303203</v>
      </c>
      <c r="AI1527" s="275">
        <f>AJ1527-AH1527</f>
        <v>-179.37917683031992</v>
      </c>
      <c r="AJ1527" s="276">
        <f>Потребление!L87</f>
        <v>4180.1000000000004</v>
      </c>
      <c r="AK1527" s="277">
        <f>SUM(AK1528:AK1530)</f>
        <v>4837.2435597588674</v>
      </c>
      <c r="AL1527" s="275">
        <f>AM1527-AK1527</f>
        <v>-119.04355975886756</v>
      </c>
      <c r="AM1527" s="276">
        <f>Потребление!M87</f>
        <v>4718.2</v>
      </c>
      <c r="AN1527" s="277">
        <f>SUM(AN1528:AN1530)</f>
        <v>4655.6735619710153</v>
      </c>
      <c r="AO1527" s="275">
        <f>AP1527-AN1527</f>
        <v>372.62643802898492</v>
      </c>
      <c r="AP1527" s="276">
        <f>Потребление!N87</f>
        <v>5028.3</v>
      </c>
      <c r="AQ1527" s="277">
        <f>SUM(AQ1528:AQ1530)</f>
        <v>5162.9427786452907</v>
      </c>
      <c r="AR1527" s="275">
        <f>AS1527-AQ1527</f>
        <v>526.67722135471013</v>
      </c>
      <c r="AS1527" s="276">
        <f>Потребление!O87</f>
        <v>5689.6200000000008</v>
      </c>
      <c r="AT1527" s="277">
        <f>SUM(AT1528:AT1530)</f>
        <v>53784.254124673047</v>
      </c>
      <c r="AU1527" s="275">
        <f>AV1527-AT1527</f>
        <v>2016.0658753269527</v>
      </c>
      <c r="AV1527" s="278">
        <f>L1527+O1527+R1527+U1527+X1527+AA1527+AD1527+AG1527+AJ1527+AM1527+AP1527+AS1527</f>
        <v>55800.32</v>
      </c>
      <c r="AW1527" s="279"/>
      <c r="AX1527" s="1067">
        <v>55056.446664000003</v>
      </c>
      <c r="AY1527" s="298">
        <f>AY1528+AY1529+AY1530</f>
        <v>50945.411957999997</v>
      </c>
      <c r="AZ1527" s="357"/>
      <c r="BA1527"/>
      <c r="BB1527"/>
      <c r="BC1527"/>
    </row>
    <row r="1528" spans="1:55" s="24" customFormat="1">
      <c r="A1528" s="179"/>
      <c r="B1528" s="179"/>
      <c r="C1528" s="179"/>
      <c r="D1528" s="181"/>
      <c r="E1528" s="181"/>
      <c r="F1528" s="181"/>
      <c r="G1528" s="181"/>
      <c r="H1528" s="126" t="s">
        <v>56</v>
      </c>
      <c r="I1528" s="126"/>
      <c r="J1528" s="223">
        <f>SUM(J1531:J1543)</f>
        <v>1454.1970000000001</v>
      </c>
      <c r="K1528" s="271"/>
      <c r="L1528" s="224"/>
      <c r="M1528" s="270">
        <f>SUM(M1531:M1543)</f>
        <v>1422.202</v>
      </c>
      <c r="N1528" s="271"/>
      <c r="O1528" s="224"/>
      <c r="P1528" s="270">
        <f>SUM(P1531:P1543)</f>
        <v>1177.155</v>
      </c>
      <c r="Q1528" s="271"/>
      <c r="R1528" s="224"/>
      <c r="S1528" s="270">
        <f>SUM(S1531:S1543)</f>
        <v>1060.9809999999995</v>
      </c>
      <c r="T1528" s="271"/>
      <c r="U1528" s="224"/>
      <c r="V1528" s="270">
        <f>SUM(V1531:V1543)</f>
        <v>688.92400000000009</v>
      </c>
      <c r="W1528" s="271"/>
      <c r="X1528" s="224"/>
      <c r="Y1528" s="270">
        <f>SUM(Y1531:Y1543)</f>
        <v>592.70699999999999</v>
      </c>
      <c r="Z1528" s="271"/>
      <c r="AA1528" s="224"/>
      <c r="AB1528" s="270">
        <f>SUM(AB1531:AB1543)</f>
        <v>475.52800000000002</v>
      </c>
      <c r="AC1528" s="271"/>
      <c r="AD1528" s="224"/>
      <c r="AE1528" s="270">
        <f>SUM(AE1531:AE1543)</f>
        <v>578.14799999999991</v>
      </c>
      <c r="AF1528" s="271"/>
      <c r="AG1528" s="224"/>
      <c r="AH1528" s="270">
        <f>SUM(AH1531:AH1543)</f>
        <v>483.23499999999996</v>
      </c>
      <c r="AI1528" s="271"/>
      <c r="AJ1528" s="224"/>
      <c r="AK1528" s="270">
        <f>SUM(AK1531:AK1543)</f>
        <v>859.43400000000008</v>
      </c>
      <c r="AL1528" s="271"/>
      <c r="AM1528" s="224"/>
      <c r="AN1528" s="270">
        <f>SUM(AN1531:AN1543)</f>
        <v>1355.643</v>
      </c>
      <c r="AO1528" s="271"/>
      <c r="AP1528" s="224"/>
      <c r="AQ1528" s="270">
        <f>SUM(AQ1531:AQ1543)</f>
        <v>1829.663</v>
      </c>
      <c r="AR1528" s="271"/>
      <c r="AS1528" s="224"/>
      <c r="AT1528" s="270">
        <f>SUM(AT1531:AT1543)</f>
        <v>11977.816999999999</v>
      </c>
      <c r="AU1528" s="271"/>
      <c r="AV1528" s="229"/>
      <c r="AW1528" s="226"/>
      <c r="AX1528" s="230"/>
      <c r="AY1528" s="231">
        <f>SUM(AY1531:AY1543)</f>
        <v>12896.616021999998</v>
      </c>
      <c r="AZ1528" s="357"/>
      <c r="BA1528"/>
      <c r="BB1528"/>
      <c r="BC1528"/>
    </row>
    <row r="1529" spans="1:55" s="109" customFormat="1">
      <c r="A1529" s="179"/>
      <c r="B1529" s="179"/>
      <c r="C1529" s="179"/>
      <c r="D1529" s="181"/>
      <c r="E1529" s="181"/>
      <c r="F1529" s="181"/>
      <c r="G1529" s="181"/>
      <c r="H1529" s="126" t="s">
        <v>55</v>
      </c>
      <c r="I1529" s="126"/>
      <c r="J1529" s="223">
        <f>SUM(J1544:J1547)</f>
        <v>3204.1300451982688</v>
      </c>
      <c r="K1529" s="271"/>
      <c r="L1529" s="224"/>
      <c r="M1529" s="223">
        <f>SUM(M1544:M1547)</f>
        <v>2897.9296066079937</v>
      </c>
      <c r="N1529" s="271"/>
      <c r="O1529" s="224"/>
      <c r="P1529" s="223">
        <f>SUM(P1544:P1547)</f>
        <v>3090.6780468028901</v>
      </c>
      <c r="Q1529" s="271"/>
      <c r="R1529" s="224"/>
      <c r="S1529" s="223">
        <f>SUM(S1544:S1547)</f>
        <v>2957.8127967613973</v>
      </c>
      <c r="T1529" s="271"/>
      <c r="U1529" s="224"/>
      <c r="V1529" s="223">
        <f>SUM(V1544:V1547)</f>
        <v>3515.0747499060567</v>
      </c>
      <c r="W1529" s="271"/>
      <c r="X1529" s="224"/>
      <c r="Y1529" s="223">
        <f>SUM(Y1544:Y1547)</f>
        <v>3449.2552338240985</v>
      </c>
      <c r="Z1529" s="271"/>
      <c r="AA1529" s="224"/>
      <c r="AB1529" s="223">
        <f>SUM(AB1544:AB1547)</f>
        <v>3779.9708873629015</v>
      </c>
      <c r="AC1529" s="271"/>
      <c r="AD1529" s="224"/>
      <c r="AE1529" s="223">
        <f>SUM(AE1544:AE1547)</f>
        <v>3858.0214531733227</v>
      </c>
      <c r="AF1529" s="271"/>
      <c r="AG1529" s="224"/>
      <c r="AH1529" s="223">
        <f>SUM(AH1544:AH1547)</f>
        <v>3797.7357518303206</v>
      </c>
      <c r="AI1529" s="271"/>
      <c r="AJ1529" s="224"/>
      <c r="AK1529" s="223">
        <f>SUM(AK1544:AK1547)</f>
        <v>3895.3660807588676</v>
      </c>
      <c r="AL1529" s="271"/>
      <c r="AM1529" s="224"/>
      <c r="AN1529" s="223">
        <f>SUM(AN1544:AN1547)</f>
        <v>3220.7816289710154</v>
      </c>
      <c r="AO1529" s="271"/>
      <c r="AP1529" s="224"/>
      <c r="AQ1529" s="223">
        <f>SUM(AQ1544:AQ1547)</f>
        <v>3254.2341746452908</v>
      </c>
      <c r="AR1529" s="271"/>
      <c r="AS1529" s="224"/>
      <c r="AT1529" s="223">
        <f>SUM(AT1544:AT1547)</f>
        <v>40920.990455842431</v>
      </c>
      <c r="AU1529" s="271"/>
      <c r="AV1529" s="229"/>
      <c r="AW1529" s="226"/>
      <c r="AX1529" s="230"/>
      <c r="AY1529" s="231">
        <f>SUM(AY1544:AY1547)</f>
        <v>37150.329361000004</v>
      </c>
      <c r="AZ1529" s="368"/>
      <c r="BA1529"/>
      <c r="BB1529"/>
      <c r="BC1529"/>
    </row>
    <row r="1530" spans="1:55" s="24" customFormat="1">
      <c r="A1530" s="179"/>
      <c r="B1530" s="179"/>
      <c r="C1530" s="179"/>
      <c r="D1530" s="181"/>
      <c r="E1530" s="181"/>
      <c r="F1530" s="181"/>
      <c r="G1530" s="181"/>
      <c r="H1530" s="124" t="s">
        <v>184</v>
      </c>
      <c r="I1530" s="124"/>
      <c r="J1530" s="223">
        <f>J1548</f>
        <v>75.69003699999999</v>
      </c>
      <c r="K1530" s="271"/>
      <c r="L1530" s="224"/>
      <c r="M1530" s="223">
        <f>M1548</f>
        <v>69.378938830621394</v>
      </c>
      <c r="N1530" s="271"/>
      <c r="O1530" s="224"/>
      <c r="P1530" s="223">
        <f>P1548</f>
        <v>78.352314000000007</v>
      </c>
      <c r="Q1530" s="271"/>
      <c r="R1530" s="224"/>
      <c r="S1530" s="223">
        <f>S1548</f>
        <v>77.970461</v>
      </c>
      <c r="T1530" s="271"/>
      <c r="U1530" s="224"/>
      <c r="V1530" s="223">
        <f>V1548</f>
        <v>76.081884000000002</v>
      </c>
      <c r="W1530" s="271"/>
      <c r="X1530" s="224"/>
      <c r="Y1530" s="223">
        <f>Y1548</f>
        <v>55.643618000000004</v>
      </c>
      <c r="Z1530" s="271"/>
      <c r="AA1530" s="224"/>
      <c r="AB1530" s="223">
        <f>AB1548</f>
        <v>53.417650000000002</v>
      </c>
      <c r="AC1530" s="271"/>
      <c r="AD1530" s="224"/>
      <c r="AE1530" s="223">
        <f>AE1548</f>
        <v>79.665324999999996</v>
      </c>
      <c r="AF1530" s="271"/>
      <c r="AG1530" s="224"/>
      <c r="AH1530" s="223">
        <f>AH1548</f>
        <v>78.508425000000003</v>
      </c>
      <c r="AI1530" s="271"/>
      <c r="AJ1530" s="224"/>
      <c r="AK1530" s="223">
        <f>AK1548</f>
        <v>82.443478999999996</v>
      </c>
      <c r="AL1530" s="271"/>
      <c r="AM1530" s="224"/>
      <c r="AN1530" s="223">
        <f>AN1548</f>
        <v>79.248932999999994</v>
      </c>
      <c r="AO1530" s="271"/>
      <c r="AP1530" s="224"/>
      <c r="AQ1530" s="223">
        <f>AQ1548</f>
        <v>79.045603999999997</v>
      </c>
      <c r="AR1530" s="271"/>
      <c r="AS1530" s="224"/>
      <c r="AT1530" s="223">
        <f>AT1548</f>
        <v>885.44666883062132</v>
      </c>
      <c r="AU1530" s="271"/>
      <c r="AV1530" s="229"/>
      <c r="AW1530" s="226"/>
      <c r="AX1530" s="230"/>
      <c r="AY1530" s="231">
        <f>AY1548</f>
        <v>898.46657500000003</v>
      </c>
      <c r="AZ1530" s="357"/>
      <c r="BA1530"/>
      <c r="BB1530"/>
      <c r="BC1530"/>
    </row>
    <row r="1531" spans="1:55" s="24" customFormat="1">
      <c r="A1531" s="179"/>
      <c r="B1531" s="179"/>
      <c r="C1531" s="179"/>
      <c r="D1531" s="181">
        <v>357011</v>
      </c>
      <c r="E1531" s="181"/>
      <c r="F1531" s="181"/>
      <c r="G1531" s="1110">
        <v>357011</v>
      </c>
      <c r="H1531" s="122" t="s">
        <v>1019</v>
      </c>
      <c r="I1531" s="516" t="s">
        <v>364</v>
      </c>
      <c r="J1531" s="244">
        <v>0</v>
      </c>
      <c r="K1531" s="246"/>
      <c r="L1531" s="282"/>
      <c r="M1531" s="244">
        <v>0</v>
      </c>
      <c r="N1531" s="246"/>
      <c r="O1531" s="282"/>
      <c r="P1531" s="244">
        <v>0</v>
      </c>
      <c r="Q1531" s="246"/>
      <c r="R1531" s="282"/>
      <c r="S1531" s="244">
        <v>0</v>
      </c>
      <c r="T1531" s="246"/>
      <c r="U1531" s="282"/>
      <c r="V1531" s="244">
        <v>0</v>
      </c>
      <c r="W1531" s="246"/>
      <c r="X1531" s="282"/>
      <c r="Y1531" s="244">
        <v>0</v>
      </c>
      <c r="Z1531" s="246"/>
      <c r="AA1531" s="282"/>
      <c r="AB1531" s="244">
        <v>0</v>
      </c>
      <c r="AC1531" s="246"/>
      <c r="AD1531" s="282"/>
      <c r="AE1531" s="244">
        <v>0</v>
      </c>
      <c r="AF1531" s="246"/>
      <c r="AG1531" s="282"/>
      <c r="AH1531" s="244">
        <v>0</v>
      </c>
      <c r="AI1531" s="246"/>
      <c r="AJ1531" s="282"/>
      <c r="AK1531" s="244">
        <v>0</v>
      </c>
      <c r="AL1531" s="246"/>
      <c r="AM1531" s="282"/>
      <c r="AN1531" s="244">
        <v>0</v>
      </c>
      <c r="AO1531" s="246"/>
      <c r="AP1531" s="282"/>
      <c r="AQ1531" s="244">
        <v>0</v>
      </c>
      <c r="AR1531" s="246"/>
      <c r="AS1531" s="282"/>
      <c r="AT1531" s="244">
        <f t="shared" ref="AT1531:AT1550" si="61">J1531+M1531+P1531+S1531+V1531+Y1531+AB1531+AE1531+AH1531+AK1531+AN1531+AQ1531</f>
        <v>0</v>
      </c>
      <c r="AU1531" s="246"/>
      <c r="AV1531" s="336"/>
      <c r="AW1531" s="285"/>
      <c r="AX1531" s="249"/>
      <c r="AY1531" s="438">
        <v>198.66259500000001</v>
      </c>
      <c r="AZ1531" s="357"/>
      <c r="BA1531"/>
      <c r="BB1531"/>
      <c r="BC1531"/>
    </row>
    <row r="1532" spans="1:55" s="24" customFormat="1">
      <c r="A1532" s="179"/>
      <c r="B1532" s="179"/>
      <c r="C1532" s="179"/>
      <c r="D1532" s="181">
        <v>357013</v>
      </c>
      <c r="E1532" s="181"/>
      <c r="F1532" s="181"/>
      <c r="G1532" s="1110">
        <v>357013</v>
      </c>
      <c r="H1532" s="122" t="s">
        <v>1020</v>
      </c>
      <c r="I1532" s="516" t="s">
        <v>364</v>
      </c>
      <c r="J1532" s="345">
        <f>107.151+5</f>
        <v>112.151</v>
      </c>
      <c r="K1532" s="246"/>
      <c r="L1532" s="282"/>
      <c r="M1532" s="345">
        <f>86.283+10</f>
        <v>96.283000000000001</v>
      </c>
      <c r="N1532" s="246"/>
      <c r="O1532" s="282"/>
      <c r="P1532" s="244">
        <v>84.563000000000002</v>
      </c>
      <c r="Q1532" s="246"/>
      <c r="R1532" s="282"/>
      <c r="S1532" s="345">
        <f>63.742+10</f>
        <v>73.74199999999999</v>
      </c>
      <c r="T1532" s="246"/>
      <c r="U1532" s="282"/>
      <c r="V1532" s="244">
        <v>56.313000000000002</v>
      </c>
      <c r="W1532" s="246"/>
      <c r="X1532" s="282"/>
      <c r="Y1532" s="244">
        <v>33.588000000000001</v>
      </c>
      <c r="Z1532" s="246"/>
      <c r="AA1532" s="282"/>
      <c r="AB1532" s="244">
        <v>40.317</v>
      </c>
      <c r="AC1532" s="246"/>
      <c r="AD1532" s="282"/>
      <c r="AE1532" s="244">
        <v>38.271000000000001</v>
      </c>
      <c r="AF1532" s="246"/>
      <c r="AG1532" s="282"/>
      <c r="AH1532" s="244">
        <v>41.140999999999998</v>
      </c>
      <c r="AI1532" s="246"/>
      <c r="AJ1532" s="282"/>
      <c r="AK1532" s="244">
        <v>62.25</v>
      </c>
      <c r="AL1532" s="246"/>
      <c r="AM1532" s="282"/>
      <c r="AN1532" s="244">
        <v>75.06</v>
      </c>
      <c r="AO1532" s="246"/>
      <c r="AP1532" s="282"/>
      <c r="AQ1532" s="345">
        <f>99.949+30</f>
        <v>129.94900000000001</v>
      </c>
      <c r="AR1532" s="246"/>
      <c r="AS1532" s="282"/>
      <c r="AT1532" s="244">
        <f t="shared" si="61"/>
        <v>843.62800000000016</v>
      </c>
      <c r="AU1532" s="246"/>
      <c r="AV1532" s="336"/>
      <c r="AW1532" s="285"/>
      <c r="AX1532" s="249"/>
      <c r="AY1532" s="438">
        <v>677.03939700000001</v>
      </c>
      <c r="AZ1532" s="357"/>
      <c r="BA1532"/>
      <c r="BB1532"/>
      <c r="BC1532"/>
    </row>
    <row r="1533" spans="1:55" s="110" customFormat="1">
      <c r="A1533" s="179"/>
      <c r="B1533" s="179"/>
      <c r="C1533" s="179"/>
      <c r="D1533" s="181">
        <v>357012</v>
      </c>
      <c r="E1533" s="181"/>
      <c r="F1533" s="181"/>
      <c r="G1533" s="1110">
        <v>357012</v>
      </c>
      <c r="H1533" s="122" t="s">
        <v>1021</v>
      </c>
      <c r="I1533" s="516" t="s">
        <v>364</v>
      </c>
      <c r="J1533" s="345">
        <f>265.147+10</f>
        <v>275.14699999999999</v>
      </c>
      <c r="K1533" s="246"/>
      <c r="L1533" s="282"/>
      <c r="M1533" s="345">
        <f>208.41+50</f>
        <v>258.40999999999997</v>
      </c>
      <c r="N1533" s="246"/>
      <c r="O1533" s="282"/>
      <c r="P1533" s="345">
        <f>177.221+40</f>
        <v>217.221</v>
      </c>
      <c r="Q1533" s="246"/>
      <c r="R1533" s="282"/>
      <c r="S1533" s="345">
        <f>116.87+70</f>
        <v>186.87</v>
      </c>
      <c r="T1533" s="246"/>
      <c r="U1533" s="282"/>
      <c r="V1533" s="345">
        <f>67.183+50</f>
        <v>117.18300000000001</v>
      </c>
      <c r="W1533" s="246"/>
      <c r="X1533" s="282"/>
      <c r="Y1533" s="345">
        <f>17.438+80</f>
        <v>97.438000000000002</v>
      </c>
      <c r="Z1533" s="246"/>
      <c r="AA1533" s="282"/>
      <c r="AB1533" s="345">
        <f>20.668+65</f>
        <v>85.668000000000006</v>
      </c>
      <c r="AC1533" s="246"/>
      <c r="AD1533" s="282"/>
      <c r="AE1533" s="345">
        <f>28.309+50</f>
        <v>78.308999999999997</v>
      </c>
      <c r="AF1533" s="246"/>
      <c r="AG1533" s="282"/>
      <c r="AH1533" s="345">
        <f>63.67+10.52</f>
        <v>74.19</v>
      </c>
      <c r="AI1533" s="246"/>
      <c r="AJ1533" s="282"/>
      <c r="AK1533" s="244">
        <v>138.63</v>
      </c>
      <c r="AL1533" s="246"/>
      <c r="AM1533" s="282"/>
      <c r="AN1533" s="1206">
        <f>209.477+30</f>
        <v>239.477</v>
      </c>
      <c r="AO1533" s="246"/>
      <c r="AP1533" s="282"/>
      <c r="AQ1533" s="345">
        <f>246.621+60</f>
        <v>306.62099999999998</v>
      </c>
      <c r="AR1533" s="246"/>
      <c r="AS1533" s="282"/>
      <c r="AT1533" s="244">
        <f t="shared" si="61"/>
        <v>2075.1640000000002</v>
      </c>
      <c r="AU1533" s="246"/>
      <c r="AV1533" s="336"/>
      <c r="AW1533" s="285"/>
      <c r="AX1533" s="249"/>
      <c r="AY1533" s="438">
        <v>1985.742399</v>
      </c>
      <c r="AZ1533" s="356"/>
      <c r="BA1533"/>
      <c r="BB1533"/>
      <c r="BC1533"/>
    </row>
    <row r="1534" spans="1:55" s="113" customFormat="1">
      <c r="A1534" s="179"/>
      <c r="B1534" s="179"/>
      <c r="C1534" s="179"/>
      <c r="D1534" s="181">
        <v>357026</v>
      </c>
      <c r="E1534" s="181"/>
      <c r="F1534" s="181"/>
      <c r="G1534" s="1110">
        <v>357026</v>
      </c>
      <c r="H1534" s="1164" t="s">
        <v>1022</v>
      </c>
      <c r="I1534" s="699" t="s">
        <v>364</v>
      </c>
      <c r="J1534" s="345">
        <f>141.36+110</f>
        <v>251.36</v>
      </c>
      <c r="K1534" s="246"/>
      <c r="L1534" s="282"/>
      <c r="M1534" s="345">
        <f>132.24+160</f>
        <v>292.24</v>
      </c>
      <c r="N1534" s="246"/>
      <c r="O1534" s="282"/>
      <c r="P1534" s="345">
        <f>93+200</f>
        <v>293</v>
      </c>
      <c r="Q1534" s="246"/>
      <c r="R1534" s="282"/>
      <c r="S1534" s="345">
        <f>79.2+230</f>
        <v>309.2</v>
      </c>
      <c r="T1534" s="246"/>
      <c r="U1534" s="282"/>
      <c r="V1534" s="345">
        <f>17.11+190</f>
        <v>207.11</v>
      </c>
      <c r="W1534" s="246"/>
      <c r="X1534" s="282"/>
      <c r="Y1534" s="345">
        <f>13.003+300</f>
        <v>313.00299999999999</v>
      </c>
      <c r="Z1534" s="246"/>
      <c r="AA1534" s="282"/>
      <c r="AB1534" s="345">
        <f>13.392+200</f>
        <v>213.392</v>
      </c>
      <c r="AC1534" s="246"/>
      <c r="AD1534" s="282"/>
      <c r="AE1534" s="345">
        <f>13.392+280</f>
        <v>293.392</v>
      </c>
      <c r="AF1534" s="246"/>
      <c r="AG1534" s="282"/>
      <c r="AH1534" s="345">
        <f>16.56+88+40</f>
        <v>144.56</v>
      </c>
      <c r="AI1534" s="246"/>
      <c r="AJ1534" s="282"/>
      <c r="AK1534" s="345">
        <f>81.84+156.77</f>
        <v>238.61</v>
      </c>
      <c r="AL1534" s="246"/>
      <c r="AM1534" s="282"/>
      <c r="AN1534" s="1205">
        <f>136.8+200</f>
        <v>336.8</v>
      </c>
      <c r="AO1534" s="246"/>
      <c r="AP1534" s="282"/>
      <c r="AQ1534" s="1205">
        <f>141.36+270</f>
        <v>411.36</v>
      </c>
      <c r="AR1534" s="246"/>
      <c r="AS1534" s="282"/>
      <c r="AT1534" s="244">
        <f t="shared" si="61"/>
        <v>3304.027</v>
      </c>
      <c r="AU1534" s="246"/>
      <c r="AV1534" s="336"/>
      <c r="AW1534" s="285"/>
      <c r="AX1534" s="249"/>
      <c r="AY1534" s="438">
        <v>4134.7773939999997</v>
      </c>
      <c r="AZ1534" s="355"/>
      <c r="BA1534"/>
      <c r="BB1534"/>
      <c r="BC1534"/>
    </row>
    <row r="1535" spans="1:55" s="113" customFormat="1">
      <c r="A1535" s="179"/>
      <c r="B1535" s="179"/>
      <c r="C1535" s="179"/>
      <c r="D1535" s="181">
        <v>357010</v>
      </c>
      <c r="E1535" s="181"/>
      <c r="F1535" s="181"/>
      <c r="G1535" s="1110">
        <v>357010</v>
      </c>
      <c r="H1535" s="122" t="s">
        <v>1023</v>
      </c>
      <c r="I1535" s="516" t="s">
        <v>364</v>
      </c>
      <c r="J1535" s="345">
        <f>80.032+20</f>
        <v>100.032</v>
      </c>
      <c r="K1535" s="246"/>
      <c r="L1535" s="282"/>
      <c r="M1535" s="345">
        <f>64.248+30</f>
        <v>94.248000000000005</v>
      </c>
      <c r="N1535" s="246"/>
      <c r="O1535" s="282"/>
      <c r="P1535" s="345">
        <f>56.641+20</f>
        <v>76.640999999999991</v>
      </c>
      <c r="Q1535" s="246"/>
      <c r="R1535" s="282"/>
      <c r="S1535" s="345">
        <f>46.8+35</f>
        <v>81.8</v>
      </c>
      <c r="T1535" s="246"/>
      <c r="U1535" s="282"/>
      <c r="V1535" s="345">
        <f>24.745+20</f>
        <v>44.745000000000005</v>
      </c>
      <c r="W1535" s="246"/>
      <c r="X1535" s="282"/>
      <c r="Y1535" s="244">
        <v>23.4</v>
      </c>
      <c r="Z1535" s="246"/>
      <c r="AA1535" s="282"/>
      <c r="AB1535" s="244">
        <v>24.18</v>
      </c>
      <c r="AC1535" s="246"/>
      <c r="AD1535" s="282"/>
      <c r="AE1535" s="244">
        <v>15.029</v>
      </c>
      <c r="AF1535" s="246"/>
      <c r="AG1535" s="282"/>
      <c r="AH1535" s="244">
        <v>20.771999999999998</v>
      </c>
      <c r="AI1535" s="246"/>
      <c r="AJ1535" s="282"/>
      <c r="AK1535" s="244">
        <v>42.386000000000003</v>
      </c>
      <c r="AL1535" s="246"/>
      <c r="AM1535" s="282"/>
      <c r="AN1535" s="1206">
        <f>56.419+40</f>
        <v>96.418999999999997</v>
      </c>
      <c r="AO1535" s="246"/>
      <c r="AP1535" s="282"/>
      <c r="AQ1535" s="345">
        <f>69.698+70</f>
        <v>139.69799999999998</v>
      </c>
      <c r="AR1535" s="246"/>
      <c r="AS1535" s="282"/>
      <c r="AT1535" s="244">
        <f t="shared" si="61"/>
        <v>759.34999999999991</v>
      </c>
      <c r="AU1535" s="246"/>
      <c r="AV1535" s="336"/>
      <c r="AW1535" s="285"/>
      <c r="AX1535" s="249"/>
      <c r="AY1535" s="438">
        <v>852.36343899999997</v>
      </c>
      <c r="AZ1535" s="355"/>
      <c r="BA1535"/>
      <c r="BB1535"/>
      <c r="BC1535"/>
    </row>
    <row r="1536" spans="1:55" s="113" customFormat="1">
      <c r="A1536" s="179"/>
      <c r="B1536" s="179"/>
      <c r="C1536" s="179"/>
      <c r="D1536" s="181">
        <v>357020</v>
      </c>
      <c r="E1536" s="181"/>
      <c r="F1536" s="181"/>
      <c r="G1536" s="1110">
        <v>357020</v>
      </c>
      <c r="H1536" s="122" t="s">
        <v>1024</v>
      </c>
      <c r="I1536" s="516" t="s">
        <v>364</v>
      </c>
      <c r="J1536" s="345">
        <f>396.693+15</f>
        <v>411.69299999999998</v>
      </c>
      <c r="K1536" s="246"/>
      <c r="L1536" s="282"/>
      <c r="M1536" s="345">
        <f>290.503+110</f>
        <v>400.50299999999999</v>
      </c>
      <c r="N1536" s="246"/>
      <c r="O1536" s="282"/>
      <c r="P1536" s="345">
        <f>278.918+29.66</f>
        <v>308.57800000000003</v>
      </c>
      <c r="Q1536" s="246"/>
      <c r="R1536" s="282"/>
      <c r="S1536" s="244">
        <v>205.47399999999999</v>
      </c>
      <c r="T1536" s="246"/>
      <c r="U1536" s="282"/>
      <c r="V1536" s="345">
        <f>126.755+20</f>
        <v>146.755</v>
      </c>
      <c r="W1536" s="246"/>
      <c r="X1536" s="282"/>
      <c r="Y1536" s="244">
        <v>47.347000000000001</v>
      </c>
      <c r="Z1536" s="246"/>
      <c r="AA1536" s="282"/>
      <c r="AB1536" s="244">
        <v>50.16</v>
      </c>
      <c r="AC1536" s="246"/>
      <c r="AD1536" s="282"/>
      <c r="AE1536" s="345">
        <f>55.48+20</f>
        <v>75.47999999999999</v>
      </c>
      <c r="AF1536" s="246"/>
      <c r="AG1536" s="282"/>
      <c r="AH1536" s="244">
        <v>86.838999999999999</v>
      </c>
      <c r="AI1536" s="246"/>
      <c r="AJ1536" s="282"/>
      <c r="AK1536" s="345">
        <f>203.424+10</f>
        <v>213.42400000000001</v>
      </c>
      <c r="AL1536" s="246"/>
      <c r="AM1536" s="282"/>
      <c r="AN1536" s="1206">
        <f>284.832+70</f>
        <v>354.83199999999999</v>
      </c>
      <c r="AO1536" s="246"/>
      <c r="AP1536" s="282"/>
      <c r="AQ1536" s="1206">
        <f>372.052+90</f>
        <v>462.05200000000002</v>
      </c>
      <c r="AR1536" s="246"/>
      <c r="AS1536" s="282"/>
      <c r="AT1536" s="244">
        <f t="shared" si="61"/>
        <v>2763.1369999999997</v>
      </c>
      <c r="AU1536" s="246"/>
      <c r="AV1536" s="336"/>
      <c r="AW1536" s="285"/>
      <c r="AX1536" s="249"/>
      <c r="AY1536" s="438">
        <v>2796.5700230000002</v>
      </c>
      <c r="AZ1536" s="355"/>
      <c r="BA1536"/>
      <c r="BB1536"/>
      <c r="BC1536"/>
    </row>
    <row r="1537" spans="1:55" s="146" customFormat="1">
      <c r="A1537" s="179"/>
      <c r="B1537" s="179"/>
      <c r="C1537" s="179"/>
      <c r="D1537" s="181">
        <v>357021</v>
      </c>
      <c r="E1537" s="181"/>
      <c r="F1537" s="181"/>
      <c r="G1537" s="1110">
        <v>357021</v>
      </c>
      <c r="H1537" s="122" t="s">
        <v>1025</v>
      </c>
      <c r="I1537" s="516" t="s">
        <v>364</v>
      </c>
      <c r="J1537" s="345">
        <f>122.172+20</f>
        <v>142.172</v>
      </c>
      <c r="K1537" s="246"/>
      <c r="L1537" s="282"/>
      <c r="M1537" s="345">
        <f>100.147+24.48</f>
        <v>124.62700000000001</v>
      </c>
      <c r="N1537" s="246"/>
      <c r="O1537" s="282"/>
      <c r="P1537" s="244">
        <v>83.825999999999993</v>
      </c>
      <c r="Q1537" s="246"/>
      <c r="R1537" s="282"/>
      <c r="S1537" s="345">
        <f>63.521+20</f>
        <v>83.521000000000001</v>
      </c>
      <c r="T1537" s="246"/>
      <c r="U1537" s="282"/>
      <c r="V1537" s="244">
        <v>55.869</v>
      </c>
      <c r="W1537" s="246"/>
      <c r="X1537" s="282"/>
      <c r="Y1537" s="244">
        <v>27.137</v>
      </c>
      <c r="Z1537" s="246"/>
      <c r="AA1537" s="282"/>
      <c r="AB1537" s="244">
        <v>28.741</v>
      </c>
      <c r="AC1537" s="246"/>
      <c r="AD1537" s="282"/>
      <c r="AE1537" s="345">
        <f>31.814+10</f>
        <v>41.814</v>
      </c>
      <c r="AF1537" s="246"/>
      <c r="AG1537" s="282"/>
      <c r="AH1537" s="244">
        <v>65.591999999999999</v>
      </c>
      <c r="AI1537" s="246"/>
      <c r="AJ1537" s="282"/>
      <c r="AK1537" s="244">
        <v>70.643000000000001</v>
      </c>
      <c r="AL1537" s="246"/>
      <c r="AM1537" s="282"/>
      <c r="AN1537" s="1206">
        <f>93.161+10</f>
        <v>103.161</v>
      </c>
      <c r="AO1537" s="246"/>
      <c r="AP1537" s="282"/>
      <c r="AQ1537" s="345">
        <f>112.232+65</f>
        <v>177.232</v>
      </c>
      <c r="AR1537" s="246"/>
      <c r="AS1537" s="282"/>
      <c r="AT1537" s="244">
        <f t="shared" si="61"/>
        <v>1004.335</v>
      </c>
      <c r="AU1537" s="246"/>
      <c r="AV1537" s="336"/>
      <c r="AW1537" s="285"/>
      <c r="AX1537" s="249"/>
      <c r="AY1537" s="438">
        <v>975.494686</v>
      </c>
      <c r="AZ1537" s="402"/>
      <c r="BA1537"/>
      <c r="BB1537"/>
      <c r="BC1537"/>
    </row>
    <row r="1538" spans="1:55" s="24" customFormat="1">
      <c r="A1538" s="179"/>
      <c r="B1538" s="179"/>
      <c r="C1538" s="179"/>
      <c r="D1538" s="181">
        <v>357022</v>
      </c>
      <c r="E1538" s="181"/>
      <c r="F1538" s="181"/>
      <c r="G1538" s="1110">
        <v>357022</v>
      </c>
      <c r="H1538" s="122" t="s">
        <v>1026</v>
      </c>
      <c r="I1538" s="516" t="s">
        <v>364</v>
      </c>
      <c r="J1538" s="345">
        <f>97.538+10</f>
        <v>107.538</v>
      </c>
      <c r="K1538" s="246"/>
      <c r="L1538" s="282"/>
      <c r="M1538" s="345">
        <f>83.332+25</f>
        <v>108.33199999999999</v>
      </c>
      <c r="N1538" s="246"/>
      <c r="O1538" s="282"/>
      <c r="P1538" s="244">
        <v>68.5</v>
      </c>
      <c r="Q1538" s="246"/>
      <c r="R1538" s="282"/>
      <c r="S1538" s="345">
        <f>47.023+40</f>
        <v>87.022999999999996</v>
      </c>
      <c r="T1538" s="246"/>
      <c r="U1538" s="282"/>
      <c r="V1538" s="345">
        <f>33.071+10</f>
        <v>43.070999999999998</v>
      </c>
      <c r="W1538" s="246"/>
      <c r="X1538" s="282"/>
      <c r="Y1538" s="345">
        <f>23.256+20</f>
        <v>43.256</v>
      </c>
      <c r="Z1538" s="246"/>
      <c r="AA1538" s="282"/>
      <c r="AB1538" s="244">
        <v>26.166</v>
      </c>
      <c r="AC1538" s="246"/>
      <c r="AD1538" s="282"/>
      <c r="AE1538" s="244">
        <v>28.882000000000001</v>
      </c>
      <c r="AF1538" s="246"/>
      <c r="AG1538" s="282"/>
      <c r="AH1538" s="244">
        <v>37.685000000000002</v>
      </c>
      <c r="AI1538" s="246"/>
      <c r="AJ1538" s="282"/>
      <c r="AK1538" s="244">
        <v>61.662999999999997</v>
      </c>
      <c r="AL1538" s="246"/>
      <c r="AM1538" s="282"/>
      <c r="AN1538" s="1206">
        <f>74.354+30</f>
        <v>104.354</v>
      </c>
      <c r="AO1538" s="246"/>
      <c r="AP1538" s="282"/>
      <c r="AQ1538" s="345">
        <f>90.731+60</f>
        <v>150.73099999999999</v>
      </c>
      <c r="AR1538" s="246"/>
      <c r="AS1538" s="282"/>
      <c r="AT1538" s="244">
        <f t="shared" si="61"/>
        <v>867.20100000000002</v>
      </c>
      <c r="AU1538" s="246"/>
      <c r="AV1538" s="336"/>
      <c r="AW1538" s="285"/>
      <c r="AX1538" s="249"/>
      <c r="AY1538" s="438">
        <v>938.31004399999995</v>
      </c>
      <c r="AZ1538" s="357"/>
      <c r="BA1538"/>
      <c r="BB1538"/>
      <c r="BC1538"/>
    </row>
    <row r="1539" spans="1:55" s="24" customFormat="1">
      <c r="A1539" s="179"/>
      <c r="B1539" s="179"/>
      <c r="C1539" s="179"/>
      <c r="D1539" s="181">
        <v>357015</v>
      </c>
      <c r="E1539" s="181"/>
      <c r="F1539" s="181"/>
      <c r="G1539" s="1110">
        <v>357015</v>
      </c>
      <c r="H1539" s="122" t="s">
        <v>1083</v>
      </c>
      <c r="I1539" s="533" t="s">
        <v>365</v>
      </c>
      <c r="J1539" s="244">
        <v>11.949</v>
      </c>
      <c r="K1539" s="246"/>
      <c r="L1539" s="282"/>
      <c r="M1539" s="244">
        <v>11.260999999999999</v>
      </c>
      <c r="N1539" s="246"/>
      <c r="O1539" s="282"/>
      <c r="P1539" s="244">
        <v>11.502000000000001</v>
      </c>
      <c r="Q1539" s="246"/>
      <c r="R1539" s="282"/>
      <c r="S1539" s="244">
        <v>8.0500000000000007</v>
      </c>
      <c r="T1539" s="246"/>
      <c r="U1539" s="282"/>
      <c r="V1539" s="244">
        <v>4.3</v>
      </c>
      <c r="W1539" s="246"/>
      <c r="X1539" s="282"/>
      <c r="Y1539" s="244">
        <v>2.4980000000000002</v>
      </c>
      <c r="Z1539" s="246"/>
      <c r="AA1539" s="282"/>
      <c r="AB1539" s="244">
        <v>1.696</v>
      </c>
      <c r="AC1539" s="246"/>
      <c r="AD1539" s="282"/>
      <c r="AE1539" s="244">
        <v>1.7629999999999999</v>
      </c>
      <c r="AF1539" s="246"/>
      <c r="AG1539" s="282"/>
      <c r="AH1539" s="244">
        <v>3.2829999999999999</v>
      </c>
      <c r="AI1539" s="246"/>
      <c r="AJ1539" s="282"/>
      <c r="AK1539" s="244">
        <v>6.8</v>
      </c>
      <c r="AL1539" s="246"/>
      <c r="AM1539" s="282"/>
      <c r="AN1539" s="244">
        <v>11.657</v>
      </c>
      <c r="AO1539" s="246"/>
      <c r="AP1539" s="282"/>
      <c r="AQ1539" s="244">
        <v>11.888999999999999</v>
      </c>
      <c r="AR1539" s="246"/>
      <c r="AS1539" s="282"/>
      <c r="AT1539" s="244">
        <f t="shared" si="61"/>
        <v>86.647999999999982</v>
      </c>
      <c r="AU1539" s="246"/>
      <c r="AV1539" s="336"/>
      <c r="AW1539" s="285"/>
      <c r="AX1539" s="249"/>
      <c r="AY1539" s="438">
        <v>87.90795</v>
      </c>
      <c r="AZ1539" s="357"/>
      <c r="BA1539"/>
      <c r="BB1539"/>
      <c r="BC1539"/>
    </row>
    <row r="1540" spans="1:55" s="24" customFormat="1">
      <c r="A1540" s="179"/>
      <c r="B1540" s="179"/>
      <c r="C1540" s="179"/>
      <c r="D1540" s="181">
        <v>357018</v>
      </c>
      <c r="E1540" s="181"/>
      <c r="F1540" s="181"/>
      <c r="G1540" s="1110">
        <v>357018</v>
      </c>
      <c r="H1540" s="125" t="s">
        <v>343</v>
      </c>
      <c r="I1540" s="533" t="s">
        <v>365</v>
      </c>
      <c r="J1540" s="244">
        <v>8.9280000000000008</v>
      </c>
      <c r="K1540" s="246"/>
      <c r="L1540" s="282"/>
      <c r="M1540" s="244">
        <v>8.0530000000000008</v>
      </c>
      <c r="N1540" s="246"/>
      <c r="O1540" s="282"/>
      <c r="P1540" s="244">
        <v>8.8390000000000004</v>
      </c>
      <c r="Q1540" s="246"/>
      <c r="R1540" s="282"/>
      <c r="S1540" s="244">
        <v>7.798</v>
      </c>
      <c r="T1540" s="246"/>
      <c r="U1540" s="282"/>
      <c r="V1540" s="244">
        <v>2.403</v>
      </c>
      <c r="W1540" s="246"/>
      <c r="X1540" s="282"/>
      <c r="Y1540" s="244">
        <v>2.16</v>
      </c>
      <c r="Z1540" s="246"/>
      <c r="AA1540" s="282"/>
      <c r="AB1540" s="244">
        <v>2.2320000000000002</v>
      </c>
      <c r="AC1540" s="246"/>
      <c r="AD1540" s="282"/>
      <c r="AE1540" s="244">
        <v>2.2320000000000002</v>
      </c>
      <c r="AF1540" s="246"/>
      <c r="AG1540" s="282"/>
      <c r="AH1540" s="244">
        <v>3.0960000000000001</v>
      </c>
      <c r="AI1540" s="246"/>
      <c r="AJ1540" s="282"/>
      <c r="AK1540" s="244">
        <v>8.7789999999999999</v>
      </c>
      <c r="AL1540" s="246"/>
      <c r="AM1540" s="282"/>
      <c r="AN1540" s="244">
        <v>8.4890000000000008</v>
      </c>
      <c r="AO1540" s="246"/>
      <c r="AP1540" s="282"/>
      <c r="AQ1540" s="244">
        <v>8.9280000000000008</v>
      </c>
      <c r="AR1540" s="246"/>
      <c r="AS1540" s="282"/>
      <c r="AT1540" s="244">
        <f t="shared" si="61"/>
        <v>71.936999999999998</v>
      </c>
      <c r="AU1540" s="246"/>
      <c r="AV1540" s="336"/>
      <c r="AW1540" s="285"/>
      <c r="AX1540" s="249"/>
      <c r="AY1540" s="438">
        <v>67.193836000000005</v>
      </c>
      <c r="AZ1540" s="357"/>
      <c r="BA1540"/>
      <c r="BB1540"/>
      <c r="BC1540"/>
    </row>
    <row r="1541" spans="1:55" s="24" customFormat="1">
      <c r="A1541" s="179"/>
      <c r="B1541" s="179"/>
      <c r="C1541" s="179"/>
      <c r="D1541" s="181">
        <v>357019</v>
      </c>
      <c r="E1541" s="181"/>
      <c r="F1541" s="181"/>
      <c r="G1541" s="1110">
        <v>357019</v>
      </c>
      <c r="H1541" s="127" t="s">
        <v>1027</v>
      </c>
      <c r="I1541" s="533" t="s">
        <v>365</v>
      </c>
      <c r="J1541" s="244">
        <v>8.1839999999999993</v>
      </c>
      <c r="K1541" s="246"/>
      <c r="L1541" s="282"/>
      <c r="M1541" s="244">
        <v>7.4050000000000002</v>
      </c>
      <c r="N1541" s="246"/>
      <c r="O1541" s="282"/>
      <c r="P1541" s="244">
        <v>4.5529999999999999</v>
      </c>
      <c r="Q1541" s="246"/>
      <c r="R1541" s="282"/>
      <c r="S1541" s="244">
        <v>4.5</v>
      </c>
      <c r="T1541" s="246"/>
      <c r="U1541" s="282"/>
      <c r="V1541" s="244">
        <v>1.488</v>
      </c>
      <c r="W1541" s="246"/>
      <c r="X1541" s="282"/>
      <c r="Y1541" s="244">
        <v>0</v>
      </c>
      <c r="Z1541" s="246"/>
      <c r="AA1541" s="282"/>
      <c r="AB1541" s="244">
        <v>0</v>
      </c>
      <c r="AC1541" s="246"/>
      <c r="AD1541" s="282"/>
      <c r="AE1541" s="244">
        <v>0</v>
      </c>
      <c r="AF1541" s="246"/>
      <c r="AG1541" s="282"/>
      <c r="AH1541" s="244">
        <v>0</v>
      </c>
      <c r="AI1541" s="246"/>
      <c r="AJ1541" s="282"/>
      <c r="AK1541" s="244">
        <v>4.4640000000000004</v>
      </c>
      <c r="AL1541" s="246"/>
      <c r="AM1541" s="282"/>
      <c r="AN1541" s="244">
        <v>7.6749999999999998</v>
      </c>
      <c r="AO1541" s="246"/>
      <c r="AP1541" s="282"/>
      <c r="AQ1541" s="244">
        <v>8.1839999999999993</v>
      </c>
      <c r="AR1541" s="246"/>
      <c r="AS1541" s="282"/>
      <c r="AT1541" s="244">
        <f t="shared" si="61"/>
        <v>46.452999999999996</v>
      </c>
      <c r="AU1541" s="246"/>
      <c r="AV1541" s="336"/>
      <c r="AW1541" s="285"/>
      <c r="AX1541" s="249"/>
      <c r="AY1541" s="438">
        <v>51.080320999999998</v>
      </c>
      <c r="AZ1541" s="357"/>
      <c r="BA1541"/>
      <c r="BB1541"/>
      <c r="BC1541"/>
    </row>
    <row r="1542" spans="1:55" s="24" customFormat="1">
      <c r="A1542" s="179"/>
      <c r="B1542" s="179"/>
      <c r="C1542" s="179"/>
      <c r="D1542" s="181">
        <v>357016</v>
      </c>
      <c r="E1542" s="181"/>
      <c r="F1542" s="181"/>
      <c r="G1542" s="1110">
        <v>357016</v>
      </c>
      <c r="H1542" s="122" t="s">
        <v>1028</v>
      </c>
      <c r="I1542" s="533" t="s">
        <v>365</v>
      </c>
      <c r="J1542" s="244">
        <v>13.138999999999999</v>
      </c>
      <c r="K1542" s="246"/>
      <c r="L1542" s="282"/>
      <c r="M1542" s="244">
        <v>10.76</v>
      </c>
      <c r="N1542" s="246"/>
      <c r="O1542" s="282"/>
      <c r="P1542" s="244">
        <v>8.7720000000000002</v>
      </c>
      <c r="Q1542" s="246"/>
      <c r="R1542" s="282"/>
      <c r="S1542" s="244">
        <v>6.5229999999999997</v>
      </c>
      <c r="T1542" s="246"/>
      <c r="U1542" s="282"/>
      <c r="V1542" s="244">
        <v>3.7349999999999999</v>
      </c>
      <c r="W1542" s="246"/>
      <c r="X1542" s="282"/>
      <c r="Y1542" s="244">
        <v>0</v>
      </c>
      <c r="Z1542" s="246"/>
      <c r="AA1542" s="282"/>
      <c r="AB1542" s="244">
        <v>0</v>
      </c>
      <c r="AC1542" s="246"/>
      <c r="AD1542" s="282"/>
      <c r="AE1542" s="244">
        <v>0</v>
      </c>
      <c r="AF1542" s="246"/>
      <c r="AG1542" s="282"/>
      <c r="AH1542" s="244">
        <v>3.1970000000000001</v>
      </c>
      <c r="AI1542" s="246"/>
      <c r="AJ1542" s="282"/>
      <c r="AK1542" s="244">
        <v>6.577</v>
      </c>
      <c r="AL1542" s="246"/>
      <c r="AM1542" s="282"/>
      <c r="AN1542" s="244">
        <v>9.0790000000000006</v>
      </c>
      <c r="AO1542" s="246"/>
      <c r="AP1542" s="282"/>
      <c r="AQ1542" s="244">
        <v>11.859</v>
      </c>
      <c r="AR1542" s="246"/>
      <c r="AS1542" s="282"/>
      <c r="AT1542" s="244">
        <f t="shared" si="61"/>
        <v>73.641000000000005</v>
      </c>
      <c r="AU1542" s="246"/>
      <c r="AV1542" s="336"/>
      <c r="AW1542" s="285"/>
      <c r="AX1542" s="249"/>
      <c r="AY1542" s="438">
        <v>78.667456999999999</v>
      </c>
      <c r="AZ1542" s="357"/>
      <c r="BA1542"/>
      <c r="BB1542"/>
      <c r="BC1542"/>
    </row>
    <row r="1543" spans="1:55" s="24" customFormat="1">
      <c r="A1543" s="179"/>
      <c r="B1543" s="179"/>
      <c r="C1543" s="179"/>
      <c r="D1543" s="181">
        <v>357040</v>
      </c>
      <c r="E1543" s="181"/>
      <c r="F1543" s="181"/>
      <c r="G1543" s="1110">
        <v>357040</v>
      </c>
      <c r="H1543" s="122" t="s">
        <v>491</v>
      </c>
      <c r="I1543" s="533" t="s">
        <v>365</v>
      </c>
      <c r="J1543" s="244">
        <v>11.904</v>
      </c>
      <c r="K1543" s="246"/>
      <c r="L1543" s="282"/>
      <c r="M1543" s="244">
        <v>10.08</v>
      </c>
      <c r="N1543" s="246"/>
      <c r="O1543" s="282"/>
      <c r="P1543" s="244">
        <v>11.16</v>
      </c>
      <c r="Q1543" s="246"/>
      <c r="R1543" s="282"/>
      <c r="S1543" s="244">
        <v>6.48</v>
      </c>
      <c r="T1543" s="246"/>
      <c r="U1543" s="282"/>
      <c r="V1543" s="244">
        <v>5.952</v>
      </c>
      <c r="W1543" s="246"/>
      <c r="X1543" s="282"/>
      <c r="Y1543" s="244">
        <v>2.88</v>
      </c>
      <c r="Z1543" s="246"/>
      <c r="AA1543" s="282"/>
      <c r="AB1543" s="244">
        <v>2.976</v>
      </c>
      <c r="AC1543" s="246"/>
      <c r="AD1543" s="282"/>
      <c r="AE1543" s="244">
        <v>2.976</v>
      </c>
      <c r="AF1543" s="246"/>
      <c r="AG1543" s="282"/>
      <c r="AH1543" s="244">
        <v>2.88</v>
      </c>
      <c r="AI1543" s="246"/>
      <c r="AJ1543" s="282"/>
      <c r="AK1543" s="244">
        <v>5.2080000000000002</v>
      </c>
      <c r="AL1543" s="246"/>
      <c r="AM1543" s="282"/>
      <c r="AN1543" s="244">
        <v>8.64</v>
      </c>
      <c r="AO1543" s="246"/>
      <c r="AP1543" s="282"/>
      <c r="AQ1543" s="244">
        <v>11.16</v>
      </c>
      <c r="AR1543" s="246"/>
      <c r="AS1543" s="282"/>
      <c r="AT1543" s="244">
        <f t="shared" si="61"/>
        <v>82.296000000000006</v>
      </c>
      <c r="AU1543" s="246"/>
      <c r="AV1543" s="336"/>
      <c r="AW1543" s="285"/>
      <c r="AX1543" s="249"/>
      <c r="AY1543" s="438">
        <v>52.806480999999998</v>
      </c>
      <c r="AZ1543" s="357"/>
      <c r="BA1543"/>
      <c r="BB1543"/>
      <c r="BC1543"/>
    </row>
    <row r="1544" spans="1:55" s="24" customFormat="1">
      <c r="A1544" s="179"/>
      <c r="B1544" s="179"/>
      <c r="C1544" s="179"/>
      <c r="D1544" s="181">
        <v>357030</v>
      </c>
      <c r="E1544" s="181"/>
      <c r="F1544" s="181"/>
      <c r="G1544" s="1110">
        <v>357030</v>
      </c>
      <c r="H1544" s="122" t="s">
        <v>200</v>
      </c>
      <c r="I1544" s="516" t="s">
        <v>364</v>
      </c>
      <c r="J1544" s="824">
        <f>ГЭС!C178</f>
        <v>1502.3563864879343</v>
      </c>
      <c r="K1544" s="521"/>
      <c r="L1544" s="522"/>
      <c r="M1544" s="638">
        <f>ГЭС!D178</f>
        <v>1309.5164421640673</v>
      </c>
      <c r="N1544" s="521"/>
      <c r="O1544" s="522"/>
      <c r="P1544" s="638">
        <f>ГЭС!E178</f>
        <v>1394.9164244527476</v>
      </c>
      <c r="Q1544" s="521"/>
      <c r="R1544" s="522"/>
      <c r="S1544" s="638">
        <f>ГЭС!G178</f>
        <v>1317.1540992627345</v>
      </c>
      <c r="T1544" s="521"/>
      <c r="U1544" s="522"/>
      <c r="V1544" s="638">
        <f>ГЭС!H178</f>
        <v>1676.6139242576501</v>
      </c>
      <c r="W1544" s="521"/>
      <c r="X1544" s="522"/>
      <c r="Y1544" s="638">
        <f>ГЭС!I178</f>
        <v>1561.0911753812748</v>
      </c>
      <c r="Z1544" s="521"/>
      <c r="AA1544" s="522"/>
      <c r="AB1544" s="638">
        <f>ГЭС!K178</f>
        <v>1748.1585755423032</v>
      </c>
      <c r="AC1544" s="521"/>
      <c r="AD1544" s="522"/>
      <c r="AE1544" s="638">
        <f>ГЭС!L178</f>
        <v>1827.650483057088</v>
      </c>
      <c r="AF1544" s="521"/>
      <c r="AG1544" s="522"/>
      <c r="AH1544" s="638">
        <f>ГЭС!M178</f>
        <v>1805.021339971755</v>
      </c>
      <c r="AI1544" s="521"/>
      <c r="AJ1544" s="522"/>
      <c r="AK1544" s="638">
        <f>ГЭС!O178</f>
        <v>1856.0651838289923</v>
      </c>
      <c r="AL1544" s="521"/>
      <c r="AM1544" s="522"/>
      <c r="AN1544" s="638">
        <f>ГЭС!P178</f>
        <v>1566.6527323814646</v>
      </c>
      <c r="AO1544" s="521"/>
      <c r="AP1544" s="522"/>
      <c r="AQ1544" s="638">
        <f>ГЭС!Q178</f>
        <v>1548.0333735002005</v>
      </c>
      <c r="AR1544" s="246"/>
      <c r="AS1544" s="282"/>
      <c r="AT1544" s="638">
        <f t="shared" si="61"/>
        <v>19113.230140288215</v>
      </c>
      <c r="AU1544" s="246"/>
      <c r="AV1544" s="336"/>
      <c r="AW1544" s="285"/>
      <c r="AX1544" s="249"/>
      <c r="AY1544" s="438">
        <v>17325.975972</v>
      </c>
      <c r="AZ1544" s="357"/>
      <c r="BA1544"/>
      <c r="BB1544"/>
      <c r="BC1544"/>
    </row>
    <row r="1545" spans="1:55" s="24" customFormat="1">
      <c r="A1545" s="179"/>
      <c r="B1545" s="179"/>
      <c r="C1545" s="179"/>
      <c r="D1545" s="181">
        <v>357031</v>
      </c>
      <c r="E1545" s="181"/>
      <c r="F1545" s="181"/>
      <c r="G1545" s="1110">
        <v>357031</v>
      </c>
      <c r="H1545" s="122" t="s">
        <v>201</v>
      </c>
      <c r="I1545" s="516" t="s">
        <v>364</v>
      </c>
      <c r="J1545" s="824">
        <f>ГЭС!C179</f>
        <v>285.22201513869112</v>
      </c>
      <c r="K1545" s="521"/>
      <c r="L1545" s="522"/>
      <c r="M1545" s="638">
        <f>ГЭС!D179</f>
        <v>266.40069698719566</v>
      </c>
      <c r="N1545" s="521"/>
      <c r="O1545" s="522"/>
      <c r="P1545" s="638">
        <f>ГЭС!E179</f>
        <v>284.3466383033504</v>
      </c>
      <c r="Q1545" s="521"/>
      <c r="R1545" s="522"/>
      <c r="S1545" s="638">
        <f>ГЭС!G179</f>
        <v>274.81550985194406</v>
      </c>
      <c r="T1545" s="521"/>
      <c r="U1545" s="522"/>
      <c r="V1545" s="638">
        <f>ГЭС!H179</f>
        <v>284.02069705414038</v>
      </c>
      <c r="W1545" s="521"/>
      <c r="X1545" s="522"/>
      <c r="Y1545" s="638">
        <f>ГЭС!I179</f>
        <v>275.50501341482664</v>
      </c>
      <c r="Z1545" s="521"/>
      <c r="AA1545" s="522"/>
      <c r="AB1545" s="638">
        <f>ГЭС!K179</f>
        <v>285.60203177051596</v>
      </c>
      <c r="AC1545" s="521"/>
      <c r="AD1545" s="522"/>
      <c r="AE1545" s="638">
        <f>ГЭС!L179</f>
        <v>286.37997715135685</v>
      </c>
      <c r="AF1545" s="521"/>
      <c r="AG1545" s="522"/>
      <c r="AH1545" s="638">
        <f>ГЭС!M179</f>
        <v>277.59685789727712</v>
      </c>
      <c r="AI1545" s="521"/>
      <c r="AJ1545" s="522"/>
      <c r="AK1545" s="638">
        <f>ГЭС!O179</f>
        <v>286.85738387766077</v>
      </c>
      <c r="AL1545" s="521"/>
      <c r="AM1545" s="522"/>
      <c r="AN1545" s="638">
        <f>ГЭС!P179</f>
        <v>277.18101359821259</v>
      </c>
      <c r="AO1545" s="521"/>
      <c r="AP1545" s="522"/>
      <c r="AQ1545" s="638">
        <f>ГЭС!Q179</f>
        <v>285.75293568087022</v>
      </c>
      <c r="AR1545" s="246"/>
      <c r="AS1545" s="282"/>
      <c r="AT1545" s="638">
        <f t="shared" si="61"/>
        <v>3369.6807707260414</v>
      </c>
      <c r="AU1545" s="246"/>
      <c r="AV1545" s="336"/>
      <c r="AW1545" s="285"/>
      <c r="AX1545" s="249"/>
      <c r="AY1545" s="438">
        <v>3113.4202570000002</v>
      </c>
      <c r="AZ1545" s="357"/>
      <c r="BA1545"/>
      <c r="BB1545"/>
      <c r="BC1545"/>
    </row>
    <row r="1546" spans="1:55" s="24" customFormat="1">
      <c r="A1546" s="179"/>
      <c r="B1546" s="179"/>
      <c r="C1546" s="179"/>
      <c r="D1546" s="181">
        <v>357033</v>
      </c>
      <c r="E1546" s="181"/>
      <c r="F1546" s="181"/>
      <c r="G1546" s="1110">
        <v>357033</v>
      </c>
      <c r="H1546" s="122" t="s">
        <v>202</v>
      </c>
      <c r="I1546" s="516" t="s">
        <v>364</v>
      </c>
      <c r="J1546" s="824">
        <f>ГЭС!C180</f>
        <v>1407.440266809253</v>
      </c>
      <c r="K1546" s="521"/>
      <c r="L1546" s="522"/>
      <c r="M1546" s="638">
        <f>ГЭС!D180</f>
        <v>1315.4542012938584</v>
      </c>
      <c r="N1546" s="521"/>
      <c r="O1546" s="522"/>
      <c r="P1546" s="638">
        <f>ГЭС!E180</f>
        <v>1403.6468566053857</v>
      </c>
      <c r="Q1546" s="521"/>
      <c r="R1546" s="522"/>
      <c r="S1546" s="638">
        <f>ГЭС!G180</f>
        <v>1354.6097071932279</v>
      </c>
      <c r="T1546" s="521"/>
      <c r="U1546" s="522"/>
      <c r="V1546" s="638">
        <f>ГЭС!H180</f>
        <v>1516.9144785698522</v>
      </c>
      <c r="W1546" s="521"/>
      <c r="X1546" s="522"/>
      <c r="Y1546" s="638">
        <f>ГЭС!I180</f>
        <v>1553.8002346031926</v>
      </c>
      <c r="Z1546" s="521"/>
      <c r="AA1546" s="522"/>
      <c r="AB1546" s="638">
        <f>ГЭС!K180</f>
        <v>1690.4607149255708</v>
      </c>
      <c r="AC1546" s="521"/>
      <c r="AD1546" s="522"/>
      <c r="AE1546" s="638">
        <f>ГЭС!L180</f>
        <v>1690.1241335288425</v>
      </c>
      <c r="AF1546" s="521"/>
      <c r="AG1546" s="522"/>
      <c r="AH1546" s="638">
        <f>ГЭС!M180</f>
        <v>1663.7642824769136</v>
      </c>
      <c r="AI1546" s="521"/>
      <c r="AJ1546" s="522"/>
      <c r="AK1546" s="638">
        <f>ГЭС!O180</f>
        <v>1719.7998706266778</v>
      </c>
      <c r="AL1546" s="521"/>
      <c r="AM1546" s="522"/>
      <c r="AN1546" s="638">
        <f>ГЭС!P180</f>
        <v>1361.1477807574515</v>
      </c>
      <c r="AO1546" s="521"/>
      <c r="AP1546" s="522"/>
      <c r="AQ1546" s="638">
        <f>ГЭС!Q180</f>
        <v>1407.8726739664173</v>
      </c>
      <c r="AR1546" s="246"/>
      <c r="AS1546" s="282"/>
      <c r="AT1546" s="638">
        <f t="shared" si="61"/>
        <v>18085.035201356644</v>
      </c>
      <c r="AU1546" s="246"/>
      <c r="AV1546" s="336"/>
      <c r="AW1546" s="285"/>
      <c r="AX1546" s="249"/>
      <c r="AY1546" s="438">
        <v>16326.157789999999</v>
      </c>
      <c r="AZ1546" s="357"/>
      <c r="BA1546"/>
      <c r="BB1546"/>
      <c r="BC1546"/>
    </row>
    <row r="1547" spans="1:55" s="24" customFormat="1">
      <c r="A1547" s="179"/>
      <c r="B1547" s="179"/>
      <c r="C1547" s="179"/>
      <c r="D1547" s="181">
        <v>357032</v>
      </c>
      <c r="E1547" s="181"/>
      <c r="F1547" s="181"/>
      <c r="G1547" s="1110">
        <v>357032</v>
      </c>
      <c r="H1547" s="122" t="s">
        <v>490</v>
      </c>
      <c r="I1547" s="516" t="s">
        <v>364</v>
      </c>
      <c r="J1547" s="824">
        <f>ГЭС!C181</f>
        <v>9.1113767623901367</v>
      </c>
      <c r="K1547" s="521"/>
      <c r="L1547" s="522"/>
      <c r="M1547" s="638">
        <f>ГЭС!D181</f>
        <v>6.5582661628723145</v>
      </c>
      <c r="N1547" s="521"/>
      <c r="O1547" s="522"/>
      <c r="P1547" s="638">
        <f>ГЭС!E181</f>
        <v>7.76812744140625</v>
      </c>
      <c r="Q1547" s="521"/>
      <c r="R1547" s="522"/>
      <c r="S1547" s="638">
        <f>ГЭС!G181</f>
        <v>11.233480453491211</v>
      </c>
      <c r="T1547" s="521"/>
      <c r="U1547" s="522"/>
      <c r="V1547" s="638">
        <f>ГЭС!H181</f>
        <v>37.525650024414063</v>
      </c>
      <c r="W1547" s="521"/>
      <c r="X1547" s="522"/>
      <c r="Y1547" s="638">
        <f>ГЭС!I181</f>
        <v>58.858810424804688</v>
      </c>
      <c r="Z1547" s="521"/>
      <c r="AA1547" s="522"/>
      <c r="AB1547" s="638">
        <f>ГЭС!K181</f>
        <v>55.749565124511719</v>
      </c>
      <c r="AC1547" s="521"/>
      <c r="AD1547" s="522"/>
      <c r="AE1547" s="638">
        <f>ГЭС!L181</f>
        <v>53.866859436035156</v>
      </c>
      <c r="AF1547" s="521"/>
      <c r="AG1547" s="522"/>
      <c r="AH1547" s="638">
        <f>ГЭС!M181</f>
        <v>51.353271484375</v>
      </c>
      <c r="AI1547" s="521"/>
      <c r="AJ1547" s="522"/>
      <c r="AK1547" s="638">
        <f>ГЭС!O181</f>
        <v>32.643642425537109</v>
      </c>
      <c r="AL1547" s="521"/>
      <c r="AM1547" s="522"/>
      <c r="AN1547" s="638">
        <f>ГЭС!P181</f>
        <v>15.800102233886719</v>
      </c>
      <c r="AO1547" s="521"/>
      <c r="AP1547" s="522"/>
      <c r="AQ1547" s="638">
        <f>ГЭС!Q181</f>
        <v>12.575191497802734</v>
      </c>
      <c r="AR1547" s="246"/>
      <c r="AS1547" s="282"/>
      <c r="AT1547" s="638">
        <f t="shared" si="61"/>
        <v>353.0443434715271</v>
      </c>
      <c r="AU1547" s="246"/>
      <c r="AV1547" s="336"/>
      <c r="AW1547" s="285"/>
      <c r="AX1547" s="249"/>
      <c r="AY1547" s="438">
        <v>384.77534200000002</v>
      </c>
      <c r="AZ1547" s="357"/>
      <c r="BA1547"/>
      <c r="BB1547"/>
      <c r="BC1547"/>
    </row>
    <row r="1548" spans="1:55" s="24" customFormat="1">
      <c r="A1548" s="179"/>
      <c r="B1548" s="179"/>
      <c r="C1548" s="179"/>
      <c r="D1548" s="181"/>
      <c r="E1548" s="181"/>
      <c r="F1548" s="181"/>
      <c r="G1548" s="1110"/>
      <c r="H1548" s="138" t="s">
        <v>174</v>
      </c>
      <c r="I1548" s="138"/>
      <c r="J1548" s="319">
        <f>SUM(J1549:J1550)</f>
        <v>75.69003699999999</v>
      </c>
      <c r="K1548" s="307"/>
      <c r="L1548" s="308"/>
      <c r="M1548" s="287">
        <f>SUM(M1549:M1550)</f>
        <v>69.378938830621394</v>
      </c>
      <c r="N1548" s="307"/>
      <c r="O1548" s="308"/>
      <c r="P1548" s="287">
        <f>SUM(P1549:P1550)</f>
        <v>78.352314000000007</v>
      </c>
      <c r="Q1548" s="307"/>
      <c r="R1548" s="308"/>
      <c r="S1548" s="287">
        <f>SUM(S1549:S1550)</f>
        <v>77.970461</v>
      </c>
      <c r="T1548" s="307"/>
      <c r="U1548" s="308"/>
      <c r="V1548" s="287">
        <f>SUM(V1549:V1550)</f>
        <v>76.081884000000002</v>
      </c>
      <c r="W1548" s="307"/>
      <c r="X1548" s="308"/>
      <c r="Y1548" s="287">
        <f>SUM(Y1549:Y1550)</f>
        <v>55.643618000000004</v>
      </c>
      <c r="Z1548" s="307"/>
      <c r="AA1548" s="308"/>
      <c r="AB1548" s="287">
        <f>SUM(AB1549:AB1550)</f>
        <v>53.417650000000002</v>
      </c>
      <c r="AC1548" s="307"/>
      <c r="AD1548" s="308"/>
      <c r="AE1548" s="287">
        <f>SUM(AE1549:AE1550)</f>
        <v>79.665324999999996</v>
      </c>
      <c r="AF1548" s="307"/>
      <c r="AG1548" s="308"/>
      <c r="AH1548" s="287">
        <f>SUM(AH1549:AH1550)</f>
        <v>78.508425000000003</v>
      </c>
      <c r="AI1548" s="307"/>
      <c r="AJ1548" s="308"/>
      <c r="AK1548" s="287">
        <f>SUM(AK1549:AK1550)</f>
        <v>82.443478999999996</v>
      </c>
      <c r="AL1548" s="307"/>
      <c r="AM1548" s="308"/>
      <c r="AN1548" s="287">
        <f>SUM(AN1549:AN1550)</f>
        <v>79.248932999999994</v>
      </c>
      <c r="AO1548" s="307"/>
      <c r="AP1548" s="308"/>
      <c r="AQ1548" s="287">
        <f>SUM(AQ1549:AQ1550)</f>
        <v>79.045603999999997</v>
      </c>
      <c r="AR1548" s="307"/>
      <c r="AS1548" s="308"/>
      <c r="AT1548" s="287">
        <f>SUM(AT1549:AT1550)</f>
        <v>885.44666883062132</v>
      </c>
      <c r="AU1548" s="307"/>
      <c r="AV1548" s="309"/>
      <c r="AW1548" s="226"/>
      <c r="AX1548" s="292"/>
      <c r="AY1548" s="436">
        <v>898.46657500000003</v>
      </c>
      <c r="AZ1548" s="357"/>
      <c r="BA1548"/>
      <c r="BB1548"/>
      <c r="BC1548"/>
    </row>
    <row r="1549" spans="1:55" s="24" customFormat="1">
      <c r="A1549" s="179"/>
      <c r="B1549" s="179"/>
      <c r="C1549" s="179"/>
      <c r="D1549" s="181">
        <v>357041</v>
      </c>
      <c r="E1549" s="181"/>
      <c r="F1549" s="181"/>
      <c r="G1549" s="1110">
        <v>357041</v>
      </c>
      <c r="H1549" s="145" t="s">
        <v>876</v>
      </c>
      <c r="I1549" s="518" t="s">
        <v>365</v>
      </c>
      <c r="J1549" s="294">
        <v>42.830036999999997</v>
      </c>
      <c r="K1549" s="288"/>
      <c r="L1549" s="289"/>
      <c r="M1549" s="294">
        <v>39.098938830621393</v>
      </c>
      <c r="N1549" s="288"/>
      <c r="O1549" s="289"/>
      <c r="P1549" s="294">
        <v>45.952314000000001</v>
      </c>
      <c r="Q1549" s="288"/>
      <c r="R1549" s="289"/>
      <c r="S1549" s="294">
        <v>46.170461000000003</v>
      </c>
      <c r="T1549" s="288"/>
      <c r="U1549" s="289"/>
      <c r="V1549" s="294">
        <v>46.321883999999997</v>
      </c>
      <c r="W1549" s="288"/>
      <c r="X1549" s="289"/>
      <c r="Y1549" s="294">
        <v>38.643618000000004</v>
      </c>
      <c r="Z1549" s="288"/>
      <c r="AA1549" s="289"/>
      <c r="AB1549" s="294">
        <v>38.917650000000002</v>
      </c>
      <c r="AC1549" s="288"/>
      <c r="AD1549" s="289"/>
      <c r="AE1549" s="294">
        <v>46.805324999999996</v>
      </c>
      <c r="AF1549" s="288"/>
      <c r="AG1549" s="289"/>
      <c r="AH1549" s="294">
        <v>46.708425000000005</v>
      </c>
      <c r="AI1549" s="288"/>
      <c r="AJ1549" s="289"/>
      <c r="AK1549" s="294">
        <v>49.583478999999997</v>
      </c>
      <c r="AL1549" s="288"/>
      <c r="AM1549" s="289"/>
      <c r="AN1549" s="294">
        <v>47.908932999999998</v>
      </c>
      <c r="AO1549" s="288"/>
      <c r="AP1549" s="289"/>
      <c r="AQ1549" s="294">
        <v>46.645603999999999</v>
      </c>
      <c r="AR1549" s="288"/>
      <c r="AS1549" s="289"/>
      <c r="AT1549" s="333">
        <f t="shared" si="61"/>
        <v>535.58666883062142</v>
      </c>
      <c r="AU1549" s="288"/>
      <c r="AV1549" s="290"/>
      <c r="AW1549" s="285"/>
      <c r="AX1549" s="295"/>
      <c r="AY1549" s="313"/>
      <c r="AZ1549" s="357"/>
      <c r="BA1549"/>
      <c r="BB1549"/>
      <c r="BC1549"/>
    </row>
    <row r="1550" spans="1:55" s="24" customFormat="1">
      <c r="A1550" s="179"/>
      <c r="B1550" s="179"/>
      <c r="C1550" s="179"/>
      <c r="D1550" s="181">
        <v>357061</v>
      </c>
      <c r="E1550" s="181"/>
      <c r="F1550" s="181"/>
      <c r="G1550" s="1110">
        <v>357061</v>
      </c>
      <c r="H1550" s="145" t="s">
        <v>877</v>
      </c>
      <c r="I1550" s="518" t="s">
        <v>365</v>
      </c>
      <c r="J1550" s="294">
        <v>32.86</v>
      </c>
      <c r="K1550" s="288"/>
      <c r="L1550" s="289"/>
      <c r="M1550" s="294">
        <v>30.28</v>
      </c>
      <c r="N1550" s="288"/>
      <c r="O1550" s="289"/>
      <c r="P1550" s="294">
        <v>32.4</v>
      </c>
      <c r="Q1550" s="288"/>
      <c r="R1550" s="289"/>
      <c r="S1550" s="294">
        <v>31.8</v>
      </c>
      <c r="T1550" s="288"/>
      <c r="U1550" s="289"/>
      <c r="V1550" s="294">
        <v>29.76</v>
      </c>
      <c r="W1550" s="288"/>
      <c r="X1550" s="289"/>
      <c r="Y1550" s="294">
        <v>17</v>
      </c>
      <c r="Z1550" s="288"/>
      <c r="AA1550" s="289"/>
      <c r="AB1550" s="294">
        <v>14.5</v>
      </c>
      <c r="AC1550" s="288"/>
      <c r="AD1550" s="289"/>
      <c r="AE1550" s="294">
        <v>32.86</v>
      </c>
      <c r="AF1550" s="288"/>
      <c r="AG1550" s="289"/>
      <c r="AH1550" s="294">
        <v>31.8</v>
      </c>
      <c r="AI1550" s="288"/>
      <c r="AJ1550" s="289"/>
      <c r="AK1550" s="294">
        <v>32.86</v>
      </c>
      <c r="AL1550" s="288"/>
      <c r="AM1550" s="289"/>
      <c r="AN1550" s="294">
        <v>31.34</v>
      </c>
      <c r="AO1550" s="288"/>
      <c r="AP1550" s="289"/>
      <c r="AQ1550" s="294">
        <v>32.4</v>
      </c>
      <c r="AR1550" s="288"/>
      <c r="AS1550" s="289"/>
      <c r="AT1550" s="333">
        <f t="shared" si="61"/>
        <v>349.85999999999996</v>
      </c>
      <c r="AU1550" s="288"/>
      <c r="AV1550" s="290"/>
      <c r="AW1550" s="285"/>
      <c r="AX1550" s="295"/>
      <c r="AY1550" s="313"/>
      <c r="AZ1550" s="357"/>
      <c r="BA1550"/>
      <c r="BB1550"/>
      <c r="BC1550"/>
    </row>
    <row r="1551" spans="1:55" s="24" customFormat="1" ht="18.75">
      <c r="A1551" s="179"/>
      <c r="B1551" s="179"/>
      <c r="C1551" s="179"/>
      <c r="D1551" s="181">
        <v>357200</v>
      </c>
      <c r="E1551" s="181"/>
      <c r="F1551" s="181"/>
      <c r="G1551" s="181">
        <v>357200</v>
      </c>
      <c r="H1551" s="474" t="s">
        <v>1640</v>
      </c>
      <c r="I1551" s="474"/>
      <c r="J1551" s="277">
        <f>SUM(J1552:J1553)</f>
        <v>2808.8615999999997</v>
      </c>
      <c r="K1551" s="275">
        <f>L1551-J1551</f>
        <v>204.13840000000027</v>
      </c>
      <c r="L1551" s="276">
        <f>Потребление!D88</f>
        <v>3013</v>
      </c>
      <c r="M1551" s="277">
        <f>SUM(M1552:M1553)</f>
        <v>2577.135679</v>
      </c>
      <c r="N1551" s="275">
        <f>O1551-M1551</f>
        <v>236.44895299999916</v>
      </c>
      <c r="O1551" s="276">
        <f>Потребление!E88</f>
        <v>2813.5846319999991</v>
      </c>
      <c r="P1551" s="277">
        <f>SUM(P1552:P1553)</f>
        <v>2574.2901280000005</v>
      </c>
      <c r="Q1551" s="275">
        <f>R1551-P1551</f>
        <v>211.70987199999945</v>
      </c>
      <c r="R1551" s="276">
        <f>Потребление!F88</f>
        <v>2786</v>
      </c>
      <c r="S1551" s="277">
        <f>SUM(S1552:S1553)</f>
        <v>2309.0900270000002</v>
      </c>
      <c r="T1551" s="275">
        <f>U1551-S1551</f>
        <v>346.91144657346695</v>
      </c>
      <c r="U1551" s="276">
        <f>Потребление!G88</f>
        <v>2656.0014735734671</v>
      </c>
      <c r="V1551" s="277">
        <f>SUM(V1552:V1553)</f>
        <v>1573.6124640000003</v>
      </c>
      <c r="W1551" s="275">
        <f>X1551-V1551</f>
        <v>1034.7375359616199</v>
      </c>
      <c r="X1551" s="276">
        <f>Потребление!H88</f>
        <v>2608.3499999616201</v>
      </c>
      <c r="Y1551" s="277">
        <f>SUM(Y1552:Y1553)</f>
        <v>1378.6192609999998</v>
      </c>
      <c r="Z1551" s="275">
        <f>AA1551-Y1551</f>
        <v>997.82810954691968</v>
      </c>
      <c r="AA1551" s="276">
        <f>Потребление!I88</f>
        <v>2376.4473705469195</v>
      </c>
      <c r="AB1551" s="277">
        <f>SUM(AB1552:AB1553)</f>
        <v>1297.5258959999999</v>
      </c>
      <c r="AC1551" s="275">
        <f>AD1551-AB1551</f>
        <v>1134.1187689091728</v>
      </c>
      <c r="AD1551" s="276">
        <f>Потребление!J88</f>
        <v>2431.6446649091727</v>
      </c>
      <c r="AE1551" s="277">
        <f>SUM(AE1552:AE1553)</f>
        <v>1463.0207710000002</v>
      </c>
      <c r="AF1551" s="275">
        <f>AG1551-AE1551</f>
        <v>1010.9792289999998</v>
      </c>
      <c r="AG1551" s="276">
        <f>Потребление!K88</f>
        <v>2474</v>
      </c>
      <c r="AH1551" s="277">
        <f>SUM(AH1552:AH1553)</f>
        <v>1445.776511</v>
      </c>
      <c r="AI1551" s="275">
        <f>AJ1551-AH1551</f>
        <v>1077.2088682734998</v>
      </c>
      <c r="AJ1551" s="276">
        <f>Потребление!L88</f>
        <v>2522.9853792734998</v>
      </c>
      <c r="AK1551" s="277">
        <f>SUM(AK1552:AK1553)</f>
        <v>1727.2608359999999</v>
      </c>
      <c r="AL1551" s="275">
        <f>AM1551-AK1551</f>
        <v>1005.7391640000001</v>
      </c>
      <c r="AM1551" s="276">
        <f>Потребление!M88</f>
        <v>2733</v>
      </c>
      <c r="AN1551" s="277">
        <f>SUM(AN1552:AN1553)</f>
        <v>2394.5811410000001</v>
      </c>
      <c r="AO1551" s="275">
        <f>AP1551-AN1551</f>
        <v>435.68011825066969</v>
      </c>
      <c r="AP1551" s="276">
        <f>Потребление!N88</f>
        <v>2830.2612592506698</v>
      </c>
      <c r="AQ1551" s="277">
        <f>SUM(AQ1552:AQ1553)</f>
        <v>2720.7789019999996</v>
      </c>
      <c r="AR1551" s="275">
        <f>AS1551-AQ1551</f>
        <v>291.19013684744004</v>
      </c>
      <c r="AS1551" s="276">
        <f>Потребление!O88</f>
        <v>3011.9690388474396</v>
      </c>
      <c r="AT1551" s="277">
        <f>SUM(AT1552:AT1553)</f>
        <v>24270.553216</v>
      </c>
      <c r="AU1551" s="275">
        <f>AV1551-AT1551</f>
        <v>7986.6906023627889</v>
      </c>
      <c r="AV1551" s="278">
        <f>L1551+O1551+R1551+U1551+X1551+AA1551+AD1551+AG1551+AJ1551+AM1551+AP1551+AS1551</f>
        <v>32257.243818362789</v>
      </c>
      <c r="AW1551" s="279"/>
      <c r="AX1551" s="1067">
        <v>32008.656371000001</v>
      </c>
      <c r="AY1551" s="298">
        <f>SUM(AY1552:AY1553)</f>
        <v>22679.676732</v>
      </c>
      <c r="AZ1551" s="357"/>
      <c r="BA1551"/>
      <c r="BB1551"/>
      <c r="BC1551"/>
    </row>
    <row r="1552" spans="1:55" s="24" customFormat="1">
      <c r="A1552" s="179"/>
      <c r="B1552" s="179"/>
      <c r="C1552" s="179"/>
      <c r="D1552" s="181"/>
      <c r="E1552" s="181"/>
      <c r="F1552" s="181"/>
      <c r="G1552" s="181"/>
      <c r="H1552" s="126" t="s">
        <v>56</v>
      </c>
      <c r="I1552" s="126"/>
      <c r="J1552" s="223">
        <f>SUM(J1554,J1558,J1562:J1564,J1567,J1570,J1573:J1574)</f>
        <v>2724.6059999999998</v>
      </c>
      <c r="K1552" s="271"/>
      <c r="L1552" s="224"/>
      <c r="M1552" s="223">
        <f>SUM(M1554,M1558,M1562:M1564,M1567,M1570,M1573:M1574)</f>
        <v>2504.1856790000002</v>
      </c>
      <c r="N1552" s="271"/>
      <c r="O1552" s="224"/>
      <c r="P1552" s="223">
        <f>SUM(P1554,P1558,P1562:P1564,P1567,P1570,P1573:P1574)</f>
        <v>2508.2871280000004</v>
      </c>
      <c r="Q1552" s="271"/>
      <c r="R1552" s="224"/>
      <c r="S1552" s="223">
        <f>SUM(S1554,S1558,S1562:S1564,S1567,S1570,S1573:S1574)</f>
        <v>2252.6120270000001</v>
      </c>
      <c r="T1552" s="271"/>
      <c r="U1552" s="224"/>
      <c r="V1552" s="223">
        <f>SUM(V1554,V1558,V1562:V1564,V1567,V1570,V1573:V1574)</f>
        <v>1538.8599640000002</v>
      </c>
      <c r="W1552" s="271"/>
      <c r="X1552" s="224"/>
      <c r="Y1552" s="223">
        <f>SUM(Y1554,Y1558,Y1562:Y1564,Y1567,Y1570,Y1573:Y1574)</f>
        <v>1363.3608609999999</v>
      </c>
      <c r="Z1552" s="271"/>
      <c r="AA1552" s="224"/>
      <c r="AB1552" s="223">
        <f>SUM(AB1554,AB1558,AB1562:AB1564,AB1567,AB1570,AB1573:AB1574)</f>
        <v>1282.8118959999999</v>
      </c>
      <c r="AC1552" s="271"/>
      <c r="AD1552" s="224"/>
      <c r="AE1552" s="223">
        <f>SUM(AE1554,AE1558,AE1562:AE1564,AE1567,AE1570,AE1573:AE1574)</f>
        <v>1448.0503710000003</v>
      </c>
      <c r="AF1552" s="271"/>
      <c r="AG1552" s="224"/>
      <c r="AH1552" s="223">
        <f>SUM(AH1554,AH1558,AH1562:AH1564,AH1567,AH1570,AH1573:AH1574)</f>
        <v>1414.9365110000001</v>
      </c>
      <c r="AI1552" s="271"/>
      <c r="AJ1552" s="224"/>
      <c r="AK1552" s="223">
        <f>SUM(AK1554,AK1558,AK1562:AK1564,AK1567,AK1570,AK1573:AK1574)</f>
        <v>1671.9348359999999</v>
      </c>
      <c r="AL1552" s="271"/>
      <c r="AM1552" s="224"/>
      <c r="AN1552" s="223">
        <f>SUM(AN1554,AN1558,AN1562:AN1564,AN1567,AN1570,AN1573:AN1574)</f>
        <v>2339.0611410000001</v>
      </c>
      <c r="AO1552" s="271"/>
      <c r="AP1552" s="224"/>
      <c r="AQ1552" s="223">
        <f>SUM(AQ1554,AQ1558,AQ1562:AQ1564,AQ1567,AQ1570,AQ1573:AQ1574)</f>
        <v>2662.2969019999996</v>
      </c>
      <c r="AR1552" s="271"/>
      <c r="AS1552" s="224"/>
      <c r="AT1552" s="223">
        <f>SUM(AT1554,AT1558,AT1562:AT1564,AT1567,AT1570,AT1573:AT1574)</f>
        <v>23711.003316000002</v>
      </c>
      <c r="AU1552" s="271"/>
      <c r="AV1552" s="229"/>
      <c r="AW1552" s="226"/>
      <c r="AX1552" s="230"/>
      <c r="AY1552" s="231">
        <f>SUM(AY1554:AY1574)</f>
        <v>22203.567473999999</v>
      </c>
      <c r="AZ1552" s="357"/>
      <c r="BA1552"/>
      <c r="BB1552"/>
      <c r="BC1552"/>
    </row>
    <row r="1553" spans="1:55" s="24" customFormat="1">
      <c r="A1553" s="179"/>
      <c r="B1553" s="179"/>
      <c r="C1553" s="179"/>
      <c r="D1553" s="181"/>
      <c r="E1553" s="181"/>
      <c r="F1553" s="181"/>
      <c r="G1553" s="181"/>
      <c r="H1553" s="124" t="s">
        <v>184</v>
      </c>
      <c r="I1553" s="124"/>
      <c r="J1553" s="223">
        <f>J1575</f>
        <v>84.255599999999987</v>
      </c>
      <c r="K1553" s="271"/>
      <c r="L1553" s="224"/>
      <c r="M1553" s="223">
        <f>M1575</f>
        <v>72.95</v>
      </c>
      <c r="N1553" s="271"/>
      <c r="O1553" s="224"/>
      <c r="P1553" s="223">
        <f>P1575</f>
        <v>66.003</v>
      </c>
      <c r="Q1553" s="271"/>
      <c r="R1553" s="224"/>
      <c r="S1553" s="223">
        <f>S1575</f>
        <v>56.478000000000002</v>
      </c>
      <c r="T1553" s="271"/>
      <c r="U1553" s="224"/>
      <c r="V1553" s="223">
        <f>V1575</f>
        <v>34.752499999999998</v>
      </c>
      <c r="W1553" s="271"/>
      <c r="X1553" s="224"/>
      <c r="Y1553" s="223">
        <f>Y1575</f>
        <v>15.258400000000002</v>
      </c>
      <c r="Z1553" s="271"/>
      <c r="AA1553" s="224"/>
      <c r="AB1553" s="223">
        <f>AB1575</f>
        <v>14.714000000000002</v>
      </c>
      <c r="AC1553" s="271"/>
      <c r="AD1553" s="224"/>
      <c r="AE1553" s="223">
        <f>AE1575</f>
        <v>14.970400000000001</v>
      </c>
      <c r="AF1553" s="271"/>
      <c r="AG1553" s="224"/>
      <c r="AH1553" s="223">
        <f>AH1575</f>
        <v>30.84</v>
      </c>
      <c r="AI1553" s="271"/>
      <c r="AJ1553" s="224"/>
      <c r="AK1553" s="223">
        <f>AK1575</f>
        <v>55.326000000000008</v>
      </c>
      <c r="AL1553" s="271"/>
      <c r="AM1553" s="224"/>
      <c r="AN1553" s="223">
        <f>AN1575</f>
        <v>55.52</v>
      </c>
      <c r="AO1553" s="271"/>
      <c r="AP1553" s="224"/>
      <c r="AQ1553" s="223">
        <f>AQ1575</f>
        <v>58.481999999999999</v>
      </c>
      <c r="AR1553" s="271"/>
      <c r="AS1553" s="224"/>
      <c r="AT1553" s="223">
        <f>AT1575</f>
        <v>559.54989999999998</v>
      </c>
      <c r="AU1553" s="271"/>
      <c r="AV1553" s="229"/>
      <c r="AW1553" s="226"/>
      <c r="AX1553" s="230"/>
      <c r="AY1553" s="231">
        <f>AY1575</f>
        <v>476.10925800000001</v>
      </c>
      <c r="AZ1553" s="357"/>
      <c r="BA1553"/>
      <c r="BB1553"/>
      <c r="BC1553"/>
    </row>
    <row r="1554" spans="1:55" s="24" customFormat="1" ht="16.5" customHeight="1">
      <c r="A1554" s="179"/>
      <c r="B1554" s="179"/>
      <c r="C1554" s="179"/>
      <c r="D1554" s="181">
        <v>357201</v>
      </c>
      <c r="E1554" s="181"/>
      <c r="F1554" s="181"/>
      <c r="G1554" s="1110">
        <v>357201</v>
      </c>
      <c r="H1554" s="141" t="s">
        <v>1194</v>
      </c>
      <c r="I1554" s="516" t="s">
        <v>364</v>
      </c>
      <c r="J1554" s="262">
        <f>SUM(J1555:J1557)</f>
        <v>880.75200000000007</v>
      </c>
      <c r="K1554" s="246"/>
      <c r="L1554" s="282"/>
      <c r="M1554" s="317">
        <f>SUM(M1555:M1557)</f>
        <v>780.37300000000005</v>
      </c>
      <c r="N1554" s="246"/>
      <c r="O1554" s="282"/>
      <c r="P1554" s="317">
        <f>SUM(P1555:P1557)</f>
        <v>780.33500000000004</v>
      </c>
      <c r="Q1554" s="246"/>
      <c r="R1554" s="282"/>
      <c r="S1554" s="317">
        <f>SUM(S1555:S1557)</f>
        <v>712.28000000000009</v>
      </c>
      <c r="T1554" s="246"/>
      <c r="U1554" s="282"/>
      <c r="V1554" s="317">
        <f>SUM(V1555:V1557)</f>
        <v>462.428</v>
      </c>
      <c r="W1554" s="246"/>
      <c r="X1554" s="282"/>
      <c r="Y1554" s="317">
        <f>SUM(Y1555:Y1557)</f>
        <v>497.76799999999997</v>
      </c>
      <c r="Z1554" s="246"/>
      <c r="AA1554" s="282"/>
      <c r="AB1554" s="317">
        <f>SUM(AB1555:AB1557)</f>
        <v>504.21899999999994</v>
      </c>
      <c r="AC1554" s="246"/>
      <c r="AD1554" s="282"/>
      <c r="AE1554" s="317">
        <f>SUM(AE1555:AE1557)</f>
        <v>498.59700000000004</v>
      </c>
      <c r="AF1554" s="246"/>
      <c r="AG1554" s="282"/>
      <c r="AH1554" s="317">
        <f>SUM(AH1555:AH1557)</f>
        <v>401.15200000000004</v>
      </c>
      <c r="AI1554" s="246"/>
      <c r="AJ1554" s="282"/>
      <c r="AK1554" s="317">
        <f>SUM(AK1555:AK1557)</f>
        <v>402.65800000000002</v>
      </c>
      <c r="AL1554" s="246"/>
      <c r="AM1554" s="282"/>
      <c r="AN1554" s="317">
        <f>SUM(AN1555:AN1557)</f>
        <v>647.67099999999994</v>
      </c>
      <c r="AO1554" s="246"/>
      <c r="AP1554" s="282"/>
      <c r="AQ1554" s="317">
        <f>SUM(AQ1555:AQ1557)</f>
        <v>823.30500000000006</v>
      </c>
      <c r="AR1554" s="246"/>
      <c r="AS1554" s="282"/>
      <c r="AT1554" s="317">
        <f>SUM(AT1555:AT1557)</f>
        <v>7391.5380000000005</v>
      </c>
      <c r="AU1554" s="246"/>
      <c r="AV1554" s="336"/>
      <c r="AW1554" s="285"/>
      <c r="AX1554" s="249"/>
      <c r="AY1554" s="1068">
        <v>6485.0282509999997</v>
      </c>
      <c r="AZ1554" s="357"/>
      <c r="BA1554"/>
      <c r="BB1554"/>
      <c r="BC1554"/>
    </row>
    <row r="1555" spans="1:55" s="24" customFormat="1" ht="15" customHeight="1">
      <c r="A1555" s="179"/>
      <c r="B1555" s="179"/>
      <c r="C1555" s="179"/>
      <c r="D1555" s="181"/>
      <c r="E1555" s="181"/>
      <c r="F1555" s="181"/>
      <c r="G1555" s="1110"/>
      <c r="H1555" s="801" t="s">
        <v>1191</v>
      </c>
      <c r="I1555" s="188"/>
      <c r="J1555" s="244">
        <v>741.84</v>
      </c>
      <c r="K1555" s="246"/>
      <c r="L1555" s="282"/>
      <c r="M1555" s="244">
        <v>681.74800000000005</v>
      </c>
      <c r="N1555" s="246"/>
      <c r="O1555" s="282"/>
      <c r="P1555" s="244">
        <v>701.60699999999997</v>
      </c>
      <c r="Q1555" s="246"/>
      <c r="R1555" s="282"/>
      <c r="S1555" s="345">
        <f>600.964+50</f>
        <v>650.96400000000006</v>
      </c>
      <c r="T1555" s="246"/>
      <c r="U1555" s="282"/>
      <c r="V1555" s="244">
        <v>458.08699999999999</v>
      </c>
      <c r="W1555" s="246"/>
      <c r="X1555" s="282"/>
      <c r="Y1555" s="244">
        <v>455.916</v>
      </c>
      <c r="Z1555" s="246"/>
      <c r="AA1555" s="282"/>
      <c r="AB1555" s="345">
        <f>438.328+40</f>
        <v>478.32799999999997</v>
      </c>
      <c r="AC1555" s="246"/>
      <c r="AD1555" s="282"/>
      <c r="AE1555" s="345">
        <f>360.605+70</f>
        <v>430.60500000000002</v>
      </c>
      <c r="AF1555" s="246"/>
      <c r="AG1555" s="282"/>
      <c r="AH1555" s="345">
        <f>348.944+50</f>
        <v>398.94400000000002</v>
      </c>
      <c r="AI1555" s="246"/>
      <c r="AJ1555" s="282"/>
      <c r="AK1555" s="244">
        <v>392.197</v>
      </c>
      <c r="AL1555" s="246"/>
      <c r="AM1555" s="282"/>
      <c r="AN1555" s="1205">
        <f>378.032+156.51+20</f>
        <v>554.54199999999992</v>
      </c>
      <c r="AO1555" s="246"/>
      <c r="AP1555" s="282"/>
      <c r="AQ1555" s="1205">
        <f>413.305+290</f>
        <v>703.30500000000006</v>
      </c>
      <c r="AR1555" s="246"/>
      <c r="AS1555" s="282"/>
      <c r="AT1555" s="244">
        <f t="shared" ref="AT1555:AT1579" si="62">J1555+M1555+P1555+S1555+V1555+Y1555+AB1555+AE1555+AH1555+AK1555+AN1555+AQ1555</f>
        <v>6648.0830000000005</v>
      </c>
      <c r="AU1555" s="246"/>
      <c r="AV1555" s="336"/>
      <c r="AW1555" s="285"/>
      <c r="AX1555" s="249"/>
      <c r="AY1555" s="338"/>
      <c r="AZ1555" s="357"/>
      <c r="BA1555"/>
      <c r="BB1555"/>
      <c r="BC1555"/>
    </row>
    <row r="1556" spans="1:55" s="24" customFormat="1">
      <c r="A1556" s="179"/>
      <c r="B1556" s="179"/>
      <c r="C1556" s="179"/>
      <c r="D1556" s="181"/>
      <c r="E1556" s="181"/>
      <c r="F1556" s="181"/>
      <c r="G1556" s="1110"/>
      <c r="H1556" s="125" t="s">
        <v>1192</v>
      </c>
      <c r="I1556" s="125"/>
      <c r="J1556" s="244">
        <v>60.265000000000001</v>
      </c>
      <c r="K1556" s="246"/>
      <c r="L1556" s="282"/>
      <c r="M1556" s="244">
        <v>42.753999999999998</v>
      </c>
      <c r="N1556" s="246"/>
      <c r="O1556" s="282"/>
      <c r="P1556" s="244">
        <v>48.628</v>
      </c>
      <c r="Q1556" s="246"/>
      <c r="R1556" s="282"/>
      <c r="S1556" s="345">
        <f>28.998+10</f>
        <v>38.998000000000005</v>
      </c>
      <c r="T1556" s="246"/>
      <c r="U1556" s="282"/>
      <c r="V1556" s="244">
        <v>0</v>
      </c>
      <c r="W1556" s="246"/>
      <c r="X1556" s="282"/>
      <c r="Y1556" s="244">
        <v>26.419</v>
      </c>
      <c r="Z1556" s="246"/>
      <c r="AA1556" s="282"/>
      <c r="AB1556" s="244">
        <v>15.484</v>
      </c>
      <c r="AC1556" s="246"/>
      <c r="AD1556" s="282"/>
      <c r="AE1556" s="244">
        <v>39.115000000000002</v>
      </c>
      <c r="AF1556" s="246"/>
      <c r="AG1556" s="282"/>
      <c r="AH1556" s="244">
        <v>0</v>
      </c>
      <c r="AI1556" s="246"/>
      <c r="AJ1556" s="282"/>
      <c r="AK1556" s="244">
        <v>7.1029999999999998</v>
      </c>
      <c r="AL1556" s="246"/>
      <c r="AM1556" s="282"/>
      <c r="AN1556" s="345">
        <f>0+40</f>
        <v>40</v>
      </c>
      <c r="AO1556" s="246"/>
      <c r="AP1556" s="282"/>
      <c r="AQ1556" s="345">
        <f>0+60</f>
        <v>60</v>
      </c>
      <c r="AR1556" s="246"/>
      <c r="AS1556" s="282"/>
      <c r="AT1556" s="244">
        <f t="shared" si="62"/>
        <v>378.76600000000002</v>
      </c>
      <c r="AU1556" s="246"/>
      <c r="AV1556" s="336"/>
      <c r="AW1556" s="285"/>
      <c r="AX1556" s="249"/>
      <c r="AY1556" s="338"/>
      <c r="AZ1556" s="357"/>
      <c r="BA1556"/>
      <c r="BB1556"/>
      <c r="BC1556"/>
    </row>
    <row r="1557" spans="1:55" s="24" customFormat="1">
      <c r="A1557" s="179"/>
      <c r="B1557" s="179"/>
      <c r="C1557" s="179"/>
      <c r="D1557" s="181"/>
      <c r="E1557" s="181"/>
      <c r="F1557" s="181"/>
      <c r="G1557" s="1110"/>
      <c r="H1557" s="125" t="s">
        <v>1193</v>
      </c>
      <c r="I1557" s="125"/>
      <c r="J1557" s="244">
        <v>78.647000000000006</v>
      </c>
      <c r="K1557" s="246"/>
      <c r="L1557" s="282"/>
      <c r="M1557" s="244">
        <v>55.871000000000002</v>
      </c>
      <c r="N1557" s="246"/>
      <c r="O1557" s="282"/>
      <c r="P1557" s="244">
        <v>30.1</v>
      </c>
      <c r="Q1557" s="246"/>
      <c r="R1557" s="282"/>
      <c r="S1557" s="345">
        <f>12.318+10</f>
        <v>22.317999999999998</v>
      </c>
      <c r="T1557" s="246"/>
      <c r="U1557" s="282"/>
      <c r="V1557" s="244">
        <v>4.3410000000000002</v>
      </c>
      <c r="W1557" s="246"/>
      <c r="X1557" s="282"/>
      <c r="Y1557" s="244">
        <v>15.433</v>
      </c>
      <c r="Z1557" s="246"/>
      <c r="AA1557" s="282"/>
      <c r="AB1557" s="244">
        <v>10.407</v>
      </c>
      <c r="AC1557" s="246"/>
      <c r="AD1557" s="282"/>
      <c r="AE1557" s="244">
        <v>28.876999999999999</v>
      </c>
      <c r="AF1557" s="246"/>
      <c r="AG1557" s="282"/>
      <c r="AH1557" s="244">
        <v>2.2080000000000002</v>
      </c>
      <c r="AI1557" s="246"/>
      <c r="AJ1557" s="282"/>
      <c r="AK1557" s="244">
        <v>3.3580000000000001</v>
      </c>
      <c r="AL1557" s="246"/>
      <c r="AM1557" s="282"/>
      <c r="AN1557" s="345">
        <f>3.129+50</f>
        <v>53.128999999999998</v>
      </c>
      <c r="AO1557" s="246"/>
      <c r="AP1557" s="282"/>
      <c r="AQ1557" s="345">
        <f>0+60</f>
        <v>60</v>
      </c>
      <c r="AR1557" s="246"/>
      <c r="AS1557" s="282"/>
      <c r="AT1557" s="244">
        <f t="shared" si="62"/>
        <v>364.68900000000002</v>
      </c>
      <c r="AU1557" s="246"/>
      <c r="AV1557" s="336"/>
      <c r="AW1557" s="285"/>
      <c r="AX1557" s="249"/>
      <c r="AY1557" s="338"/>
      <c r="AZ1557" s="357"/>
      <c r="BA1557"/>
      <c r="BB1557"/>
      <c r="BC1557"/>
    </row>
    <row r="1558" spans="1:55" s="24" customFormat="1">
      <c r="A1558" s="179"/>
      <c r="B1558" s="179"/>
      <c r="C1558" s="179"/>
      <c r="D1558" s="181">
        <v>357202</v>
      </c>
      <c r="E1558" s="181"/>
      <c r="F1558" s="181"/>
      <c r="G1558" s="1110">
        <v>357202</v>
      </c>
      <c r="H1558" s="141" t="s">
        <v>1195</v>
      </c>
      <c r="I1558" s="516" t="s">
        <v>364</v>
      </c>
      <c r="J1558" s="262">
        <f>SUM(J1559:J1561)</f>
        <v>777.774</v>
      </c>
      <c r="K1558" s="246"/>
      <c r="L1558" s="282"/>
      <c r="M1558" s="317">
        <f>SUM(M1559:M1561)</f>
        <v>726.64664700000003</v>
      </c>
      <c r="N1558" s="246"/>
      <c r="O1558" s="282"/>
      <c r="P1558" s="317">
        <f>SUM(P1559:P1561)</f>
        <v>740.40052800000001</v>
      </c>
      <c r="Q1558" s="246"/>
      <c r="R1558" s="282"/>
      <c r="S1558" s="317">
        <f>SUM(S1559:S1561)</f>
        <v>603.62802699999997</v>
      </c>
      <c r="T1558" s="246"/>
      <c r="U1558" s="282"/>
      <c r="V1558" s="317">
        <f>SUM(V1559:V1561)</f>
        <v>443.33216400000003</v>
      </c>
      <c r="W1558" s="246"/>
      <c r="X1558" s="282"/>
      <c r="Y1558" s="317">
        <f>SUM(Y1559:Y1561)</f>
        <v>379.03486099999998</v>
      </c>
      <c r="Z1558" s="246"/>
      <c r="AA1558" s="282"/>
      <c r="AB1558" s="317">
        <f>SUM(AB1559:AB1561)</f>
        <v>338.29463999999996</v>
      </c>
      <c r="AC1558" s="246"/>
      <c r="AD1558" s="282"/>
      <c r="AE1558" s="317">
        <f>SUM(AE1559:AE1561)</f>
        <v>444.99053100000003</v>
      </c>
      <c r="AF1558" s="246"/>
      <c r="AG1558" s="282"/>
      <c r="AH1558" s="317">
        <f>SUM(AH1559:AH1561)</f>
        <v>475.91651100000001</v>
      </c>
      <c r="AI1558" s="246"/>
      <c r="AJ1558" s="282"/>
      <c r="AK1558" s="317">
        <f>SUM(AK1559:AK1561)</f>
        <v>496.75923600000004</v>
      </c>
      <c r="AL1558" s="246"/>
      <c r="AM1558" s="282"/>
      <c r="AN1558" s="317">
        <f>SUM(AN1559:AN1561)</f>
        <v>682.44314099999997</v>
      </c>
      <c r="AO1558" s="246"/>
      <c r="AP1558" s="282"/>
      <c r="AQ1558" s="317">
        <f>SUM(AQ1559:AQ1561)</f>
        <v>762.1435019999999</v>
      </c>
      <c r="AR1558" s="246"/>
      <c r="AS1558" s="282"/>
      <c r="AT1558" s="317">
        <f>SUM(AT1559:AT1561)</f>
        <v>6871.3637880000006</v>
      </c>
      <c r="AU1558" s="246"/>
      <c r="AV1558" s="336"/>
      <c r="AW1558" s="285"/>
      <c r="AX1558" s="249"/>
      <c r="AY1558" s="1068">
        <v>6497.6837750000004</v>
      </c>
      <c r="AZ1558" s="357"/>
      <c r="BA1558"/>
      <c r="BB1558"/>
      <c r="BC1558"/>
    </row>
    <row r="1559" spans="1:55" s="110" customFormat="1">
      <c r="A1559" s="179"/>
      <c r="B1559" s="179"/>
      <c r="C1559" s="179"/>
      <c r="D1559" s="181"/>
      <c r="E1559" s="181"/>
      <c r="F1559" s="181"/>
      <c r="G1559" s="1110"/>
      <c r="H1559" s="125" t="s">
        <v>1196</v>
      </c>
      <c r="I1559" s="125"/>
      <c r="J1559" s="244">
        <v>493.29599999999999</v>
      </c>
      <c r="K1559" s="246"/>
      <c r="L1559" s="282"/>
      <c r="M1559" s="244">
        <v>459.36158499999999</v>
      </c>
      <c r="N1559" s="246"/>
      <c r="O1559" s="282"/>
      <c r="P1559" s="244">
        <v>445.92086399999999</v>
      </c>
      <c r="Q1559" s="246"/>
      <c r="R1559" s="282"/>
      <c r="S1559" s="345">
        <f>334.56024+20</f>
        <v>354.56024000000002</v>
      </c>
      <c r="T1559" s="246"/>
      <c r="U1559" s="282"/>
      <c r="V1559" s="244">
        <v>315.39785000000001</v>
      </c>
      <c r="W1559" s="246"/>
      <c r="X1559" s="282"/>
      <c r="Y1559" s="244">
        <v>232.56569500000001</v>
      </c>
      <c r="Z1559" s="246"/>
      <c r="AA1559" s="282"/>
      <c r="AB1559" s="244">
        <v>227.27025699999999</v>
      </c>
      <c r="AC1559" s="246"/>
      <c r="AD1559" s="282"/>
      <c r="AE1559" s="345">
        <f>163.752225+120</f>
        <v>283.75222500000001</v>
      </c>
      <c r="AF1559" s="246"/>
      <c r="AG1559" s="282"/>
      <c r="AH1559" s="244">
        <v>251.291505</v>
      </c>
      <c r="AI1559" s="246"/>
      <c r="AJ1559" s="282"/>
      <c r="AK1559" s="244">
        <v>355.65804000000003</v>
      </c>
      <c r="AL1559" s="246"/>
      <c r="AM1559" s="282"/>
      <c r="AN1559" s="1205">
        <v>392.63976000000002</v>
      </c>
      <c r="AO1559" s="246"/>
      <c r="AP1559" s="282"/>
      <c r="AQ1559" s="1013">
        <v>490.60956299999998</v>
      </c>
      <c r="AR1559" s="246"/>
      <c r="AS1559" s="282"/>
      <c r="AT1559" s="244">
        <f t="shared" si="62"/>
        <v>4302.3235840000007</v>
      </c>
      <c r="AU1559" s="246"/>
      <c r="AV1559" s="336"/>
      <c r="AW1559" s="285"/>
      <c r="AX1559" s="249"/>
      <c r="AY1559" s="338"/>
      <c r="AZ1559" s="356"/>
      <c r="BA1559"/>
      <c r="BB1559"/>
      <c r="BC1559"/>
    </row>
    <row r="1560" spans="1:55" s="113" customFormat="1">
      <c r="A1560" s="179"/>
      <c r="B1560" s="179"/>
      <c r="C1560" s="179"/>
      <c r="D1560" s="181"/>
      <c r="E1560" s="181"/>
      <c r="F1560" s="181"/>
      <c r="G1560" s="1110"/>
      <c r="H1560" s="125" t="s">
        <v>1197</v>
      </c>
      <c r="I1560" s="125"/>
      <c r="J1560" s="244">
        <v>155.828</v>
      </c>
      <c r="K1560" s="246"/>
      <c r="L1560" s="282"/>
      <c r="M1560" s="244">
        <v>131.843782</v>
      </c>
      <c r="N1560" s="246"/>
      <c r="O1560" s="282"/>
      <c r="P1560" s="244">
        <v>156.71987999999999</v>
      </c>
      <c r="Q1560" s="246"/>
      <c r="R1560" s="282"/>
      <c r="S1560" s="244">
        <v>121.60818</v>
      </c>
      <c r="T1560" s="246"/>
      <c r="U1560" s="282"/>
      <c r="V1560" s="244">
        <v>0</v>
      </c>
      <c r="W1560" s="246"/>
      <c r="X1560" s="282"/>
      <c r="Y1560" s="244">
        <v>0</v>
      </c>
      <c r="Z1560" s="246"/>
      <c r="AA1560" s="282"/>
      <c r="AB1560" s="244">
        <v>0</v>
      </c>
      <c r="AC1560" s="246"/>
      <c r="AD1560" s="282"/>
      <c r="AE1560" s="244">
        <v>51.839688000000002</v>
      </c>
      <c r="AF1560" s="246"/>
      <c r="AG1560" s="282"/>
      <c r="AH1560" s="244">
        <v>114.99867500000001</v>
      </c>
      <c r="AI1560" s="246"/>
      <c r="AJ1560" s="282"/>
      <c r="AK1560" s="244">
        <v>74.861388000000005</v>
      </c>
      <c r="AL1560" s="246"/>
      <c r="AM1560" s="282"/>
      <c r="AN1560" s="345">
        <f>145.643381+10</f>
        <v>155.64338100000001</v>
      </c>
      <c r="AO1560" s="246"/>
      <c r="AP1560" s="282"/>
      <c r="AQ1560" s="345">
        <f>119.534203+20</f>
        <v>139.53420299999999</v>
      </c>
      <c r="AR1560" s="246"/>
      <c r="AS1560" s="282"/>
      <c r="AT1560" s="244">
        <f t="shared" si="62"/>
        <v>1102.8771770000001</v>
      </c>
      <c r="AU1560" s="246"/>
      <c r="AV1560" s="336"/>
      <c r="AW1560" s="285"/>
      <c r="AX1560" s="249"/>
      <c r="AY1560" s="338"/>
      <c r="AZ1560" s="355"/>
      <c r="BA1560"/>
      <c r="BB1560"/>
      <c r="BC1560"/>
    </row>
    <row r="1561" spans="1:55" s="113" customFormat="1">
      <c r="A1561" s="179"/>
      <c r="B1561" s="179"/>
      <c r="C1561" s="179"/>
      <c r="D1561" s="181"/>
      <c r="E1561" s="181"/>
      <c r="F1561" s="181"/>
      <c r="G1561" s="1110"/>
      <c r="H1561" s="125" t="s">
        <v>1198</v>
      </c>
      <c r="I1561" s="125"/>
      <c r="J1561" s="244">
        <v>128.65</v>
      </c>
      <c r="K1561" s="246"/>
      <c r="L1561" s="282"/>
      <c r="M1561" s="244">
        <v>135.44128000000001</v>
      </c>
      <c r="N1561" s="246"/>
      <c r="O1561" s="282"/>
      <c r="P1561" s="244">
        <v>137.759784</v>
      </c>
      <c r="Q1561" s="246"/>
      <c r="R1561" s="282"/>
      <c r="S1561" s="345">
        <f>107.459607+20</f>
        <v>127.45960700000001</v>
      </c>
      <c r="T1561" s="246"/>
      <c r="U1561" s="282"/>
      <c r="V1561" s="244">
        <v>127.934314</v>
      </c>
      <c r="W1561" s="246"/>
      <c r="X1561" s="282"/>
      <c r="Y1561" s="345">
        <f>26.469166+120</f>
        <v>146.469166</v>
      </c>
      <c r="Z1561" s="246"/>
      <c r="AA1561" s="282"/>
      <c r="AB1561" s="244">
        <v>111.024383</v>
      </c>
      <c r="AC1561" s="246"/>
      <c r="AD1561" s="282"/>
      <c r="AE1561" s="345">
        <f>59.398618+50</f>
        <v>109.398618</v>
      </c>
      <c r="AF1561" s="246"/>
      <c r="AG1561" s="282"/>
      <c r="AH1561" s="244">
        <v>109.62633099999999</v>
      </c>
      <c r="AI1561" s="246"/>
      <c r="AJ1561" s="282"/>
      <c r="AK1561" s="244">
        <v>66.239807999999996</v>
      </c>
      <c r="AL1561" s="246"/>
      <c r="AM1561" s="282"/>
      <c r="AN1561" s="345">
        <f>74.16+30+30</f>
        <v>134.16</v>
      </c>
      <c r="AO1561" s="246"/>
      <c r="AP1561" s="282"/>
      <c r="AQ1561" s="244">
        <v>131.99973600000001</v>
      </c>
      <c r="AR1561" s="246"/>
      <c r="AS1561" s="282"/>
      <c r="AT1561" s="244">
        <f t="shared" si="62"/>
        <v>1466.1630269999998</v>
      </c>
      <c r="AU1561" s="246"/>
      <c r="AV1561" s="336"/>
      <c r="AW1561" s="285"/>
      <c r="AX1561" s="249"/>
      <c r="AY1561" s="338"/>
      <c r="AZ1561" s="355"/>
      <c r="BA1561"/>
      <c r="BB1561"/>
      <c r="BC1561"/>
    </row>
    <row r="1562" spans="1:55" s="113" customFormat="1">
      <c r="A1562" s="179"/>
      <c r="B1562" s="179"/>
      <c r="C1562" s="179"/>
      <c r="D1562" s="181">
        <v>357210</v>
      </c>
      <c r="E1562" s="181"/>
      <c r="F1562" s="181"/>
      <c r="G1562" s="1110">
        <v>357210</v>
      </c>
      <c r="H1562" s="125" t="s">
        <v>1039</v>
      </c>
      <c r="I1562" s="516" t="s">
        <v>364</v>
      </c>
      <c r="J1562" s="244">
        <v>176.7</v>
      </c>
      <c r="K1562" s="246"/>
      <c r="L1562" s="282"/>
      <c r="M1562" s="244">
        <v>160.785</v>
      </c>
      <c r="N1562" s="246"/>
      <c r="O1562" s="282"/>
      <c r="P1562" s="244">
        <v>162.28200000000001</v>
      </c>
      <c r="Q1562" s="246"/>
      <c r="R1562" s="282"/>
      <c r="S1562" s="345">
        <f>127.603+60</f>
        <v>187.60300000000001</v>
      </c>
      <c r="T1562" s="246"/>
      <c r="U1562" s="282"/>
      <c r="V1562" s="244">
        <v>86.63</v>
      </c>
      <c r="W1562" s="246"/>
      <c r="X1562" s="282"/>
      <c r="Y1562" s="345">
        <f>55.176+20</f>
        <v>75.176000000000002</v>
      </c>
      <c r="Z1562" s="246"/>
      <c r="AA1562" s="282"/>
      <c r="AB1562" s="345">
        <f>53.7912+10</f>
        <v>63.791200000000003</v>
      </c>
      <c r="AC1562" s="246"/>
      <c r="AD1562" s="282"/>
      <c r="AE1562" s="244">
        <v>64.2072</v>
      </c>
      <c r="AF1562" s="246"/>
      <c r="AG1562" s="282"/>
      <c r="AH1562" s="244">
        <v>63.182000000000002</v>
      </c>
      <c r="AI1562" s="246"/>
      <c r="AJ1562" s="282"/>
      <c r="AK1562" s="244">
        <v>103.19280000000001</v>
      </c>
      <c r="AL1562" s="246"/>
      <c r="AM1562" s="282"/>
      <c r="AN1562" s="345">
        <f>156.521+20+20</f>
        <v>196.52099999999999</v>
      </c>
      <c r="AO1562" s="246"/>
      <c r="AP1562" s="282"/>
      <c r="AQ1562" s="345">
        <f>170.376+40</f>
        <v>210.376</v>
      </c>
      <c r="AR1562" s="246"/>
      <c r="AS1562" s="282"/>
      <c r="AT1562" s="244">
        <f t="shared" si="62"/>
        <v>1550.4462000000001</v>
      </c>
      <c r="AU1562" s="246"/>
      <c r="AV1562" s="336"/>
      <c r="AW1562" s="285"/>
      <c r="AX1562" s="249"/>
      <c r="AY1562" s="438">
        <v>1684.4125469999999</v>
      </c>
      <c r="AZ1562" s="355"/>
      <c r="BA1562"/>
      <c r="BB1562"/>
      <c r="BC1562"/>
    </row>
    <row r="1563" spans="1:55" s="24" customFormat="1">
      <c r="A1563" s="179"/>
      <c r="B1563" s="179"/>
      <c r="C1563" s="179"/>
      <c r="D1563" s="181">
        <v>357212</v>
      </c>
      <c r="E1563" s="181"/>
      <c r="F1563" s="181"/>
      <c r="G1563" s="1110">
        <v>357212</v>
      </c>
      <c r="H1563" s="125" t="s">
        <v>1040</v>
      </c>
      <c r="I1563" s="516" t="s">
        <v>364</v>
      </c>
      <c r="J1563" s="244">
        <v>23.05</v>
      </c>
      <c r="K1563" s="246"/>
      <c r="L1563" s="282"/>
      <c r="M1563" s="244">
        <v>19.030031999999999</v>
      </c>
      <c r="N1563" s="246"/>
      <c r="O1563" s="282"/>
      <c r="P1563" s="244">
        <v>16.88</v>
      </c>
      <c r="Q1563" s="246"/>
      <c r="R1563" s="282"/>
      <c r="S1563" s="244">
        <v>13.68</v>
      </c>
      <c r="T1563" s="246"/>
      <c r="U1563" s="282"/>
      <c r="V1563" s="244">
        <v>6.1007999999999996</v>
      </c>
      <c r="W1563" s="246"/>
      <c r="X1563" s="282"/>
      <c r="Y1563" s="244">
        <v>1.5149999999999999</v>
      </c>
      <c r="Z1563" s="246"/>
      <c r="AA1563" s="282"/>
      <c r="AB1563" s="244">
        <v>1.543056</v>
      </c>
      <c r="AC1563" s="246"/>
      <c r="AD1563" s="282"/>
      <c r="AE1563" s="244">
        <v>1.8116399999999999</v>
      </c>
      <c r="AF1563" s="246"/>
      <c r="AG1563" s="282"/>
      <c r="AH1563" s="244">
        <v>5.2560000000000002</v>
      </c>
      <c r="AI1563" s="246"/>
      <c r="AJ1563" s="282"/>
      <c r="AK1563" s="244">
        <v>14.135999999999999</v>
      </c>
      <c r="AL1563" s="246"/>
      <c r="AM1563" s="282"/>
      <c r="AN1563" s="244">
        <v>18</v>
      </c>
      <c r="AO1563" s="246"/>
      <c r="AP1563" s="282"/>
      <c r="AQ1563" s="244">
        <v>22.8</v>
      </c>
      <c r="AR1563" s="246"/>
      <c r="AS1563" s="282"/>
      <c r="AT1563" s="244">
        <f t="shared" si="62"/>
        <v>143.80252799999997</v>
      </c>
      <c r="AU1563" s="246"/>
      <c r="AV1563" s="336"/>
      <c r="AW1563" s="285"/>
      <c r="AX1563" s="249"/>
      <c r="AY1563" s="438">
        <v>184.04565099999999</v>
      </c>
      <c r="AZ1563" s="357"/>
      <c r="BA1563"/>
      <c r="BB1563"/>
      <c r="BC1563"/>
    </row>
    <row r="1564" spans="1:55" s="24" customFormat="1">
      <c r="A1564" s="179"/>
      <c r="B1564" s="179"/>
      <c r="C1564" s="179"/>
      <c r="D1564" s="181">
        <v>357228</v>
      </c>
      <c r="E1564" s="181"/>
      <c r="F1564" s="181"/>
      <c r="G1564" s="1110">
        <v>357228</v>
      </c>
      <c r="H1564" s="141" t="s">
        <v>1199</v>
      </c>
      <c r="I1564" s="516" t="s">
        <v>364</v>
      </c>
      <c r="J1564" s="262">
        <f>SUM(J1565:J1566)</f>
        <v>10</v>
      </c>
      <c r="K1564" s="246"/>
      <c r="L1564" s="282"/>
      <c r="M1564" s="317">
        <f>SUM(M1565:M1566)</f>
        <v>10</v>
      </c>
      <c r="N1564" s="246"/>
      <c r="O1564" s="282"/>
      <c r="P1564" s="317">
        <f>SUM(P1565:P1566)</f>
        <v>10</v>
      </c>
      <c r="Q1564" s="246"/>
      <c r="R1564" s="282"/>
      <c r="S1564" s="317">
        <f>SUM(S1565:S1566)</f>
        <v>10</v>
      </c>
      <c r="T1564" s="246"/>
      <c r="U1564" s="282"/>
      <c r="V1564" s="317">
        <f>SUM(V1565:V1566)</f>
        <v>20</v>
      </c>
      <c r="W1564" s="246"/>
      <c r="X1564" s="282"/>
      <c r="Y1564" s="317">
        <f>SUM(Y1565:Y1566)</f>
        <v>20</v>
      </c>
      <c r="Z1564" s="246"/>
      <c r="AA1564" s="282"/>
      <c r="AB1564" s="317">
        <f>SUM(AB1565:AB1566)</f>
        <v>20</v>
      </c>
      <c r="AC1564" s="246"/>
      <c r="AD1564" s="282"/>
      <c r="AE1564" s="317">
        <f>SUM(AE1565:AE1566)</f>
        <v>20</v>
      </c>
      <c r="AF1564" s="246"/>
      <c r="AG1564" s="282"/>
      <c r="AH1564" s="317">
        <f>SUM(AH1565:AH1566)</f>
        <v>10</v>
      </c>
      <c r="AI1564" s="246"/>
      <c r="AJ1564" s="282"/>
      <c r="AK1564" s="317">
        <f>SUM(AK1565:AK1566)</f>
        <v>10</v>
      </c>
      <c r="AL1564" s="246"/>
      <c r="AM1564" s="282"/>
      <c r="AN1564" s="317">
        <f>SUM(AN1565:AN1566)</f>
        <v>10</v>
      </c>
      <c r="AO1564" s="246"/>
      <c r="AP1564" s="282"/>
      <c r="AQ1564" s="317">
        <f>SUM(AQ1565:AQ1566)</f>
        <v>10</v>
      </c>
      <c r="AR1564" s="246"/>
      <c r="AS1564" s="282"/>
      <c r="AT1564" s="317">
        <f>SUM(AT1565:AT1566)</f>
        <v>160</v>
      </c>
      <c r="AU1564" s="246"/>
      <c r="AV1564" s="336"/>
      <c r="AW1564" s="285"/>
      <c r="AX1564" s="249"/>
      <c r="AY1564" s="1068">
        <v>3.5256829999999999</v>
      </c>
      <c r="AZ1564" s="357"/>
      <c r="BA1564"/>
      <c r="BB1564"/>
      <c r="BC1564"/>
    </row>
    <row r="1565" spans="1:55" s="24" customFormat="1">
      <c r="A1565" s="179"/>
      <c r="B1565" s="179"/>
      <c r="C1565" s="179"/>
      <c r="D1565" s="181"/>
      <c r="E1565" s="181"/>
      <c r="F1565" s="181"/>
      <c r="G1565" s="1110"/>
      <c r="H1565" s="125" t="s">
        <v>1200</v>
      </c>
      <c r="I1565" s="516"/>
      <c r="J1565" s="244">
        <v>5</v>
      </c>
      <c r="K1565" s="246"/>
      <c r="L1565" s="282"/>
      <c r="M1565" s="244">
        <v>5</v>
      </c>
      <c r="N1565" s="246"/>
      <c r="O1565" s="282"/>
      <c r="P1565" s="244">
        <v>5</v>
      </c>
      <c r="Q1565" s="246"/>
      <c r="R1565" s="282"/>
      <c r="S1565" s="244">
        <v>5</v>
      </c>
      <c r="T1565" s="246"/>
      <c r="U1565" s="282"/>
      <c r="V1565" s="244">
        <v>10</v>
      </c>
      <c r="W1565" s="246"/>
      <c r="X1565" s="282"/>
      <c r="Y1565" s="244">
        <v>0</v>
      </c>
      <c r="Z1565" s="246"/>
      <c r="AA1565" s="282"/>
      <c r="AB1565" s="244">
        <v>10</v>
      </c>
      <c r="AC1565" s="246"/>
      <c r="AD1565" s="282"/>
      <c r="AE1565" s="244">
        <v>20</v>
      </c>
      <c r="AF1565" s="246"/>
      <c r="AG1565" s="282"/>
      <c r="AH1565" s="244">
        <v>5</v>
      </c>
      <c r="AI1565" s="246"/>
      <c r="AJ1565" s="282"/>
      <c r="AK1565" s="244">
        <v>5</v>
      </c>
      <c r="AL1565" s="246"/>
      <c r="AM1565" s="282"/>
      <c r="AN1565" s="244">
        <v>5</v>
      </c>
      <c r="AO1565" s="246"/>
      <c r="AP1565" s="282"/>
      <c r="AQ1565" s="244">
        <v>5</v>
      </c>
      <c r="AR1565" s="246"/>
      <c r="AS1565" s="282"/>
      <c r="AT1565" s="244">
        <f t="shared" si="62"/>
        <v>80</v>
      </c>
      <c r="AU1565" s="246"/>
      <c r="AV1565" s="336"/>
      <c r="AW1565" s="285"/>
      <c r="AX1565" s="249"/>
      <c r="AY1565" s="438"/>
      <c r="AZ1565" s="357"/>
      <c r="BA1565"/>
      <c r="BB1565"/>
      <c r="BC1565"/>
    </row>
    <row r="1566" spans="1:55" s="24" customFormat="1">
      <c r="A1566" s="179"/>
      <c r="B1566" s="179"/>
      <c r="C1566" s="179"/>
      <c r="D1566" s="181"/>
      <c r="E1566" s="181"/>
      <c r="F1566" s="181"/>
      <c r="G1566" s="1110"/>
      <c r="H1566" s="125" t="s">
        <v>1201</v>
      </c>
      <c r="I1566" s="516"/>
      <c r="J1566" s="244">
        <v>5</v>
      </c>
      <c r="K1566" s="246"/>
      <c r="L1566" s="282"/>
      <c r="M1566" s="244">
        <v>5</v>
      </c>
      <c r="N1566" s="246"/>
      <c r="O1566" s="282"/>
      <c r="P1566" s="244">
        <v>5</v>
      </c>
      <c r="Q1566" s="246"/>
      <c r="R1566" s="282"/>
      <c r="S1566" s="244">
        <v>5</v>
      </c>
      <c r="T1566" s="246"/>
      <c r="U1566" s="282"/>
      <c r="V1566" s="244">
        <v>10</v>
      </c>
      <c r="W1566" s="246"/>
      <c r="X1566" s="282"/>
      <c r="Y1566" s="244">
        <v>20</v>
      </c>
      <c r="Z1566" s="246"/>
      <c r="AA1566" s="282"/>
      <c r="AB1566" s="244">
        <v>10</v>
      </c>
      <c r="AC1566" s="246"/>
      <c r="AD1566" s="282"/>
      <c r="AE1566" s="244">
        <v>0</v>
      </c>
      <c r="AF1566" s="246"/>
      <c r="AG1566" s="282"/>
      <c r="AH1566" s="244">
        <v>5</v>
      </c>
      <c r="AI1566" s="246"/>
      <c r="AJ1566" s="282"/>
      <c r="AK1566" s="244">
        <v>5</v>
      </c>
      <c r="AL1566" s="246"/>
      <c r="AM1566" s="282"/>
      <c r="AN1566" s="244">
        <v>5</v>
      </c>
      <c r="AO1566" s="246"/>
      <c r="AP1566" s="282"/>
      <c r="AQ1566" s="244">
        <v>5</v>
      </c>
      <c r="AR1566" s="246"/>
      <c r="AS1566" s="282"/>
      <c r="AT1566" s="244">
        <f t="shared" si="62"/>
        <v>80</v>
      </c>
      <c r="AU1566" s="246"/>
      <c r="AV1566" s="336"/>
      <c r="AW1566" s="285"/>
      <c r="AX1566" s="249"/>
      <c r="AY1566" s="438"/>
      <c r="AZ1566" s="357"/>
      <c r="BA1566"/>
      <c r="BB1566"/>
      <c r="BC1566"/>
    </row>
    <row r="1567" spans="1:55" s="24" customFormat="1">
      <c r="A1567" s="179"/>
      <c r="B1567" s="179"/>
      <c r="C1567" s="179"/>
      <c r="D1567" s="181">
        <v>357226</v>
      </c>
      <c r="E1567" s="181"/>
      <c r="F1567" s="181"/>
      <c r="G1567" s="1110">
        <v>357226</v>
      </c>
      <c r="H1567" s="141" t="s">
        <v>1041</v>
      </c>
      <c r="I1567" s="516" t="s">
        <v>364</v>
      </c>
      <c r="J1567" s="262">
        <f>SUM(J1568:J1569)</f>
        <v>251.755</v>
      </c>
      <c r="K1567" s="246"/>
      <c r="L1567" s="282"/>
      <c r="M1567" s="317">
        <f>SUM(M1568:M1569)</f>
        <v>254.453</v>
      </c>
      <c r="N1567" s="246"/>
      <c r="O1567" s="282"/>
      <c r="P1567" s="317">
        <f>SUM(P1568:P1569)</f>
        <v>235.36399999999998</v>
      </c>
      <c r="Q1567" s="246"/>
      <c r="R1567" s="282"/>
      <c r="S1567" s="317">
        <f>SUM(S1568:S1569)</f>
        <v>236.03699999999998</v>
      </c>
      <c r="T1567" s="246"/>
      <c r="U1567" s="282"/>
      <c r="V1567" s="317">
        <f>SUM(V1568:V1569)</f>
        <v>135.89400000000001</v>
      </c>
      <c r="W1567" s="246"/>
      <c r="X1567" s="282"/>
      <c r="Y1567" s="317">
        <f>SUM(Y1568:Y1569)</f>
        <v>75.043000000000006</v>
      </c>
      <c r="Z1567" s="246"/>
      <c r="AA1567" s="282"/>
      <c r="AB1567" s="317">
        <f>SUM(AB1568:AB1569)</f>
        <v>65.837999999999994</v>
      </c>
      <c r="AC1567" s="246"/>
      <c r="AD1567" s="282"/>
      <c r="AE1567" s="317">
        <f>SUM(AE1568:AE1569)</f>
        <v>113.56</v>
      </c>
      <c r="AF1567" s="246"/>
      <c r="AG1567" s="282"/>
      <c r="AH1567" s="317">
        <f>SUM(AH1568:AH1569)</f>
        <v>100.87</v>
      </c>
      <c r="AI1567" s="246"/>
      <c r="AJ1567" s="282"/>
      <c r="AK1567" s="317">
        <f>SUM(AK1568:AK1569)</f>
        <v>135.57599999999999</v>
      </c>
      <c r="AL1567" s="246"/>
      <c r="AM1567" s="282"/>
      <c r="AN1567" s="317">
        <f>SUM(AN1568:AN1569)</f>
        <v>180.58600000000001</v>
      </c>
      <c r="AO1567" s="246"/>
      <c r="AP1567" s="282"/>
      <c r="AQ1567" s="317">
        <f>SUM(AQ1568:AQ1569)</f>
        <v>219.65</v>
      </c>
      <c r="AR1567" s="246"/>
      <c r="AS1567" s="282"/>
      <c r="AT1567" s="317">
        <f>SUM(AT1568:AT1569)</f>
        <v>2004.6259999999997</v>
      </c>
      <c r="AU1567" s="246"/>
      <c r="AV1567" s="336"/>
      <c r="AW1567" s="285"/>
      <c r="AX1567" s="249"/>
      <c r="AY1567" s="1068">
        <v>1877.629097</v>
      </c>
      <c r="AZ1567" s="357"/>
      <c r="BA1567"/>
      <c r="BB1567"/>
      <c r="BC1567"/>
    </row>
    <row r="1568" spans="1:55" s="24" customFormat="1">
      <c r="A1568" s="179"/>
      <c r="B1568" s="179"/>
      <c r="C1568" s="179"/>
      <c r="D1568" s="181"/>
      <c r="E1568" s="181"/>
      <c r="F1568" s="181"/>
      <c r="G1568" s="1110"/>
      <c r="H1568" s="125" t="s">
        <v>1041</v>
      </c>
      <c r="I1568" s="125"/>
      <c r="J1568" s="244">
        <v>194.649</v>
      </c>
      <c r="K1568" s="246"/>
      <c r="L1568" s="282"/>
      <c r="M1568" s="244">
        <v>178.81700000000001</v>
      </c>
      <c r="N1568" s="246"/>
      <c r="O1568" s="282"/>
      <c r="P1568" s="244">
        <v>160.57</v>
      </c>
      <c r="Q1568" s="246"/>
      <c r="R1568" s="282"/>
      <c r="S1568" s="345">
        <f>121.428+40</f>
        <v>161.428</v>
      </c>
      <c r="T1568" s="246"/>
      <c r="U1568" s="282"/>
      <c r="V1568" s="244">
        <v>106.02</v>
      </c>
      <c r="W1568" s="246"/>
      <c r="X1568" s="282"/>
      <c r="Y1568" s="345">
        <f>68.043+7</f>
        <v>75.043000000000006</v>
      </c>
      <c r="Z1568" s="246"/>
      <c r="AA1568" s="282"/>
      <c r="AB1568" s="244">
        <v>27.838000000000001</v>
      </c>
      <c r="AC1568" s="246"/>
      <c r="AD1568" s="282"/>
      <c r="AE1568" s="244">
        <v>73.56</v>
      </c>
      <c r="AF1568" s="246"/>
      <c r="AG1568" s="282"/>
      <c r="AH1568" s="345">
        <f>43.993+10</f>
        <v>53.993000000000002</v>
      </c>
      <c r="AI1568" s="246"/>
      <c r="AJ1568" s="282"/>
      <c r="AK1568" s="244">
        <v>105.434</v>
      </c>
      <c r="AL1568" s="246"/>
      <c r="AM1568" s="282"/>
      <c r="AN1568" s="244">
        <v>113.36499999999999</v>
      </c>
      <c r="AO1568" s="246"/>
      <c r="AP1568" s="282"/>
      <c r="AQ1568" s="345">
        <f>122.663+20</f>
        <v>142.66300000000001</v>
      </c>
      <c r="AR1568" s="246"/>
      <c r="AS1568" s="282"/>
      <c r="AT1568" s="244">
        <f t="shared" si="62"/>
        <v>1393.3799999999999</v>
      </c>
      <c r="AU1568" s="246"/>
      <c r="AV1568" s="336"/>
      <c r="AW1568" s="285"/>
      <c r="AX1568" s="249"/>
      <c r="AY1568" s="338"/>
      <c r="AZ1568" s="357"/>
      <c r="BA1568"/>
      <c r="BB1568"/>
      <c r="BC1568"/>
    </row>
    <row r="1569" spans="1:59" s="24" customFormat="1">
      <c r="A1569" s="179"/>
      <c r="B1569" s="179"/>
      <c r="C1569" s="179"/>
      <c r="D1569" s="181"/>
      <c r="E1569" s="181"/>
      <c r="F1569" s="181"/>
      <c r="G1569" s="1110"/>
      <c r="H1569" s="125" t="s">
        <v>1042</v>
      </c>
      <c r="I1569" s="125"/>
      <c r="J1569" s="244">
        <v>57.106000000000002</v>
      </c>
      <c r="K1569" s="246"/>
      <c r="L1569" s="282"/>
      <c r="M1569" s="244">
        <v>75.635999999999996</v>
      </c>
      <c r="N1569" s="246"/>
      <c r="O1569" s="282"/>
      <c r="P1569" s="244">
        <v>74.793999999999997</v>
      </c>
      <c r="Q1569" s="246"/>
      <c r="R1569" s="282"/>
      <c r="S1569" s="345">
        <f>64.609+10</f>
        <v>74.608999999999995</v>
      </c>
      <c r="T1569" s="246"/>
      <c r="U1569" s="282"/>
      <c r="V1569" s="244">
        <v>29.873999999999999</v>
      </c>
      <c r="W1569" s="246"/>
      <c r="X1569" s="282"/>
      <c r="Y1569" s="244">
        <v>0</v>
      </c>
      <c r="Z1569" s="246"/>
      <c r="AA1569" s="282"/>
      <c r="AB1569" s="244">
        <v>38</v>
      </c>
      <c r="AC1569" s="246"/>
      <c r="AD1569" s="282"/>
      <c r="AE1569" s="345">
        <f>0+40</f>
        <v>40</v>
      </c>
      <c r="AF1569" s="246"/>
      <c r="AG1569" s="282"/>
      <c r="AH1569" s="244">
        <v>46.877000000000002</v>
      </c>
      <c r="AI1569" s="246"/>
      <c r="AJ1569" s="282"/>
      <c r="AK1569" s="244">
        <v>30.141999999999999</v>
      </c>
      <c r="AL1569" s="246"/>
      <c r="AM1569" s="282"/>
      <c r="AN1569" s="244">
        <v>67.221000000000004</v>
      </c>
      <c r="AO1569" s="246"/>
      <c r="AP1569" s="282"/>
      <c r="AQ1569" s="244">
        <v>76.986999999999995</v>
      </c>
      <c r="AR1569" s="246"/>
      <c r="AS1569" s="282"/>
      <c r="AT1569" s="244">
        <f t="shared" si="62"/>
        <v>611.24599999999998</v>
      </c>
      <c r="AU1569" s="246"/>
      <c r="AV1569" s="336"/>
      <c r="AW1569" s="285"/>
      <c r="AX1569" s="249"/>
      <c r="AY1569" s="338"/>
      <c r="AZ1569" s="357"/>
      <c r="BA1569"/>
      <c r="BB1569"/>
      <c r="BC1569"/>
    </row>
    <row r="1570" spans="1:59" s="24" customFormat="1">
      <c r="A1570" s="179"/>
      <c r="B1570" s="179"/>
      <c r="C1570" s="179"/>
      <c r="D1570" s="181">
        <v>357227</v>
      </c>
      <c r="E1570" s="181"/>
      <c r="F1570" s="181"/>
      <c r="G1570" s="1110">
        <v>357227</v>
      </c>
      <c r="H1570" s="141" t="s">
        <v>1043</v>
      </c>
      <c r="I1570" s="516" t="s">
        <v>364</v>
      </c>
      <c r="J1570" s="262">
        <f>SUM(J1571:J1572)</f>
        <v>76.334999999999994</v>
      </c>
      <c r="K1570" s="246"/>
      <c r="L1570" s="282"/>
      <c r="M1570" s="317">
        <f>SUM(M1571:M1572)</f>
        <v>71.41</v>
      </c>
      <c r="N1570" s="246"/>
      <c r="O1570" s="282"/>
      <c r="P1570" s="317">
        <f>SUM(P1571:P1572)</f>
        <v>66.513599999999997</v>
      </c>
      <c r="Q1570" s="246"/>
      <c r="R1570" s="282"/>
      <c r="S1570" s="317">
        <f>SUM(S1571:S1572)</f>
        <v>44.423999999999999</v>
      </c>
      <c r="T1570" s="246"/>
      <c r="U1570" s="282"/>
      <c r="V1570" s="317">
        <f>SUM(V1571:V1572)</f>
        <v>27.355</v>
      </c>
      <c r="W1570" s="246"/>
      <c r="X1570" s="282"/>
      <c r="Y1570" s="317">
        <f>SUM(Y1571:Y1572)</f>
        <v>27.664000000000001</v>
      </c>
      <c r="Z1570" s="246"/>
      <c r="AA1570" s="282"/>
      <c r="AB1570" s="317">
        <f>SUM(AB1571:AB1572)</f>
        <v>13.974</v>
      </c>
      <c r="AC1570" s="246"/>
      <c r="AD1570" s="282"/>
      <c r="AE1570" s="317">
        <f>SUM(AE1571:AE1572)</f>
        <v>13.236000000000001</v>
      </c>
      <c r="AF1570" s="246"/>
      <c r="AG1570" s="282"/>
      <c r="AH1570" s="317">
        <f>SUM(AH1571:AH1572)</f>
        <v>20.88</v>
      </c>
      <c r="AI1570" s="246"/>
      <c r="AJ1570" s="282"/>
      <c r="AK1570" s="317">
        <f>SUM(AK1571:AK1572)</f>
        <v>47.020800000000001</v>
      </c>
      <c r="AL1570" s="246"/>
      <c r="AM1570" s="282"/>
      <c r="AN1570" s="317">
        <f>SUM(AN1571:AN1572)</f>
        <v>64.08</v>
      </c>
      <c r="AO1570" s="246"/>
      <c r="AP1570" s="282"/>
      <c r="AQ1570" s="317">
        <f>SUM(AQ1571:AQ1572)</f>
        <v>76.334400000000002</v>
      </c>
      <c r="AR1570" s="246"/>
      <c r="AS1570" s="282"/>
      <c r="AT1570" s="317">
        <f>SUM(AT1571:AT1572)</f>
        <v>549.22680000000003</v>
      </c>
      <c r="AU1570" s="246"/>
      <c r="AV1570" s="336"/>
      <c r="AW1570" s="285"/>
      <c r="AX1570" s="249"/>
      <c r="AY1570" s="1068">
        <v>573.38101700000004</v>
      </c>
      <c r="AZ1570" s="357"/>
      <c r="BA1570"/>
      <c r="BB1570"/>
      <c r="BC1570"/>
    </row>
    <row r="1571" spans="1:59" s="24" customFormat="1">
      <c r="A1571" s="179"/>
      <c r="B1571" s="179"/>
      <c r="C1571" s="179"/>
      <c r="D1571" s="181"/>
      <c r="E1571" s="181"/>
      <c r="F1571" s="181"/>
      <c r="G1571" s="1110"/>
      <c r="H1571" s="125" t="s">
        <v>1044</v>
      </c>
      <c r="I1571" s="125"/>
      <c r="J1571" s="244">
        <v>67.406999999999996</v>
      </c>
      <c r="K1571" s="246"/>
      <c r="L1571" s="282"/>
      <c r="M1571" s="244">
        <v>63.058</v>
      </c>
      <c r="N1571" s="246"/>
      <c r="O1571" s="282"/>
      <c r="P1571" s="244">
        <v>59.073599999999999</v>
      </c>
      <c r="Q1571" s="246"/>
      <c r="R1571" s="282"/>
      <c r="S1571" s="244">
        <v>38.664000000000001</v>
      </c>
      <c r="T1571" s="246"/>
      <c r="U1571" s="282"/>
      <c r="V1571" s="244">
        <v>25.048999999999999</v>
      </c>
      <c r="W1571" s="246"/>
      <c r="X1571" s="282"/>
      <c r="Y1571" s="345">
        <f>13.344+10</f>
        <v>23.344000000000001</v>
      </c>
      <c r="Z1571" s="246"/>
      <c r="AA1571" s="282"/>
      <c r="AB1571" s="244">
        <v>13.974</v>
      </c>
      <c r="AC1571" s="246"/>
      <c r="AD1571" s="282"/>
      <c r="AE1571" s="244">
        <v>13.236000000000001</v>
      </c>
      <c r="AF1571" s="246"/>
      <c r="AG1571" s="282"/>
      <c r="AH1571" s="244">
        <v>20.88</v>
      </c>
      <c r="AI1571" s="246"/>
      <c r="AJ1571" s="282"/>
      <c r="AK1571" s="244">
        <v>41.812800000000003</v>
      </c>
      <c r="AL1571" s="246"/>
      <c r="AM1571" s="282"/>
      <c r="AN1571" s="244">
        <v>56.88</v>
      </c>
      <c r="AO1571" s="246"/>
      <c r="AP1571" s="282"/>
      <c r="AQ1571" s="244">
        <v>67.406400000000005</v>
      </c>
      <c r="AR1571" s="246"/>
      <c r="AS1571" s="282"/>
      <c r="AT1571" s="244">
        <f t="shared" si="62"/>
        <v>490.78480000000002</v>
      </c>
      <c r="AU1571" s="246"/>
      <c r="AV1571" s="336"/>
      <c r="AW1571" s="285"/>
      <c r="AX1571" s="249"/>
      <c r="AY1571" s="338"/>
      <c r="AZ1571" s="357"/>
      <c r="BA1571"/>
      <c r="BB1571"/>
      <c r="BC1571"/>
    </row>
    <row r="1572" spans="1:59" s="110" customFormat="1">
      <c r="A1572" s="179"/>
      <c r="B1572" s="179"/>
      <c r="C1572" s="179"/>
      <c r="D1572" s="181"/>
      <c r="E1572" s="181"/>
      <c r="F1572" s="181"/>
      <c r="G1572" s="1110"/>
      <c r="H1572" s="125" t="s">
        <v>1045</v>
      </c>
      <c r="I1572" s="125"/>
      <c r="J1572" s="244">
        <v>8.9280000000000008</v>
      </c>
      <c r="K1572" s="246"/>
      <c r="L1572" s="282"/>
      <c r="M1572" s="244">
        <v>8.3520000000000003</v>
      </c>
      <c r="N1572" s="246"/>
      <c r="O1572" s="282"/>
      <c r="P1572" s="244">
        <v>7.44</v>
      </c>
      <c r="Q1572" s="246"/>
      <c r="R1572" s="282"/>
      <c r="S1572" s="244">
        <v>5.76</v>
      </c>
      <c r="T1572" s="246"/>
      <c r="U1572" s="282"/>
      <c r="V1572" s="244">
        <v>2.306</v>
      </c>
      <c r="W1572" s="246"/>
      <c r="X1572" s="282"/>
      <c r="Y1572" s="244">
        <v>4.32</v>
      </c>
      <c r="Z1572" s="246"/>
      <c r="AA1572" s="282"/>
      <c r="AB1572" s="244">
        <v>0</v>
      </c>
      <c r="AC1572" s="246"/>
      <c r="AD1572" s="282"/>
      <c r="AE1572" s="244">
        <v>0</v>
      </c>
      <c r="AF1572" s="246"/>
      <c r="AG1572" s="282"/>
      <c r="AH1572" s="244">
        <v>0</v>
      </c>
      <c r="AI1572" s="246"/>
      <c r="AJ1572" s="282"/>
      <c r="AK1572" s="244">
        <v>5.2080000000000002</v>
      </c>
      <c r="AL1572" s="246"/>
      <c r="AM1572" s="282"/>
      <c r="AN1572" s="244">
        <v>7.2</v>
      </c>
      <c r="AO1572" s="246"/>
      <c r="AP1572" s="282"/>
      <c r="AQ1572" s="244">
        <v>8.9280000000000008</v>
      </c>
      <c r="AR1572" s="246"/>
      <c r="AS1572" s="282"/>
      <c r="AT1572" s="244">
        <f t="shared" si="62"/>
        <v>58.442000000000007</v>
      </c>
      <c r="AU1572" s="246"/>
      <c r="AV1572" s="336"/>
      <c r="AW1572" s="285"/>
      <c r="AX1572" s="249"/>
      <c r="AY1572" s="338"/>
      <c r="AZ1572" s="356"/>
      <c r="BA1572"/>
      <c r="BB1572"/>
      <c r="BC1572"/>
    </row>
    <row r="1573" spans="1:59" s="146" customFormat="1">
      <c r="A1573" s="179"/>
      <c r="B1573" s="179"/>
      <c r="C1573" s="179"/>
      <c r="D1573" s="181">
        <v>357203</v>
      </c>
      <c r="E1573" s="181"/>
      <c r="F1573" s="181"/>
      <c r="G1573" s="1110">
        <v>357203</v>
      </c>
      <c r="H1573" s="125" t="s">
        <v>497</v>
      </c>
      <c r="I1573" s="516" t="s">
        <v>364</v>
      </c>
      <c r="J1573" s="244">
        <v>178.56</v>
      </c>
      <c r="K1573" s="246"/>
      <c r="L1573" s="282"/>
      <c r="M1573" s="244">
        <v>165.648</v>
      </c>
      <c r="N1573" s="246"/>
      <c r="O1573" s="282"/>
      <c r="P1573" s="244">
        <v>169.15199999999999</v>
      </c>
      <c r="Q1573" s="246"/>
      <c r="R1573" s="282"/>
      <c r="S1573" s="244">
        <v>171.36</v>
      </c>
      <c r="T1573" s="246"/>
      <c r="U1573" s="282"/>
      <c r="V1573" s="244">
        <v>133.91999999999999</v>
      </c>
      <c r="W1573" s="246"/>
      <c r="X1573" s="282"/>
      <c r="Y1573" s="345">
        <f>99.36+15</f>
        <v>114.36</v>
      </c>
      <c r="Z1573" s="246"/>
      <c r="AA1573" s="282"/>
      <c r="AB1573" s="244">
        <v>96.591999999999999</v>
      </c>
      <c r="AC1573" s="246"/>
      <c r="AD1573" s="282"/>
      <c r="AE1573" s="244">
        <v>113.08799999999999</v>
      </c>
      <c r="AF1573" s="246"/>
      <c r="AG1573" s="282"/>
      <c r="AH1573" s="244">
        <v>128.88</v>
      </c>
      <c r="AI1573" s="246"/>
      <c r="AJ1573" s="282"/>
      <c r="AK1573" s="244">
        <v>177.072</v>
      </c>
      <c r="AL1573" s="246"/>
      <c r="AM1573" s="282"/>
      <c r="AN1573" s="345">
        <f>171.36+20</f>
        <v>191.36</v>
      </c>
      <c r="AO1573" s="246"/>
      <c r="AP1573" s="282"/>
      <c r="AQ1573" s="244">
        <v>178.00800000000001</v>
      </c>
      <c r="AR1573" s="246"/>
      <c r="AS1573" s="282"/>
      <c r="AT1573" s="244">
        <f t="shared" si="62"/>
        <v>1818.0000000000002</v>
      </c>
      <c r="AU1573" s="246"/>
      <c r="AV1573" s="336"/>
      <c r="AW1573" s="285"/>
      <c r="AX1573" s="249"/>
      <c r="AY1573" s="438">
        <v>1692.9816960000001</v>
      </c>
      <c r="AZ1573" s="402"/>
      <c r="BA1573"/>
      <c r="BB1573"/>
      <c r="BC1573"/>
      <c r="BF1573" s="173"/>
      <c r="BG1573" s="24"/>
    </row>
    <row r="1574" spans="1:59" s="24" customFormat="1">
      <c r="A1574" s="179"/>
      <c r="B1574" s="179"/>
      <c r="C1574" s="179"/>
      <c r="D1574" s="181">
        <v>357211</v>
      </c>
      <c r="E1574" s="181"/>
      <c r="F1574" s="181"/>
      <c r="G1574" s="1110">
        <v>357211</v>
      </c>
      <c r="H1574" s="125" t="s">
        <v>1046</v>
      </c>
      <c r="I1574" s="533" t="s">
        <v>365</v>
      </c>
      <c r="J1574" s="244">
        <v>349.68</v>
      </c>
      <c r="K1574" s="246"/>
      <c r="L1574" s="282"/>
      <c r="M1574" s="244">
        <v>315.83999999999997</v>
      </c>
      <c r="N1574" s="246"/>
      <c r="O1574" s="282"/>
      <c r="P1574" s="244">
        <v>327.36</v>
      </c>
      <c r="Q1574" s="246"/>
      <c r="R1574" s="282"/>
      <c r="S1574" s="244">
        <v>273.60000000000002</v>
      </c>
      <c r="T1574" s="246"/>
      <c r="U1574" s="282"/>
      <c r="V1574" s="244">
        <v>223.2</v>
      </c>
      <c r="W1574" s="246"/>
      <c r="X1574" s="282"/>
      <c r="Y1574" s="244">
        <v>172.8</v>
      </c>
      <c r="Z1574" s="246"/>
      <c r="AA1574" s="282"/>
      <c r="AB1574" s="244">
        <v>178.56</v>
      </c>
      <c r="AC1574" s="246"/>
      <c r="AD1574" s="282"/>
      <c r="AE1574" s="244">
        <v>178.56</v>
      </c>
      <c r="AF1574" s="246"/>
      <c r="AG1574" s="282"/>
      <c r="AH1574" s="244">
        <v>208.8</v>
      </c>
      <c r="AI1574" s="246"/>
      <c r="AJ1574" s="282"/>
      <c r="AK1574" s="244">
        <v>285.52</v>
      </c>
      <c r="AL1574" s="246"/>
      <c r="AM1574" s="282"/>
      <c r="AN1574" s="345">
        <f>338.4+10</f>
        <v>348.4</v>
      </c>
      <c r="AO1574" s="246"/>
      <c r="AP1574" s="282"/>
      <c r="AQ1574" s="345">
        <f>349.68+10</f>
        <v>359.68</v>
      </c>
      <c r="AR1574" s="246"/>
      <c r="AS1574" s="282"/>
      <c r="AT1574" s="244">
        <f t="shared" si="62"/>
        <v>3222</v>
      </c>
      <c r="AU1574" s="246"/>
      <c r="AV1574" s="336"/>
      <c r="AW1574" s="285"/>
      <c r="AX1574" s="249"/>
      <c r="AY1574" s="438">
        <v>3204.8797570000002</v>
      </c>
      <c r="AZ1574" s="357"/>
      <c r="BA1574"/>
      <c r="BB1574"/>
      <c r="BC1574"/>
    </row>
    <row r="1575" spans="1:59" s="24" customFormat="1">
      <c r="A1575" s="179"/>
      <c r="B1575" s="179"/>
      <c r="C1575" s="179"/>
      <c r="D1575" s="181"/>
      <c r="E1575" s="181"/>
      <c r="F1575" s="181"/>
      <c r="G1575" s="1110"/>
      <c r="H1575" s="138" t="s">
        <v>174</v>
      </c>
      <c r="I1575" s="518"/>
      <c r="J1575" s="319">
        <f>SUM(J1576:J1579)</f>
        <v>84.255599999999987</v>
      </c>
      <c r="K1575" s="288"/>
      <c r="L1575" s="289"/>
      <c r="M1575" s="319">
        <f>SUM(M1576:M1579)</f>
        <v>72.95</v>
      </c>
      <c r="N1575" s="288"/>
      <c r="O1575" s="289"/>
      <c r="P1575" s="319">
        <f>SUM(P1576:P1579)</f>
        <v>66.003</v>
      </c>
      <c r="Q1575" s="288"/>
      <c r="R1575" s="289"/>
      <c r="S1575" s="319">
        <f>SUM(S1576:S1579)</f>
        <v>56.478000000000002</v>
      </c>
      <c r="T1575" s="288"/>
      <c r="U1575" s="289"/>
      <c r="V1575" s="319">
        <f>SUM(V1576:V1579)</f>
        <v>34.752499999999998</v>
      </c>
      <c r="W1575" s="288"/>
      <c r="X1575" s="289"/>
      <c r="Y1575" s="319">
        <f>SUM(Y1576:Y1579)</f>
        <v>15.258400000000002</v>
      </c>
      <c r="Z1575" s="288"/>
      <c r="AA1575" s="289"/>
      <c r="AB1575" s="319">
        <f>SUM(AB1576:AB1579)</f>
        <v>14.714000000000002</v>
      </c>
      <c r="AC1575" s="288"/>
      <c r="AD1575" s="289"/>
      <c r="AE1575" s="319">
        <f>SUM(AE1576:AE1579)</f>
        <v>14.970400000000001</v>
      </c>
      <c r="AF1575" s="288"/>
      <c r="AG1575" s="289"/>
      <c r="AH1575" s="319">
        <f>SUM(AH1576:AH1579)</f>
        <v>30.84</v>
      </c>
      <c r="AI1575" s="288"/>
      <c r="AJ1575" s="289"/>
      <c r="AK1575" s="319">
        <f>SUM(AK1576:AK1579)</f>
        <v>55.326000000000008</v>
      </c>
      <c r="AL1575" s="288"/>
      <c r="AM1575" s="289"/>
      <c r="AN1575" s="319">
        <f>SUM(AN1576:AN1579)</f>
        <v>55.52</v>
      </c>
      <c r="AO1575" s="288"/>
      <c r="AP1575" s="289"/>
      <c r="AQ1575" s="319">
        <f>SUM(AQ1576:AQ1579)</f>
        <v>58.481999999999999</v>
      </c>
      <c r="AR1575" s="288"/>
      <c r="AS1575" s="289"/>
      <c r="AT1575" s="319">
        <f>SUM(AT1576:AT1579)</f>
        <v>559.54989999999998</v>
      </c>
      <c r="AU1575" s="288"/>
      <c r="AV1575" s="290"/>
      <c r="AW1575" s="285"/>
      <c r="AX1575" s="295"/>
      <c r="AY1575" s="436">
        <v>476.10925800000001</v>
      </c>
      <c r="AZ1575" s="357"/>
      <c r="BA1575"/>
      <c r="BB1575"/>
      <c r="BC1575"/>
    </row>
    <row r="1576" spans="1:59" s="24" customFormat="1">
      <c r="A1576" s="179"/>
      <c r="B1576" s="179"/>
      <c r="C1576" s="179"/>
      <c r="D1576" s="181">
        <v>357241</v>
      </c>
      <c r="E1576" s="181"/>
      <c r="F1576" s="181"/>
      <c r="G1576" s="1110">
        <v>357241</v>
      </c>
      <c r="H1576" s="145" t="s">
        <v>498</v>
      </c>
      <c r="I1576" s="518" t="s">
        <v>365</v>
      </c>
      <c r="J1576" s="294">
        <v>32</v>
      </c>
      <c r="K1576" s="288"/>
      <c r="L1576" s="289"/>
      <c r="M1576" s="294">
        <v>28</v>
      </c>
      <c r="N1576" s="288"/>
      <c r="O1576" s="289"/>
      <c r="P1576" s="294">
        <v>25.5</v>
      </c>
      <c r="Q1576" s="288"/>
      <c r="R1576" s="289"/>
      <c r="S1576" s="294">
        <v>24</v>
      </c>
      <c r="T1576" s="288"/>
      <c r="U1576" s="289"/>
      <c r="V1576" s="294">
        <v>11</v>
      </c>
      <c r="W1576" s="288"/>
      <c r="X1576" s="289"/>
      <c r="Y1576" s="294">
        <v>0</v>
      </c>
      <c r="Z1576" s="288"/>
      <c r="AA1576" s="289"/>
      <c r="AB1576" s="294">
        <v>0</v>
      </c>
      <c r="AC1576" s="288"/>
      <c r="AD1576" s="289"/>
      <c r="AE1576" s="294">
        <v>0</v>
      </c>
      <c r="AF1576" s="288"/>
      <c r="AG1576" s="289"/>
      <c r="AH1576" s="294">
        <v>11</v>
      </c>
      <c r="AI1576" s="288"/>
      <c r="AJ1576" s="289"/>
      <c r="AK1576" s="294">
        <v>25</v>
      </c>
      <c r="AL1576" s="288"/>
      <c r="AM1576" s="289"/>
      <c r="AN1576" s="294">
        <v>26</v>
      </c>
      <c r="AO1576" s="288"/>
      <c r="AP1576" s="289"/>
      <c r="AQ1576" s="294">
        <v>28</v>
      </c>
      <c r="AR1576" s="288"/>
      <c r="AS1576" s="289"/>
      <c r="AT1576" s="294">
        <f t="shared" si="62"/>
        <v>210.5</v>
      </c>
      <c r="AU1576" s="288"/>
      <c r="AV1576" s="290"/>
      <c r="AW1576" s="285"/>
      <c r="AX1576" s="295"/>
      <c r="AY1576" s="313"/>
      <c r="AZ1576" s="357"/>
      <c r="BA1576"/>
      <c r="BB1576"/>
      <c r="BC1576"/>
    </row>
    <row r="1577" spans="1:59" s="24" customFormat="1">
      <c r="A1577" s="179"/>
      <c r="B1577" s="179"/>
      <c r="C1577" s="179"/>
      <c r="D1577" s="181">
        <v>357240</v>
      </c>
      <c r="E1577" s="181"/>
      <c r="F1577" s="181"/>
      <c r="G1577" s="1110">
        <v>357240</v>
      </c>
      <c r="H1577" s="145" t="s">
        <v>496</v>
      </c>
      <c r="I1577" s="518" t="s">
        <v>365</v>
      </c>
      <c r="J1577" s="294">
        <v>39.357599999999998</v>
      </c>
      <c r="K1577" s="288"/>
      <c r="L1577" s="289"/>
      <c r="M1577" s="294">
        <v>32.927999999999997</v>
      </c>
      <c r="N1577" s="288"/>
      <c r="O1577" s="289"/>
      <c r="P1577" s="294">
        <v>27.614999999999998</v>
      </c>
      <c r="Q1577" s="288"/>
      <c r="R1577" s="289"/>
      <c r="S1577" s="294">
        <v>20.088000000000001</v>
      </c>
      <c r="T1577" s="288"/>
      <c r="U1577" s="289"/>
      <c r="V1577" s="294">
        <v>11.9345</v>
      </c>
      <c r="W1577" s="288"/>
      <c r="X1577" s="289"/>
      <c r="Y1577" s="294">
        <v>5.6184000000000003</v>
      </c>
      <c r="Z1577" s="288"/>
      <c r="AA1577" s="289"/>
      <c r="AB1577" s="294">
        <v>4.8360000000000003</v>
      </c>
      <c r="AC1577" s="288"/>
      <c r="AD1577" s="289"/>
      <c r="AE1577" s="294">
        <v>5.3423999999999996</v>
      </c>
      <c r="AF1577" s="288"/>
      <c r="AG1577" s="289"/>
      <c r="AH1577" s="294">
        <v>9.36</v>
      </c>
      <c r="AI1577" s="288"/>
      <c r="AJ1577" s="289"/>
      <c r="AK1577" s="294">
        <v>18.228000000000002</v>
      </c>
      <c r="AL1577" s="288"/>
      <c r="AM1577" s="289"/>
      <c r="AN1577" s="294">
        <v>17.28</v>
      </c>
      <c r="AO1577" s="288"/>
      <c r="AP1577" s="289"/>
      <c r="AQ1577" s="294">
        <v>17.484000000000002</v>
      </c>
      <c r="AR1577" s="288"/>
      <c r="AS1577" s="289"/>
      <c r="AT1577" s="294">
        <f t="shared" si="62"/>
        <v>210.07190000000003</v>
      </c>
      <c r="AU1577" s="288"/>
      <c r="AV1577" s="290"/>
      <c r="AW1577" s="285"/>
      <c r="AX1577" s="295"/>
      <c r="AY1577" s="313"/>
      <c r="AZ1577" s="357"/>
      <c r="BA1577"/>
      <c r="BB1577"/>
      <c r="BC1577"/>
    </row>
    <row r="1578" spans="1:59" s="24" customFormat="1">
      <c r="A1578" s="179"/>
      <c r="B1578" s="179"/>
      <c r="C1578" s="179"/>
      <c r="D1578" s="181">
        <v>357242</v>
      </c>
      <c r="E1578" s="181"/>
      <c r="F1578" s="181"/>
      <c r="G1578" s="1110">
        <v>357242</v>
      </c>
      <c r="H1578" s="145" t="s">
        <v>65</v>
      </c>
      <c r="I1578" s="518" t="s">
        <v>365</v>
      </c>
      <c r="J1578" s="294">
        <v>3.97</v>
      </c>
      <c r="K1578" s="288"/>
      <c r="L1578" s="289"/>
      <c r="M1578" s="294">
        <v>3.67</v>
      </c>
      <c r="N1578" s="288"/>
      <c r="O1578" s="289"/>
      <c r="P1578" s="294">
        <v>3.96</v>
      </c>
      <c r="Q1578" s="288"/>
      <c r="R1578" s="289"/>
      <c r="S1578" s="294">
        <v>3.75</v>
      </c>
      <c r="T1578" s="288"/>
      <c r="U1578" s="289"/>
      <c r="V1578" s="294">
        <v>2.89</v>
      </c>
      <c r="W1578" s="288"/>
      <c r="X1578" s="289"/>
      <c r="Y1578" s="294">
        <v>1</v>
      </c>
      <c r="Z1578" s="288"/>
      <c r="AA1578" s="289"/>
      <c r="AB1578" s="294">
        <v>0.95</v>
      </c>
      <c r="AC1578" s="288"/>
      <c r="AD1578" s="289"/>
      <c r="AE1578" s="294">
        <v>0.7</v>
      </c>
      <c r="AF1578" s="288"/>
      <c r="AG1578" s="289"/>
      <c r="AH1578" s="294">
        <v>1.84</v>
      </c>
      <c r="AI1578" s="288"/>
      <c r="AJ1578" s="289"/>
      <c r="AK1578" s="294">
        <v>3.17</v>
      </c>
      <c r="AL1578" s="288"/>
      <c r="AM1578" s="289"/>
      <c r="AN1578" s="294">
        <v>3.6</v>
      </c>
      <c r="AO1578" s="288"/>
      <c r="AP1578" s="289"/>
      <c r="AQ1578" s="294">
        <v>4.07</v>
      </c>
      <c r="AR1578" s="288"/>
      <c r="AS1578" s="289"/>
      <c r="AT1578" s="294">
        <f t="shared" si="62"/>
        <v>33.57</v>
      </c>
      <c r="AU1578" s="288"/>
      <c r="AV1578" s="290"/>
      <c r="AW1578" s="285"/>
      <c r="AX1578" s="295"/>
      <c r="AY1578" s="313"/>
      <c r="AZ1578" s="357"/>
      <c r="BA1578"/>
      <c r="BB1578"/>
      <c r="BC1578"/>
    </row>
    <row r="1579" spans="1:59" s="24" customFormat="1">
      <c r="A1579" s="179"/>
      <c r="B1579" s="179"/>
      <c r="C1579" s="179"/>
      <c r="D1579" s="181"/>
      <c r="E1579" s="181"/>
      <c r="F1579" s="181"/>
      <c r="G1579" s="1110">
        <v>777333</v>
      </c>
      <c r="H1579" s="145" t="s">
        <v>1202</v>
      </c>
      <c r="I1579" s="518"/>
      <c r="J1579" s="294">
        <v>8.9280000000000008</v>
      </c>
      <c r="K1579" s="288"/>
      <c r="L1579" s="289"/>
      <c r="M1579" s="294">
        <v>8.3520000000000003</v>
      </c>
      <c r="N1579" s="288"/>
      <c r="O1579" s="289"/>
      <c r="P1579" s="294">
        <v>8.9280000000000008</v>
      </c>
      <c r="Q1579" s="288"/>
      <c r="R1579" s="289"/>
      <c r="S1579" s="294">
        <v>8.64</v>
      </c>
      <c r="T1579" s="288"/>
      <c r="U1579" s="289"/>
      <c r="V1579" s="294">
        <v>8.9280000000000008</v>
      </c>
      <c r="W1579" s="288"/>
      <c r="X1579" s="289"/>
      <c r="Y1579" s="294">
        <v>8.64</v>
      </c>
      <c r="Z1579" s="288"/>
      <c r="AA1579" s="289"/>
      <c r="AB1579" s="294">
        <v>8.9280000000000008</v>
      </c>
      <c r="AC1579" s="288"/>
      <c r="AD1579" s="289"/>
      <c r="AE1579" s="294">
        <v>8.9280000000000008</v>
      </c>
      <c r="AF1579" s="288"/>
      <c r="AG1579" s="289"/>
      <c r="AH1579" s="294">
        <v>8.64</v>
      </c>
      <c r="AI1579" s="288"/>
      <c r="AJ1579" s="289"/>
      <c r="AK1579" s="294">
        <v>8.9280000000000008</v>
      </c>
      <c r="AL1579" s="288"/>
      <c r="AM1579" s="289"/>
      <c r="AN1579" s="294">
        <v>8.64</v>
      </c>
      <c r="AO1579" s="288"/>
      <c r="AP1579" s="289"/>
      <c r="AQ1579" s="294">
        <v>8.9280000000000008</v>
      </c>
      <c r="AR1579" s="288"/>
      <c r="AS1579" s="289"/>
      <c r="AT1579" s="294">
        <f t="shared" si="62"/>
        <v>105.40799999999999</v>
      </c>
      <c r="AU1579" s="288"/>
      <c r="AV1579" s="290"/>
      <c r="AW1579" s="285"/>
      <c r="AX1579" s="295"/>
      <c r="AY1579" s="313"/>
      <c r="AZ1579" s="357"/>
      <c r="BA1579"/>
      <c r="BB1579"/>
      <c r="BC1579"/>
    </row>
    <row r="1580" spans="1:59" s="24" customFormat="1" ht="18.75">
      <c r="A1580" s="179"/>
      <c r="B1580" s="179"/>
      <c r="C1580" s="179"/>
      <c r="D1580" s="181">
        <v>357100</v>
      </c>
      <c r="E1580" s="181"/>
      <c r="F1580" s="181"/>
      <c r="G1580" s="181">
        <v>357100</v>
      </c>
      <c r="H1580" s="474" t="s">
        <v>1641</v>
      </c>
      <c r="I1580" s="474"/>
      <c r="J1580" s="277">
        <f>SUM(J1581:J1583)</f>
        <v>5449.2205226339629</v>
      </c>
      <c r="K1580" s="275">
        <f>L1580-J1580</f>
        <v>-966.27233306553262</v>
      </c>
      <c r="L1580" s="276">
        <f>Потребление!D89</f>
        <v>4482.9481895684303</v>
      </c>
      <c r="M1580" s="274">
        <f>SUM(M1581:M1583)</f>
        <v>5273.5538553586402</v>
      </c>
      <c r="N1580" s="275">
        <f>O1580-M1580</f>
        <v>-1045.192573287406</v>
      </c>
      <c r="O1580" s="276">
        <f>Потребление!E89</f>
        <v>4228.3612820712342</v>
      </c>
      <c r="P1580" s="274">
        <f>SUM(P1581:P1583)</f>
        <v>4961.3556450332526</v>
      </c>
      <c r="Q1580" s="275">
        <f>R1580-P1580</f>
        <v>-749.96251272707286</v>
      </c>
      <c r="R1580" s="276">
        <f>Потребление!F89</f>
        <v>4211.3931323061797</v>
      </c>
      <c r="S1580" s="274">
        <f>SUM(S1581:S1583)</f>
        <v>4734.6657631131056</v>
      </c>
      <c r="T1580" s="275">
        <f>U1580-S1580</f>
        <v>-786.9468828517256</v>
      </c>
      <c r="U1580" s="276">
        <f>Потребление!G89</f>
        <v>3947.71888026138</v>
      </c>
      <c r="V1580" s="274">
        <f>SUM(V1581:V1583)</f>
        <v>5092.8805583966569</v>
      </c>
      <c r="W1580" s="275">
        <f>X1580-V1580</f>
        <v>-1224.2890203757288</v>
      </c>
      <c r="X1580" s="276">
        <f>Потребление!H89</f>
        <v>3868.5915380209281</v>
      </c>
      <c r="Y1580" s="274">
        <f>SUM(Y1581:Y1583)</f>
        <v>4333.4513403459932</v>
      </c>
      <c r="Z1580" s="275">
        <f>AA1580-Y1580</f>
        <v>-831.09025085190115</v>
      </c>
      <c r="AA1580" s="276">
        <f>Потребление!I89</f>
        <v>3502.3610894940921</v>
      </c>
      <c r="AB1580" s="274">
        <f>SUM(AB1581:AB1583)</f>
        <v>4695.1120573951912</v>
      </c>
      <c r="AC1580" s="275">
        <f>AD1580-AB1580</f>
        <v>-1072.5298824311212</v>
      </c>
      <c r="AD1580" s="276">
        <f>Потребление!J89</f>
        <v>3622.58217496407</v>
      </c>
      <c r="AE1580" s="274">
        <f>SUM(AE1581:AE1583)</f>
        <v>4407.5420128547212</v>
      </c>
      <c r="AF1580" s="275">
        <f>AG1580-AE1580</f>
        <v>-800.66007938419307</v>
      </c>
      <c r="AG1580" s="276">
        <f>Потребление!K89</f>
        <v>3606.8819334705281</v>
      </c>
      <c r="AH1580" s="274">
        <f>SUM(AH1581:AH1583)</f>
        <v>4807.2134961374595</v>
      </c>
      <c r="AI1580" s="275">
        <f>AJ1580-AH1580</f>
        <v>-1150.3358605230342</v>
      </c>
      <c r="AJ1580" s="276">
        <f>Потребление!L89</f>
        <v>3656.8776356144253</v>
      </c>
      <c r="AK1580" s="274">
        <f>SUM(AK1581:AK1583)</f>
        <v>5459.2199995894625</v>
      </c>
      <c r="AL1580" s="275">
        <f>AM1580-AK1580</f>
        <v>-1425.0038173926882</v>
      </c>
      <c r="AM1580" s="276">
        <f>Потребление!M89</f>
        <v>4034.2161821967743</v>
      </c>
      <c r="AN1580" s="274">
        <f>SUM(AN1581:AN1583)</f>
        <v>5325.0991346658866</v>
      </c>
      <c r="AO1580" s="275">
        <f>AP1580-AN1580</f>
        <v>-1141.3483876106402</v>
      </c>
      <c r="AP1580" s="276">
        <f>Потребление!N89</f>
        <v>4183.7507470552464</v>
      </c>
      <c r="AQ1580" s="274">
        <f>SUM(AQ1581:AQ1583)</f>
        <v>5697.036447899236</v>
      </c>
      <c r="AR1580" s="275">
        <f>AS1580-AQ1580</f>
        <v>-1078.7192329225263</v>
      </c>
      <c r="AS1580" s="276">
        <f>Потребление!O89</f>
        <v>4618.3172149767097</v>
      </c>
      <c r="AT1580" s="274">
        <f>SUM(AT1581:AT1583)</f>
        <v>60236.350833423559</v>
      </c>
      <c r="AU1580" s="275">
        <f>AV1580-AT1580</f>
        <v>-12272.350833423559</v>
      </c>
      <c r="AV1580" s="278">
        <f>L1580+O1580+R1580+U1580+X1580+AA1580+AD1580+AG1580+AJ1580+AM1580+AP1580+AS1580</f>
        <v>47964</v>
      </c>
      <c r="AW1580" s="279"/>
      <c r="AX1580" s="1067">
        <v>45260.574799000002</v>
      </c>
      <c r="AY1580" s="298">
        <f>SUM(AY1581:AY1583)</f>
        <v>58735.376336000001</v>
      </c>
      <c r="AZ1580" s="357"/>
      <c r="BA1580"/>
      <c r="BB1580"/>
      <c r="BC1580"/>
    </row>
    <row r="1581" spans="1:59" s="24" customFormat="1">
      <c r="A1581" s="179"/>
      <c r="B1581" s="179"/>
      <c r="C1581" s="179"/>
      <c r="D1581" s="181"/>
      <c r="E1581" s="181"/>
      <c r="F1581" s="181"/>
      <c r="G1581" s="181"/>
      <c r="H1581" s="126" t="s">
        <v>56</v>
      </c>
      <c r="I1581" s="126"/>
      <c r="J1581" s="223">
        <f>SUM(J1584,J1587:J1591,J1594:J1595)</f>
        <v>2615.012655</v>
      </c>
      <c r="K1581" s="271"/>
      <c r="L1581" s="224"/>
      <c r="M1581" s="270">
        <f>SUM(M1584,M1587:M1591,M1594:M1595)</f>
        <v>2660.954533666667</v>
      </c>
      <c r="N1581" s="271"/>
      <c r="O1581" s="224"/>
      <c r="P1581" s="270">
        <f>SUM(P1584,P1587:P1591,P1594:P1595)</f>
        <v>2175.2692406668275</v>
      </c>
      <c r="Q1581" s="271"/>
      <c r="R1581" s="224"/>
      <c r="S1581" s="270">
        <f>SUM(S1584,S1587:S1591,S1594:S1595)</f>
        <v>2013.3609366666669</v>
      </c>
      <c r="T1581" s="271"/>
      <c r="U1581" s="224"/>
      <c r="V1581" s="270">
        <f>SUM(V1584,V1587:V1591,V1594:V1595)</f>
        <v>1835.5476751055999</v>
      </c>
      <c r="W1581" s="271"/>
      <c r="X1581" s="224"/>
      <c r="Y1581" s="270">
        <f>SUM(Y1584,Y1587:Y1591,Y1594:Y1595)</f>
        <v>904.32868699999995</v>
      </c>
      <c r="Z1581" s="271"/>
      <c r="AA1581" s="224"/>
      <c r="AB1581" s="270">
        <f>SUM(AB1584,AB1587:AB1591,AB1594:AB1595)</f>
        <v>1102.929666333333</v>
      </c>
      <c r="AC1581" s="271"/>
      <c r="AD1581" s="224"/>
      <c r="AE1581" s="270">
        <f>SUM(AE1584,AE1587:AE1591,AE1594:AE1595)</f>
        <v>799.72937300000012</v>
      </c>
      <c r="AF1581" s="271"/>
      <c r="AG1581" s="224"/>
      <c r="AH1581" s="270">
        <f>SUM(AH1584,AH1587:AH1591,AH1594:AH1595)</f>
        <v>1259.9477964666669</v>
      </c>
      <c r="AI1581" s="271"/>
      <c r="AJ1581" s="224"/>
      <c r="AK1581" s="270">
        <f>SUM(AK1584,AK1587:AK1591,AK1594:AK1595)</f>
        <v>1838.8060646533331</v>
      </c>
      <c r="AL1581" s="271"/>
      <c r="AM1581" s="224"/>
      <c r="AN1581" s="270">
        <f>SUM(AN1584,AN1587:AN1591,AN1594:AN1595)</f>
        <v>2589.93526499984</v>
      </c>
      <c r="AO1581" s="271"/>
      <c r="AP1581" s="224"/>
      <c r="AQ1581" s="270">
        <f>SUM(AQ1584,AQ1587:AQ1591,AQ1594:AQ1595)</f>
        <v>2929.19823172</v>
      </c>
      <c r="AR1581" s="271"/>
      <c r="AS1581" s="224"/>
      <c r="AT1581" s="270">
        <f>SUM(AT1584,AT1587:AT1591,AT1594:AT1595)</f>
        <v>22725.020125278934</v>
      </c>
      <c r="AU1581" s="271"/>
      <c r="AV1581" s="229"/>
      <c r="AW1581" s="226"/>
      <c r="AX1581" s="230"/>
      <c r="AY1581" s="231">
        <f>SUM(AY1584,AY1587:AY1591,AY1594:AY1595)</f>
        <v>19773.666123999999</v>
      </c>
      <c r="AZ1581" s="357"/>
      <c r="BA1581"/>
      <c r="BB1581"/>
      <c r="BC1581"/>
    </row>
    <row r="1582" spans="1:59" s="24" customFormat="1">
      <c r="A1582" s="179"/>
      <c r="B1582" s="179"/>
      <c r="C1582" s="179"/>
      <c r="D1582" s="181"/>
      <c r="E1582" s="181"/>
      <c r="F1582" s="181"/>
      <c r="G1582" s="181"/>
      <c r="H1582" s="126" t="s">
        <v>55</v>
      </c>
      <c r="I1582" s="126"/>
      <c r="J1582" s="223">
        <f>SUM(J1599:J1601)</f>
        <v>2492.4985676339625</v>
      </c>
      <c r="K1582" s="271"/>
      <c r="L1582" s="224"/>
      <c r="M1582" s="270">
        <f>SUM(M1599:M1601)</f>
        <v>2311.2610216919729</v>
      </c>
      <c r="N1582" s="271"/>
      <c r="O1582" s="224"/>
      <c r="P1582" s="270">
        <f>SUM(P1599:P1601)</f>
        <v>2450.3379043664254</v>
      </c>
      <c r="Q1582" s="271"/>
      <c r="R1582" s="224"/>
      <c r="S1582" s="270">
        <f>SUM(S1599:S1601)</f>
        <v>2408.4350264464379</v>
      </c>
      <c r="T1582" s="271"/>
      <c r="U1582" s="224"/>
      <c r="V1582" s="270">
        <f>SUM(V1599:V1601)</f>
        <v>2952.672383291057</v>
      </c>
      <c r="W1582" s="271"/>
      <c r="X1582" s="224"/>
      <c r="Y1582" s="270">
        <f>SUM(Y1599:Y1601)</f>
        <v>3128.1211533459928</v>
      </c>
      <c r="Z1582" s="271"/>
      <c r="AA1582" s="224"/>
      <c r="AB1582" s="270">
        <f>SUM(AB1599:AB1601)</f>
        <v>3304.3169910618585</v>
      </c>
      <c r="AC1582" s="271"/>
      <c r="AD1582" s="224"/>
      <c r="AE1582" s="270">
        <f>SUM(AE1599:AE1601)</f>
        <v>3301.7275398547204</v>
      </c>
      <c r="AF1582" s="271"/>
      <c r="AG1582" s="224"/>
      <c r="AH1582" s="270">
        <f>SUM(AH1599:AH1601)</f>
        <v>3247.9463996707927</v>
      </c>
      <c r="AI1582" s="271"/>
      <c r="AJ1582" s="224"/>
      <c r="AK1582" s="270">
        <f>SUM(AK1599:AK1601)</f>
        <v>3308.5265349361293</v>
      </c>
      <c r="AL1582" s="271"/>
      <c r="AM1582" s="224"/>
      <c r="AN1582" s="270">
        <f>SUM(AN1599:AN1601)</f>
        <v>2414.4706696660469</v>
      </c>
      <c r="AO1582" s="271"/>
      <c r="AP1582" s="224"/>
      <c r="AQ1582" s="270">
        <f>SUM(AQ1599:AQ1601)</f>
        <v>2443.633076179236</v>
      </c>
      <c r="AR1582" s="271"/>
      <c r="AS1582" s="224"/>
      <c r="AT1582" s="270">
        <f>SUM(AT1599:AT1601)</f>
        <v>33763.947268144628</v>
      </c>
      <c r="AU1582" s="271"/>
      <c r="AV1582" s="229"/>
      <c r="AW1582" s="226"/>
      <c r="AX1582" s="230"/>
      <c r="AY1582" s="231">
        <f>SUM(AY1599:AY1601)</f>
        <v>35170.291995</v>
      </c>
      <c r="AZ1582" s="357"/>
      <c r="BA1582"/>
      <c r="BB1582"/>
      <c r="BC1582"/>
    </row>
    <row r="1583" spans="1:59" s="24" customFormat="1">
      <c r="A1583" s="179"/>
      <c r="B1583" s="179"/>
      <c r="C1583" s="179"/>
      <c r="D1583" s="181"/>
      <c r="E1583" s="181"/>
      <c r="F1583" s="181"/>
      <c r="G1583" s="181"/>
      <c r="H1583" s="124" t="s">
        <v>184</v>
      </c>
      <c r="I1583" s="124"/>
      <c r="J1583" s="223">
        <f>J1602</f>
        <v>341.70929999999998</v>
      </c>
      <c r="K1583" s="271"/>
      <c r="L1583" s="224"/>
      <c r="M1583" s="270">
        <f>M1602</f>
        <v>301.3383</v>
      </c>
      <c r="N1583" s="271"/>
      <c r="O1583" s="224"/>
      <c r="P1583" s="270">
        <f>P1602</f>
        <v>335.74850000000004</v>
      </c>
      <c r="Q1583" s="271"/>
      <c r="R1583" s="224"/>
      <c r="S1583" s="270">
        <f>S1602</f>
        <v>312.86979999999994</v>
      </c>
      <c r="T1583" s="271"/>
      <c r="U1583" s="224"/>
      <c r="V1583" s="270">
        <f>V1602</f>
        <v>304.66050000000001</v>
      </c>
      <c r="W1583" s="271"/>
      <c r="X1583" s="224"/>
      <c r="Y1583" s="270">
        <f>Y1602</f>
        <v>301.00149999999996</v>
      </c>
      <c r="Z1583" s="271"/>
      <c r="AA1583" s="224"/>
      <c r="AB1583" s="270">
        <f>AB1602</f>
        <v>287.86540000000002</v>
      </c>
      <c r="AC1583" s="271"/>
      <c r="AD1583" s="224"/>
      <c r="AE1583" s="270">
        <f>AE1602</f>
        <v>306.08510000000001</v>
      </c>
      <c r="AF1583" s="271"/>
      <c r="AG1583" s="224"/>
      <c r="AH1583" s="270">
        <f>AH1602</f>
        <v>299.3193</v>
      </c>
      <c r="AI1583" s="271"/>
      <c r="AJ1583" s="224"/>
      <c r="AK1583" s="270">
        <f>AK1602</f>
        <v>311.88739999999996</v>
      </c>
      <c r="AL1583" s="271"/>
      <c r="AM1583" s="224"/>
      <c r="AN1583" s="270">
        <f>AN1602</f>
        <v>320.69319999999993</v>
      </c>
      <c r="AO1583" s="271"/>
      <c r="AP1583" s="224"/>
      <c r="AQ1583" s="270">
        <f>AQ1602</f>
        <v>324.20513999999997</v>
      </c>
      <c r="AR1583" s="271"/>
      <c r="AS1583" s="224"/>
      <c r="AT1583" s="270">
        <f>AT1602</f>
        <v>3747.3834399999996</v>
      </c>
      <c r="AU1583" s="271"/>
      <c r="AV1583" s="229"/>
      <c r="AW1583" s="226"/>
      <c r="AX1583" s="230"/>
      <c r="AY1583" s="231">
        <f>AY1602</f>
        <v>3791.4182169999999</v>
      </c>
      <c r="AZ1583" s="357"/>
      <c r="BA1583"/>
      <c r="BB1583"/>
      <c r="BC1583"/>
    </row>
    <row r="1584" spans="1:59" s="24" customFormat="1">
      <c r="A1584" s="1048"/>
      <c r="B1584" s="1048"/>
      <c r="C1584" s="1048"/>
      <c r="D1584" s="1035">
        <v>357101</v>
      </c>
      <c r="E1584" s="1035"/>
      <c r="F1584" s="1035"/>
      <c r="G1584" s="1110">
        <v>357101</v>
      </c>
      <c r="H1584" s="147" t="s">
        <v>1029</v>
      </c>
      <c r="I1584" s="516" t="s">
        <v>364</v>
      </c>
      <c r="J1584" s="262">
        <f>SUM(J1585:J1586)</f>
        <v>504.78250299999996</v>
      </c>
      <c r="K1584" s="323"/>
      <c r="L1584" s="324"/>
      <c r="M1584" s="317">
        <f>SUM(M1585:M1586)</f>
        <v>503.46144800000002</v>
      </c>
      <c r="N1584" s="323"/>
      <c r="O1584" s="324"/>
      <c r="P1584" s="317">
        <f>SUM(P1585:P1586)</f>
        <v>421.71189100000004</v>
      </c>
      <c r="Q1584" s="323"/>
      <c r="R1584" s="324"/>
      <c r="S1584" s="317">
        <f>SUM(S1585:S1586)</f>
        <v>356.944433</v>
      </c>
      <c r="T1584" s="323"/>
      <c r="U1584" s="324"/>
      <c r="V1584" s="317">
        <f>SUM(V1585:V1586)</f>
        <v>344.57171699999998</v>
      </c>
      <c r="W1584" s="323"/>
      <c r="X1584" s="324"/>
      <c r="Y1584" s="317">
        <f>SUM(Y1585:Y1586)</f>
        <v>255.51327899999998</v>
      </c>
      <c r="Z1584" s="323"/>
      <c r="AA1584" s="324"/>
      <c r="AB1584" s="317">
        <f>SUM(AB1585:AB1586)</f>
        <v>181.736085</v>
      </c>
      <c r="AC1584" s="323"/>
      <c r="AD1584" s="324"/>
      <c r="AE1584" s="317">
        <f>SUM(AE1585:AE1586)</f>
        <v>202.3</v>
      </c>
      <c r="AF1584" s="323"/>
      <c r="AG1584" s="324"/>
      <c r="AH1584" s="317">
        <f>SUM(AH1585:AH1586)</f>
        <v>226.77953700000003</v>
      </c>
      <c r="AI1584" s="323"/>
      <c r="AJ1584" s="324"/>
      <c r="AK1584" s="317">
        <f>SUM(AK1585:AK1586)</f>
        <v>359.05431999999996</v>
      </c>
      <c r="AL1584" s="323"/>
      <c r="AM1584" s="324"/>
      <c r="AN1584" s="317">
        <f>SUM(AN1585:AN1586)</f>
        <v>531.11445700000002</v>
      </c>
      <c r="AO1584" s="323"/>
      <c r="AP1584" s="324"/>
      <c r="AQ1584" s="317">
        <f>SUM(AQ1585:AQ1586)</f>
        <v>534.87830699999995</v>
      </c>
      <c r="AR1584" s="323"/>
      <c r="AS1584" s="324"/>
      <c r="AT1584" s="317">
        <f>SUM(AT1585:AT1586)</f>
        <v>4422.8479769999994</v>
      </c>
      <c r="AU1584" s="323"/>
      <c r="AV1584" s="325"/>
      <c r="AW1584" s="226"/>
      <c r="AX1584" s="328"/>
      <c r="AY1584" s="1068">
        <v>4053.152497</v>
      </c>
      <c r="AZ1584" s="357"/>
      <c r="BA1584"/>
      <c r="BB1584"/>
      <c r="BC1584"/>
    </row>
    <row r="1585" spans="1:55" s="24" customFormat="1">
      <c r="A1585" s="1048"/>
      <c r="B1585" s="1048"/>
      <c r="C1585" s="1048"/>
      <c r="D1585" s="1035"/>
      <c r="E1585" s="1035"/>
      <c r="F1585" s="1035"/>
      <c r="G1585" s="1110"/>
      <c r="H1585" s="125" t="s">
        <v>1029</v>
      </c>
      <c r="I1585" s="125"/>
      <c r="J1585" s="244">
        <v>447.45592299999998</v>
      </c>
      <c r="K1585" s="246"/>
      <c r="L1585" s="282"/>
      <c r="M1585" s="244">
        <v>405.97262000000001</v>
      </c>
      <c r="N1585" s="246"/>
      <c r="O1585" s="282"/>
      <c r="P1585" s="244">
        <v>398.16227500000002</v>
      </c>
      <c r="Q1585" s="246"/>
      <c r="R1585" s="282"/>
      <c r="S1585" s="345">
        <f>268.281201+20</f>
        <v>288.28120100000001</v>
      </c>
      <c r="T1585" s="246"/>
      <c r="U1585" s="282"/>
      <c r="V1585" s="244">
        <v>296.553225</v>
      </c>
      <c r="W1585" s="246"/>
      <c r="X1585" s="282"/>
      <c r="Y1585" s="345">
        <f>151.496107+79.7</f>
        <v>231.19610699999998</v>
      </c>
      <c r="Z1585" s="246"/>
      <c r="AA1585" s="282"/>
      <c r="AB1585" s="244">
        <v>146.873289</v>
      </c>
      <c r="AC1585" s="246"/>
      <c r="AD1585" s="282"/>
      <c r="AE1585" s="345">
        <f>112.3+40</f>
        <v>152.30000000000001</v>
      </c>
      <c r="AF1585" s="246"/>
      <c r="AG1585" s="282"/>
      <c r="AH1585" s="244">
        <v>150.20804100000004</v>
      </c>
      <c r="AI1585" s="246"/>
      <c r="AJ1585" s="282"/>
      <c r="AK1585" s="345">
        <f>181.881216+40</f>
        <v>221.88121599999999</v>
      </c>
      <c r="AL1585" s="246"/>
      <c r="AM1585" s="282"/>
      <c r="AN1585" s="345">
        <f>348.495625+20</f>
        <v>368.49562500000002</v>
      </c>
      <c r="AO1585" s="246"/>
      <c r="AP1585" s="282"/>
      <c r="AQ1585" s="836">
        <v>374.29254700000001</v>
      </c>
      <c r="AR1585" s="246"/>
      <c r="AS1585" s="282"/>
      <c r="AT1585" s="244">
        <f t="shared" ref="AT1585:AT1609" si="63">J1585+M1585+P1585+S1585+V1585+Y1585+AB1585+AE1585+AH1585+AK1585+AN1585+AQ1585</f>
        <v>3481.6720689999997</v>
      </c>
      <c r="AU1585" s="246"/>
      <c r="AV1585" s="336"/>
      <c r="AW1585" s="285"/>
      <c r="AX1585" s="249"/>
      <c r="AY1585" s="338"/>
      <c r="AZ1585" s="357"/>
      <c r="BA1585"/>
      <c r="BB1585"/>
      <c r="BC1585"/>
    </row>
    <row r="1586" spans="1:55" s="24" customFormat="1">
      <c r="A1586" s="1048"/>
      <c r="B1586" s="1048"/>
      <c r="C1586" s="1048"/>
      <c r="D1586" s="1035"/>
      <c r="E1586" s="1035"/>
      <c r="F1586" s="1035"/>
      <c r="G1586" s="1110"/>
      <c r="H1586" s="125" t="s">
        <v>1030</v>
      </c>
      <c r="I1586" s="125"/>
      <c r="J1586" s="244">
        <v>57.32658</v>
      </c>
      <c r="K1586" s="246"/>
      <c r="L1586" s="282"/>
      <c r="M1586" s="244">
        <v>97.488827999999998</v>
      </c>
      <c r="N1586" s="246"/>
      <c r="O1586" s="282"/>
      <c r="P1586" s="244">
        <v>23.549616000000004</v>
      </c>
      <c r="Q1586" s="246"/>
      <c r="R1586" s="282"/>
      <c r="S1586" s="244">
        <v>68.663232000000008</v>
      </c>
      <c r="T1586" s="246"/>
      <c r="U1586" s="282"/>
      <c r="V1586" s="244">
        <v>48.018492000000002</v>
      </c>
      <c r="W1586" s="246"/>
      <c r="X1586" s="282"/>
      <c r="Y1586" s="244">
        <v>24.317171999999999</v>
      </c>
      <c r="Z1586" s="246"/>
      <c r="AA1586" s="282"/>
      <c r="AB1586" s="244">
        <v>34.862796000000003</v>
      </c>
      <c r="AC1586" s="246"/>
      <c r="AD1586" s="282"/>
      <c r="AE1586" s="345">
        <f>0+50</f>
        <v>50</v>
      </c>
      <c r="AF1586" s="246"/>
      <c r="AG1586" s="282"/>
      <c r="AH1586" s="244">
        <v>76.571495999999996</v>
      </c>
      <c r="AI1586" s="246"/>
      <c r="AJ1586" s="282"/>
      <c r="AK1586" s="244">
        <v>137.173104</v>
      </c>
      <c r="AL1586" s="246"/>
      <c r="AM1586" s="282"/>
      <c r="AN1586" s="345">
        <f>62.618832+100</f>
        <v>162.618832</v>
      </c>
      <c r="AO1586" s="246"/>
      <c r="AP1586" s="282"/>
      <c r="AQ1586" s="345">
        <f>140.58576+20</f>
        <v>160.58575999999999</v>
      </c>
      <c r="AR1586" s="246"/>
      <c r="AS1586" s="282"/>
      <c r="AT1586" s="244">
        <f t="shared" si="63"/>
        <v>941.17590799999994</v>
      </c>
      <c r="AU1586" s="246"/>
      <c r="AV1586" s="336"/>
      <c r="AW1586" s="285"/>
      <c r="AX1586" s="249"/>
      <c r="AY1586" s="338"/>
      <c r="AZ1586" s="357"/>
      <c r="BA1586"/>
      <c r="BB1586"/>
      <c r="BC1586"/>
    </row>
    <row r="1587" spans="1:55" s="24" customFormat="1">
      <c r="A1587" s="1048"/>
      <c r="B1587" s="1048"/>
      <c r="C1587" s="1048"/>
      <c r="D1587" s="1035">
        <v>357110</v>
      </c>
      <c r="E1587" s="1035"/>
      <c r="F1587" s="1035"/>
      <c r="G1587" s="1110">
        <v>357110</v>
      </c>
      <c r="H1587" s="125" t="s">
        <v>1031</v>
      </c>
      <c r="I1587" s="516" t="s">
        <v>364</v>
      </c>
      <c r="J1587" s="244">
        <v>222.16706300000001</v>
      </c>
      <c r="K1587" s="246"/>
      <c r="L1587" s="282"/>
      <c r="M1587" s="244">
        <v>189.35073299999999</v>
      </c>
      <c r="N1587" s="246"/>
      <c r="O1587" s="282"/>
      <c r="P1587" s="244">
        <v>191.386144</v>
      </c>
      <c r="Q1587" s="246"/>
      <c r="R1587" s="282"/>
      <c r="S1587" s="244">
        <v>163.27921799999999</v>
      </c>
      <c r="T1587" s="246"/>
      <c r="U1587" s="282"/>
      <c r="V1587" s="345">
        <f>148.713209+10</f>
        <v>158.71320900000001</v>
      </c>
      <c r="W1587" s="246"/>
      <c r="X1587" s="282"/>
      <c r="Y1587" s="345">
        <f>99.426903+30</f>
        <v>129.42690299999998</v>
      </c>
      <c r="Z1587" s="246"/>
      <c r="AA1587" s="282"/>
      <c r="AB1587" s="244">
        <v>91.482550000000003</v>
      </c>
      <c r="AC1587" s="246"/>
      <c r="AD1587" s="282"/>
      <c r="AE1587" s="345">
        <f>52.230388+20</f>
        <v>72.230388000000005</v>
      </c>
      <c r="AF1587" s="246"/>
      <c r="AG1587" s="282"/>
      <c r="AH1587" s="244">
        <v>87.888406000000003</v>
      </c>
      <c r="AI1587" s="246"/>
      <c r="AJ1587" s="282"/>
      <c r="AK1587" s="345">
        <f>145.101746+20</f>
        <v>165.10174599999999</v>
      </c>
      <c r="AL1587" s="246"/>
      <c r="AM1587" s="282"/>
      <c r="AN1587" s="345">
        <f>191.958572+40</f>
        <v>231.958572</v>
      </c>
      <c r="AO1587" s="246"/>
      <c r="AP1587" s="282"/>
      <c r="AQ1587" s="345">
        <f>240.779392+10</f>
        <v>250.779392</v>
      </c>
      <c r="AR1587" s="246"/>
      <c r="AS1587" s="282"/>
      <c r="AT1587" s="244">
        <f t="shared" si="63"/>
        <v>1953.7643239999998</v>
      </c>
      <c r="AU1587" s="246"/>
      <c r="AV1587" s="336"/>
      <c r="AW1587" s="285"/>
      <c r="AX1587" s="249"/>
      <c r="AY1587" s="438">
        <v>1892.8645819999999</v>
      </c>
      <c r="AZ1587" s="357"/>
      <c r="BA1587"/>
      <c r="BB1587"/>
      <c r="BC1587"/>
    </row>
    <row r="1588" spans="1:55" s="109" customFormat="1">
      <c r="A1588" s="1048"/>
      <c r="B1588" s="1048"/>
      <c r="C1588" s="1048"/>
      <c r="D1588" s="1035">
        <v>357112</v>
      </c>
      <c r="E1588" s="1035"/>
      <c r="F1588" s="1035"/>
      <c r="G1588" s="1110">
        <v>357112</v>
      </c>
      <c r="H1588" s="125" t="s">
        <v>1454</v>
      </c>
      <c r="I1588" s="516" t="s">
        <v>364</v>
      </c>
      <c r="J1588" s="244">
        <v>295.46109799999999</v>
      </c>
      <c r="K1588" s="246"/>
      <c r="L1588" s="282"/>
      <c r="M1588" s="244">
        <v>273.28678866666701</v>
      </c>
      <c r="N1588" s="246"/>
      <c r="O1588" s="282"/>
      <c r="P1588" s="244">
        <v>273.886912666667</v>
      </c>
      <c r="Q1588" s="246"/>
      <c r="R1588" s="282"/>
      <c r="S1588" s="345">
        <f>222.417231666667+15.06</f>
        <v>237.477231666667</v>
      </c>
      <c r="T1588" s="246"/>
      <c r="U1588" s="282"/>
      <c r="V1588" s="244">
        <v>179.272707</v>
      </c>
      <c r="W1588" s="246"/>
      <c r="X1588" s="282"/>
      <c r="Y1588" s="244">
        <v>122.02237099999999</v>
      </c>
      <c r="Z1588" s="246"/>
      <c r="AA1588" s="282"/>
      <c r="AB1588" s="244">
        <v>108.519083333333</v>
      </c>
      <c r="AC1588" s="246"/>
      <c r="AD1588" s="282"/>
      <c r="AE1588" s="244">
        <v>109.934425</v>
      </c>
      <c r="AF1588" s="246"/>
      <c r="AG1588" s="282"/>
      <c r="AH1588" s="244">
        <v>117.90946366666699</v>
      </c>
      <c r="AI1588" s="246"/>
      <c r="AJ1588" s="282"/>
      <c r="AK1588" s="244">
        <v>214.61165333333301</v>
      </c>
      <c r="AL1588" s="246"/>
      <c r="AM1588" s="282"/>
      <c r="AN1588" s="345">
        <f>269.635469+10</f>
        <v>279.635469</v>
      </c>
      <c r="AO1588" s="246"/>
      <c r="AP1588" s="282"/>
      <c r="AQ1588" s="345">
        <f>280.471269+20</f>
        <v>300.47126900000001</v>
      </c>
      <c r="AR1588" s="246"/>
      <c r="AS1588" s="282"/>
      <c r="AT1588" s="244">
        <f t="shared" si="63"/>
        <v>2512.4884723333339</v>
      </c>
      <c r="AU1588" s="246"/>
      <c r="AV1588" s="336"/>
      <c r="AW1588" s="285"/>
      <c r="AX1588" s="249"/>
      <c r="AY1588" s="438">
        <v>2381.8678300000001</v>
      </c>
      <c r="AZ1588" s="368"/>
      <c r="BA1588"/>
      <c r="BB1588"/>
      <c r="BC1588"/>
    </row>
    <row r="1589" spans="1:55" s="24" customFormat="1">
      <c r="A1589" s="1048"/>
      <c r="B1589" s="1048"/>
      <c r="C1589" s="1048"/>
      <c r="D1589" s="1035">
        <v>357186</v>
      </c>
      <c r="E1589" s="1035"/>
      <c r="F1589" s="1035"/>
      <c r="G1589" s="1110">
        <v>357186</v>
      </c>
      <c r="H1589" s="125" t="s">
        <v>1455</v>
      </c>
      <c r="I1589" s="516" t="s">
        <v>364</v>
      </c>
      <c r="J1589" s="244">
        <v>122.573182</v>
      </c>
      <c r="K1589" s="246"/>
      <c r="L1589" s="282"/>
      <c r="M1589" s="244">
        <v>117.87428200000001</v>
      </c>
      <c r="N1589" s="246"/>
      <c r="O1589" s="282"/>
      <c r="P1589" s="244">
        <v>93.036072000000004</v>
      </c>
      <c r="Q1589" s="246"/>
      <c r="R1589" s="282"/>
      <c r="S1589" s="244">
        <v>139.93625800000001</v>
      </c>
      <c r="T1589" s="246"/>
      <c r="U1589" s="282"/>
      <c r="V1589" s="244">
        <v>83.499651999999998</v>
      </c>
      <c r="W1589" s="246"/>
      <c r="X1589" s="282"/>
      <c r="Y1589" s="244">
        <v>12.529408</v>
      </c>
      <c r="Z1589" s="246"/>
      <c r="AA1589" s="282"/>
      <c r="AB1589" s="244">
        <v>19.040671</v>
      </c>
      <c r="AC1589" s="246"/>
      <c r="AD1589" s="282"/>
      <c r="AE1589" s="244">
        <v>5.5391120000000003</v>
      </c>
      <c r="AF1589" s="246"/>
      <c r="AG1589" s="282"/>
      <c r="AH1589" s="244">
        <v>0</v>
      </c>
      <c r="AI1589" s="246"/>
      <c r="AJ1589" s="282"/>
      <c r="AK1589" s="244">
        <v>71.055865999999995</v>
      </c>
      <c r="AL1589" s="246"/>
      <c r="AM1589" s="282"/>
      <c r="AN1589" s="345">
        <f>80.48581+8</f>
        <v>88.485810000000001</v>
      </c>
      <c r="AO1589" s="246"/>
      <c r="AP1589" s="282"/>
      <c r="AQ1589" s="345">
        <f>114.864359+10</f>
        <v>124.86435899999999</v>
      </c>
      <c r="AR1589" s="246"/>
      <c r="AS1589" s="282"/>
      <c r="AT1589" s="244">
        <f t="shared" si="63"/>
        <v>878.43467200000009</v>
      </c>
      <c r="AU1589" s="246"/>
      <c r="AV1589" s="336"/>
      <c r="AW1589" s="285"/>
      <c r="AX1589" s="249"/>
      <c r="AY1589" s="438">
        <v>862.65451900000005</v>
      </c>
      <c r="AZ1589" s="357"/>
      <c r="BA1589"/>
      <c r="BB1589"/>
      <c r="BC1589"/>
    </row>
    <row r="1590" spans="1:55" s="24" customFormat="1">
      <c r="A1590" s="1048"/>
      <c r="B1590" s="1048"/>
      <c r="C1590" s="1048"/>
      <c r="D1590" s="1035">
        <v>357113</v>
      </c>
      <c r="E1590" s="1035"/>
      <c r="F1590" s="1035"/>
      <c r="G1590" s="1110">
        <v>357113</v>
      </c>
      <c r="H1590" s="125" t="s">
        <v>1456</v>
      </c>
      <c r="I1590" s="516" t="s">
        <v>364</v>
      </c>
      <c r="J1590" s="244">
        <v>57.318060000000003</v>
      </c>
      <c r="K1590" s="246"/>
      <c r="L1590" s="282"/>
      <c r="M1590" s="244">
        <v>54.19285</v>
      </c>
      <c r="N1590" s="246"/>
      <c r="O1590" s="282"/>
      <c r="P1590" s="244">
        <v>61.569459999999999</v>
      </c>
      <c r="Q1590" s="246"/>
      <c r="R1590" s="282"/>
      <c r="S1590" s="244">
        <v>43.910490000000003</v>
      </c>
      <c r="T1590" s="246"/>
      <c r="U1590" s="282"/>
      <c r="V1590" s="244">
        <v>43.968260000000001</v>
      </c>
      <c r="W1590" s="246"/>
      <c r="X1590" s="282"/>
      <c r="Y1590" s="244">
        <v>12.50947</v>
      </c>
      <c r="Z1590" s="246"/>
      <c r="AA1590" s="282"/>
      <c r="AB1590" s="244">
        <v>25.226520000000001</v>
      </c>
      <c r="AC1590" s="246"/>
      <c r="AD1590" s="282"/>
      <c r="AE1590" s="244">
        <v>41.448009999999996</v>
      </c>
      <c r="AF1590" s="246"/>
      <c r="AG1590" s="282"/>
      <c r="AH1590" s="244">
        <v>18.626000000000001</v>
      </c>
      <c r="AI1590" s="246"/>
      <c r="AJ1590" s="282"/>
      <c r="AK1590" s="244">
        <v>56.976443000000003</v>
      </c>
      <c r="AL1590" s="246"/>
      <c r="AM1590" s="282"/>
      <c r="AN1590" s="244">
        <v>57.449300000000001</v>
      </c>
      <c r="AO1590" s="246"/>
      <c r="AP1590" s="282"/>
      <c r="AQ1590" s="244">
        <v>60.453519999999997</v>
      </c>
      <c r="AR1590" s="246"/>
      <c r="AS1590" s="282"/>
      <c r="AT1590" s="244">
        <f t="shared" si="63"/>
        <v>533.64838299999997</v>
      </c>
      <c r="AU1590" s="246"/>
      <c r="AV1590" s="336"/>
      <c r="AW1590" s="285"/>
      <c r="AX1590" s="249"/>
      <c r="AY1590" s="438">
        <v>569.79468999999995</v>
      </c>
      <c r="AZ1590" s="357"/>
      <c r="BA1590"/>
      <c r="BB1590"/>
      <c r="BC1590"/>
    </row>
    <row r="1591" spans="1:55" s="24" customFormat="1">
      <c r="A1591" s="1048"/>
      <c r="B1591" s="1048"/>
      <c r="C1591" s="1048"/>
      <c r="D1591" s="1035">
        <v>357111</v>
      </c>
      <c r="E1591" s="1035"/>
      <c r="F1591" s="1035"/>
      <c r="G1591" s="1110">
        <v>357111</v>
      </c>
      <c r="H1591" s="141" t="s">
        <v>1032</v>
      </c>
      <c r="I1591" s="516" t="s">
        <v>364</v>
      </c>
      <c r="J1591" s="262">
        <f>SUM(J1592:J1593)</f>
        <v>17.340748999999999</v>
      </c>
      <c r="K1591" s="246"/>
      <c r="L1591" s="282"/>
      <c r="M1591" s="317">
        <f>SUM(M1592:M1593)</f>
        <v>14.348432000000001</v>
      </c>
      <c r="N1591" s="246"/>
      <c r="O1591" s="282"/>
      <c r="P1591" s="317">
        <f>SUM(P1592:P1593)</f>
        <v>15.198760999999998</v>
      </c>
      <c r="Q1591" s="246"/>
      <c r="R1591" s="282"/>
      <c r="S1591" s="317">
        <f>SUM(S1592:S1593)</f>
        <v>11.173306</v>
      </c>
      <c r="T1591" s="246"/>
      <c r="U1591" s="282"/>
      <c r="V1591" s="317">
        <f>SUM(V1592:V1593)</f>
        <v>7.7421299999999995</v>
      </c>
      <c r="W1591" s="246"/>
      <c r="X1591" s="282"/>
      <c r="Y1591" s="317">
        <f>SUM(Y1592:Y1593)</f>
        <v>2.3272560000000002</v>
      </c>
      <c r="Z1591" s="246"/>
      <c r="AA1591" s="282"/>
      <c r="AB1591" s="317">
        <f>SUM(AB1592:AB1593)</f>
        <v>3.6847569999999998</v>
      </c>
      <c r="AC1591" s="246"/>
      <c r="AD1591" s="282"/>
      <c r="AE1591" s="317">
        <f>SUM(AE1592:AE1593)</f>
        <v>3.0374379999999999</v>
      </c>
      <c r="AF1591" s="246"/>
      <c r="AG1591" s="282"/>
      <c r="AH1591" s="317">
        <f>SUM(AH1592:AH1593)</f>
        <v>5.1043849999999997</v>
      </c>
      <c r="AI1591" s="246"/>
      <c r="AJ1591" s="282"/>
      <c r="AK1591" s="317">
        <f>SUM(AK1592:AK1593)</f>
        <v>9.3740360000000003</v>
      </c>
      <c r="AL1591" s="246"/>
      <c r="AM1591" s="282"/>
      <c r="AN1591" s="317">
        <f>SUM(AN1592:AN1593)</f>
        <v>14.579656999999999</v>
      </c>
      <c r="AO1591" s="246"/>
      <c r="AP1591" s="282"/>
      <c r="AQ1591" s="317">
        <f>SUM(AQ1592:AQ1593)</f>
        <v>17.025386000000001</v>
      </c>
      <c r="AR1591" s="246"/>
      <c r="AS1591" s="282"/>
      <c r="AT1591" s="317">
        <f>SUM(AT1592:AT1593)</f>
        <v>120.93629300000001</v>
      </c>
      <c r="AU1591" s="246"/>
      <c r="AV1591" s="336"/>
      <c r="AW1591" s="285"/>
      <c r="AX1591" s="249"/>
      <c r="AY1591" s="1068">
        <v>120.22721300000001</v>
      </c>
      <c r="AZ1591" s="357"/>
      <c r="BA1591"/>
      <c r="BB1591"/>
      <c r="BC1591"/>
    </row>
    <row r="1592" spans="1:55" s="110" customFormat="1">
      <c r="A1592" s="1048"/>
      <c r="B1592" s="1048"/>
      <c r="C1592" s="1048"/>
      <c r="D1592" s="1035"/>
      <c r="E1592" s="1035"/>
      <c r="F1592" s="1035"/>
      <c r="G1592" s="1110"/>
      <c r="H1592" s="125" t="s">
        <v>1032</v>
      </c>
      <c r="I1592" s="125"/>
      <c r="J1592" s="244">
        <v>8.7107489999999981</v>
      </c>
      <c r="K1592" s="246"/>
      <c r="L1592" s="282"/>
      <c r="M1592" s="244">
        <v>6.3840000000000003</v>
      </c>
      <c r="N1592" s="246"/>
      <c r="O1592" s="282"/>
      <c r="P1592" s="244">
        <v>8.1099609999999984</v>
      </c>
      <c r="Q1592" s="246"/>
      <c r="R1592" s="282"/>
      <c r="S1592" s="244">
        <v>7.5733060000000005</v>
      </c>
      <c r="T1592" s="246"/>
      <c r="U1592" s="282"/>
      <c r="V1592" s="244">
        <v>3.4559999999999995</v>
      </c>
      <c r="W1592" s="246"/>
      <c r="X1592" s="282"/>
      <c r="Y1592" s="244">
        <v>2.3272560000000002</v>
      </c>
      <c r="Z1592" s="246"/>
      <c r="AA1592" s="282"/>
      <c r="AB1592" s="244">
        <v>3.6847569999999998</v>
      </c>
      <c r="AC1592" s="246"/>
      <c r="AD1592" s="282"/>
      <c r="AE1592" s="244">
        <v>3.0374379999999999</v>
      </c>
      <c r="AF1592" s="246"/>
      <c r="AG1592" s="282"/>
      <c r="AH1592" s="244">
        <v>5.1043849999999997</v>
      </c>
      <c r="AI1592" s="246"/>
      <c r="AJ1592" s="282"/>
      <c r="AK1592" s="244">
        <v>5.952</v>
      </c>
      <c r="AL1592" s="246"/>
      <c r="AM1592" s="282"/>
      <c r="AN1592" s="244">
        <v>7.919999999999999</v>
      </c>
      <c r="AO1592" s="246"/>
      <c r="AP1592" s="282"/>
      <c r="AQ1592" s="244">
        <v>8.1840000000000011</v>
      </c>
      <c r="AR1592" s="246"/>
      <c r="AS1592" s="282"/>
      <c r="AT1592" s="244">
        <f t="shared" si="63"/>
        <v>70.443851999999993</v>
      </c>
      <c r="AU1592" s="246"/>
      <c r="AV1592" s="336"/>
      <c r="AW1592" s="285"/>
      <c r="AX1592" s="249"/>
      <c r="AY1592" s="338"/>
      <c r="AZ1592" s="356"/>
      <c r="BA1592"/>
      <c r="BB1592"/>
      <c r="BC1592"/>
    </row>
    <row r="1593" spans="1:55" s="113" customFormat="1">
      <c r="A1593" s="1048"/>
      <c r="B1593" s="1048"/>
      <c r="C1593" s="1048"/>
      <c r="D1593" s="1035"/>
      <c r="E1593" s="1035"/>
      <c r="F1593" s="1035"/>
      <c r="G1593" s="1110"/>
      <c r="H1593" s="125" t="s">
        <v>1033</v>
      </c>
      <c r="I1593" s="125"/>
      <c r="J1593" s="244">
        <v>8.6300000000000008</v>
      </c>
      <c r="K1593" s="246"/>
      <c r="L1593" s="282"/>
      <c r="M1593" s="244">
        <v>7.9644320000000004</v>
      </c>
      <c r="N1593" s="246"/>
      <c r="O1593" s="282"/>
      <c r="P1593" s="244">
        <v>7.0888</v>
      </c>
      <c r="Q1593" s="246"/>
      <c r="R1593" s="282"/>
      <c r="S1593" s="244">
        <v>3.6</v>
      </c>
      <c r="T1593" s="246"/>
      <c r="U1593" s="282"/>
      <c r="V1593" s="244">
        <v>4.28613</v>
      </c>
      <c r="W1593" s="246"/>
      <c r="X1593" s="282"/>
      <c r="Y1593" s="244">
        <v>0</v>
      </c>
      <c r="Z1593" s="246"/>
      <c r="AA1593" s="282"/>
      <c r="AB1593" s="244">
        <v>0</v>
      </c>
      <c r="AC1593" s="246"/>
      <c r="AD1593" s="282"/>
      <c r="AE1593" s="244">
        <v>0</v>
      </c>
      <c r="AF1593" s="246"/>
      <c r="AG1593" s="282"/>
      <c r="AH1593" s="244">
        <v>0</v>
      </c>
      <c r="AI1593" s="246"/>
      <c r="AJ1593" s="282"/>
      <c r="AK1593" s="244">
        <v>3.4220359999999999</v>
      </c>
      <c r="AL1593" s="246"/>
      <c r="AM1593" s="282"/>
      <c r="AN1593" s="244">
        <v>6.6596570000000002</v>
      </c>
      <c r="AO1593" s="246"/>
      <c r="AP1593" s="282"/>
      <c r="AQ1593" s="244">
        <v>8.841386</v>
      </c>
      <c r="AR1593" s="246"/>
      <c r="AS1593" s="282"/>
      <c r="AT1593" s="244">
        <f t="shared" si="63"/>
        <v>50.492441000000007</v>
      </c>
      <c r="AU1593" s="246"/>
      <c r="AV1593" s="336"/>
      <c r="AW1593" s="285"/>
      <c r="AX1593" s="249"/>
      <c r="AY1593" s="338"/>
      <c r="AZ1593" s="355"/>
      <c r="BA1593"/>
      <c r="BB1593"/>
      <c r="BC1593"/>
    </row>
    <row r="1594" spans="1:55" s="24" customFormat="1">
      <c r="A1594" s="1048"/>
      <c r="B1594" s="1048"/>
      <c r="C1594" s="1048"/>
      <c r="D1594" s="1035">
        <v>357126</v>
      </c>
      <c r="E1594" s="1035"/>
      <c r="F1594" s="1035"/>
      <c r="G1594" s="1110">
        <v>357126</v>
      </c>
      <c r="H1594" s="125" t="s">
        <v>724</v>
      </c>
      <c r="I1594" s="516" t="s">
        <v>364</v>
      </c>
      <c r="J1594" s="345">
        <f>414+95</f>
        <v>509</v>
      </c>
      <c r="K1594" s="246"/>
      <c r="L1594" s="282"/>
      <c r="M1594" s="345">
        <f>387+230</f>
        <v>617</v>
      </c>
      <c r="N1594" s="246"/>
      <c r="O1594" s="282"/>
      <c r="P1594" s="244">
        <v>398.00000000016001</v>
      </c>
      <c r="Q1594" s="246"/>
      <c r="R1594" s="282"/>
      <c r="S1594" s="244">
        <v>307.99999999999994</v>
      </c>
      <c r="T1594" s="246"/>
      <c r="U1594" s="282"/>
      <c r="V1594" s="345">
        <f>265+53.42</f>
        <v>318.42</v>
      </c>
      <c r="W1594" s="246"/>
      <c r="X1594" s="282"/>
      <c r="Y1594" s="345">
        <f>270+100</f>
        <v>370</v>
      </c>
      <c r="Z1594" s="246"/>
      <c r="AA1594" s="282"/>
      <c r="AB1594" s="345">
        <f>360+14</f>
        <v>374</v>
      </c>
      <c r="AC1594" s="246"/>
      <c r="AD1594" s="282"/>
      <c r="AE1594" s="345">
        <f>336+29.24</f>
        <v>365.24</v>
      </c>
      <c r="AF1594" s="246"/>
      <c r="AG1594" s="282"/>
      <c r="AH1594" s="244">
        <v>321</v>
      </c>
      <c r="AI1594" s="246"/>
      <c r="AJ1594" s="282"/>
      <c r="AK1594" s="244">
        <v>369</v>
      </c>
      <c r="AL1594" s="246"/>
      <c r="AM1594" s="282"/>
      <c r="AN1594" s="345">
        <f>378.99999999984+150</f>
        <v>528.99999999983993</v>
      </c>
      <c r="AO1594" s="246"/>
      <c r="AP1594" s="282"/>
      <c r="AQ1594" s="1206">
        <f>414+261.15</f>
        <v>675.15</v>
      </c>
      <c r="AR1594" s="246"/>
      <c r="AS1594" s="282"/>
      <c r="AT1594" s="244">
        <f t="shared" si="63"/>
        <v>5153.8099999999995</v>
      </c>
      <c r="AU1594" s="246"/>
      <c r="AV1594" s="336"/>
      <c r="AW1594" s="285"/>
      <c r="AX1594" s="249"/>
      <c r="AY1594" s="438">
        <v>4398.4546369999998</v>
      </c>
      <c r="AZ1594" s="357"/>
      <c r="BA1594"/>
      <c r="BB1594"/>
      <c r="BC1594"/>
    </row>
    <row r="1595" spans="1:55" s="24" customFormat="1">
      <c r="A1595" s="1048"/>
      <c r="B1595" s="1048"/>
      <c r="C1595" s="1048"/>
      <c r="D1595" s="1035">
        <v>357103</v>
      </c>
      <c r="E1595" s="1035"/>
      <c r="F1595" s="1035"/>
      <c r="G1595" s="1110">
        <v>357103</v>
      </c>
      <c r="H1595" s="134" t="s">
        <v>1034</v>
      </c>
      <c r="I1595" s="516" t="s">
        <v>364</v>
      </c>
      <c r="J1595" s="262">
        <f>SUM(J1596:J1598)</f>
        <v>886.37</v>
      </c>
      <c r="K1595" s="246"/>
      <c r="L1595" s="282"/>
      <c r="M1595" s="317">
        <f>SUM(M1596:M1598)</f>
        <v>891.44</v>
      </c>
      <c r="N1595" s="246"/>
      <c r="O1595" s="282"/>
      <c r="P1595" s="317">
        <f>SUM(P1596:P1598)</f>
        <v>720.48</v>
      </c>
      <c r="Q1595" s="246"/>
      <c r="R1595" s="282"/>
      <c r="S1595" s="317">
        <f>SUM(S1596:S1598)</f>
        <v>752.6400000000001</v>
      </c>
      <c r="T1595" s="246"/>
      <c r="U1595" s="282"/>
      <c r="V1595" s="317">
        <f>SUM(V1596:V1598)</f>
        <v>699.36000010559997</v>
      </c>
      <c r="W1595" s="246"/>
      <c r="X1595" s="282"/>
      <c r="Y1595" s="317">
        <f>SUM(Y1596:Y1598)</f>
        <v>0</v>
      </c>
      <c r="Z1595" s="246"/>
      <c r="AA1595" s="282"/>
      <c r="AB1595" s="317">
        <f>SUM(AB1596:AB1598)</f>
        <v>299.24</v>
      </c>
      <c r="AC1595" s="246"/>
      <c r="AD1595" s="282"/>
      <c r="AE1595" s="317">
        <f>SUM(AE1596:AE1598)</f>
        <v>0</v>
      </c>
      <c r="AF1595" s="246"/>
      <c r="AG1595" s="282"/>
      <c r="AH1595" s="317">
        <f>SUM(AH1596:AH1598)</f>
        <v>482.64000479999999</v>
      </c>
      <c r="AI1595" s="246"/>
      <c r="AJ1595" s="282"/>
      <c r="AK1595" s="317">
        <f>SUM(AK1596:AK1598)</f>
        <v>593.63200031999997</v>
      </c>
      <c r="AL1595" s="246"/>
      <c r="AM1595" s="282"/>
      <c r="AN1595" s="317">
        <f>SUM(AN1596:AN1598)</f>
        <v>857.71199999999999</v>
      </c>
      <c r="AO1595" s="246"/>
      <c r="AP1595" s="282"/>
      <c r="AQ1595" s="317">
        <f>SUM(AQ1596:AQ1598)</f>
        <v>965.57599871999992</v>
      </c>
      <c r="AR1595" s="246"/>
      <c r="AS1595" s="282"/>
      <c r="AT1595" s="317">
        <f>SUM(AT1596:AT1598)</f>
        <v>7149.0900039456001</v>
      </c>
      <c r="AU1595" s="246"/>
      <c r="AV1595" s="336"/>
      <c r="AW1595" s="285"/>
      <c r="AX1595" s="249"/>
      <c r="AY1595" s="1068">
        <v>5494.6501559999997</v>
      </c>
      <c r="AZ1595" s="357"/>
      <c r="BA1595"/>
      <c r="BB1595"/>
      <c r="BC1595"/>
    </row>
    <row r="1596" spans="1:55" s="110" customFormat="1">
      <c r="A1596" s="1048"/>
      <c r="B1596" s="1048"/>
      <c r="C1596" s="1048"/>
      <c r="D1596" s="1035"/>
      <c r="E1596" s="1035"/>
      <c r="F1596" s="1035"/>
      <c r="G1596" s="1110"/>
      <c r="H1596" s="127" t="s">
        <v>1035</v>
      </c>
      <c r="I1596" s="122"/>
      <c r="J1596" s="244">
        <v>308.04000000000002</v>
      </c>
      <c r="K1596" s="246"/>
      <c r="L1596" s="282"/>
      <c r="M1596" s="244">
        <v>306</v>
      </c>
      <c r="N1596" s="246"/>
      <c r="O1596" s="282"/>
      <c r="P1596" s="244">
        <v>319.2</v>
      </c>
      <c r="Q1596" s="246"/>
      <c r="R1596" s="282"/>
      <c r="S1596" s="244">
        <v>369.6</v>
      </c>
      <c r="T1596" s="246"/>
      <c r="U1596" s="282"/>
      <c r="V1596" s="244">
        <v>151.19999999999999</v>
      </c>
      <c r="W1596" s="246"/>
      <c r="X1596" s="282"/>
      <c r="Y1596" s="244">
        <v>0</v>
      </c>
      <c r="Z1596" s="246"/>
      <c r="AA1596" s="282"/>
      <c r="AB1596" s="244">
        <v>0</v>
      </c>
      <c r="AC1596" s="246"/>
      <c r="AD1596" s="282"/>
      <c r="AE1596" s="244">
        <v>0</v>
      </c>
      <c r="AF1596" s="246"/>
      <c r="AG1596" s="282"/>
      <c r="AH1596" s="244">
        <v>185.76</v>
      </c>
      <c r="AI1596" s="246"/>
      <c r="AJ1596" s="282"/>
      <c r="AK1596" s="244">
        <v>492.072</v>
      </c>
      <c r="AL1596" s="246"/>
      <c r="AM1596" s="282"/>
      <c r="AN1596" s="345">
        <f>277.632+80</f>
        <v>357.63200000000001</v>
      </c>
      <c r="AO1596" s="246"/>
      <c r="AP1596" s="282"/>
      <c r="AQ1596" s="834">
        <v>290.69599872000003</v>
      </c>
      <c r="AR1596" s="246"/>
      <c r="AS1596" s="282"/>
      <c r="AT1596" s="244">
        <f t="shared" si="63"/>
        <v>2780.1999987200006</v>
      </c>
      <c r="AU1596" s="246"/>
      <c r="AV1596" s="336"/>
      <c r="AW1596" s="285"/>
      <c r="AX1596" s="249"/>
      <c r="AY1596" s="338"/>
      <c r="AZ1596" s="356"/>
      <c r="BA1596"/>
      <c r="BB1596"/>
      <c r="BC1596"/>
    </row>
    <row r="1597" spans="1:55" s="113" customFormat="1">
      <c r="A1597" s="1048"/>
      <c r="B1597" s="1048"/>
      <c r="C1597" s="1048"/>
      <c r="D1597" s="1035"/>
      <c r="E1597" s="1035"/>
      <c r="F1597" s="1035"/>
      <c r="G1597" s="1110"/>
      <c r="H1597" s="127" t="s">
        <v>1036</v>
      </c>
      <c r="I1597" s="122"/>
      <c r="J1597" s="244">
        <v>310.08</v>
      </c>
      <c r="K1597" s="246"/>
      <c r="L1597" s="282"/>
      <c r="M1597" s="244">
        <v>456</v>
      </c>
      <c r="N1597" s="246"/>
      <c r="O1597" s="282"/>
      <c r="P1597" s="244">
        <v>401.28</v>
      </c>
      <c r="Q1597" s="246"/>
      <c r="R1597" s="282"/>
      <c r="S1597" s="244">
        <v>383.04</v>
      </c>
      <c r="T1597" s="246"/>
      <c r="U1597" s="282"/>
      <c r="V1597" s="244">
        <v>482.8800001056</v>
      </c>
      <c r="W1597" s="246"/>
      <c r="X1597" s="282"/>
      <c r="Y1597" s="244">
        <v>0</v>
      </c>
      <c r="Z1597" s="246"/>
      <c r="AA1597" s="282"/>
      <c r="AB1597" s="345">
        <f>114.24+185</f>
        <v>299.24</v>
      </c>
      <c r="AC1597" s="246"/>
      <c r="AD1597" s="282"/>
      <c r="AE1597" s="244">
        <v>0</v>
      </c>
      <c r="AF1597" s="246"/>
      <c r="AG1597" s="282"/>
      <c r="AH1597" s="244">
        <v>154.80000000000001</v>
      </c>
      <c r="AI1597" s="246"/>
      <c r="AJ1597" s="282"/>
      <c r="AK1597" s="244">
        <v>0</v>
      </c>
      <c r="AL1597" s="246"/>
      <c r="AM1597" s="282"/>
      <c r="AN1597" s="345">
        <f>127.68+50</f>
        <v>177.68</v>
      </c>
      <c r="AO1597" s="246"/>
      <c r="AP1597" s="282"/>
      <c r="AQ1597" s="244">
        <v>364.8</v>
      </c>
      <c r="AR1597" s="246"/>
      <c r="AS1597" s="282"/>
      <c r="AT1597" s="244">
        <f t="shared" si="63"/>
        <v>3029.8000001056002</v>
      </c>
      <c r="AU1597" s="246"/>
      <c r="AV1597" s="336"/>
      <c r="AW1597" s="285"/>
      <c r="AX1597" s="249"/>
      <c r="AY1597" s="338"/>
      <c r="AZ1597" s="355"/>
      <c r="BA1597"/>
      <c r="BB1597"/>
      <c r="BC1597"/>
    </row>
    <row r="1598" spans="1:55" s="113" customFormat="1">
      <c r="A1598" s="1048"/>
      <c r="B1598" s="1048"/>
      <c r="C1598" s="1048"/>
      <c r="D1598" s="1035"/>
      <c r="E1598" s="1035"/>
      <c r="F1598" s="1035"/>
      <c r="G1598" s="1110"/>
      <c r="H1598" s="127" t="s">
        <v>1037</v>
      </c>
      <c r="I1598" s="127"/>
      <c r="J1598" s="345">
        <f>164.16+104.09</f>
        <v>268.25</v>
      </c>
      <c r="K1598" s="246"/>
      <c r="L1598" s="282"/>
      <c r="M1598" s="345">
        <f>109.44+20</f>
        <v>129.44</v>
      </c>
      <c r="N1598" s="246"/>
      <c r="O1598" s="282"/>
      <c r="P1598" s="244">
        <v>0</v>
      </c>
      <c r="Q1598" s="246"/>
      <c r="R1598" s="282"/>
      <c r="S1598" s="244">
        <v>0</v>
      </c>
      <c r="T1598" s="246"/>
      <c r="U1598" s="282"/>
      <c r="V1598" s="244">
        <v>65.28</v>
      </c>
      <c r="W1598" s="246"/>
      <c r="X1598" s="282"/>
      <c r="Y1598" s="244">
        <v>0</v>
      </c>
      <c r="Z1598" s="246"/>
      <c r="AA1598" s="282"/>
      <c r="AB1598" s="244">
        <v>0</v>
      </c>
      <c r="AC1598" s="246"/>
      <c r="AD1598" s="282"/>
      <c r="AE1598" s="244">
        <v>0</v>
      </c>
      <c r="AF1598" s="246"/>
      <c r="AG1598" s="282"/>
      <c r="AH1598" s="244">
        <v>142.08000479999998</v>
      </c>
      <c r="AI1598" s="246"/>
      <c r="AJ1598" s="282"/>
      <c r="AK1598" s="244">
        <v>101.56000032</v>
      </c>
      <c r="AL1598" s="246"/>
      <c r="AM1598" s="282"/>
      <c r="AN1598" s="345">
        <f>182.4+120+20</f>
        <v>322.39999999999998</v>
      </c>
      <c r="AO1598" s="246"/>
      <c r="AP1598" s="282"/>
      <c r="AQ1598" s="244">
        <v>310.08</v>
      </c>
      <c r="AR1598" s="246"/>
      <c r="AS1598" s="282"/>
      <c r="AT1598" s="244">
        <f t="shared" si="63"/>
        <v>1339.0900051199999</v>
      </c>
      <c r="AU1598" s="246"/>
      <c r="AV1598" s="336"/>
      <c r="AW1598" s="285"/>
      <c r="AX1598" s="249"/>
      <c r="AY1598" s="338"/>
      <c r="AZ1598" s="355"/>
      <c r="BA1598"/>
      <c r="BB1598"/>
      <c r="BC1598"/>
    </row>
    <row r="1599" spans="1:55" s="113" customFormat="1">
      <c r="A1599" s="1048"/>
      <c r="B1599" s="1048"/>
      <c r="C1599" s="1048"/>
      <c r="D1599" s="1035">
        <v>357130</v>
      </c>
      <c r="E1599" s="1035"/>
      <c r="F1599" s="1035"/>
      <c r="G1599" s="1110">
        <v>357130</v>
      </c>
      <c r="H1599" s="125" t="s">
        <v>1038</v>
      </c>
      <c r="I1599" s="516" t="s">
        <v>364</v>
      </c>
      <c r="J1599" s="824">
        <f>ГЭС!C183</f>
        <v>1250.7826786456469</v>
      </c>
      <c r="K1599" s="521"/>
      <c r="L1599" s="522"/>
      <c r="M1599" s="638">
        <f>ГЭС!D183</f>
        <v>1152.3759089618211</v>
      </c>
      <c r="N1599" s="521"/>
      <c r="O1599" s="522"/>
      <c r="P1599" s="638">
        <f>ГЭС!E183</f>
        <v>1214.4474123286827</v>
      </c>
      <c r="Q1599" s="521"/>
      <c r="R1599" s="522"/>
      <c r="S1599" s="638">
        <f>ГЭС!G183</f>
        <v>1168.5491875503403</v>
      </c>
      <c r="T1599" s="521"/>
      <c r="U1599" s="522"/>
      <c r="V1599" s="638">
        <f>ГЭС!H183</f>
        <v>1569.2810789601306</v>
      </c>
      <c r="W1599" s="521"/>
      <c r="X1599" s="522"/>
      <c r="Y1599" s="638">
        <f>ГЭС!I183</f>
        <v>1691.3923732985861</v>
      </c>
      <c r="Z1599" s="521"/>
      <c r="AA1599" s="522"/>
      <c r="AB1599" s="638">
        <f>ГЭС!K183</f>
        <v>1821.3397118958865</v>
      </c>
      <c r="AC1599" s="521"/>
      <c r="AD1599" s="522"/>
      <c r="AE1599" s="638">
        <f>ГЭС!L183</f>
        <v>1820.5742589789593</v>
      </c>
      <c r="AF1599" s="521"/>
      <c r="AG1599" s="522"/>
      <c r="AH1599" s="638">
        <f>ГЭС!M183</f>
        <v>1816.1478907350267</v>
      </c>
      <c r="AI1599" s="521"/>
      <c r="AJ1599" s="522"/>
      <c r="AK1599" s="638">
        <f>ГЭС!O183</f>
        <v>1806.6799414672385</v>
      </c>
      <c r="AL1599" s="521"/>
      <c r="AM1599" s="522"/>
      <c r="AN1599" s="638">
        <f>ГЭС!P183</f>
        <v>1279.2347092492387</v>
      </c>
      <c r="AO1599" s="521"/>
      <c r="AP1599" s="522"/>
      <c r="AQ1599" s="638">
        <f>ГЭС!Q183</f>
        <v>1247.1577942000858</v>
      </c>
      <c r="AR1599" s="397"/>
      <c r="AS1599" s="412"/>
      <c r="AT1599" s="638">
        <f t="shared" si="63"/>
        <v>17837.96294627164</v>
      </c>
      <c r="AU1599" s="246"/>
      <c r="AV1599" s="336"/>
      <c r="AW1599" s="285"/>
      <c r="AX1599" s="249"/>
      <c r="AY1599" s="438">
        <v>21539.590715999999</v>
      </c>
      <c r="AZ1599" s="355"/>
      <c r="BA1599"/>
      <c r="BB1599"/>
      <c r="BC1599"/>
    </row>
    <row r="1600" spans="1:55" s="24" customFormat="1">
      <c r="A1600" s="1048"/>
      <c r="B1600" s="1048"/>
      <c r="C1600" s="1048"/>
      <c r="D1600" s="1035">
        <v>357127</v>
      </c>
      <c r="E1600" s="1035"/>
      <c r="F1600" s="1035"/>
      <c r="G1600" s="1110">
        <v>357127</v>
      </c>
      <c r="H1600" s="125" t="s">
        <v>494</v>
      </c>
      <c r="I1600" s="516" t="s">
        <v>364</v>
      </c>
      <c r="J1600" s="824">
        <f>ГЭС!C184</f>
        <v>1240.8686000221367</v>
      </c>
      <c r="K1600" s="521"/>
      <c r="L1600" s="522"/>
      <c r="M1600" s="638">
        <f>ГЭС!D184</f>
        <v>1158.2740779792132</v>
      </c>
      <c r="N1600" s="521"/>
      <c r="O1600" s="522"/>
      <c r="P1600" s="638">
        <f>ГЭС!E184</f>
        <v>1235.2111339130099</v>
      </c>
      <c r="Q1600" s="521"/>
      <c r="R1600" s="522"/>
      <c r="S1600" s="638">
        <f>ГЭС!G184</f>
        <v>1238.7049082816261</v>
      </c>
      <c r="T1600" s="521"/>
      <c r="U1600" s="522"/>
      <c r="V1600" s="638">
        <f>ГЭС!H184</f>
        <v>1380.8257098961883</v>
      </c>
      <c r="W1600" s="521"/>
      <c r="X1600" s="522"/>
      <c r="Y1600" s="638">
        <f>ГЭС!I184</f>
        <v>1434.2320015592472</v>
      </c>
      <c r="Z1600" s="521"/>
      <c r="AA1600" s="522"/>
      <c r="AB1600" s="638">
        <f>ГЭС!K184</f>
        <v>1480.9308469092734</v>
      </c>
      <c r="AC1600" s="521"/>
      <c r="AD1600" s="522"/>
      <c r="AE1600" s="638">
        <f>ГЭС!L184</f>
        <v>1479.4408766246625</v>
      </c>
      <c r="AF1600" s="521"/>
      <c r="AG1600" s="522"/>
      <c r="AH1600" s="638">
        <f>ГЭС!M184</f>
        <v>1430.2875613506601</v>
      </c>
      <c r="AI1600" s="521"/>
      <c r="AJ1600" s="522"/>
      <c r="AK1600" s="638">
        <f>ГЭС!O184</f>
        <v>1500.0033859903676</v>
      </c>
      <c r="AL1600" s="521"/>
      <c r="AM1600" s="522"/>
      <c r="AN1600" s="638">
        <f>ГЭС!P184</f>
        <v>1133.8087926435612</v>
      </c>
      <c r="AO1600" s="521"/>
      <c r="AP1600" s="522"/>
      <c r="AQ1600" s="638">
        <f>ГЭС!Q184</f>
        <v>1195.3532852187816</v>
      </c>
      <c r="AR1600" s="521"/>
      <c r="AS1600" s="522"/>
      <c r="AT1600" s="638">
        <f t="shared" si="63"/>
        <v>15907.941180388729</v>
      </c>
      <c r="AU1600" s="246"/>
      <c r="AV1600" s="336"/>
      <c r="AW1600" s="285"/>
      <c r="AX1600" s="249"/>
      <c r="AY1600" s="438">
        <v>13610.167011</v>
      </c>
      <c r="AZ1600" s="357"/>
      <c r="BA1600"/>
      <c r="BB1600"/>
      <c r="BC1600"/>
    </row>
    <row r="1601" spans="1:55" s="24" customFormat="1">
      <c r="A1601" s="1048"/>
      <c r="B1601" s="1048"/>
      <c r="C1601" s="1048"/>
      <c r="D1601" s="1035">
        <v>350040</v>
      </c>
      <c r="E1601" s="1035"/>
      <c r="F1601" s="1035"/>
      <c r="G1601" s="1110">
        <v>350040</v>
      </c>
      <c r="H1601" s="125" t="s">
        <v>492</v>
      </c>
      <c r="I1601" s="519" t="s">
        <v>365</v>
      </c>
      <c r="J1601" s="825">
        <v>0.84728896617889404</v>
      </c>
      <c r="K1601" s="521"/>
      <c r="L1601" s="522"/>
      <c r="M1601" s="587">
        <v>0.6110347509386429</v>
      </c>
      <c r="N1601" s="521"/>
      <c r="O1601" s="522"/>
      <c r="P1601" s="587">
        <v>0.67935812473274382</v>
      </c>
      <c r="Q1601" s="521"/>
      <c r="R1601" s="522"/>
      <c r="S1601" s="587">
        <v>1.1809306144714355</v>
      </c>
      <c r="T1601" s="521"/>
      <c r="U1601" s="522"/>
      <c r="V1601" s="587">
        <v>2.5655944347381592</v>
      </c>
      <c r="W1601" s="521"/>
      <c r="X1601" s="522"/>
      <c r="Y1601" s="587">
        <v>2.4967784881594071</v>
      </c>
      <c r="Z1601" s="521"/>
      <c r="AA1601" s="522"/>
      <c r="AB1601" s="587">
        <v>2.0464322566986084</v>
      </c>
      <c r="AC1601" s="521"/>
      <c r="AD1601" s="522"/>
      <c r="AE1601" s="587">
        <v>1.7124042510986328</v>
      </c>
      <c r="AF1601" s="521"/>
      <c r="AG1601" s="522"/>
      <c r="AH1601" s="587">
        <v>1.510947585105896</v>
      </c>
      <c r="AI1601" s="521"/>
      <c r="AJ1601" s="522"/>
      <c r="AK1601" s="587">
        <v>1.8432074785232544</v>
      </c>
      <c r="AL1601" s="521"/>
      <c r="AM1601" s="522"/>
      <c r="AN1601" s="587">
        <v>1.4271677732469925</v>
      </c>
      <c r="AO1601" s="521"/>
      <c r="AP1601" s="522"/>
      <c r="AQ1601" s="587">
        <v>1.1219967603685745</v>
      </c>
      <c r="AR1601" s="521"/>
      <c r="AS1601" s="522"/>
      <c r="AT1601" s="587">
        <f t="shared" si="63"/>
        <v>18.043141484261241</v>
      </c>
      <c r="AU1601" s="246"/>
      <c r="AV1601" s="336"/>
      <c r="AW1601" s="285"/>
      <c r="AX1601" s="249"/>
      <c r="AY1601" s="438">
        <v>20.534268000000001</v>
      </c>
      <c r="AZ1601" s="357"/>
      <c r="BA1601"/>
      <c r="BB1601"/>
      <c r="BC1601"/>
    </row>
    <row r="1602" spans="1:55" s="24" customFormat="1">
      <c r="A1602" s="1048"/>
      <c r="B1602" s="1048"/>
      <c r="C1602" s="1048"/>
      <c r="D1602" s="1035"/>
      <c r="E1602" s="1035"/>
      <c r="F1602" s="1035"/>
      <c r="G1602" s="1110"/>
      <c r="H1602" s="138" t="s">
        <v>174</v>
      </c>
      <c r="I1602" s="138"/>
      <c r="J1602" s="319">
        <f>SUM(J1603:J1609)</f>
        <v>341.70929999999998</v>
      </c>
      <c r="K1602" s="288"/>
      <c r="L1602" s="289"/>
      <c r="M1602" s="287">
        <f>SUM(M1603:M1609)</f>
        <v>301.3383</v>
      </c>
      <c r="N1602" s="288"/>
      <c r="O1602" s="289"/>
      <c r="P1602" s="287">
        <f>SUM(P1603:P1609)</f>
        <v>335.74850000000004</v>
      </c>
      <c r="Q1602" s="288"/>
      <c r="R1602" s="289"/>
      <c r="S1602" s="287">
        <f>SUM(S1603:S1609)</f>
        <v>312.86979999999994</v>
      </c>
      <c r="T1602" s="288"/>
      <c r="U1602" s="289"/>
      <c r="V1602" s="287">
        <f>SUM(V1603:V1609)</f>
        <v>304.66050000000001</v>
      </c>
      <c r="W1602" s="288"/>
      <c r="X1602" s="289"/>
      <c r="Y1602" s="287">
        <f>SUM(Y1603:Y1609)</f>
        <v>301.00149999999996</v>
      </c>
      <c r="Z1602" s="288"/>
      <c r="AA1602" s="289"/>
      <c r="AB1602" s="287">
        <f>SUM(AB1603:AB1609)</f>
        <v>287.86540000000002</v>
      </c>
      <c r="AC1602" s="288"/>
      <c r="AD1602" s="289"/>
      <c r="AE1602" s="287">
        <f>SUM(AE1603:AE1609)</f>
        <v>306.08510000000001</v>
      </c>
      <c r="AF1602" s="288"/>
      <c r="AG1602" s="289"/>
      <c r="AH1602" s="287">
        <f>SUM(AH1603:AH1609)</f>
        <v>299.3193</v>
      </c>
      <c r="AI1602" s="288"/>
      <c r="AJ1602" s="289"/>
      <c r="AK1602" s="287">
        <f>SUM(AK1603:AK1609)</f>
        <v>311.88739999999996</v>
      </c>
      <c r="AL1602" s="288"/>
      <c r="AM1602" s="289"/>
      <c r="AN1602" s="287">
        <f>SUM(AN1603:AN1609)</f>
        <v>320.69319999999993</v>
      </c>
      <c r="AO1602" s="288"/>
      <c r="AP1602" s="289"/>
      <c r="AQ1602" s="287">
        <f>SUM(AQ1603:AQ1609)</f>
        <v>324.20513999999997</v>
      </c>
      <c r="AR1602" s="288"/>
      <c r="AS1602" s="289"/>
      <c r="AT1602" s="287">
        <f>SUM(AT1603:AT1609)</f>
        <v>3747.3834399999996</v>
      </c>
      <c r="AU1602" s="288"/>
      <c r="AV1602" s="290"/>
      <c r="AW1602" s="285"/>
      <c r="AX1602" s="295"/>
      <c r="AY1602" s="436">
        <v>3791.4182169999999</v>
      </c>
      <c r="AZ1602" s="357"/>
      <c r="BA1602"/>
      <c r="BB1602"/>
      <c r="BC1602"/>
    </row>
    <row r="1603" spans="1:55" s="24" customFormat="1">
      <c r="A1603" s="1048"/>
      <c r="B1603" s="1048"/>
      <c r="C1603" s="1048"/>
      <c r="D1603" s="1035">
        <v>357140</v>
      </c>
      <c r="E1603" s="1035"/>
      <c r="F1603" s="1035"/>
      <c r="G1603" s="1110">
        <v>357140</v>
      </c>
      <c r="H1603" s="145" t="s">
        <v>66</v>
      </c>
      <c r="I1603" s="518" t="s">
        <v>365</v>
      </c>
      <c r="J1603" s="294">
        <v>168</v>
      </c>
      <c r="K1603" s="288"/>
      <c r="L1603" s="289"/>
      <c r="M1603" s="294">
        <v>150</v>
      </c>
      <c r="N1603" s="288"/>
      <c r="O1603" s="289"/>
      <c r="P1603" s="294">
        <v>164</v>
      </c>
      <c r="Q1603" s="288"/>
      <c r="R1603" s="289"/>
      <c r="S1603" s="294">
        <v>158</v>
      </c>
      <c r="T1603" s="288"/>
      <c r="U1603" s="289"/>
      <c r="V1603" s="294">
        <v>152</v>
      </c>
      <c r="W1603" s="288"/>
      <c r="X1603" s="289"/>
      <c r="Y1603" s="294">
        <v>142</v>
      </c>
      <c r="Z1603" s="288"/>
      <c r="AA1603" s="289"/>
      <c r="AB1603" s="294">
        <v>144</v>
      </c>
      <c r="AC1603" s="288"/>
      <c r="AD1603" s="289"/>
      <c r="AE1603" s="294">
        <v>146</v>
      </c>
      <c r="AF1603" s="288"/>
      <c r="AG1603" s="289"/>
      <c r="AH1603" s="294">
        <v>149</v>
      </c>
      <c r="AI1603" s="288"/>
      <c r="AJ1603" s="289"/>
      <c r="AK1603" s="294">
        <v>154</v>
      </c>
      <c r="AL1603" s="288"/>
      <c r="AM1603" s="289"/>
      <c r="AN1603" s="294">
        <v>157</v>
      </c>
      <c r="AO1603" s="288"/>
      <c r="AP1603" s="289"/>
      <c r="AQ1603" s="294">
        <v>159</v>
      </c>
      <c r="AR1603" s="288"/>
      <c r="AS1603" s="289"/>
      <c r="AT1603" s="294">
        <f t="shared" si="63"/>
        <v>1843</v>
      </c>
      <c r="AU1603" s="288"/>
      <c r="AV1603" s="290"/>
      <c r="AW1603" s="285"/>
      <c r="AX1603" s="295"/>
      <c r="AY1603" s="313"/>
      <c r="AZ1603" s="357"/>
      <c r="BA1603"/>
      <c r="BB1603"/>
      <c r="BC1603"/>
    </row>
    <row r="1604" spans="1:55" s="24" customFormat="1">
      <c r="A1604" s="1048"/>
      <c r="B1604" s="1048"/>
      <c r="C1604" s="1048"/>
      <c r="D1604" s="1035">
        <v>777004</v>
      </c>
      <c r="E1604" s="1035"/>
      <c r="F1604" s="1035"/>
      <c r="G1604" s="1110">
        <v>777004</v>
      </c>
      <c r="H1604" s="145" t="s">
        <v>1457</v>
      </c>
      <c r="I1604" s="518" t="s">
        <v>365</v>
      </c>
      <c r="J1604" s="294">
        <v>153.5616</v>
      </c>
      <c r="K1604" s="288"/>
      <c r="L1604" s="289"/>
      <c r="M1604" s="294">
        <v>133.74719999999999</v>
      </c>
      <c r="N1604" s="288"/>
      <c r="O1604" s="289"/>
      <c r="P1604" s="294">
        <v>153.5616</v>
      </c>
      <c r="Q1604" s="288"/>
      <c r="R1604" s="289"/>
      <c r="S1604" s="294">
        <v>138</v>
      </c>
      <c r="T1604" s="288"/>
      <c r="U1604" s="289"/>
      <c r="V1604" s="294">
        <v>136.19999999999999</v>
      </c>
      <c r="W1604" s="288"/>
      <c r="X1604" s="289"/>
      <c r="Y1604" s="294">
        <v>144</v>
      </c>
      <c r="Z1604" s="288"/>
      <c r="AA1604" s="289"/>
      <c r="AB1604" s="294">
        <v>127.968</v>
      </c>
      <c r="AC1604" s="288"/>
      <c r="AD1604" s="289"/>
      <c r="AE1604" s="294">
        <v>144</v>
      </c>
      <c r="AF1604" s="288"/>
      <c r="AG1604" s="289"/>
      <c r="AH1604" s="294">
        <v>134.4</v>
      </c>
      <c r="AI1604" s="288"/>
      <c r="AJ1604" s="289"/>
      <c r="AK1604" s="294">
        <v>139.19999999999999</v>
      </c>
      <c r="AL1604" s="288"/>
      <c r="AM1604" s="289"/>
      <c r="AN1604" s="294">
        <v>143.65</v>
      </c>
      <c r="AO1604" s="288"/>
      <c r="AP1604" s="289"/>
      <c r="AQ1604" s="294">
        <v>143.65</v>
      </c>
      <c r="AR1604" s="288"/>
      <c r="AS1604" s="289"/>
      <c r="AT1604" s="294">
        <f t="shared" si="63"/>
        <v>1691.9384000000002</v>
      </c>
      <c r="AU1604" s="288"/>
      <c r="AV1604" s="290"/>
      <c r="AW1604" s="285"/>
      <c r="AX1604" s="295"/>
      <c r="AY1604" s="437">
        <v>1661.39</v>
      </c>
      <c r="AZ1604" s="357"/>
      <c r="BA1604"/>
      <c r="BB1604"/>
      <c r="BC1604"/>
    </row>
    <row r="1605" spans="1:55" s="24" customFormat="1">
      <c r="A1605" s="1048"/>
      <c r="B1605" s="1048"/>
      <c r="C1605" s="1048"/>
      <c r="D1605" s="1035">
        <v>357163</v>
      </c>
      <c r="E1605" s="1035"/>
      <c r="F1605" s="1035"/>
      <c r="G1605" s="1110">
        <v>357163</v>
      </c>
      <c r="H1605" s="145" t="s">
        <v>510</v>
      </c>
      <c r="I1605" s="518" t="s">
        <v>365</v>
      </c>
      <c r="J1605" s="294">
        <v>1.7450000000000001</v>
      </c>
      <c r="K1605" s="288"/>
      <c r="L1605" s="289"/>
      <c r="M1605" s="294">
        <v>1.234</v>
      </c>
      <c r="N1605" s="288"/>
      <c r="O1605" s="289"/>
      <c r="P1605" s="294">
        <v>1.052</v>
      </c>
      <c r="Q1605" s="288"/>
      <c r="R1605" s="289"/>
      <c r="S1605" s="294">
        <v>0.69099999999999995</v>
      </c>
      <c r="T1605" s="288"/>
      <c r="U1605" s="289"/>
      <c r="V1605" s="294">
        <v>0.437</v>
      </c>
      <c r="W1605" s="288"/>
      <c r="X1605" s="289"/>
      <c r="Y1605" s="294">
        <v>0</v>
      </c>
      <c r="Z1605" s="288"/>
      <c r="AA1605" s="289"/>
      <c r="AB1605" s="294">
        <v>0</v>
      </c>
      <c r="AC1605" s="288"/>
      <c r="AD1605" s="289"/>
      <c r="AE1605" s="294">
        <v>0</v>
      </c>
      <c r="AF1605" s="288"/>
      <c r="AG1605" s="289"/>
      <c r="AH1605" s="294">
        <v>0.124</v>
      </c>
      <c r="AI1605" s="288"/>
      <c r="AJ1605" s="289"/>
      <c r="AK1605" s="294">
        <v>0.59699999999999998</v>
      </c>
      <c r="AL1605" s="288"/>
      <c r="AM1605" s="289"/>
      <c r="AN1605" s="294">
        <v>0.97599999999999998</v>
      </c>
      <c r="AO1605" s="288"/>
      <c r="AP1605" s="289"/>
      <c r="AQ1605" s="294">
        <v>1.50444</v>
      </c>
      <c r="AR1605" s="288"/>
      <c r="AS1605" s="289"/>
      <c r="AT1605" s="294">
        <f t="shared" si="63"/>
        <v>8.3604400000000005</v>
      </c>
      <c r="AU1605" s="288"/>
      <c r="AV1605" s="290"/>
      <c r="AW1605" s="285"/>
      <c r="AX1605" s="295"/>
      <c r="AY1605" s="313"/>
      <c r="AZ1605" s="357"/>
      <c r="BA1605"/>
      <c r="BB1605"/>
      <c r="BC1605"/>
    </row>
    <row r="1606" spans="1:55" s="24" customFormat="1">
      <c r="A1606" s="1048"/>
      <c r="B1606" s="1048"/>
      <c r="C1606" s="1048"/>
      <c r="D1606" s="1035">
        <v>357136</v>
      </c>
      <c r="E1606" s="1035"/>
      <c r="F1606" s="1035"/>
      <c r="G1606" s="1110">
        <v>357136</v>
      </c>
      <c r="H1606" s="145" t="s">
        <v>1458</v>
      </c>
      <c r="I1606" s="518" t="s">
        <v>365</v>
      </c>
      <c r="J1606" s="294">
        <v>6.4986999999999995</v>
      </c>
      <c r="K1606" s="288"/>
      <c r="L1606" s="289"/>
      <c r="M1606" s="294">
        <v>5.6051000000000002</v>
      </c>
      <c r="N1606" s="288"/>
      <c r="O1606" s="289"/>
      <c r="P1606" s="294">
        <v>5.2308999999999992</v>
      </c>
      <c r="Q1606" s="288"/>
      <c r="R1606" s="289"/>
      <c r="S1606" s="294">
        <v>4.6588000000000003</v>
      </c>
      <c r="T1606" s="288"/>
      <c r="U1606" s="289"/>
      <c r="V1606" s="294">
        <v>4.1195000000000004</v>
      </c>
      <c r="W1606" s="288"/>
      <c r="X1606" s="289"/>
      <c r="Y1606" s="294">
        <v>3.4815</v>
      </c>
      <c r="Z1606" s="288"/>
      <c r="AA1606" s="289"/>
      <c r="AB1606" s="294">
        <v>3.9934000000000003</v>
      </c>
      <c r="AC1606" s="288"/>
      <c r="AD1606" s="289"/>
      <c r="AE1606" s="294">
        <v>4.1811000000000007</v>
      </c>
      <c r="AF1606" s="288"/>
      <c r="AG1606" s="289"/>
      <c r="AH1606" s="294">
        <v>4.2753000000000005</v>
      </c>
      <c r="AI1606" s="288"/>
      <c r="AJ1606" s="289"/>
      <c r="AK1606" s="294">
        <v>6.1863999999999999</v>
      </c>
      <c r="AL1606" s="288"/>
      <c r="AM1606" s="289"/>
      <c r="AN1606" s="294">
        <v>7.5472000000000001</v>
      </c>
      <c r="AO1606" s="288"/>
      <c r="AP1606" s="289"/>
      <c r="AQ1606" s="294">
        <v>8.1466999999999992</v>
      </c>
      <c r="AR1606" s="288"/>
      <c r="AS1606" s="289"/>
      <c r="AT1606" s="294">
        <f t="shared" si="63"/>
        <v>63.924599999999998</v>
      </c>
      <c r="AU1606" s="288"/>
      <c r="AV1606" s="290"/>
      <c r="AW1606" s="285"/>
      <c r="AX1606" s="295"/>
      <c r="AY1606" s="313"/>
      <c r="AZ1606" s="357"/>
      <c r="BA1606"/>
      <c r="BB1606"/>
      <c r="BC1606"/>
    </row>
    <row r="1607" spans="1:55" s="24" customFormat="1">
      <c r="A1607" s="1048"/>
      <c r="B1607" s="1048"/>
      <c r="C1607" s="1048"/>
      <c r="D1607" s="1035">
        <v>350041</v>
      </c>
      <c r="E1607" s="1035"/>
      <c r="F1607" s="1035"/>
      <c r="G1607" s="1110">
        <v>350041</v>
      </c>
      <c r="H1607" s="145" t="s">
        <v>1459</v>
      </c>
      <c r="I1607" s="518" t="s">
        <v>365</v>
      </c>
      <c r="J1607" s="294">
        <v>11.904</v>
      </c>
      <c r="K1607" s="288"/>
      <c r="L1607" s="289"/>
      <c r="M1607" s="294">
        <v>10.752000000000001</v>
      </c>
      <c r="N1607" s="288"/>
      <c r="O1607" s="289"/>
      <c r="P1607" s="294">
        <v>11.904</v>
      </c>
      <c r="Q1607" s="288"/>
      <c r="R1607" s="289"/>
      <c r="S1607" s="294">
        <v>11.52</v>
      </c>
      <c r="T1607" s="288"/>
      <c r="U1607" s="289"/>
      <c r="V1607" s="294">
        <v>11.904</v>
      </c>
      <c r="W1607" s="288"/>
      <c r="X1607" s="289"/>
      <c r="Y1607" s="294">
        <v>11.52</v>
      </c>
      <c r="Z1607" s="288"/>
      <c r="AA1607" s="289"/>
      <c r="AB1607" s="294">
        <v>11.904</v>
      </c>
      <c r="AC1607" s="288"/>
      <c r="AD1607" s="289"/>
      <c r="AE1607" s="294">
        <v>11.904</v>
      </c>
      <c r="AF1607" s="288"/>
      <c r="AG1607" s="289"/>
      <c r="AH1607" s="294">
        <v>11.52</v>
      </c>
      <c r="AI1607" s="288"/>
      <c r="AJ1607" s="289"/>
      <c r="AK1607" s="294">
        <v>11.904</v>
      </c>
      <c r="AL1607" s="288"/>
      <c r="AM1607" s="289"/>
      <c r="AN1607" s="294">
        <v>11.52</v>
      </c>
      <c r="AO1607" s="288"/>
      <c r="AP1607" s="289"/>
      <c r="AQ1607" s="294">
        <v>11.904</v>
      </c>
      <c r="AR1607" s="288"/>
      <c r="AS1607" s="289"/>
      <c r="AT1607" s="294">
        <f t="shared" si="63"/>
        <v>140.15999999999997</v>
      </c>
      <c r="AU1607" s="288"/>
      <c r="AV1607" s="290"/>
      <c r="AW1607" s="285"/>
      <c r="AX1607" s="295"/>
      <c r="AY1607" s="313"/>
      <c r="AZ1607" s="357"/>
      <c r="BA1607"/>
      <c r="BB1607"/>
      <c r="BC1607"/>
    </row>
    <row r="1608" spans="1:55" s="24" customFormat="1">
      <c r="A1608" s="1048"/>
      <c r="B1608" s="1048"/>
      <c r="C1608" s="1048"/>
      <c r="D1608" s="1035">
        <v>350013</v>
      </c>
      <c r="E1608" s="1035"/>
      <c r="F1608" s="1035"/>
      <c r="G1608" s="1110">
        <v>350013</v>
      </c>
      <c r="H1608" s="145" t="s">
        <v>1460</v>
      </c>
      <c r="I1608" s="518" t="s">
        <v>365</v>
      </c>
      <c r="J1608" s="294">
        <v>0</v>
      </c>
      <c r="K1608" s="288"/>
      <c r="L1608" s="289"/>
      <c r="M1608" s="294">
        <v>0</v>
      </c>
      <c r="N1608" s="288"/>
      <c r="O1608" s="289"/>
      <c r="P1608" s="294">
        <v>0</v>
      </c>
      <c r="Q1608" s="288"/>
      <c r="R1608" s="289"/>
      <c r="S1608" s="294">
        <v>0</v>
      </c>
      <c r="T1608" s="288"/>
      <c r="U1608" s="289"/>
      <c r="V1608" s="294">
        <v>0</v>
      </c>
      <c r="W1608" s="288"/>
      <c r="X1608" s="289"/>
      <c r="Y1608" s="294">
        <v>0</v>
      </c>
      <c r="Z1608" s="288"/>
      <c r="AA1608" s="289"/>
      <c r="AB1608" s="294">
        <v>0</v>
      </c>
      <c r="AC1608" s="288"/>
      <c r="AD1608" s="289"/>
      <c r="AE1608" s="294">
        <v>0</v>
      </c>
      <c r="AF1608" s="288"/>
      <c r="AG1608" s="289"/>
      <c r="AH1608" s="294">
        <v>0</v>
      </c>
      <c r="AI1608" s="288"/>
      <c r="AJ1608" s="289"/>
      <c r="AK1608" s="294">
        <v>0</v>
      </c>
      <c r="AL1608" s="288"/>
      <c r="AM1608" s="289"/>
      <c r="AN1608" s="294">
        <v>0</v>
      </c>
      <c r="AO1608" s="288"/>
      <c r="AP1608" s="289"/>
      <c r="AQ1608" s="294">
        <v>0</v>
      </c>
      <c r="AR1608" s="288"/>
      <c r="AS1608" s="289"/>
      <c r="AT1608" s="294">
        <f t="shared" si="63"/>
        <v>0</v>
      </c>
      <c r="AU1608" s="288"/>
      <c r="AV1608" s="290"/>
      <c r="AW1608" s="285"/>
      <c r="AX1608" s="295"/>
      <c r="AY1608" s="313"/>
      <c r="AZ1608" s="357"/>
      <c r="BA1608"/>
      <c r="BB1608"/>
      <c r="BC1608"/>
    </row>
    <row r="1609" spans="1:55" s="24" customFormat="1">
      <c r="A1609" s="1048"/>
      <c r="B1609" s="1048"/>
      <c r="C1609" s="1048"/>
      <c r="D1609" s="1035">
        <v>350014</v>
      </c>
      <c r="E1609" s="1035"/>
      <c r="F1609" s="1035"/>
      <c r="G1609" s="1110">
        <v>350014</v>
      </c>
      <c r="H1609" s="145" t="s">
        <v>1461</v>
      </c>
      <c r="I1609" s="518" t="s">
        <v>365</v>
      </c>
      <c r="J1609" s="294">
        <v>0</v>
      </c>
      <c r="K1609" s="288"/>
      <c r="L1609" s="289"/>
      <c r="M1609" s="293">
        <v>0</v>
      </c>
      <c r="N1609" s="288"/>
      <c r="O1609" s="289"/>
      <c r="P1609" s="293">
        <v>0</v>
      </c>
      <c r="Q1609" s="288"/>
      <c r="R1609" s="289"/>
      <c r="S1609" s="293">
        <v>0</v>
      </c>
      <c r="T1609" s="288"/>
      <c r="U1609" s="289"/>
      <c r="V1609" s="293">
        <v>0</v>
      </c>
      <c r="W1609" s="288"/>
      <c r="X1609" s="289"/>
      <c r="Y1609" s="293">
        <v>0</v>
      </c>
      <c r="Z1609" s="288"/>
      <c r="AA1609" s="289"/>
      <c r="AB1609" s="293">
        <v>0</v>
      </c>
      <c r="AC1609" s="288"/>
      <c r="AD1609" s="289"/>
      <c r="AE1609" s="293">
        <v>0</v>
      </c>
      <c r="AF1609" s="288"/>
      <c r="AG1609" s="289"/>
      <c r="AH1609" s="293">
        <v>0</v>
      </c>
      <c r="AI1609" s="288"/>
      <c r="AJ1609" s="289"/>
      <c r="AK1609" s="293">
        <v>0</v>
      </c>
      <c r="AL1609" s="288"/>
      <c r="AM1609" s="289"/>
      <c r="AN1609" s="293">
        <v>0</v>
      </c>
      <c r="AO1609" s="288"/>
      <c r="AP1609" s="289"/>
      <c r="AQ1609" s="293">
        <v>0</v>
      </c>
      <c r="AR1609" s="307"/>
      <c r="AS1609" s="308"/>
      <c r="AT1609" s="294">
        <f t="shared" si="63"/>
        <v>0</v>
      </c>
      <c r="AU1609" s="307"/>
      <c r="AV1609" s="309"/>
      <c r="AW1609" s="226"/>
      <c r="AX1609" s="292"/>
      <c r="AY1609" s="311"/>
      <c r="AZ1609" s="357"/>
      <c r="BA1609"/>
      <c r="BB1609"/>
      <c r="BC1609"/>
    </row>
    <row r="1610" spans="1:55" s="24" customFormat="1" ht="18.75">
      <c r="A1610" s="179"/>
      <c r="B1610" s="179"/>
      <c r="C1610" s="179"/>
      <c r="D1610" s="181">
        <v>357300</v>
      </c>
      <c r="E1610" s="181"/>
      <c r="F1610" s="181"/>
      <c r="G1610" s="181">
        <v>357300</v>
      </c>
      <c r="H1610" s="474" t="s">
        <v>1642</v>
      </c>
      <c r="I1610" s="474"/>
      <c r="J1610" s="277">
        <f>SUM(J1611:J1612)</f>
        <v>1449.6138998983017</v>
      </c>
      <c r="K1610" s="275">
        <f>L1610-J1610</f>
        <v>240.38610010169828</v>
      </c>
      <c r="L1610" s="276">
        <f>Потребление!D90</f>
        <v>1690</v>
      </c>
      <c r="M1610" s="277">
        <f>SUM(M1611:M1612)</f>
        <v>1341.9121751254884</v>
      </c>
      <c r="N1610" s="275">
        <f>O1610-M1610</f>
        <v>251.08782487451163</v>
      </c>
      <c r="O1610" s="276">
        <f>Потребление!E90</f>
        <v>1593</v>
      </c>
      <c r="P1610" s="277">
        <f>SUM(P1611:P1612)</f>
        <v>1332.6503425390622</v>
      </c>
      <c r="Q1610" s="275">
        <f>R1610-P1610</f>
        <v>202.92865746093776</v>
      </c>
      <c r="R1610" s="276">
        <f>Потребление!F90</f>
        <v>1535.579</v>
      </c>
      <c r="S1610" s="277">
        <f>SUM(S1611:S1612)</f>
        <v>1170.993610770508</v>
      </c>
      <c r="T1610" s="275">
        <f>U1610-S1610</f>
        <v>165.10638922949192</v>
      </c>
      <c r="U1610" s="276">
        <f>Потребление!G90</f>
        <v>1336.1</v>
      </c>
      <c r="V1610" s="277">
        <f>SUM(V1611:V1612)</f>
        <v>982.33978085937497</v>
      </c>
      <c r="W1610" s="275">
        <f>X1610-V1610</f>
        <v>245.66021914062503</v>
      </c>
      <c r="X1610" s="276">
        <f>Потребление!H90</f>
        <v>1228</v>
      </c>
      <c r="Y1610" s="277">
        <f>SUM(Y1611:Y1612)</f>
        <v>843.93867416015632</v>
      </c>
      <c r="Z1610" s="275">
        <f>AA1610-Y1610</f>
        <v>232.06132583984368</v>
      </c>
      <c r="AA1610" s="276">
        <f>Потребление!I90</f>
        <v>1076</v>
      </c>
      <c r="AB1610" s="277">
        <f>SUM(AB1611:AB1612)</f>
        <v>760.60331257226562</v>
      </c>
      <c r="AC1610" s="275">
        <f>AD1610-AB1610</f>
        <v>323.89668742773438</v>
      </c>
      <c r="AD1610" s="276">
        <f>Потребление!J90</f>
        <v>1084.5</v>
      </c>
      <c r="AE1610" s="277">
        <f>SUM(AE1611:AE1612)</f>
        <v>714.47464499414059</v>
      </c>
      <c r="AF1610" s="275">
        <f>AG1610-AE1610</f>
        <v>390.52535500585941</v>
      </c>
      <c r="AG1610" s="276">
        <f>Потребление!K90</f>
        <v>1105</v>
      </c>
      <c r="AH1610" s="277">
        <f>SUM(AH1611:AH1612)</f>
        <v>848.46096433593743</v>
      </c>
      <c r="AI1610" s="275">
        <f>AJ1610-AH1610</f>
        <v>352.53903566406257</v>
      </c>
      <c r="AJ1610" s="276">
        <f>Потребление!L90</f>
        <v>1201</v>
      </c>
      <c r="AK1610" s="277">
        <f>SUM(AK1611:AK1612)</f>
        <v>1039.2026326474609</v>
      </c>
      <c r="AL1610" s="275">
        <f>AM1610-AK1610</f>
        <v>377.79736735253914</v>
      </c>
      <c r="AM1610" s="276">
        <f>Потребление!M90</f>
        <v>1417</v>
      </c>
      <c r="AN1610" s="277">
        <f>SUM(AN1611:AN1612)</f>
        <v>1249.8366666669922</v>
      </c>
      <c r="AO1610" s="275">
        <f>AP1610-AN1610</f>
        <v>309.16333333300781</v>
      </c>
      <c r="AP1610" s="276">
        <f>Потребление!N90</f>
        <v>1559</v>
      </c>
      <c r="AQ1610" s="277">
        <f>SUM(AQ1611:AQ1612)</f>
        <v>1500.3503875610352</v>
      </c>
      <c r="AR1610" s="275">
        <f>AS1610-AQ1610</f>
        <v>226.64961243896482</v>
      </c>
      <c r="AS1610" s="276">
        <f>Потребление!O90</f>
        <v>1727</v>
      </c>
      <c r="AT1610" s="277">
        <f>SUM(AT1611:AT1612)</f>
        <v>13234.37709213072</v>
      </c>
      <c r="AU1610" s="275">
        <f>AV1610-AT1610</f>
        <v>3317.8019078692796</v>
      </c>
      <c r="AV1610" s="278">
        <f>L1610+O1610+R1610+U1610+X1610+AA1610+AD1610+AG1610+AJ1610+AM1610+AP1610+AS1610</f>
        <v>16552.179</v>
      </c>
      <c r="AW1610" s="279"/>
      <c r="AX1610" s="1067">
        <v>16536.462406999999</v>
      </c>
      <c r="AY1610" s="298">
        <f>SUM(AY1611:AY1612)</f>
        <v>13006.637659</v>
      </c>
      <c r="AZ1610" s="357"/>
      <c r="BA1610"/>
      <c r="BB1610"/>
      <c r="BC1610"/>
    </row>
    <row r="1611" spans="1:55" s="24" customFormat="1">
      <c r="A1611" s="179"/>
      <c r="B1611" s="179"/>
      <c r="C1611" s="179"/>
      <c r="D1611" s="181"/>
      <c r="E1611" s="181"/>
      <c r="F1611" s="181"/>
      <c r="G1611" s="181"/>
      <c r="H1611" s="126" t="s">
        <v>56</v>
      </c>
      <c r="I1611" s="126"/>
      <c r="J1611" s="223">
        <f>SUM(J1613:J1617)</f>
        <v>1373.9447333333603</v>
      </c>
      <c r="K1611" s="271"/>
      <c r="L1611" s="224"/>
      <c r="M1611" s="223">
        <f>SUM(M1613:M1617)</f>
        <v>1270.7672090000001</v>
      </c>
      <c r="N1611" s="271"/>
      <c r="O1611" s="224"/>
      <c r="P1611" s="223">
        <f>SUM(P1613:P1617)</f>
        <v>1246.1702399999997</v>
      </c>
      <c r="Q1611" s="271"/>
      <c r="R1611" s="224"/>
      <c r="S1611" s="223">
        <f>SUM(S1613:S1617)</f>
        <v>1016.1472210000001</v>
      </c>
      <c r="T1611" s="271"/>
      <c r="U1611" s="224"/>
      <c r="V1611" s="223">
        <f>SUM(V1613:V1617)</f>
        <v>707.65252499999997</v>
      </c>
      <c r="W1611" s="271"/>
      <c r="X1611" s="224"/>
      <c r="Y1611" s="223">
        <f>SUM(Y1613:Y1617)</f>
        <v>557.84291000000007</v>
      </c>
      <c r="Z1611" s="271"/>
      <c r="AA1611" s="224"/>
      <c r="AB1611" s="223">
        <f>SUM(AB1613:AB1617)</f>
        <v>495.195201</v>
      </c>
      <c r="AC1611" s="271"/>
      <c r="AD1611" s="224"/>
      <c r="AE1611" s="223">
        <f>SUM(AE1613:AE1617)</f>
        <v>500.87830100000002</v>
      </c>
      <c r="AF1611" s="271"/>
      <c r="AG1611" s="224"/>
      <c r="AH1611" s="223">
        <f>SUM(AH1613:AH1617)</f>
        <v>684.86489499999993</v>
      </c>
      <c r="AI1611" s="271"/>
      <c r="AJ1611" s="224"/>
      <c r="AK1611" s="223">
        <f>SUM(AK1613:AK1617)</f>
        <v>887.70801899999992</v>
      </c>
      <c r="AL1611" s="271"/>
      <c r="AM1611" s="224"/>
      <c r="AN1611" s="223">
        <f>SUM(AN1613:AN1617)</f>
        <v>1138.777783</v>
      </c>
      <c r="AO1611" s="271"/>
      <c r="AP1611" s="224"/>
      <c r="AQ1611" s="223">
        <f>SUM(AQ1613:AQ1617)</f>
        <v>1426.84095</v>
      </c>
      <c r="AR1611" s="271"/>
      <c r="AS1611" s="224"/>
      <c r="AT1611" s="223">
        <f>SUM(AT1613:AT1617)</f>
        <v>11306.789987333357</v>
      </c>
      <c r="AU1611" s="271"/>
      <c r="AV1611" s="229"/>
      <c r="AW1611" s="226"/>
      <c r="AX1611" s="230"/>
      <c r="AY1611" s="231">
        <f>SUM(AY1613:AY1617)</f>
        <v>10905.890804999999</v>
      </c>
      <c r="AZ1611" s="357"/>
      <c r="BA1611"/>
      <c r="BB1611"/>
      <c r="BC1611"/>
    </row>
    <row r="1612" spans="1:55" s="24" customFormat="1">
      <c r="A1612" s="179"/>
      <c r="B1612" s="179"/>
      <c r="C1612" s="179"/>
      <c r="D1612" s="181"/>
      <c r="E1612" s="181"/>
      <c r="F1612" s="181"/>
      <c r="G1612" s="181"/>
      <c r="H1612" s="126" t="s">
        <v>55</v>
      </c>
      <c r="I1612" s="126"/>
      <c r="J1612" s="223">
        <f>J1618</f>
        <v>75.669166564941406</v>
      </c>
      <c r="K1612" s="271"/>
      <c r="L1612" s="224"/>
      <c r="M1612" s="223">
        <f>M1618</f>
        <v>71.144966125488281</v>
      </c>
      <c r="N1612" s="271"/>
      <c r="O1612" s="224"/>
      <c r="P1612" s="223">
        <f>P1618</f>
        <v>86.4801025390625</v>
      </c>
      <c r="Q1612" s="271"/>
      <c r="R1612" s="224"/>
      <c r="S1612" s="223">
        <f>S1618</f>
        <v>154.84638977050781</v>
      </c>
      <c r="T1612" s="271"/>
      <c r="U1612" s="224"/>
      <c r="V1612" s="223">
        <f>V1618</f>
        <v>274.687255859375</v>
      </c>
      <c r="W1612" s="271"/>
      <c r="X1612" s="224"/>
      <c r="Y1612" s="223">
        <f>Y1618</f>
        <v>286.09576416015625</v>
      </c>
      <c r="Z1612" s="271"/>
      <c r="AA1612" s="224"/>
      <c r="AB1612" s="223">
        <f>AB1618</f>
        <v>265.40811157226563</v>
      </c>
      <c r="AC1612" s="271"/>
      <c r="AD1612" s="224"/>
      <c r="AE1612" s="223">
        <f>AE1618</f>
        <v>213.59634399414063</v>
      </c>
      <c r="AF1612" s="271"/>
      <c r="AG1612" s="224"/>
      <c r="AH1612" s="223">
        <f>AH1618</f>
        <v>163.5960693359375</v>
      </c>
      <c r="AI1612" s="271"/>
      <c r="AJ1612" s="224"/>
      <c r="AK1612" s="223">
        <f>AK1618</f>
        <v>151.49461364746094</v>
      </c>
      <c r="AL1612" s="271"/>
      <c r="AM1612" s="224"/>
      <c r="AN1612" s="223">
        <f>AN1618</f>
        <v>111.05888366699219</v>
      </c>
      <c r="AO1612" s="271"/>
      <c r="AP1612" s="224"/>
      <c r="AQ1612" s="223">
        <f>AQ1618</f>
        <v>73.509437561035156</v>
      </c>
      <c r="AR1612" s="271"/>
      <c r="AS1612" s="224"/>
      <c r="AT1612" s="223">
        <f>AT1618</f>
        <v>1927.5871047973633</v>
      </c>
      <c r="AU1612" s="271"/>
      <c r="AV1612" s="229"/>
      <c r="AW1612" s="226"/>
      <c r="AX1612" s="230"/>
      <c r="AY1612" s="231">
        <f>AY1618</f>
        <v>2100.746854</v>
      </c>
      <c r="AZ1612" s="357"/>
      <c r="BA1612"/>
      <c r="BB1612"/>
      <c r="BC1612"/>
    </row>
    <row r="1613" spans="1:55" s="110" customFormat="1">
      <c r="A1613" s="179"/>
      <c r="B1613" s="179"/>
      <c r="C1613" s="179"/>
      <c r="D1613" s="181">
        <v>357312</v>
      </c>
      <c r="E1613" s="181"/>
      <c r="F1613" s="181"/>
      <c r="G1613" s="1110">
        <v>357312</v>
      </c>
      <c r="H1613" s="122" t="s">
        <v>1047</v>
      </c>
      <c r="I1613" s="516" t="s">
        <v>364</v>
      </c>
      <c r="J1613" s="244">
        <v>167.04813933336033</v>
      </c>
      <c r="K1613" s="246"/>
      <c r="L1613" s="282"/>
      <c r="M1613" s="244">
        <v>137.11199999999999</v>
      </c>
      <c r="N1613" s="246"/>
      <c r="O1613" s="282"/>
      <c r="P1613" s="244">
        <v>119.04</v>
      </c>
      <c r="Q1613" s="246"/>
      <c r="R1613" s="282"/>
      <c r="S1613" s="345">
        <f>91.44+15</f>
        <v>106.44</v>
      </c>
      <c r="T1613" s="246"/>
      <c r="U1613" s="282"/>
      <c r="V1613" s="345">
        <v>71.424000000000007</v>
      </c>
      <c r="W1613" s="246"/>
      <c r="X1613" s="282"/>
      <c r="Y1613" s="244">
        <v>44.64</v>
      </c>
      <c r="Z1613" s="246"/>
      <c r="AA1613" s="282"/>
      <c r="AB1613" s="244">
        <v>26.783999999999999</v>
      </c>
      <c r="AC1613" s="246"/>
      <c r="AD1613" s="282"/>
      <c r="AE1613" s="345">
        <f>11.16+20</f>
        <v>31.16</v>
      </c>
      <c r="AF1613" s="246"/>
      <c r="AG1613" s="282"/>
      <c r="AH1613" s="244">
        <v>33.119999999999997</v>
      </c>
      <c r="AI1613" s="246"/>
      <c r="AJ1613" s="282"/>
      <c r="AK1613" s="244">
        <v>93</v>
      </c>
      <c r="AL1613" s="246"/>
      <c r="AM1613" s="282"/>
      <c r="AN1613" s="244">
        <v>147.6</v>
      </c>
      <c r="AO1613" s="246"/>
      <c r="AP1613" s="282"/>
      <c r="AQ1613" s="244">
        <v>204.6</v>
      </c>
      <c r="AR1613" s="246"/>
      <c r="AS1613" s="282"/>
      <c r="AT1613" s="244">
        <f t="shared" ref="AT1613:AT1618" si="64">J1613+M1613+P1613+S1613+V1613+Y1613+AB1613+AE1613+AH1613+AK1613+AN1613+AQ1613</f>
        <v>1181.9681393333603</v>
      </c>
      <c r="AU1613" s="246"/>
      <c r="AV1613" s="336"/>
      <c r="AW1613" s="285"/>
      <c r="AX1613" s="249"/>
      <c r="AY1613" s="438">
        <v>1133.8175650000001</v>
      </c>
      <c r="AZ1613" s="356"/>
      <c r="BA1613"/>
      <c r="BB1613"/>
      <c r="BC1613"/>
    </row>
    <row r="1614" spans="1:55" s="113" customFormat="1">
      <c r="A1614" s="179"/>
      <c r="B1614" s="179"/>
      <c r="C1614" s="179"/>
      <c r="D1614" s="181">
        <v>357311</v>
      </c>
      <c r="E1614" s="181"/>
      <c r="F1614" s="181"/>
      <c r="G1614" s="1110">
        <v>357311</v>
      </c>
      <c r="H1614" s="122" t="s">
        <v>1048</v>
      </c>
      <c r="I1614" s="516" t="s">
        <v>364</v>
      </c>
      <c r="J1614" s="244">
        <v>281.35599999999999</v>
      </c>
      <c r="K1614" s="246"/>
      <c r="L1614" s="282"/>
      <c r="M1614" s="345">
        <f>250.001+15</f>
        <v>265.00099999999998</v>
      </c>
      <c r="N1614" s="246"/>
      <c r="O1614" s="282"/>
      <c r="P1614" s="244">
        <v>274.76299999999998</v>
      </c>
      <c r="Q1614" s="246"/>
      <c r="R1614" s="282"/>
      <c r="S1614" s="345">
        <v>220.59399999999999</v>
      </c>
      <c r="T1614" s="246"/>
      <c r="U1614" s="282"/>
      <c r="V1614" s="345">
        <v>217.078</v>
      </c>
      <c r="W1614" s="246"/>
      <c r="X1614" s="282"/>
      <c r="Y1614" s="345">
        <f>60.271+15</f>
        <v>75.271000000000001</v>
      </c>
      <c r="Z1614" s="246"/>
      <c r="AA1614" s="282"/>
      <c r="AB1614" s="244">
        <v>74.415999999999997</v>
      </c>
      <c r="AC1614" s="246"/>
      <c r="AD1614" s="282"/>
      <c r="AE1614" s="244">
        <v>81.84</v>
      </c>
      <c r="AF1614" s="246"/>
      <c r="AG1614" s="282"/>
      <c r="AH1614" s="244">
        <v>178.53800000000001</v>
      </c>
      <c r="AI1614" s="246"/>
      <c r="AJ1614" s="282"/>
      <c r="AK1614" s="345">
        <f>226.569+10</f>
        <v>236.56899999999999</v>
      </c>
      <c r="AL1614" s="246"/>
      <c r="AM1614" s="282"/>
      <c r="AN1614" s="244">
        <v>274.05900000000003</v>
      </c>
      <c r="AO1614" s="246"/>
      <c r="AP1614" s="282"/>
      <c r="AQ1614" s="244">
        <v>305.93</v>
      </c>
      <c r="AR1614" s="246"/>
      <c r="AS1614" s="282"/>
      <c r="AT1614" s="244">
        <f t="shared" si="64"/>
        <v>2485.4149999999995</v>
      </c>
      <c r="AU1614" s="246"/>
      <c r="AV1614" s="336"/>
      <c r="AW1614" s="285"/>
      <c r="AX1614" s="249"/>
      <c r="AY1614" s="438">
        <v>2445.4163870000002</v>
      </c>
      <c r="AZ1614" s="355"/>
      <c r="BA1614"/>
      <c r="BB1614"/>
      <c r="BC1614"/>
    </row>
    <row r="1615" spans="1:55" s="113" customFormat="1">
      <c r="A1615" s="179"/>
      <c r="B1615" s="179"/>
      <c r="C1615" s="179"/>
      <c r="D1615" s="181">
        <v>357310</v>
      </c>
      <c r="E1615" s="181"/>
      <c r="F1615" s="181"/>
      <c r="G1615" s="1110">
        <v>357310</v>
      </c>
      <c r="H1615" s="122" t="s">
        <v>1049</v>
      </c>
      <c r="I1615" s="516" t="s">
        <v>364</v>
      </c>
      <c r="J1615" s="244">
        <v>223.94399999999999</v>
      </c>
      <c r="K1615" s="246"/>
      <c r="L1615" s="282"/>
      <c r="M1615" s="345">
        <f>179.592+20</f>
        <v>199.59200000000001</v>
      </c>
      <c r="N1615" s="246"/>
      <c r="O1615" s="282"/>
      <c r="P1615" s="244">
        <v>164.64500000000001</v>
      </c>
      <c r="Q1615" s="246"/>
      <c r="R1615" s="282"/>
      <c r="S1615" s="244">
        <v>120.2</v>
      </c>
      <c r="T1615" s="246"/>
      <c r="U1615" s="282"/>
      <c r="V1615" s="244">
        <v>76.185999999999993</v>
      </c>
      <c r="W1615" s="246"/>
      <c r="X1615" s="282"/>
      <c r="Y1615" s="345">
        <f>33.228+15</f>
        <v>48.228000000000002</v>
      </c>
      <c r="Z1615" s="246"/>
      <c r="AA1615" s="282"/>
      <c r="AB1615" s="244">
        <v>24.923999999999999</v>
      </c>
      <c r="AC1615" s="246"/>
      <c r="AD1615" s="282"/>
      <c r="AE1615" s="244">
        <v>19.344000000000001</v>
      </c>
      <c r="AF1615" s="246"/>
      <c r="AG1615" s="282"/>
      <c r="AH1615" s="244">
        <v>38.448</v>
      </c>
      <c r="AI1615" s="246"/>
      <c r="AJ1615" s="282"/>
      <c r="AK1615" s="244">
        <v>110.11199999999999</v>
      </c>
      <c r="AL1615" s="246"/>
      <c r="AM1615" s="282"/>
      <c r="AN1615" s="244">
        <v>172.08</v>
      </c>
      <c r="AO1615" s="246"/>
      <c r="AP1615" s="282"/>
      <c r="AQ1615" s="244">
        <v>245.81800000000001</v>
      </c>
      <c r="AR1615" s="246"/>
      <c r="AS1615" s="282"/>
      <c r="AT1615" s="244">
        <f t="shared" si="64"/>
        <v>1443.521</v>
      </c>
      <c r="AU1615" s="246"/>
      <c r="AV1615" s="336"/>
      <c r="AW1615" s="285"/>
      <c r="AX1615" s="249"/>
      <c r="AY1615" s="438">
        <v>1305.598587</v>
      </c>
      <c r="AZ1615" s="355"/>
      <c r="BA1615"/>
      <c r="BB1615"/>
      <c r="BC1615"/>
    </row>
    <row r="1616" spans="1:55" s="24" customFormat="1">
      <c r="A1616" s="179"/>
      <c r="B1616" s="179"/>
      <c r="C1616" s="179"/>
      <c r="D1616" s="181">
        <v>357313</v>
      </c>
      <c r="E1616" s="181"/>
      <c r="F1616" s="181"/>
      <c r="G1616" s="1110">
        <v>357313</v>
      </c>
      <c r="H1616" s="122" t="s">
        <v>1050</v>
      </c>
      <c r="I1616" s="516" t="s">
        <v>364</v>
      </c>
      <c r="J1616" s="244">
        <v>664.98159399999997</v>
      </c>
      <c r="K1616" s="246"/>
      <c r="L1616" s="282"/>
      <c r="M1616" s="244">
        <v>635.247209</v>
      </c>
      <c r="N1616" s="246"/>
      <c r="O1616" s="282"/>
      <c r="P1616" s="244">
        <v>650.00723999999991</v>
      </c>
      <c r="Q1616" s="246"/>
      <c r="R1616" s="282"/>
      <c r="S1616" s="244">
        <v>540.39822100000004</v>
      </c>
      <c r="T1616" s="246"/>
      <c r="U1616" s="282"/>
      <c r="V1616" s="244">
        <v>327.96452499999998</v>
      </c>
      <c r="W1616" s="246"/>
      <c r="X1616" s="282"/>
      <c r="Y1616" s="345">
        <f>369.70391+20</f>
        <v>389.70391000000001</v>
      </c>
      <c r="Z1616" s="246"/>
      <c r="AA1616" s="282"/>
      <c r="AB1616" s="244">
        <v>369.07120099999997</v>
      </c>
      <c r="AC1616" s="246"/>
      <c r="AD1616" s="282"/>
      <c r="AE1616" s="345">
        <f>328.534301+40</f>
        <v>368.53430100000003</v>
      </c>
      <c r="AF1616" s="246"/>
      <c r="AG1616" s="282"/>
      <c r="AH1616" s="244">
        <v>423.23889499999996</v>
      </c>
      <c r="AI1616" s="246"/>
      <c r="AJ1616" s="282"/>
      <c r="AK1616" s="345">
        <f>408.632019+20</f>
        <v>428.63201900000001</v>
      </c>
      <c r="AL1616" s="246"/>
      <c r="AM1616" s="282"/>
      <c r="AN1616" s="244">
        <v>512.32378300000005</v>
      </c>
      <c r="AO1616" s="246"/>
      <c r="AP1616" s="282"/>
      <c r="AQ1616" s="345">
        <f>605.77795+30</f>
        <v>635.77795000000003</v>
      </c>
      <c r="AR1616" s="246"/>
      <c r="AS1616" s="282"/>
      <c r="AT1616" s="244">
        <f t="shared" si="64"/>
        <v>5945.8808479999989</v>
      </c>
      <c r="AU1616" s="246"/>
      <c r="AV1616" s="336"/>
      <c r="AW1616" s="285"/>
      <c r="AX1616" s="249"/>
      <c r="AY1616" s="438">
        <v>5835.8808479999998</v>
      </c>
      <c r="AZ1616" s="357"/>
      <c r="BA1616"/>
      <c r="BB1616"/>
      <c r="BC1616"/>
    </row>
    <row r="1617" spans="1:55" s="24" customFormat="1">
      <c r="A1617" s="179"/>
      <c r="B1617" s="179"/>
      <c r="C1617" s="179"/>
      <c r="D1617" s="181">
        <v>357326</v>
      </c>
      <c r="E1617" s="181"/>
      <c r="F1617" s="181"/>
      <c r="G1617" s="1110">
        <v>357326</v>
      </c>
      <c r="H1617" s="122" t="s">
        <v>1051</v>
      </c>
      <c r="I1617" s="516" t="s">
        <v>364</v>
      </c>
      <c r="J1617" s="244">
        <v>36.615000000000002</v>
      </c>
      <c r="K1617" s="246"/>
      <c r="L1617" s="282"/>
      <c r="M1617" s="244">
        <v>33.814999999999998</v>
      </c>
      <c r="N1617" s="246"/>
      <c r="O1617" s="282"/>
      <c r="P1617" s="244">
        <v>37.715000000000003</v>
      </c>
      <c r="Q1617" s="246"/>
      <c r="R1617" s="282"/>
      <c r="S1617" s="244">
        <v>28.515000000000001</v>
      </c>
      <c r="T1617" s="246"/>
      <c r="U1617" s="282"/>
      <c r="V1617" s="244">
        <v>15</v>
      </c>
      <c r="W1617" s="246"/>
      <c r="X1617" s="282"/>
      <c r="Y1617" s="244">
        <v>0</v>
      </c>
      <c r="Z1617" s="246"/>
      <c r="AA1617" s="282"/>
      <c r="AB1617" s="244">
        <v>0</v>
      </c>
      <c r="AC1617" s="246"/>
      <c r="AD1617" s="282"/>
      <c r="AE1617" s="244">
        <v>0</v>
      </c>
      <c r="AF1617" s="246"/>
      <c r="AG1617" s="282"/>
      <c r="AH1617" s="244">
        <v>11.52</v>
      </c>
      <c r="AI1617" s="246"/>
      <c r="AJ1617" s="282"/>
      <c r="AK1617" s="244">
        <v>19.395</v>
      </c>
      <c r="AL1617" s="246"/>
      <c r="AM1617" s="282"/>
      <c r="AN1617" s="244">
        <v>32.715000000000003</v>
      </c>
      <c r="AO1617" s="246"/>
      <c r="AP1617" s="282"/>
      <c r="AQ1617" s="345">
        <v>34.715000000000003</v>
      </c>
      <c r="AR1617" s="246"/>
      <c r="AS1617" s="282"/>
      <c r="AT1617" s="244">
        <f t="shared" si="64"/>
        <v>250.00500000000005</v>
      </c>
      <c r="AU1617" s="246"/>
      <c r="AV1617" s="336"/>
      <c r="AW1617" s="285"/>
      <c r="AX1617" s="249"/>
      <c r="AY1617" s="438">
        <v>185.17741799999999</v>
      </c>
      <c r="AZ1617" s="357"/>
      <c r="BA1617"/>
      <c r="BB1617"/>
      <c r="BC1617"/>
    </row>
    <row r="1618" spans="1:55" s="24" customFormat="1">
      <c r="A1618" s="179"/>
      <c r="B1618" s="179"/>
      <c r="C1618" s="179"/>
      <c r="D1618" s="181">
        <v>357330</v>
      </c>
      <c r="E1618" s="181"/>
      <c r="F1618" s="181"/>
      <c r="G1618" s="1110">
        <v>357330</v>
      </c>
      <c r="H1618" s="122" t="s">
        <v>725</v>
      </c>
      <c r="I1618" s="516" t="s">
        <v>364</v>
      </c>
      <c r="J1618" s="824">
        <f>ГЭС!C187</f>
        <v>75.669166564941406</v>
      </c>
      <c r="K1618" s="521"/>
      <c r="L1618" s="522"/>
      <c r="M1618" s="638">
        <f>ГЭС!D187</f>
        <v>71.144966125488281</v>
      </c>
      <c r="N1618" s="521"/>
      <c r="O1618" s="522"/>
      <c r="P1618" s="638">
        <f>ГЭС!E187</f>
        <v>86.4801025390625</v>
      </c>
      <c r="Q1618" s="521"/>
      <c r="R1618" s="522"/>
      <c r="S1618" s="638">
        <f>ГЭС!G187</f>
        <v>154.84638977050781</v>
      </c>
      <c r="T1618" s="521"/>
      <c r="U1618" s="522"/>
      <c r="V1618" s="638">
        <f>ГЭС!H187</f>
        <v>274.687255859375</v>
      </c>
      <c r="W1618" s="521"/>
      <c r="X1618" s="522"/>
      <c r="Y1618" s="638">
        <f>ГЭС!I187</f>
        <v>286.09576416015625</v>
      </c>
      <c r="Z1618" s="521"/>
      <c r="AA1618" s="522"/>
      <c r="AB1618" s="638">
        <f>ГЭС!K187</f>
        <v>265.40811157226563</v>
      </c>
      <c r="AC1618" s="521"/>
      <c r="AD1618" s="522"/>
      <c r="AE1618" s="638">
        <f>ГЭС!L187</f>
        <v>213.59634399414063</v>
      </c>
      <c r="AF1618" s="521"/>
      <c r="AG1618" s="522"/>
      <c r="AH1618" s="638">
        <f>ГЭС!M187</f>
        <v>163.5960693359375</v>
      </c>
      <c r="AI1618" s="521"/>
      <c r="AJ1618" s="522"/>
      <c r="AK1618" s="638">
        <f>ГЭС!O187</f>
        <v>151.49461364746094</v>
      </c>
      <c r="AL1618" s="521"/>
      <c r="AM1618" s="522"/>
      <c r="AN1618" s="638">
        <f>ГЭС!P187</f>
        <v>111.05888366699219</v>
      </c>
      <c r="AO1618" s="521"/>
      <c r="AP1618" s="522"/>
      <c r="AQ1618" s="638">
        <f>ГЭС!Q187</f>
        <v>73.509437561035156</v>
      </c>
      <c r="AR1618" s="246"/>
      <c r="AS1618" s="282"/>
      <c r="AT1618" s="638">
        <f t="shared" si="64"/>
        <v>1927.5871047973633</v>
      </c>
      <c r="AU1618" s="246"/>
      <c r="AV1618" s="336"/>
      <c r="AW1618" s="285"/>
      <c r="AX1618" s="249"/>
      <c r="AY1618" s="438">
        <v>2100.746854</v>
      </c>
      <c r="AZ1618" s="357"/>
      <c r="BA1618"/>
      <c r="BB1618"/>
      <c r="BC1618"/>
    </row>
    <row r="1619" spans="1:55" s="24" customFormat="1" ht="18.75">
      <c r="A1619" s="179"/>
      <c r="B1619" s="179"/>
      <c r="C1619" s="179"/>
      <c r="D1619" s="181">
        <v>357400</v>
      </c>
      <c r="E1619" s="181"/>
      <c r="F1619" s="181"/>
      <c r="G1619" s="181">
        <v>357400</v>
      </c>
      <c r="H1619" s="474" t="s">
        <v>1643</v>
      </c>
      <c r="I1619" s="474"/>
      <c r="J1619" s="277">
        <f>SUM(J1620:J1622)</f>
        <v>829.41906618121345</v>
      </c>
      <c r="K1619" s="275">
        <f>L1619-J1619</f>
        <v>288.58093381878655</v>
      </c>
      <c r="L1619" s="276">
        <f>Потребление!D91</f>
        <v>1118</v>
      </c>
      <c r="M1619" s="274">
        <f>SUM(M1620:M1622)</f>
        <v>703.61232648787234</v>
      </c>
      <c r="N1619" s="275">
        <f>O1619-M1619</f>
        <v>317.38767351212766</v>
      </c>
      <c r="O1619" s="276">
        <f>Потребление!E91</f>
        <v>1021</v>
      </c>
      <c r="P1619" s="274">
        <f>SUM(P1620:P1622)</f>
        <v>666.89309148047141</v>
      </c>
      <c r="Q1619" s="275">
        <f>R1619-P1619</f>
        <v>369.10690851952859</v>
      </c>
      <c r="R1619" s="276">
        <f>Потребление!F91</f>
        <v>1036</v>
      </c>
      <c r="S1619" s="274">
        <f>SUM(S1620:S1622)</f>
        <v>547.05177845631397</v>
      </c>
      <c r="T1619" s="275">
        <f>U1619-S1619</f>
        <v>349.94822154368603</v>
      </c>
      <c r="U1619" s="276">
        <f>Потребление!G91</f>
        <v>897</v>
      </c>
      <c r="V1619" s="274">
        <f>SUM(V1620:V1622)</f>
        <v>521.86427037052499</v>
      </c>
      <c r="W1619" s="275">
        <f>X1619-V1619</f>
        <v>311.13572962947501</v>
      </c>
      <c r="X1619" s="276">
        <f>Потребление!H91</f>
        <v>833</v>
      </c>
      <c r="Y1619" s="274">
        <f>SUM(Y1620:Y1622)</f>
        <v>456.46981532631503</v>
      </c>
      <c r="Z1619" s="275">
        <f>AA1619-Y1619</f>
        <v>309.53018467368497</v>
      </c>
      <c r="AA1619" s="276">
        <f>Потребление!I91</f>
        <v>766</v>
      </c>
      <c r="AB1619" s="274">
        <f>SUM(AB1620:AB1622)</f>
        <v>472.94099776168298</v>
      </c>
      <c r="AC1619" s="275">
        <f>AD1619-AB1619</f>
        <v>296.05900223831702</v>
      </c>
      <c r="AD1619" s="276">
        <f>Потребление!J91</f>
        <v>769</v>
      </c>
      <c r="AE1619" s="274">
        <f>SUM(AE1620:AE1622)</f>
        <v>480.76961237052507</v>
      </c>
      <c r="AF1619" s="275">
        <f>AG1619-AE1619</f>
        <v>311.23038762947493</v>
      </c>
      <c r="AG1619" s="276">
        <f>Потребление!K91</f>
        <v>792</v>
      </c>
      <c r="AH1619" s="274">
        <f>SUM(AH1620:AH1622)</f>
        <v>540.65498824799829</v>
      </c>
      <c r="AI1619" s="275">
        <f>AJ1619-AH1619</f>
        <v>264.34501175200171</v>
      </c>
      <c r="AJ1619" s="276">
        <f>Потребление!L91</f>
        <v>805</v>
      </c>
      <c r="AK1619" s="274">
        <f>SUM(AK1620:AK1622)</f>
        <v>638.18032172026074</v>
      </c>
      <c r="AL1619" s="275">
        <f>AM1619-AK1619</f>
        <v>309.81967827973926</v>
      </c>
      <c r="AM1619" s="276">
        <f>Потребление!M91</f>
        <v>948</v>
      </c>
      <c r="AN1619" s="274">
        <f>SUM(AN1620:AN1622)</f>
        <v>729.64152078092809</v>
      </c>
      <c r="AO1619" s="275">
        <f>AP1619-AN1619</f>
        <v>294.35847921907191</v>
      </c>
      <c r="AP1619" s="276">
        <f>Потребление!N91</f>
        <v>1024</v>
      </c>
      <c r="AQ1619" s="274">
        <f>SUM(AQ1620:AQ1622)</f>
        <v>816.51784223524862</v>
      </c>
      <c r="AR1619" s="275">
        <f>AS1619-AQ1619</f>
        <v>316.48215776475138</v>
      </c>
      <c r="AS1619" s="276">
        <f>Потребление!O91</f>
        <v>1133</v>
      </c>
      <c r="AT1619" s="274">
        <f>SUM(AT1620:AT1622)</f>
        <v>7404.0156314193546</v>
      </c>
      <c r="AU1619" s="275">
        <f>AV1619-AT1619</f>
        <v>3737.9843685806454</v>
      </c>
      <c r="AV1619" s="278">
        <f>L1619+O1619+R1619+U1619+X1619+AA1619+AD1619+AG1619+AJ1619+AM1619+AP1619+AS1619</f>
        <v>11142</v>
      </c>
      <c r="AW1619" s="279"/>
      <c r="AX1619" s="1067">
        <v>11014.9510507</v>
      </c>
      <c r="AY1619" s="298">
        <f>SUM(AY1620:AY1622)</f>
        <v>6625.5138140999998</v>
      </c>
      <c r="AZ1619" s="357"/>
      <c r="BA1619"/>
      <c r="BB1619"/>
      <c r="BC1619"/>
    </row>
    <row r="1620" spans="1:55" s="24" customFormat="1">
      <c r="A1620" s="179"/>
      <c r="B1620" s="179"/>
      <c r="C1620" s="179"/>
      <c r="D1620" s="181"/>
      <c r="E1620" s="181"/>
      <c r="F1620" s="181"/>
      <c r="G1620" s="181"/>
      <c r="H1620" s="126" t="s">
        <v>56</v>
      </c>
      <c r="I1620" s="126"/>
      <c r="J1620" s="223">
        <f>SUM(J1623,J1630:J1631)</f>
        <v>810.42192018121341</v>
      </c>
      <c r="K1620" s="271"/>
      <c r="L1620" s="224"/>
      <c r="M1620" s="270">
        <f>SUM(M1623,M1630:M1631)</f>
        <v>686.00180548787239</v>
      </c>
      <c r="N1620" s="271"/>
      <c r="O1620" s="224"/>
      <c r="P1620" s="270">
        <f>SUM(P1623,P1630:P1631)</f>
        <v>648.22188248047144</v>
      </c>
      <c r="Q1620" s="271"/>
      <c r="R1620" s="224"/>
      <c r="S1620" s="270">
        <f>SUM(S1623,S1630:S1631)</f>
        <v>529.48961345631392</v>
      </c>
      <c r="T1620" s="271"/>
      <c r="U1620" s="224"/>
      <c r="V1620" s="270">
        <f>SUM(V1623,V1630:V1631)</f>
        <v>505.83633937052502</v>
      </c>
      <c r="W1620" s="271"/>
      <c r="X1620" s="224"/>
      <c r="Y1620" s="270">
        <f>SUM(Y1623,Y1630:Y1631)</f>
        <v>439.673941326315</v>
      </c>
      <c r="Z1620" s="271"/>
      <c r="AA1620" s="224"/>
      <c r="AB1620" s="270">
        <f>SUM(AB1623,AB1630:AB1631)</f>
        <v>457.83525976168295</v>
      </c>
      <c r="AC1620" s="271"/>
      <c r="AD1620" s="224"/>
      <c r="AE1620" s="270">
        <f>SUM(AE1623,AE1630:AE1631)</f>
        <v>464.25053937052508</v>
      </c>
      <c r="AF1620" s="271"/>
      <c r="AG1620" s="224"/>
      <c r="AH1620" s="270">
        <f>SUM(AH1623,AH1630:AH1631)</f>
        <v>523.66003824799827</v>
      </c>
      <c r="AI1620" s="271"/>
      <c r="AJ1620" s="224"/>
      <c r="AK1620" s="270">
        <f>SUM(AK1623,AK1630:AK1631)</f>
        <v>618.58264072026077</v>
      </c>
      <c r="AL1620" s="271"/>
      <c r="AM1620" s="224"/>
      <c r="AN1620" s="270">
        <f>SUM(AN1623,AN1630:AN1631)</f>
        <v>711.64075678092809</v>
      </c>
      <c r="AO1620" s="271"/>
      <c r="AP1620" s="224"/>
      <c r="AQ1620" s="270">
        <f>SUM(AQ1623,AQ1630:AQ1631)</f>
        <v>796.83646281589381</v>
      </c>
      <c r="AR1620" s="271"/>
      <c r="AS1620" s="224"/>
      <c r="AT1620" s="270">
        <f>SUM(AT1623,AT1630:AT1631)</f>
        <v>7192.4511999999995</v>
      </c>
      <c r="AU1620" s="271"/>
      <c r="AV1620" s="229"/>
      <c r="AW1620" s="226"/>
      <c r="AX1620" s="230"/>
      <c r="AY1620" s="231">
        <f>SUM(AY1623,AY1630:AY1631)</f>
        <v>6424.361476</v>
      </c>
      <c r="AZ1620" s="357"/>
      <c r="BA1620"/>
      <c r="BB1620"/>
      <c r="BC1620"/>
    </row>
    <row r="1621" spans="1:55" s="24" customFormat="1">
      <c r="A1621" s="179"/>
      <c r="B1621" s="179"/>
      <c r="C1621" s="179"/>
      <c r="D1621" s="181"/>
      <c r="E1621" s="181"/>
      <c r="F1621" s="181"/>
      <c r="G1621" s="181"/>
      <c r="H1621" s="126" t="s">
        <v>347</v>
      </c>
      <c r="I1621" s="126"/>
      <c r="J1621" s="223">
        <f>J1635</f>
        <v>0</v>
      </c>
      <c r="K1621" s="271"/>
      <c r="L1621" s="224"/>
      <c r="M1621" s="223">
        <f>M1635</f>
        <v>0</v>
      </c>
      <c r="N1621" s="271"/>
      <c r="O1621" s="224"/>
      <c r="P1621" s="223">
        <f>P1635</f>
        <v>0</v>
      </c>
      <c r="Q1621" s="271"/>
      <c r="R1621" s="224"/>
      <c r="S1621" s="223">
        <f>S1635</f>
        <v>0</v>
      </c>
      <c r="T1621" s="271"/>
      <c r="U1621" s="224"/>
      <c r="V1621" s="223">
        <f>V1635</f>
        <v>0</v>
      </c>
      <c r="W1621" s="271"/>
      <c r="X1621" s="224"/>
      <c r="Y1621" s="223">
        <f>Y1635</f>
        <v>0</v>
      </c>
      <c r="Z1621" s="271"/>
      <c r="AA1621" s="224"/>
      <c r="AB1621" s="223">
        <f>AB1635</f>
        <v>0</v>
      </c>
      <c r="AC1621" s="271"/>
      <c r="AD1621" s="224"/>
      <c r="AE1621" s="223">
        <f>AE1635</f>
        <v>0</v>
      </c>
      <c r="AF1621" s="271"/>
      <c r="AG1621" s="224"/>
      <c r="AH1621" s="223">
        <f>AH1635</f>
        <v>0</v>
      </c>
      <c r="AI1621" s="271"/>
      <c r="AJ1621" s="224"/>
      <c r="AK1621" s="223">
        <f>AK1635</f>
        <v>0</v>
      </c>
      <c r="AL1621" s="271"/>
      <c r="AM1621" s="224"/>
      <c r="AN1621" s="223">
        <f>AN1635</f>
        <v>0</v>
      </c>
      <c r="AO1621" s="271"/>
      <c r="AP1621" s="224"/>
      <c r="AQ1621" s="223">
        <f>AQ1635</f>
        <v>0.41153341935483878</v>
      </c>
      <c r="AR1621" s="271"/>
      <c r="AS1621" s="224"/>
      <c r="AT1621" s="223">
        <f>AT1635</f>
        <v>0.41153341935483878</v>
      </c>
      <c r="AU1621" s="271"/>
      <c r="AV1621" s="229"/>
      <c r="AW1621" s="226"/>
      <c r="AX1621" s="230"/>
      <c r="AY1621" s="231"/>
      <c r="AZ1621" s="357"/>
      <c r="BA1621"/>
      <c r="BB1621"/>
      <c r="BC1621"/>
    </row>
    <row r="1622" spans="1:55" s="24" customFormat="1">
      <c r="A1622" s="179"/>
      <c r="B1622" s="179"/>
      <c r="C1622" s="179"/>
      <c r="D1622" s="181"/>
      <c r="E1622" s="181"/>
      <c r="F1622" s="181"/>
      <c r="G1622" s="181"/>
      <c r="H1622" s="124" t="s">
        <v>184</v>
      </c>
      <c r="I1622" s="124"/>
      <c r="J1622" s="223">
        <f>J1636</f>
        <v>18.997146000000001</v>
      </c>
      <c r="K1622" s="271"/>
      <c r="L1622" s="224"/>
      <c r="M1622" s="270">
        <f>M1636</f>
        <v>17.610520999999999</v>
      </c>
      <c r="N1622" s="271"/>
      <c r="O1622" s="224"/>
      <c r="P1622" s="270">
        <f>P1636</f>
        <v>18.671209000000001</v>
      </c>
      <c r="Q1622" s="271"/>
      <c r="R1622" s="224"/>
      <c r="S1622" s="270">
        <f>S1636</f>
        <v>17.562165</v>
      </c>
      <c r="T1622" s="271"/>
      <c r="U1622" s="224"/>
      <c r="V1622" s="270">
        <f>V1636</f>
        <v>16.027931000000002</v>
      </c>
      <c r="W1622" s="271"/>
      <c r="X1622" s="224"/>
      <c r="Y1622" s="270">
        <f>Y1636</f>
        <v>16.795873999999998</v>
      </c>
      <c r="Z1622" s="271"/>
      <c r="AA1622" s="224"/>
      <c r="AB1622" s="270">
        <f>AB1636</f>
        <v>15.105738000000002</v>
      </c>
      <c r="AC1622" s="271"/>
      <c r="AD1622" s="224"/>
      <c r="AE1622" s="270">
        <f>AE1636</f>
        <v>16.519072999999999</v>
      </c>
      <c r="AF1622" s="271"/>
      <c r="AG1622" s="224"/>
      <c r="AH1622" s="270">
        <f>AH1636</f>
        <v>16.994949999999999</v>
      </c>
      <c r="AI1622" s="271"/>
      <c r="AJ1622" s="224"/>
      <c r="AK1622" s="270">
        <f>AK1636</f>
        <v>19.597681000000001</v>
      </c>
      <c r="AL1622" s="271"/>
      <c r="AM1622" s="224"/>
      <c r="AN1622" s="270">
        <f>AN1636</f>
        <v>18.000764</v>
      </c>
      <c r="AO1622" s="271"/>
      <c r="AP1622" s="224"/>
      <c r="AQ1622" s="270">
        <f>AQ1636</f>
        <v>19.269846000000001</v>
      </c>
      <c r="AR1622" s="271"/>
      <c r="AS1622" s="224"/>
      <c r="AT1622" s="270">
        <f>AT1636</f>
        <v>211.15289800000005</v>
      </c>
      <c r="AU1622" s="271"/>
      <c r="AV1622" s="229"/>
      <c r="AW1622" s="226"/>
      <c r="AX1622" s="230"/>
      <c r="AY1622" s="231">
        <f>AY1636</f>
        <v>201.15233810000001</v>
      </c>
      <c r="AZ1622" s="357"/>
      <c r="BA1622"/>
      <c r="BB1622"/>
      <c r="BC1622"/>
    </row>
    <row r="1623" spans="1:55" s="24" customFormat="1">
      <c r="A1623" s="179"/>
      <c r="B1623" s="179"/>
      <c r="C1623" s="179"/>
      <c r="D1623" s="181">
        <v>357410</v>
      </c>
      <c r="E1623" s="181"/>
      <c r="F1623" s="181"/>
      <c r="G1623" s="1110">
        <v>357410</v>
      </c>
      <c r="H1623" s="134" t="s">
        <v>726</v>
      </c>
      <c r="I1623" s="516" t="s">
        <v>364</v>
      </c>
      <c r="J1623" s="262">
        <f>SUM(J1624:J1629)</f>
        <v>227.44400000000002</v>
      </c>
      <c r="K1623" s="323"/>
      <c r="L1623" s="324"/>
      <c r="M1623" s="262">
        <f>SUM(M1624:M1629)</f>
        <v>189.10599999999999</v>
      </c>
      <c r="N1623" s="323"/>
      <c r="O1623" s="324"/>
      <c r="P1623" s="262">
        <f>SUM(P1624:P1629)</f>
        <v>187.66399999999999</v>
      </c>
      <c r="Q1623" s="323"/>
      <c r="R1623" s="324"/>
      <c r="S1623" s="262">
        <f>SUM(S1624:S1629)</f>
        <v>145.77800000000002</v>
      </c>
      <c r="T1623" s="323"/>
      <c r="U1623" s="324"/>
      <c r="V1623" s="262">
        <f>SUM(V1624:V1629)</f>
        <v>160.85599999999999</v>
      </c>
      <c r="W1623" s="323"/>
      <c r="X1623" s="324"/>
      <c r="Y1623" s="262">
        <f>SUM(Y1624:Y1629)</f>
        <v>108.417</v>
      </c>
      <c r="Z1623" s="323"/>
      <c r="AA1623" s="324"/>
      <c r="AB1623" s="262">
        <f>SUM(AB1624:AB1629)</f>
        <v>143.99799999999999</v>
      </c>
      <c r="AC1623" s="323"/>
      <c r="AD1623" s="324"/>
      <c r="AE1623" s="262">
        <f>SUM(AE1624:AE1629)</f>
        <v>129.86000000000001</v>
      </c>
      <c r="AF1623" s="323"/>
      <c r="AG1623" s="324"/>
      <c r="AH1623" s="262">
        <f>SUM(AH1624:AH1629)</f>
        <v>147.267</v>
      </c>
      <c r="AI1623" s="323"/>
      <c r="AJ1623" s="324"/>
      <c r="AK1623" s="262">
        <f>SUM(AK1624:AK1629)</f>
        <v>146.839</v>
      </c>
      <c r="AL1623" s="323"/>
      <c r="AM1623" s="324"/>
      <c r="AN1623" s="262">
        <f>SUM(AN1624:AN1629)</f>
        <v>187.68</v>
      </c>
      <c r="AO1623" s="323"/>
      <c r="AP1623" s="324"/>
      <c r="AQ1623" s="262">
        <f>SUM(AQ1624:AQ1629)</f>
        <v>218.88799999999998</v>
      </c>
      <c r="AR1623" s="323"/>
      <c r="AS1623" s="324"/>
      <c r="AT1623" s="262">
        <f>SUM(AT1624:AT1629)</f>
        <v>1993.797</v>
      </c>
      <c r="AU1623" s="323"/>
      <c r="AV1623" s="325"/>
      <c r="AW1623" s="226"/>
      <c r="AX1623" s="328"/>
      <c r="AY1623" s="1068">
        <v>1721.8968831</v>
      </c>
      <c r="AZ1623" s="357"/>
      <c r="BA1623"/>
      <c r="BB1623"/>
      <c r="BC1623"/>
    </row>
    <row r="1624" spans="1:55" s="24" customFormat="1">
      <c r="A1624" s="179"/>
      <c r="B1624" s="179"/>
      <c r="C1624" s="179"/>
      <c r="D1624" s="181"/>
      <c r="E1624" s="181"/>
      <c r="F1624" s="181"/>
      <c r="G1624" s="1110"/>
      <c r="H1624" s="122" t="s">
        <v>893</v>
      </c>
      <c r="I1624" s="122"/>
      <c r="J1624" s="244">
        <v>78.12</v>
      </c>
      <c r="K1624" s="246"/>
      <c r="L1624" s="282"/>
      <c r="M1624" s="244">
        <v>69.599999999999994</v>
      </c>
      <c r="N1624" s="246"/>
      <c r="O1624" s="282"/>
      <c r="P1624" s="244">
        <v>66.960000000000008</v>
      </c>
      <c r="Q1624" s="246"/>
      <c r="R1624" s="282"/>
      <c r="S1624" s="244">
        <v>57.6</v>
      </c>
      <c r="T1624" s="246"/>
      <c r="U1624" s="282"/>
      <c r="V1624" s="244">
        <v>63.24</v>
      </c>
      <c r="W1624" s="246"/>
      <c r="X1624" s="282"/>
      <c r="Y1624" s="244">
        <v>30.6</v>
      </c>
      <c r="Z1624" s="246"/>
      <c r="AA1624" s="282"/>
      <c r="AB1624" s="244">
        <v>63.24</v>
      </c>
      <c r="AC1624" s="246"/>
      <c r="AD1624" s="282"/>
      <c r="AE1624" s="244">
        <v>63.24</v>
      </c>
      <c r="AF1624" s="246"/>
      <c r="AG1624" s="282"/>
      <c r="AH1624" s="244">
        <v>54.96</v>
      </c>
      <c r="AI1624" s="246"/>
      <c r="AJ1624" s="282"/>
      <c r="AK1624" s="244">
        <v>55.8</v>
      </c>
      <c r="AL1624" s="246"/>
      <c r="AM1624" s="282"/>
      <c r="AN1624" s="244">
        <v>72</v>
      </c>
      <c r="AO1624" s="246"/>
      <c r="AP1624" s="282"/>
      <c r="AQ1624" s="244">
        <v>78.12</v>
      </c>
      <c r="AR1624" s="246"/>
      <c r="AS1624" s="282"/>
      <c r="AT1624" s="244">
        <f>J1624+M1624+P1624+S1624+V1624+Y1624+AB1624+AE1624+AH1624+AK1624+AN1624+AQ1624</f>
        <v>753.48</v>
      </c>
      <c r="AU1624" s="246"/>
      <c r="AV1624" s="336"/>
      <c r="AW1624" s="285"/>
      <c r="AX1624" s="249"/>
      <c r="AY1624" s="338"/>
      <c r="AZ1624" s="357"/>
      <c r="BA1624"/>
      <c r="BB1624"/>
      <c r="BC1624"/>
    </row>
    <row r="1625" spans="1:55" s="24" customFormat="1">
      <c r="A1625" s="179"/>
      <c r="B1625" s="179"/>
      <c r="C1625" s="179"/>
      <c r="D1625" s="181"/>
      <c r="E1625" s="181"/>
      <c r="F1625" s="181"/>
      <c r="G1625" s="1110"/>
      <c r="H1625" s="1049" t="s">
        <v>1515</v>
      </c>
      <c r="I1625" s="122"/>
      <c r="J1625" s="244">
        <v>0</v>
      </c>
      <c r="K1625" s="246"/>
      <c r="L1625" s="282"/>
      <c r="M1625" s="244">
        <v>0</v>
      </c>
      <c r="N1625" s="246"/>
      <c r="O1625" s="282"/>
      <c r="P1625" s="244">
        <v>0</v>
      </c>
      <c r="Q1625" s="246"/>
      <c r="R1625" s="282"/>
      <c r="S1625" s="244">
        <v>0</v>
      </c>
      <c r="T1625" s="246"/>
      <c r="U1625" s="282"/>
      <c r="V1625" s="244">
        <v>0</v>
      </c>
      <c r="W1625" s="246"/>
      <c r="X1625" s="282"/>
      <c r="Y1625" s="244">
        <v>8.5860000000000003</v>
      </c>
      <c r="Z1625" s="246"/>
      <c r="AA1625" s="282"/>
      <c r="AB1625" s="244">
        <v>16.027000000000001</v>
      </c>
      <c r="AC1625" s="246"/>
      <c r="AD1625" s="282"/>
      <c r="AE1625" s="244">
        <v>1.145</v>
      </c>
      <c r="AF1625" s="246"/>
      <c r="AG1625" s="282"/>
      <c r="AH1625" s="244">
        <v>28.08</v>
      </c>
      <c r="AI1625" s="246"/>
      <c r="AJ1625" s="282"/>
      <c r="AK1625" s="244">
        <v>5.7240000000000002</v>
      </c>
      <c r="AL1625" s="246"/>
      <c r="AM1625" s="282"/>
      <c r="AN1625" s="244">
        <v>0</v>
      </c>
      <c r="AO1625" s="246"/>
      <c r="AP1625" s="282"/>
      <c r="AQ1625" s="244">
        <v>0</v>
      </c>
      <c r="AR1625" s="246"/>
      <c r="AS1625" s="282"/>
      <c r="AT1625" s="244">
        <f>J1625+M1625+P1625+S1625+V1625+Y1625+AB1625+AE1625+AH1625+AK1625+AN1625+AQ1625</f>
        <v>59.561999999999998</v>
      </c>
      <c r="AU1625" s="246"/>
      <c r="AV1625" s="336"/>
      <c r="AW1625" s="285"/>
      <c r="AX1625" s="249"/>
      <c r="AY1625" s="338"/>
      <c r="AZ1625" s="357"/>
      <c r="BA1625"/>
      <c r="BB1625"/>
      <c r="BC1625"/>
    </row>
    <row r="1626" spans="1:55" s="24" customFormat="1">
      <c r="A1626" s="179"/>
      <c r="B1626" s="179"/>
      <c r="C1626" s="179"/>
      <c r="D1626" s="181"/>
      <c r="E1626" s="181"/>
      <c r="F1626" s="181"/>
      <c r="G1626" s="1110"/>
      <c r="H1626" s="1127" t="s">
        <v>1696</v>
      </c>
      <c r="I1626" s="122"/>
      <c r="J1626" s="244">
        <v>37.944000000000003</v>
      </c>
      <c r="K1626" s="246"/>
      <c r="L1626" s="282"/>
      <c r="M1626" s="244">
        <v>22.968</v>
      </c>
      <c r="N1626" s="246"/>
      <c r="O1626" s="282"/>
      <c r="P1626" s="244">
        <v>29.387999999999998</v>
      </c>
      <c r="Q1626" s="246"/>
      <c r="R1626" s="282"/>
      <c r="S1626" s="244">
        <v>12.959999999999999</v>
      </c>
      <c r="T1626" s="246"/>
      <c r="U1626" s="282"/>
      <c r="V1626" s="244">
        <v>34.223999999999997</v>
      </c>
      <c r="W1626" s="246"/>
      <c r="X1626" s="282"/>
      <c r="Y1626" s="244">
        <v>12.6</v>
      </c>
      <c r="Z1626" s="246"/>
      <c r="AA1626" s="282"/>
      <c r="AB1626" s="244">
        <v>0</v>
      </c>
      <c r="AC1626" s="246"/>
      <c r="AD1626" s="282"/>
      <c r="AE1626" s="244">
        <v>0</v>
      </c>
      <c r="AF1626" s="246"/>
      <c r="AG1626" s="282"/>
      <c r="AH1626" s="244">
        <v>0</v>
      </c>
      <c r="AI1626" s="246"/>
      <c r="AJ1626" s="282"/>
      <c r="AK1626" s="244">
        <v>9.2880000000000003</v>
      </c>
      <c r="AL1626" s="246"/>
      <c r="AM1626" s="282"/>
      <c r="AN1626" s="244">
        <v>20.81</v>
      </c>
      <c r="AO1626" s="246"/>
      <c r="AP1626" s="282"/>
      <c r="AQ1626" s="244">
        <v>33.851999999999997</v>
      </c>
      <c r="AR1626" s="246"/>
      <c r="AS1626" s="282"/>
      <c r="AT1626" s="244">
        <f t="shared" ref="AT1626:AT1627" si="65">J1626+M1626+P1626+S1626+V1626+Y1626+AB1626+AE1626+AH1626+AK1626+AN1626+AQ1626</f>
        <v>214.03400000000002</v>
      </c>
      <c r="AU1626" s="246"/>
      <c r="AV1626" s="336"/>
      <c r="AW1626" s="285"/>
      <c r="AX1626" s="249"/>
      <c r="AY1626" s="338"/>
      <c r="AZ1626" s="357"/>
      <c r="BA1626"/>
      <c r="BB1626"/>
      <c r="BC1626"/>
    </row>
    <row r="1627" spans="1:55" s="24" customFormat="1">
      <c r="A1627" s="179"/>
      <c r="B1627" s="179"/>
      <c r="C1627" s="179"/>
      <c r="D1627" s="181"/>
      <c r="E1627" s="181"/>
      <c r="F1627" s="181"/>
      <c r="G1627" s="1110"/>
      <c r="H1627" s="1127" t="s">
        <v>1697</v>
      </c>
      <c r="I1627" s="122"/>
      <c r="J1627" s="244">
        <v>37.944000000000003</v>
      </c>
      <c r="K1627" s="246"/>
      <c r="L1627" s="282"/>
      <c r="M1627" s="244">
        <v>27.840000000000003</v>
      </c>
      <c r="N1627" s="246"/>
      <c r="O1627" s="282"/>
      <c r="P1627" s="244">
        <v>19.439999999999998</v>
      </c>
      <c r="Q1627" s="246"/>
      <c r="R1627" s="282"/>
      <c r="S1627" s="244">
        <v>19.440000000000001</v>
      </c>
      <c r="T1627" s="246"/>
      <c r="U1627" s="282"/>
      <c r="V1627" s="244">
        <v>34.595999999999997</v>
      </c>
      <c r="W1627" s="246"/>
      <c r="X1627" s="282"/>
      <c r="Y1627" s="244">
        <v>28.764000000000003</v>
      </c>
      <c r="Z1627" s="246"/>
      <c r="AA1627" s="282"/>
      <c r="AB1627" s="244">
        <v>35.935000000000002</v>
      </c>
      <c r="AC1627" s="246"/>
      <c r="AD1627" s="282"/>
      <c r="AE1627" s="244">
        <v>36.679000000000002</v>
      </c>
      <c r="AF1627" s="246"/>
      <c r="AG1627" s="282"/>
      <c r="AH1627" s="244">
        <v>36.36</v>
      </c>
      <c r="AI1627" s="246"/>
      <c r="AJ1627" s="282"/>
      <c r="AK1627" s="244">
        <v>23.231999999999999</v>
      </c>
      <c r="AL1627" s="246"/>
      <c r="AM1627" s="282"/>
      <c r="AN1627" s="244">
        <v>29.335000000000001</v>
      </c>
      <c r="AO1627" s="246"/>
      <c r="AP1627" s="282"/>
      <c r="AQ1627" s="244">
        <v>33.480000000000004</v>
      </c>
      <c r="AR1627" s="246"/>
      <c r="AS1627" s="282"/>
      <c r="AT1627" s="244">
        <f t="shared" si="65"/>
        <v>363.04500000000002</v>
      </c>
      <c r="AU1627" s="246"/>
      <c r="AV1627" s="336"/>
      <c r="AW1627" s="285"/>
      <c r="AX1627" s="249"/>
      <c r="AY1627" s="338"/>
      <c r="AZ1627" s="357"/>
      <c r="BA1627"/>
      <c r="BB1627"/>
      <c r="BC1627"/>
    </row>
    <row r="1628" spans="1:55" s="24" customFormat="1">
      <c r="A1628" s="179"/>
      <c r="B1628" s="179"/>
      <c r="C1628" s="179"/>
      <c r="D1628" s="181"/>
      <c r="E1628" s="181"/>
      <c r="F1628" s="181"/>
      <c r="G1628" s="1110"/>
      <c r="H1628" s="122" t="s">
        <v>878</v>
      </c>
      <c r="I1628" s="122"/>
      <c r="J1628" s="244">
        <v>44.64</v>
      </c>
      <c r="K1628" s="246"/>
      <c r="L1628" s="282"/>
      <c r="M1628" s="244">
        <v>41.76</v>
      </c>
      <c r="N1628" s="246"/>
      <c r="O1628" s="282"/>
      <c r="P1628" s="244">
        <v>43.08</v>
      </c>
      <c r="Q1628" s="246"/>
      <c r="R1628" s="282"/>
      <c r="S1628" s="244">
        <v>37.200000000000003</v>
      </c>
      <c r="T1628" s="246"/>
      <c r="U1628" s="282"/>
      <c r="V1628" s="244">
        <v>0</v>
      </c>
      <c r="W1628" s="246"/>
      <c r="X1628" s="282"/>
      <c r="Y1628" s="244">
        <v>0</v>
      </c>
      <c r="Z1628" s="246"/>
      <c r="AA1628" s="282"/>
      <c r="AB1628" s="244">
        <v>0</v>
      </c>
      <c r="AC1628" s="246"/>
      <c r="AD1628" s="282"/>
      <c r="AE1628" s="244">
        <v>0</v>
      </c>
      <c r="AF1628" s="246"/>
      <c r="AG1628" s="282"/>
      <c r="AH1628" s="244">
        <v>0</v>
      </c>
      <c r="AI1628" s="246"/>
      <c r="AJ1628" s="282"/>
      <c r="AK1628" s="244">
        <v>33.287999999999997</v>
      </c>
      <c r="AL1628" s="246"/>
      <c r="AM1628" s="282"/>
      <c r="AN1628" s="244">
        <v>37.667999999999999</v>
      </c>
      <c r="AO1628" s="246"/>
      <c r="AP1628" s="282"/>
      <c r="AQ1628" s="244">
        <v>44.64</v>
      </c>
      <c r="AR1628" s="246"/>
      <c r="AS1628" s="282"/>
      <c r="AT1628" s="244">
        <f t="shared" ref="AT1628:AT1639" si="66">J1628+M1628+P1628+S1628+V1628+Y1628+AB1628+AE1628+AH1628+AK1628+AN1628+AQ1628</f>
        <v>282.27600000000001</v>
      </c>
      <c r="AU1628" s="246"/>
      <c r="AV1628" s="336"/>
      <c r="AW1628" s="285"/>
      <c r="AX1628" s="249"/>
      <c r="AY1628" s="338"/>
      <c r="AZ1628" s="357"/>
      <c r="BA1628"/>
      <c r="BB1628"/>
      <c r="BC1628"/>
    </row>
    <row r="1629" spans="1:55" s="24" customFormat="1">
      <c r="A1629" s="179"/>
      <c r="B1629" s="179"/>
      <c r="C1629" s="179"/>
      <c r="D1629" s="181"/>
      <c r="E1629" s="181"/>
      <c r="F1629" s="181"/>
      <c r="G1629" s="1110"/>
      <c r="H1629" s="795" t="s">
        <v>892</v>
      </c>
      <c r="I1629" s="122"/>
      <c r="J1629" s="244">
        <v>28.795999999999999</v>
      </c>
      <c r="K1629" s="246"/>
      <c r="L1629" s="282"/>
      <c r="M1629" s="244">
        <v>26.937999999999999</v>
      </c>
      <c r="N1629" s="246"/>
      <c r="O1629" s="282"/>
      <c r="P1629" s="244">
        <v>28.795999999999999</v>
      </c>
      <c r="Q1629" s="246"/>
      <c r="R1629" s="282"/>
      <c r="S1629" s="244">
        <v>18.578000000000003</v>
      </c>
      <c r="T1629" s="246"/>
      <c r="U1629" s="282"/>
      <c r="V1629" s="244">
        <v>28.795999999999999</v>
      </c>
      <c r="W1629" s="246"/>
      <c r="X1629" s="282"/>
      <c r="Y1629" s="244">
        <v>27.866999999999997</v>
      </c>
      <c r="Z1629" s="246"/>
      <c r="AA1629" s="282"/>
      <c r="AB1629" s="244">
        <v>28.795999999999999</v>
      </c>
      <c r="AC1629" s="246"/>
      <c r="AD1629" s="282"/>
      <c r="AE1629" s="244">
        <v>28.795999999999999</v>
      </c>
      <c r="AF1629" s="246"/>
      <c r="AG1629" s="282"/>
      <c r="AH1629" s="244">
        <v>27.866999999999997</v>
      </c>
      <c r="AI1629" s="246"/>
      <c r="AJ1629" s="282"/>
      <c r="AK1629" s="244">
        <v>19.507000000000001</v>
      </c>
      <c r="AL1629" s="246"/>
      <c r="AM1629" s="282"/>
      <c r="AN1629" s="244">
        <v>27.867000000000001</v>
      </c>
      <c r="AO1629" s="246"/>
      <c r="AP1629" s="282"/>
      <c r="AQ1629" s="244">
        <v>28.795999999999999</v>
      </c>
      <c r="AR1629" s="246"/>
      <c r="AS1629" s="282"/>
      <c r="AT1629" s="244">
        <f t="shared" si="66"/>
        <v>321.39999999999998</v>
      </c>
      <c r="AU1629" s="246"/>
      <c r="AV1629" s="336"/>
      <c r="AW1629" s="285"/>
      <c r="AX1629" s="249"/>
      <c r="AY1629" s="338"/>
      <c r="AZ1629" s="357"/>
      <c r="BA1629"/>
      <c r="BB1629"/>
      <c r="BC1629"/>
    </row>
    <row r="1630" spans="1:55" s="24" customFormat="1">
      <c r="A1630" s="179"/>
      <c r="B1630" s="179"/>
      <c r="C1630" s="179"/>
      <c r="D1630" s="181">
        <v>357411</v>
      </c>
      <c r="E1630" s="181"/>
      <c r="F1630" s="181"/>
      <c r="G1630" s="1110">
        <v>357411</v>
      </c>
      <c r="H1630" s="122" t="s">
        <v>727</v>
      </c>
      <c r="I1630" s="516" t="s">
        <v>364</v>
      </c>
      <c r="J1630" s="244">
        <v>151.77600000000001</v>
      </c>
      <c r="K1630" s="246"/>
      <c r="L1630" s="282"/>
      <c r="M1630" s="244">
        <v>141.98399999999998</v>
      </c>
      <c r="N1630" s="246"/>
      <c r="O1630" s="282"/>
      <c r="P1630" s="244">
        <v>118.23839999999998</v>
      </c>
      <c r="Q1630" s="246"/>
      <c r="R1630" s="282"/>
      <c r="S1630" s="244">
        <v>117.504</v>
      </c>
      <c r="T1630" s="246"/>
      <c r="U1630" s="282"/>
      <c r="V1630" s="244">
        <v>113.83199999999999</v>
      </c>
      <c r="W1630" s="246"/>
      <c r="X1630" s="282"/>
      <c r="Y1630" s="244">
        <v>110.16</v>
      </c>
      <c r="Z1630" s="246"/>
      <c r="AA1630" s="282"/>
      <c r="AB1630" s="244">
        <v>102.57119999999999</v>
      </c>
      <c r="AC1630" s="246"/>
      <c r="AD1630" s="282"/>
      <c r="AE1630" s="244">
        <v>112.06620000000001</v>
      </c>
      <c r="AF1630" s="246"/>
      <c r="AG1630" s="282"/>
      <c r="AH1630" s="244">
        <v>105.75360000000001</v>
      </c>
      <c r="AI1630" s="246"/>
      <c r="AJ1630" s="282"/>
      <c r="AK1630" s="244">
        <v>117.62639999999999</v>
      </c>
      <c r="AL1630" s="246"/>
      <c r="AM1630" s="282"/>
      <c r="AN1630" s="244">
        <v>151.28640000000001</v>
      </c>
      <c r="AO1630" s="246"/>
      <c r="AP1630" s="282"/>
      <c r="AQ1630" s="244">
        <v>164.01599999999999</v>
      </c>
      <c r="AR1630" s="246"/>
      <c r="AS1630" s="282"/>
      <c r="AT1630" s="244">
        <f t="shared" si="66"/>
        <v>1506.8141999999998</v>
      </c>
      <c r="AU1630" s="246"/>
      <c r="AV1630" s="336"/>
      <c r="AW1630" s="285"/>
      <c r="AX1630" s="249"/>
      <c r="AY1630" s="438">
        <v>1497.3265558999999</v>
      </c>
      <c r="AZ1630" s="357"/>
      <c r="BA1630"/>
      <c r="BB1630"/>
      <c r="BC1630"/>
    </row>
    <row r="1631" spans="1:55" s="110" customFormat="1">
      <c r="A1631" s="179"/>
      <c r="B1631" s="179"/>
      <c r="C1631" s="179"/>
      <c r="D1631" s="181">
        <v>357415</v>
      </c>
      <c r="E1631" s="181"/>
      <c r="F1631" s="181"/>
      <c r="G1631" s="1110">
        <v>357415</v>
      </c>
      <c r="H1631" s="134" t="s">
        <v>728</v>
      </c>
      <c r="I1631" s="516" t="s">
        <v>364</v>
      </c>
      <c r="J1631" s="262">
        <f>SUM(J1632:J1634)</f>
        <v>431.20192018121344</v>
      </c>
      <c r="K1631" s="246"/>
      <c r="L1631" s="282"/>
      <c r="M1631" s="262">
        <f>SUM(M1632:M1634)</f>
        <v>354.91180548787247</v>
      </c>
      <c r="N1631" s="246"/>
      <c r="O1631" s="282"/>
      <c r="P1631" s="262">
        <f>SUM(P1632:P1634)</f>
        <v>342.31948248047149</v>
      </c>
      <c r="Q1631" s="246"/>
      <c r="R1631" s="282"/>
      <c r="S1631" s="262">
        <f>SUM(S1632:S1634)</f>
        <v>266.20761345631394</v>
      </c>
      <c r="T1631" s="246"/>
      <c r="U1631" s="282"/>
      <c r="V1631" s="262">
        <f>SUM(V1632:V1634)</f>
        <v>231.14833937052504</v>
      </c>
      <c r="W1631" s="246"/>
      <c r="X1631" s="282"/>
      <c r="Y1631" s="262">
        <f>SUM(Y1632:Y1634)</f>
        <v>221.09694132631498</v>
      </c>
      <c r="Z1631" s="246"/>
      <c r="AA1631" s="282"/>
      <c r="AB1631" s="262">
        <f>SUM(AB1632:AB1634)</f>
        <v>211.26605976168298</v>
      </c>
      <c r="AC1631" s="246"/>
      <c r="AD1631" s="282"/>
      <c r="AE1631" s="262">
        <f>SUM(AE1632:AE1634)</f>
        <v>222.32433937052502</v>
      </c>
      <c r="AF1631" s="246"/>
      <c r="AG1631" s="282"/>
      <c r="AH1631" s="262">
        <f>SUM(AH1632:AH1634)</f>
        <v>270.63943824799833</v>
      </c>
      <c r="AI1631" s="246"/>
      <c r="AJ1631" s="282"/>
      <c r="AK1631" s="262">
        <f>SUM(AK1632:AK1634)</f>
        <v>354.11724072026084</v>
      </c>
      <c r="AL1631" s="246"/>
      <c r="AM1631" s="282"/>
      <c r="AN1631" s="262">
        <f>SUM(AN1632:AN1634)</f>
        <v>372.67435678092806</v>
      </c>
      <c r="AO1631" s="246"/>
      <c r="AP1631" s="282"/>
      <c r="AQ1631" s="262">
        <f>SUM(AQ1632:AQ1634)</f>
        <v>413.93246281589387</v>
      </c>
      <c r="AR1631" s="246"/>
      <c r="AS1631" s="282"/>
      <c r="AT1631" s="262">
        <f>SUM(AT1632:AT1634)</f>
        <v>3691.84</v>
      </c>
      <c r="AU1631" s="246"/>
      <c r="AV1631" s="336"/>
      <c r="AW1631" s="285"/>
      <c r="AX1631" s="249"/>
      <c r="AY1631" s="1068">
        <v>3205.1380370000002</v>
      </c>
      <c r="AZ1631" s="356"/>
      <c r="BA1631"/>
      <c r="BB1631"/>
      <c r="BC1631"/>
    </row>
    <row r="1632" spans="1:55" s="110" customFormat="1">
      <c r="A1632" s="179"/>
      <c r="B1632" s="179"/>
      <c r="C1632" s="179"/>
      <c r="D1632" s="181"/>
      <c r="E1632" s="181"/>
      <c r="F1632" s="181"/>
      <c r="G1632" s="1110"/>
      <c r="H1632" s="122" t="s">
        <v>729</v>
      </c>
      <c r="I1632" s="122"/>
      <c r="J1632" s="244">
        <v>328.18192018121346</v>
      </c>
      <c r="K1632" s="246"/>
      <c r="L1632" s="282"/>
      <c r="M1632" s="244">
        <v>295.91660548787246</v>
      </c>
      <c r="N1632" s="246"/>
      <c r="O1632" s="282"/>
      <c r="P1632" s="244">
        <v>272.89288248047148</v>
      </c>
      <c r="Q1632" s="246"/>
      <c r="R1632" s="282"/>
      <c r="S1632" s="244">
        <v>211.30761345631396</v>
      </c>
      <c r="T1632" s="246"/>
      <c r="U1632" s="282"/>
      <c r="V1632" s="244">
        <v>135.46993937052503</v>
      </c>
      <c r="W1632" s="246"/>
      <c r="X1632" s="282"/>
      <c r="Y1632" s="244">
        <v>144.63294132631498</v>
      </c>
      <c r="Z1632" s="246"/>
      <c r="AA1632" s="282"/>
      <c r="AB1632" s="244">
        <v>134.29065976168297</v>
      </c>
      <c r="AC1632" s="246"/>
      <c r="AD1632" s="282"/>
      <c r="AE1632" s="244">
        <v>135.46993937052503</v>
      </c>
      <c r="AF1632" s="246"/>
      <c r="AG1632" s="282"/>
      <c r="AH1632" s="244">
        <v>179.30783824799829</v>
      </c>
      <c r="AI1632" s="246"/>
      <c r="AJ1632" s="282"/>
      <c r="AK1632" s="244">
        <v>256.83004072026085</v>
      </c>
      <c r="AL1632" s="246"/>
      <c r="AM1632" s="282"/>
      <c r="AN1632" s="244">
        <v>271.19035678092808</v>
      </c>
      <c r="AO1632" s="246"/>
      <c r="AP1632" s="282"/>
      <c r="AQ1632" s="244">
        <v>320.22566281589388</v>
      </c>
      <c r="AR1632" s="246"/>
      <c r="AS1632" s="282"/>
      <c r="AT1632" s="244">
        <f t="shared" si="66"/>
        <v>2685.7164000000002</v>
      </c>
      <c r="AU1632" s="246"/>
      <c r="AV1632" s="336"/>
      <c r="AW1632" s="285"/>
      <c r="AX1632" s="249"/>
      <c r="AY1632" s="338"/>
      <c r="AZ1632" s="356"/>
      <c r="BA1632"/>
      <c r="BB1632"/>
      <c r="BC1632"/>
    </row>
    <row r="1633" spans="1:58" s="110" customFormat="1">
      <c r="A1633" s="179"/>
      <c r="B1633" s="179"/>
      <c r="C1633" s="179"/>
      <c r="D1633" s="181"/>
      <c r="E1633" s="181"/>
      <c r="F1633" s="181"/>
      <c r="G1633" s="1110"/>
      <c r="H1633" s="122" t="s">
        <v>730</v>
      </c>
      <c r="I1633" s="122"/>
      <c r="J1633" s="244">
        <v>51.51</v>
      </c>
      <c r="K1633" s="246"/>
      <c r="L1633" s="282"/>
      <c r="M1633" s="244">
        <v>38.309600000000003</v>
      </c>
      <c r="N1633" s="246"/>
      <c r="O1633" s="282"/>
      <c r="P1633" s="244">
        <v>41.315399999999997</v>
      </c>
      <c r="Q1633" s="246"/>
      <c r="R1633" s="282"/>
      <c r="S1633" s="244">
        <v>54.9</v>
      </c>
      <c r="T1633" s="246"/>
      <c r="U1633" s="282"/>
      <c r="V1633" s="244">
        <v>48.36</v>
      </c>
      <c r="W1633" s="246"/>
      <c r="X1633" s="282"/>
      <c r="Y1633" s="244">
        <v>27.864000000000001</v>
      </c>
      <c r="Z1633" s="246"/>
      <c r="AA1633" s="282"/>
      <c r="AB1633" s="244">
        <v>29.657</v>
      </c>
      <c r="AC1633" s="246"/>
      <c r="AD1633" s="282"/>
      <c r="AE1633" s="244">
        <v>39.618000000000002</v>
      </c>
      <c r="AF1633" s="246"/>
      <c r="AG1633" s="282"/>
      <c r="AH1633" s="244">
        <v>45.5396</v>
      </c>
      <c r="AI1633" s="246"/>
      <c r="AJ1633" s="282"/>
      <c r="AK1633" s="244">
        <v>51.261599999999994</v>
      </c>
      <c r="AL1633" s="246"/>
      <c r="AM1633" s="282"/>
      <c r="AN1633" s="244">
        <v>50.58</v>
      </c>
      <c r="AO1633" s="246"/>
      <c r="AP1633" s="282"/>
      <c r="AQ1633" s="244">
        <v>41.106000000000002</v>
      </c>
      <c r="AR1633" s="246"/>
      <c r="AS1633" s="282"/>
      <c r="AT1633" s="244">
        <f t="shared" si="66"/>
        <v>520.02119999999991</v>
      </c>
      <c r="AU1633" s="246"/>
      <c r="AV1633" s="336"/>
      <c r="AW1633" s="285"/>
      <c r="AX1633" s="249"/>
      <c r="AY1633" s="338"/>
      <c r="AZ1633" s="356"/>
      <c r="BA1633"/>
      <c r="BB1633"/>
      <c r="BC1633"/>
    </row>
    <row r="1634" spans="1:58" s="110" customFormat="1">
      <c r="A1634" s="179"/>
      <c r="B1634" s="179"/>
      <c r="C1634" s="179"/>
      <c r="D1634" s="181"/>
      <c r="E1634" s="181"/>
      <c r="F1634" s="181"/>
      <c r="G1634" s="1110"/>
      <c r="H1634" s="795" t="s">
        <v>879</v>
      </c>
      <c r="I1634" s="122"/>
      <c r="J1634" s="244">
        <v>51.510000000000005</v>
      </c>
      <c r="K1634" s="246"/>
      <c r="L1634" s="282"/>
      <c r="M1634" s="244">
        <v>20.685600000000001</v>
      </c>
      <c r="N1634" s="246"/>
      <c r="O1634" s="282"/>
      <c r="P1634" s="244">
        <v>28.1112</v>
      </c>
      <c r="Q1634" s="246"/>
      <c r="R1634" s="282"/>
      <c r="S1634" s="244">
        <v>0</v>
      </c>
      <c r="T1634" s="246"/>
      <c r="U1634" s="282"/>
      <c r="V1634" s="244">
        <v>47.318400000000004</v>
      </c>
      <c r="W1634" s="246"/>
      <c r="X1634" s="282"/>
      <c r="Y1634" s="244">
        <v>48.6</v>
      </c>
      <c r="Z1634" s="246"/>
      <c r="AA1634" s="282"/>
      <c r="AB1634" s="244">
        <v>47.318400000000004</v>
      </c>
      <c r="AC1634" s="246"/>
      <c r="AD1634" s="282"/>
      <c r="AE1634" s="244">
        <v>47.236399999999996</v>
      </c>
      <c r="AF1634" s="246"/>
      <c r="AG1634" s="282"/>
      <c r="AH1634" s="244">
        <v>45.792000000000002</v>
      </c>
      <c r="AI1634" s="246"/>
      <c r="AJ1634" s="282"/>
      <c r="AK1634" s="244">
        <v>46.025599999999997</v>
      </c>
      <c r="AL1634" s="246"/>
      <c r="AM1634" s="282"/>
      <c r="AN1634" s="244">
        <v>50.904000000000003</v>
      </c>
      <c r="AO1634" s="246"/>
      <c r="AP1634" s="282"/>
      <c r="AQ1634" s="244">
        <v>52.6008</v>
      </c>
      <c r="AR1634" s="246"/>
      <c r="AS1634" s="282"/>
      <c r="AT1634" s="244">
        <f t="shared" si="66"/>
        <v>486.10239999999999</v>
      </c>
      <c r="AU1634" s="246"/>
      <c r="AV1634" s="336"/>
      <c r="AW1634" s="285"/>
      <c r="AX1634" s="249"/>
      <c r="AY1634" s="338"/>
      <c r="AZ1634" s="356"/>
      <c r="BA1634"/>
      <c r="BB1634"/>
      <c r="BC1634"/>
    </row>
    <row r="1635" spans="1:58" s="110" customFormat="1">
      <c r="A1635" s="179"/>
      <c r="B1635" s="179"/>
      <c r="C1635" s="179"/>
      <c r="D1635" s="181"/>
      <c r="E1635" s="181"/>
      <c r="F1635" s="181"/>
      <c r="G1635" s="1211">
        <v>777981</v>
      </c>
      <c r="H1635" s="795" t="s">
        <v>1698</v>
      </c>
      <c r="I1635" s="122"/>
      <c r="J1635" s="244">
        <v>0</v>
      </c>
      <c r="K1635" s="246"/>
      <c r="L1635" s="282"/>
      <c r="M1635" s="244">
        <v>0</v>
      </c>
      <c r="N1635" s="246"/>
      <c r="O1635" s="282"/>
      <c r="P1635" s="244">
        <v>0</v>
      </c>
      <c r="Q1635" s="246"/>
      <c r="R1635" s="282"/>
      <c r="S1635" s="244">
        <v>0</v>
      </c>
      <c r="T1635" s="246"/>
      <c r="U1635" s="282"/>
      <c r="V1635" s="244">
        <v>0</v>
      </c>
      <c r="W1635" s="246"/>
      <c r="X1635" s="282"/>
      <c r="Y1635" s="244">
        <v>0</v>
      </c>
      <c r="Z1635" s="246"/>
      <c r="AA1635" s="282"/>
      <c r="AB1635" s="244">
        <v>0</v>
      </c>
      <c r="AC1635" s="246"/>
      <c r="AD1635" s="282"/>
      <c r="AE1635" s="244">
        <v>0</v>
      </c>
      <c r="AF1635" s="246"/>
      <c r="AG1635" s="282"/>
      <c r="AH1635" s="244">
        <v>0</v>
      </c>
      <c r="AI1635" s="246"/>
      <c r="AJ1635" s="282"/>
      <c r="AK1635" s="244">
        <v>0</v>
      </c>
      <c r="AL1635" s="246"/>
      <c r="AM1635" s="282"/>
      <c r="AN1635" s="244">
        <v>0</v>
      </c>
      <c r="AO1635" s="246"/>
      <c r="AP1635" s="282"/>
      <c r="AQ1635" s="244">
        <v>0.41153341935483878</v>
      </c>
      <c r="AR1635" s="246"/>
      <c r="AS1635" s="282"/>
      <c r="AT1635" s="244">
        <f t="shared" si="66"/>
        <v>0.41153341935483878</v>
      </c>
      <c r="AU1635" s="246"/>
      <c r="AV1635" s="336"/>
      <c r="AW1635" s="285"/>
      <c r="AX1635" s="249"/>
      <c r="AY1635" s="338"/>
      <c r="AZ1635" s="356"/>
      <c r="BA1635"/>
      <c r="BB1635"/>
      <c r="BC1635"/>
    </row>
    <row r="1636" spans="1:58" s="113" customFormat="1">
      <c r="A1636" s="179"/>
      <c r="B1636" s="179"/>
      <c r="C1636" s="179"/>
      <c r="D1636" s="181">
        <v>376</v>
      </c>
      <c r="E1636" s="181"/>
      <c r="F1636" s="181"/>
      <c r="G1636" s="1110"/>
      <c r="H1636" s="138" t="s">
        <v>174</v>
      </c>
      <c r="I1636" s="518"/>
      <c r="J1636" s="319">
        <f>SUM(J1637:J1639)</f>
        <v>18.997146000000001</v>
      </c>
      <c r="K1636" s="288"/>
      <c r="L1636" s="289"/>
      <c r="M1636" s="287">
        <f>SUM(M1637:M1639)</f>
        <v>17.610520999999999</v>
      </c>
      <c r="N1636" s="288"/>
      <c r="O1636" s="289"/>
      <c r="P1636" s="287">
        <f>SUM(P1637:P1639)</f>
        <v>18.671209000000001</v>
      </c>
      <c r="Q1636" s="288"/>
      <c r="R1636" s="289"/>
      <c r="S1636" s="287">
        <f>SUM(S1637:S1639)</f>
        <v>17.562165</v>
      </c>
      <c r="T1636" s="288"/>
      <c r="U1636" s="289"/>
      <c r="V1636" s="287">
        <f>SUM(V1637:V1639)</f>
        <v>16.027931000000002</v>
      </c>
      <c r="W1636" s="288"/>
      <c r="X1636" s="289"/>
      <c r="Y1636" s="287">
        <f>SUM(Y1637:Y1639)</f>
        <v>16.795873999999998</v>
      </c>
      <c r="Z1636" s="288"/>
      <c r="AA1636" s="289"/>
      <c r="AB1636" s="287">
        <f>SUM(AB1637:AB1639)</f>
        <v>15.105738000000002</v>
      </c>
      <c r="AC1636" s="288"/>
      <c r="AD1636" s="289"/>
      <c r="AE1636" s="287">
        <f>SUM(AE1637:AE1639)</f>
        <v>16.519072999999999</v>
      </c>
      <c r="AF1636" s="288"/>
      <c r="AG1636" s="289"/>
      <c r="AH1636" s="287">
        <f>SUM(AH1637:AH1639)</f>
        <v>16.994949999999999</v>
      </c>
      <c r="AI1636" s="288"/>
      <c r="AJ1636" s="289"/>
      <c r="AK1636" s="287">
        <f>SUM(AK1637:AK1639)</f>
        <v>19.597681000000001</v>
      </c>
      <c r="AL1636" s="288"/>
      <c r="AM1636" s="289"/>
      <c r="AN1636" s="287">
        <f>SUM(AN1637:AN1639)</f>
        <v>18.000764</v>
      </c>
      <c r="AO1636" s="288"/>
      <c r="AP1636" s="289"/>
      <c r="AQ1636" s="287">
        <f>SUM(AQ1637:AQ1639)</f>
        <v>19.269846000000001</v>
      </c>
      <c r="AR1636" s="288"/>
      <c r="AS1636" s="289"/>
      <c r="AT1636" s="287">
        <f>SUM(AT1637:AT1639)</f>
        <v>211.15289800000005</v>
      </c>
      <c r="AU1636" s="288"/>
      <c r="AV1636" s="290"/>
      <c r="AW1636" s="285"/>
      <c r="AX1636" s="295"/>
      <c r="AY1636" s="436">
        <v>201.15233810000001</v>
      </c>
      <c r="AZ1636" s="355"/>
      <c r="BA1636"/>
      <c r="BB1636"/>
      <c r="BC1636"/>
    </row>
    <row r="1637" spans="1:58" s="113" customFormat="1">
      <c r="A1637" s="179"/>
      <c r="B1637" s="179"/>
      <c r="C1637" s="179"/>
      <c r="D1637" s="181">
        <v>357443</v>
      </c>
      <c r="E1637" s="181"/>
      <c r="F1637" s="181"/>
      <c r="G1637" s="1110">
        <v>357443</v>
      </c>
      <c r="H1637" s="135" t="s">
        <v>880</v>
      </c>
      <c r="I1637" s="518" t="s">
        <v>365</v>
      </c>
      <c r="J1637" s="294">
        <v>2</v>
      </c>
      <c r="K1637" s="288"/>
      <c r="L1637" s="289"/>
      <c r="M1637" s="294">
        <v>2.2000000000000002</v>
      </c>
      <c r="N1637" s="288"/>
      <c r="O1637" s="289"/>
      <c r="P1637" s="294">
        <v>2.2000000000000002</v>
      </c>
      <c r="Q1637" s="288"/>
      <c r="R1637" s="289"/>
      <c r="S1637" s="294">
        <v>2.25</v>
      </c>
      <c r="T1637" s="288"/>
      <c r="U1637" s="289"/>
      <c r="V1637" s="294">
        <v>1.8</v>
      </c>
      <c r="W1637" s="288"/>
      <c r="X1637" s="289"/>
      <c r="Y1637" s="294">
        <v>1</v>
      </c>
      <c r="Z1637" s="288"/>
      <c r="AA1637" s="289"/>
      <c r="AB1637" s="294">
        <v>0.55000000000000004</v>
      </c>
      <c r="AC1637" s="288"/>
      <c r="AD1637" s="289"/>
      <c r="AE1637" s="294">
        <v>1.25</v>
      </c>
      <c r="AF1637" s="288"/>
      <c r="AG1637" s="289"/>
      <c r="AH1637" s="294">
        <v>1.6</v>
      </c>
      <c r="AI1637" s="288"/>
      <c r="AJ1637" s="289"/>
      <c r="AK1637" s="294">
        <v>2.4</v>
      </c>
      <c r="AL1637" s="288"/>
      <c r="AM1637" s="289"/>
      <c r="AN1637" s="294">
        <v>2.2999999999999998</v>
      </c>
      <c r="AO1637" s="288"/>
      <c r="AP1637" s="289"/>
      <c r="AQ1637" s="294">
        <v>2.4500000000000002</v>
      </c>
      <c r="AR1637" s="288"/>
      <c r="AS1637" s="289"/>
      <c r="AT1637" s="294">
        <f t="shared" si="66"/>
        <v>22</v>
      </c>
      <c r="AU1637" s="288"/>
      <c r="AV1637" s="290"/>
      <c r="AW1637" s="285"/>
      <c r="AX1637" s="295"/>
      <c r="AY1637" s="437"/>
      <c r="AZ1637" s="355"/>
      <c r="BA1637"/>
      <c r="BB1637"/>
      <c r="BC1637"/>
    </row>
    <row r="1638" spans="1:58" s="113" customFormat="1">
      <c r="A1638" s="179"/>
      <c r="B1638" s="179"/>
      <c r="C1638" s="179"/>
      <c r="D1638" s="181">
        <v>357442</v>
      </c>
      <c r="E1638" s="181"/>
      <c r="F1638" s="181"/>
      <c r="G1638" s="1110">
        <v>357442</v>
      </c>
      <c r="H1638" s="135" t="s">
        <v>881</v>
      </c>
      <c r="I1638" s="518" t="s">
        <v>365</v>
      </c>
      <c r="J1638" s="294">
        <v>13.35</v>
      </c>
      <c r="K1638" s="288"/>
      <c r="L1638" s="289"/>
      <c r="M1638" s="294">
        <v>12.34</v>
      </c>
      <c r="N1638" s="288"/>
      <c r="O1638" s="289"/>
      <c r="P1638" s="294">
        <v>13.39</v>
      </c>
      <c r="Q1638" s="288"/>
      <c r="R1638" s="289"/>
      <c r="S1638" s="294">
        <v>12.93</v>
      </c>
      <c r="T1638" s="288"/>
      <c r="U1638" s="289"/>
      <c r="V1638" s="294">
        <v>11.89</v>
      </c>
      <c r="W1638" s="288"/>
      <c r="X1638" s="289"/>
      <c r="Y1638" s="294">
        <v>12.94</v>
      </c>
      <c r="Z1638" s="288"/>
      <c r="AA1638" s="289"/>
      <c r="AB1638" s="294">
        <v>11.96</v>
      </c>
      <c r="AC1638" s="288"/>
      <c r="AD1638" s="289"/>
      <c r="AE1638" s="294">
        <v>12.92</v>
      </c>
      <c r="AF1638" s="288"/>
      <c r="AG1638" s="289"/>
      <c r="AH1638" s="294">
        <v>12.95</v>
      </c>
      <c r="AI1638" s="288"/>
      <c r="AJ1638" s="289"/>
      <c r="AK1638" s="294">
        <v>13.36</v>
      </c>
      <c r="AL1638" s="288"/>
      <c r="AM1638" s="289"/>
      <c r="AN1638" s="294">
        <v>11.96</v>
      </c>
      <c r="AO1638" s="288"/>
      <c r="AP1638" s="289"/>
      <c r="AQ1638" s="294">
        <v>13.24</v>
      </c>
      <c r="AR1638" s="288"/>
      <c r="AS1638" s="289"/>
      <c r="AT1638" s="294">
        <f t="shared" si="66"/>
        <v>153.23000000000005</v>
      </c>
      <c r="AU1638" s="288"/>
      <c r="AV1638" s="290"/>
      <c r="AW1638" s="285"/>
      <c r="AX1638" s="295"/>
      <c r="AY1638" s="437"/>
      <c r="AZ1638" s="355"/>
      <c r="BA1638"/>
      <c r="BB1638"/>
      <c r="BC1638"/>
    </row>
    <row r="1639" spans="1:58" s="113" customFormat="1">
      <c r="A1639" s="179"/>
      <c r="B1639" s="179"/>
      <c r="C1639" s="179"/>
      <c r="D1639" s="181">
        <v>777185</v>
      </c>
      <c r="E1639" s="181"/>
      <c r="F1639" s="181"/>
      <c r="G1639" s="1110">
        <v>777185</v>
      </c>
      <c r="H1639" s="135" t="s">
        <v>882</v>
      </c>
      <c r="I1639" s="518" t="s">
        <v>365</v>
      </c>
      <c r="J1639" s="294">
        <v>3.6471460000000002</v>
      </c>
      <c r="K1639" s="288"/>
      <c r="L1639" s="289"/>
      <c r="M1639" s="294">
        <v>3.0705209999999998</v>
      </c>
      <c r="N1639" s="288"/>
      <c r="O1639" s="289"/>
      <c r="P1639" s="294">
        <v>3.0812089999999999</v>
      </c>
      <c r="Q1639" s="288"/>
      <c r="R1639" s="289"/>
      <c r="S1639" s="294">
        <v>2.3821650000000001</v>
      </c>
      <c r="T1639" s="288"/>
      <c r="U1639" s="289"/>
      <c r="V1639" s="294">
        <v>2.3379310000000002</v>
      </c>
      <c r="W1639" s="288"/>
      <c r="X1639" s="289"/>
      <c r="Y1639" s="294">
        <v>2.855874</v>
      </c>
      <c r="Z1639" s="288"/>
      <c r="AA1639" s="289"/>
      <c r="AB1639" s="294">
        <v>2.5957379999999999</v>
      </c>
      <c r="AC1639" s="288"/>
      <c r="AD1639" s="289"/>
      <c r="AE1639" s="294">
        <v>2.3490730000000002</v>
      </c>
      <c r="AF1639" s="288"/>
      <c r="AG1639" s="289"/>
      <c r="AH1639" s="294">
        <v>2.44495</v>
      </c>
      <c r="AI1639" s="288"/>
      <c r="AJ1639" s="289"/>
      <c r="AK1639" s="294">
        <v>3.8376809999999999</v>
      </c>
      <c r="AL1639" s="288"/>
      <c r="AM1639" s="289"/>
      <c r="AN1639" s="294">
        <v>3.740764</v>
      </c>
      <c r="AO1639" s="288"/>
      <c r="AP1639" s="289"/>
      <c r="AQ1639" s="294">
        <v>3.5798459999999999</v>
      </c>
      <c r="AR1639" s="288"/>
      <c r="AS1639" s="289"/>
      <c r="AT1639" s="294">
        <f t="shared" si="66"/>
        <v>35.922898000000004</v>
      </c>
      <c r="AU1639" s="288"/>
      <c r="AV1639" s="290"/>
      <c r="AW1639" s="285"/>
      <c r="AX1639" s="295"/>
      <c r="AY1639" s="437"/>
      <c r="AZ1639" s="355"/>
      <c r="BA1639"/>
      <c r="BB1639"/>
      <c r="BC1639"/>
    </row>
    <row r="1640" spans="1:58" s="113" customFormat="1" ht="18.75">
      <c r="A1640" s="179"/>
      <c r="B1640" s="179"/>
      <c r="C1640" s="179"/>
      <c r="D1640" s="181">
        <v>687500</v>
      </c>
      <c r="E1640" s="181"/>
      <c r="F1640" s="181"/>
      <c r="G1640" s="181">
        <v>687500</v>
      </c>
      <c r="H1640" s="474" t="s">
        <v>1644</v>
      </c>
      <c r="I1640" s="474"/>
      <c r="J1640" s="277">
        <f>SUM(J1641:J1642)</f>
        <v>479.32652999999999</v>
      </c>
      <c r="K1640" s="275">
        <f>L1640-J1640</f>
        <v>338.97346999999996</v>
      </c>
      <c r="L1640" s="276">
        <f>Потребление!D92</f>
        <v>818.3</v>
      </c>
      <c r="M1640" s="274">
        <f>SUM(M1641:M1642)</f>
        <v>439.4789199999999</v>
      </c>
      <c r="N1640" s="275">
        <f>O1640-M1640</f>
        <v>321.98711200000093</v>
      </c>
      <c r="O1640" s="276">
        <f>Потребление!E92</f>
        <v>761.46603200000084</v>
      </c>
      <c r="P1640" s="274">
        <f>SUM(P1641:P1642)</f>
        <v>445.38074</v>
      </c>
      <c r="Q1640" s="275">
        <f>R1640-P1640</f>
        <v>290.61926</v>
      </c>
      <c r="R1640" s="276">
        <f>Потребление!F92</f>
        <v>736</v>
      </c>
      <c r="S1640" s="274">
        <f>SUM(S1641:S1642)</f>
        <v>400.26573000000002</v>
      </c>
      <c r="T1640" s="275">
        <f>U1640-S1640</f>
        <v>264.69338999999985</v>
      </c>
      <c r="U1640" s="276">
        <f>Потребление!G92</f>
        <v>664.95911999999987</v>
      </c>
      <c r="V1640" s="274">
        <f>SUM(V1641:V1642)</f>
        <v>311.59891999999996</v>
      </c>
      <c r="W1640" s="275">
        <f>X1640-V1640</f>
        <v>320.11224399999986</v>
      </c>
      <c r="X1640" s="276">
        <f>Потребление!H92</f>
        <v>631.71116399999983</v>
      </c>
      <c r="Y1640" s="274">
        <f>SUM(Y1641:Y1642)</f>
        <v>166.40265000000002</v>
      </c>
      <c r="Z1640" s="275">
        <f>AA1640-Y1640</f>
        <v>423.74856899999975</v>
      </c>
      <c r="AA1640" s="276">
        <f>Потребление!I92</f>
        <v>590.15121899999974</v>
      </c>
      <c r="AB1640" s="274">
        <f>SUM(AB1641:AB1642)</f>
        <v>158.89652000000001</v>
      </c>
      <c r="AC1640" s="275">
        <f>AD1640-AB1640</f>
        <v>439.56668799999977</v>
      </c>
      <c r="AD1640" s="276">
        <f>Потребление!J92</f>
        <v>598.46320799999978</v>
      </c>
      <c r="AE1640" s="274">
        <f>SUM(AE1641:AE1642)</f>
        <v>181.86941999999999</v>
      </c>
      <c r="AF1640" s="275">
        <f>AG1640-AE1640</f>
        <v>419.90577699999994</v>
      </c>
      <c r="AG1640" s="276">
        <f>Потребление!K92</f>
        <v>601.77519699999993</v>
      </c>
      <c r="AH1640" s="274">
        <f>SUM(AH1641:AH1642)</f>
        <v>235.59184999999999</v>
      </c>
      <c r="AI1640" s="275">
        <f>AJ1640-AH1640</f>
        <v>404.43130299999973</v>
      </c>
      <c r="AJ1640" s="276">
        <f>Потребление!L92</f>
        <v>640.02315299999975</v>
      </c>
      <c r="AK1640" s="274">
        <f>SUM(AK1641:AK1642)</f>
        <v>380.49374999999998</v>
      </c>
      <c r="AL1640" s="275">
        <f>AM1640-AK1640</f>
        <v>334.33730399999979</v>
      </c>
      <c r="AM1640" s="276">
        <f>Потребление!M92</f>
        <v>714.83105399999977</v>
      </c>
      <c r="AN1640" s="274">
        <f>SUM(AN1641:AN1642)</f>
        <v>452.55506000000003</v>
      </c>
      <c r="AO1640" s="275">
        <f>AP1640-AN1640</f>
        <v>303.83593899999971</v>
      </c>
      <c r="AP1640" s="276">
        <f>Потребление!N92</f>
        <v>756.39099899999974</v>
      </c>
      <c r="AQ1640" s="274">
        <f>SUM(AQ1641:AQ1642)</f>
        <v>474.55457999999999</v>
      </c>
      <c r="AR1640" s="275">
        <f>AS1640-AQ1640</f>
        <v>348.33233099999973</v>
      </c>
      <c r="AS1640" s="276">
        <f>Потребление!O92</f>
        <v>822.88691099999971</v>
      </c>
      <c r="AT1640" s="274">
        <f>SUM(AT1641:AT1642)</f>
        <v>4126.4146700000001</v>
      </c>
      <c r="AU1640" s="275">
        <f>AV1640-AT1640</f>
        <v>4210.5433869999997</v>
      </c>
      <c r="AV1640" s="278">
        <f>L1640+O1640+R1640+U1640+X1640+AA1640+AD1640+AG1640+AJ1640+AM1640+AP1640+AS1640</f>
        <v>8336.9580569999998</v>
      </c>
      <c r="AW1640" s="279"/>
      <c r="AX1640" s="1067">
        <v>8345.1929798000001</v>
      </c>
      <c r="AY1640" s="298">
        <f>SUM(AY1641:AY1642)</f>
        <v>3456.2315197999997</v>
      </c>
      <c r="AZ1640" s="355"/>
      <c r="BA1640"/>
      <c r="BB1640"/>
      <c r="BC1640"/>
    </row>
    <row r="1641" spans="1:58" s="113" customFormat="1">
      <c r="A1641" s="179"/>
      <c r="B1641" s="179"/>
      <c r="C1641" s="179"/>
      <c r="D1641" s="181"/>
      <c r="E1641" s="181"/>
      <c r="F1641" s="181"/>
      <c r="G1641" s="181"/>
      <c r="H1641" s="126" t="s">
        <v>56</v>
      </c>
      <c r="I1641" s="126"/>
      <c r="J1641" s="223">
        <f>SUM(J1643,J1646:J1647)</f>
        <v>292.69900000000001</v>
      </c>
      <c r="K1641" s="271"/>
      <c r="L1641" s="224"/>
      <c r="M1641" s="270">
        <f>SUM(M1643,M1646:M1647)</f>
        <v>258.25199999999995</v>
      </c>
      <c r="N1641" s="271"/>
      <c r="O1641" s="224"/>
      <c r="P1641" s="270">
        <f>SUM(P1643,P1646:P1647)</f>
        <v>251.81399999999999</v>
      </c>
      <c r="Q1641" s="271"/>
      <c r="R1641" s="224"/>
      <c r="S1641" s="270">
        <f>SUM(S1643,S1646:S1647)</f>
        <v>213.04200000000003</v>
      </c>
      <c r="T1641" s="271"/>
      <c r="U1641" s="224"/>
      <c r="V1641" s="270">
        <f>SUM(V1643,V1646:V1647)</f>
        <v>127.77</v>
      </c>
      <c r="W1641" s="271"/>
      <c r="X1641" s="224"/>
      <c r="Y1641" s="270">
        <f>SUM(Y1643,Y1646:Y1647)</f>
        <v>38.454000000000001</v>
      </c>
      <c r="Z1641" s="271"/>
      <c r="AA1641" s="224"/>
      <c r="AB1641" s="270">
        <f>SUM(AB1643,AB1646:AB1647)</f>
        <v>41.641000000000005</v>
      </c>
      <c r="AC1641" s="271"/>
      <c r="AD1641" s="224"/>
      <c r="AE1641" s="270">
        <f>SUM(AE1643,AE1646:AE1647)</f>
        <v>36.784000000000006</v>
      </c>
      <c r="AF1641" s="271"/>
      <c r="AG1641" s="224"/>
      <c r="AH1641" s="270">
        <f>SUM(AH1643,AH1646:AH1647)</f>
        <v>95.69</v>
      </c>
      <c r="AI1641" s="271"/>
      <c r="AJ1641" s="224"/>
      <c r="AK1641" s="270">
        <f>SUM(AK1643,AK1646:AK1647)</f>
        <v>194.42</v>
      </c>
      <c r="AL1641" s="271"/>
      <c r="AM1641" s="224"/>
      <c r="AN1641" s="270">
        <f>SUM(AN1643,AN1646:AN1647)</f>
        <v>256.88200000000001</v>
      </c>
      <c r="AO1641" s="271"/>
      <c r="AP1641" s="224"/>
      <c r="AQ1641" s="270">
        <f>SUM(AQ1643,AQ1646:AQ1647)</f>
        <v>295.26299999999998</v>
      </c>
      <c r="AR1641" s="271"/>
      <c r="AS1641" s="224"/>
      <c r="AT1641" s="270">
        <f>SUM(AT1643,AT1646:AT1647)</f>
        <v>2102.7110000000002</v>
      </c>
      <c r="AU1641" s="363"/>
      <c r="AV1641" s="407"/>
      <c r="AW1641" s="226"/>
      <c r="AX1641" s="230"/>
      <c r="AY1641" s="231">
        <f>SUM(AY1643,AY1646:AY1647)</f>
        <v>1856.720875</v>
      </c>
      <c r="AZ1641" s="355"/>
      <c r="BA1641"/>
      <c r="BB1641"/>
      <c r="BC1641"/>
    </row>
    <row r="1642" spans="1:58" s="24" customFormat="1">
      <c r="A1642" s="179"/>
      <c r="B1642" s="179"/>
      <c r="C1642" s="179"/>
      <c r="D1642" s="181"/>
      <c r="E1642" s="181"/>
      <c r="F1642" s="181"/>
      <c r="G1642" s="181"/>
      <c r="H1642" s="124" t="s">
        <v>184</v>
      </c>
      <c r="I1642" s="124"/>
      <c r="J1642" s="223">
        <f>J1648</f>
        <v>186.62752999999998</v>
      </c>
      <c r="K1642" s="271"/>
      <c r="L1642" s="224"/>
      <c r="M1642" s="270">
        <f>M1648</f>
        <v>181.22691999999998</v>
      </c>
      <c r="N1642" s="271"/>
      <c r="O1642" s="224"/>
      <c r="P1642" s="270">
        <f>P1648</f>
        <v>193.56674000000001</v>
      </c>
      <c r="Q1642" s="271"/>
      <c r="R1642" s="224"/>
      <c r="S1642" s="270">
        <f>S1648</f>
        <v>187.22372999999999</v>
      </c>
      <c r="T1642" s="271"/>
      <c r="U1642" s="224"/>
      <c r="V1642" s="270">
        <f>V1648</f>
        <v>183.82891999999998</v>
      </c>
      <c r="W1642" s="271"/>
      <c r="X1642" s="224"/>
      <c r="Y1642" s="270">
        <f>Y1648</f>
        <v>127.94865000000001</v>
      </c>
      <c r="Z1642" s="271"/>
      <c r="AA1642" s="224"/>
      <c r="AB1642" s="270">
        <f>AB1648</f>
        <v>117.25552</v>
      </c>
      <c r="AC1642" s="271"/>
      <c r="AD1642" s="224"/>
      <c r="AE1642" s="270">
        <f>AE1648</f>
        <v>145.08542</v>
      </c>
      <c r="AF1642" s="271"/>
      <c r="AG1642" s="224"/>
      <c r="AH1642" s="270">
        <f>AH1648</f>
        <v>139.90185</v>
      </c>
      <c r="AI1642" s="271"/>
      <c r="AJ1642" s="224"/>
      <c r="AK1642" s="270">
        <f>AK1648</f>
        <v>186.07375000000002</v>
      </c>
      <c r="AL1642" s="271"/>
      <c r="AM1642" s="224"/>
      <c r="AN1642" s="270">
        <f>AN1648</f>
        <v>195.67305999999999</v>
      </c>
      <c r="AO1642" s="271"/>
      <c r="AP1642" s="224"/>
      <c r="AQ1642" s="270">
        <f>AQ1648</f>
        <v>179.29158000000001</v>
      </c>
      <c r="AR1642" s="271"/>
      <c r="AS1642" s="224"/>
      <c r="AT1642" s="270">
        <f>AT1648</f>
        <v>2023.7036699999999</v>
      </c>
      <c r="AU1642" s="363"/>
      <c r="AV1642" s="407"/>
      <c r="AW1642" s="226"/>
      <c r="AX1642" s="230"/>
      <c r="AY1642" s="231">
        <f>AY1648</f>
        <v>1599.5106447999999</v>
      </c>
      <c r="AZ1642" s="357"/>
      <c r="BA1642"/>
      <c r="BB1642"/>
      <c r="BC1642"/>
    </row>
    <row r="1643" spans="1:58" s="24" customFormat="1">
      <c r="A1643" s="179"/>
      <c r="B1643" s="179"/>
      <c r="C1643" s="179"/>
      <c r="D1643" s="181">
        <v>687510</v>
      </c>
      <c r="E1643" s="181"/>
      <c r="F1643" s="181"/>
      <c r="G1643" s="1110">
        <v>687510</v>
      </c>
      <c r="H1643" s="141" t="s">
        <v>1052</v>
      </c>
      <c r="I1643" s="516" t="s">
        <v>364</v>
      </c>
      <c r="J1643" s="262">
        <f>SUM(J1644:J1645)</f>
        <v>181.779</v>
      </c>
      <c r="K1643" s="246"/>
      <c r="L1643" s="282"/>
      <c r="M1643" s="317">
        <f>SUM(M1644:M1645)</f>
        <v>154.50799999999998</v>
      </c>
      <c r="N1643" s="246"/>
      <c r="O1643" s="282"/>
      <c r="P1643" s="317">
        <f>SUM(P1644:P1645)</f>
        <v>140.95400000000001</v>
      </c>
      <c r="Q1643" s="246"/>
      <c r="R1643" s="282"/>
      <c r="S1643" s="317">
        <f>SUM(S1644:S1645)</f>
        <v>109.26200000000001</v>
      </c>
      <c r="T1643" s="246"/>
      <c r="U1643" s="282"/>
      <c r="V1643" s="317">
        <f>SUM(V1644:V1645)</f>
        <v>65.057999999999993</v>
      </c>
      <c r="W1643" s="246"/>
      <c r="X1643" s="282"/>
      <c r="Y1643" s="317">
        <f>SUM(Y1644:Y1645)</f>
        <v>35.43</v>
      </c>
      <c r="Z1643" s="246"/>
      <c r="AA1643" s="282"/>
      <c r="AB1643" s="317">
        <f>SUM(AB1644:AB1645)</f>
        <v>38.471000000000004</v>
      </c>
      <c r="AC1643" s="246"/>
      <c r="AD1643" s="282"/>
      <c r="AE1643" s="317">
        <f>SUM(AE1644:AE1645)</f>
        <v>25.6</v>
      </c>
      <c r="AF1643" s="246"/>
      <c r="AG1643" s="282"/>
      <c r="AH1643" s="317">
        <f>SUM(AH1644:AH1645)</f>
        <v>46.8</v>
      </c>
      <c r="AI1643" s="246"/>
      <c r="AJ1643" s="282"/>
      <c r="AK1643" s="317">
        <f>SUM(AK1644:AK1645)</f>
        <v>91</v>
      </c>
      <c r="AL1643" s="246"/>
      <c r="AM1643" s="282"/>
      <c r="AN1643" s="317">
        <f>SUM(AN1644:AN1645)</f>
        <v>149.602</v>
      </c>
      <c r="AO1643" s="246"/>
      <c r="AP1643" s="282"/>
      <c r="AQ1643" s="317">
        <f>SUM(AQ1644:AQ1645)</f>
        <v>187.703</v>
      </c>
      <c r="AR1643" s="246"/>
      <c r="AS1643" s="282"/>
      <c r="AT1643" s="317">
        <f>SUM(AT1644:AT1645)</f>
        <v>1226.1669999999999</v>
      </c>
      <c r="AU1643" s="246"/>
      <c r="AV1643" s="336"/>
      <c r="AW1643" s="285"/>
      <c r="AX1643" s="249"/>
      <c r="AY1643" s="1068">
        <v>1080.3700779999999</v>
      </c>
      <c r="AZ1643" s="357"/>
      <c r="BA1643"/>
      <c r="BB1643"/>
      <c r="BC1643"/>
      <c r="BF1643" s="174"/>
    </row>
    <row r="1644" spans="1:58" s="24" customFormat="1">
      <c r="A1644" s="179"/>
      <c r="B1644" s="179"/>
      <c r="C1644" s="179"/>
      <c r="D1644" s="181"/>
      <c r="E1644" s="181"/>
      <c r="F1644" s="181"/>
      <c r="G1644" s="1110"/>
      <c r="H1644" s="125" t="s">
        <v>1053</v>
      </c>
      <c r="I1644" s="125"/>
      <c r="J1644" s="244">
        <v>146.71899999999999</v>
      </c>
      <c r="K1644" s="246"/>
      <c r="L1644" s="282"/>
      <c r="M1644" s="244">
        <v>121.80799999999999</v>
      </c>
      <c r="N1644" s="246"/>
      <c r="O1644" s="282"/>
      <c r="P1644" s="244">
        <v>107.414</v>
      </c>
      <c r="Q1644" s="246"/>
      <c r="R1644" s="282"/>
      <c r="S1644" s="244">
        <v>78.50200000000001</v>
      </c>
      <c r="T1644" s="246"/>
      <c r="U1644" s="282"/>
      <c r="V1644" s="244">
        <v>39.018000000000001</v>
      </c>
      <c r="W1644" s="246"/>
      <c r="X1644" s="282"/>
      <c r="Y1644" s="244">
        <v>10.8</v>
      </c>
      <c r="Z1644" s="246"/>
      <c r="AA1644" s="282"/>
      <c r="AB1644" s="244">
        <v>38.471000000000004</v>
      </c>
      <c r="AC1644" s="246"/>
      <c r="AD1644" s="282"/>
      <c r="AE1644" s="244">
        <v>0</v>
      </c>
      <c r="AF1644" s="246"/>
      <c r="AG1644" s="282"/>
      <c r="AH1644" s="244">
        <v>21.6</v>
      </c>
      <c r="AI1644" s="246"/>
      <c r="AJ1644" s="282"/>
      <c r="AK1644" s="244">
        <v>64.960000000000008</v>
      </c>
      <c r="AL1644" s="246"/>
      <c r="AM1644" s="282"/>
      <c r="AN1644" s="244">
        <v>115.762</v>
      </c>
      <c r="AO1644" s="246"/>
      <c r="AP1644" s="282"/>
      <c r="AQ1644" s="244">
        <v>152.79300000000001</v>
      </c>
      <c r="AR1644" s="246"/>
      <c r="AS1644" s="282"/>
      <c r="AT1644" s="244">
        <f t="shared" ref="AT1644:AT1656" si="67">J1644+M1644+P1644+S1644+V1644+Y1644+AB1644+AE1644+AH1644+AK1644+AN1644+AQ1644</f>
        <v>897.84700000000009</v>
      </c>
      <c r="AU1644" s="246"/>
      <c r="AV1644" s="336"/>
      <c r="AW1644" s="285"/>
      <c r="AX1644" s="249"/>
      <c r="AY1644" s="338"/>
      <c r="AZ1644" s="357"/>
      <c r="BA1644"/>
      <c r="BB1644"/>
      <c r="BC1644"/>
      <c r="BF1644" s="173"/>
    </row>
    <row r="1645" spans="1:58" s="24" customFormat="1">
      <c r="A1645" s="179"/>
      <c r="B1645" s="179"/>
      <c r="C1645" s="179"/>
      <c r="D1645" s="181"/>
      <c r="E1645" s="181"/>
      <c r="F1645" s="181"/>
      <c r="G1645" s="1110"/>
      <c r="H1645" s="125" t="s">
        <v>1054</v>
      </c>
      <c r="I1645" s="125"/>
      <c r="J1645" s="244">
        <v>35.06</v>
      </c>
      <c r="K1645" s="246"/>
      <c r="L1645" s="282"/>
      <c r="M1645" s="244">
        <v>32.700000000000003</v>
      </c>
      <c r="N1645" s="246"/>
      <c r="O1645" s="282"/>
      <c r="P1645" s="244">
        <v>33.54</v>
      </c>
      <c r="Q1645" s="246"/>
      <c r="R1645" s="282"/>
      <c r="S1645" s="244">
        <v>30.76</v>
      </c>
      <c r="T1645" s="246"/>
      <c r="U1645" s="282"/>
      <c r="V1645" s="244">
        <v>26.04</v>
      </c>
      <c r="W1645" s="246"/>
      <c r="X1645" s="282"/>
      <c r="Y1645" s="244">
        <v>24.63</v>
      </c>
      <c r="Z1645" s="246"/>
      <c r="AA1645" s="282"/>
      <c r="AB1645" s="244">
        <v>0</v>
      </c>
      <c r="AC1645" s="246"/>
      <c r="AD1645" s="282"/>
      <c r="AE1645" s="244">
        <v>25.6</v>
      </c>
      <c r="AF1645" s="246"/>
      <c r="AG1645" s="282"/>
      <c r="AH1645" s="244">
        <v>25.2</v>
      </c>
      <c r="AI1645" s="246"/>
      <c r="AJ1645" s="282"/>
      <c r="AK1645" s="244">
        <v>26.04</v>
      </c>
      <c r="AL1645" s="246"/>
      <c r="AM1645" s="282"/>
      <c r="AN1645" s="244">
        <v>33.840000000000003</v>
      </c>
      <c r="AO1645" s="246"/>
      <c r="AP1645" s="282"/>
      <c r="AQ1645" s="244">
        <v>34.909999999999997</v>
      </c>
      <c r="AR1645" s="246"/>
      <c r="AS1645" s="282"/>
      <c r="AT1645" s="244">
        <f t="shared" si="67"/>
        <v>328.31999999999994</v>
      </c>
      <c r="AU1645" s="246"/>
      <c r="AV1645" s="336"/>
      <c r="AW1645" s="285"/>
      <c r="AX1645" s="249"/>
      <c r="AY1645" s="338"/>
      <c r="AZ1645" s="357"/>
      <c r="BA1645"/>
      <c r="BB1645"/>
      <c r="BC1645"/>
    </row>
    <row r="1646" spans="1:58" s="24" customFormat="1">
      <c r="A1646" s="179"/>
      <c r="B1646" s="179"/>
      <c r="C1646" s="179"/>
      <c r="D1646" s="181">
        <v>687584</v>
      </c>
      <c r="E1646" s="181"/>
      <c r="F1646" s="181"/>
      <c r="G1646" s="1110">
        <v>687584</v>
      </c>
      <c r="H1646" s="125" t="s">
        <v>1055</v>
      </c>
      <c r="I1646" s="516" t="s">
        <v>364</v>
      </c>
      <c r="J1646" s="244">
        <v>100.5</v>
      </c>
      <c r="K1646" s="246"/>
      <c r="L1646" s="282"/>
      <c r="M1646" s="244">
        <v>94</v>
      </c>
      <c r="N1646" s="246"/>
      <c r="O1646" s="282"/>
      <c r="P1646" s="244">
        <v>100.44</v>
      </c>
      <c r="Q1646" s="246"/>
      <c r="R1646" s="282"/>
      <c r="S1646" s="244">
        <v>93.7</v>
      </c>
      <c r="T1646" s="246"/>
      <c r="U1646" s="282"/>
      <c r="V1646" s="244">
        <v>55.8</v>
      </c>
      <c r="W1646" s="246"/>
      <c r="X1646" s="282"/>
      <c r="Y1646" s="244">
        <v>3.024</v>
      </c>
      <c r="Z1646" s="246"/>
      <c r="AA1646" s="282"/>
      <c r="AB1646" s="244">
        <v>0</v>
      </c>
      <c r="AC1646" s="246"/>
      <c r="AD1646" s="282"/>
      <c r="AE1646" s="244">
        <v>1.512</v>
      </c>
      <c r="AF1646" s="246"/>
      <c r="AG1646" s="282"/>
      <c r="AH1646" s="244">
        <v>39.53</v>
      </c>
      <c r="AI1646" s="246"/>
      <c r="AJ1646" s="282"/>
      <c r="AK1646" s="244">
        <v>93</v>
      </c>
      <c r="AL1646" s="246"/>
      <c r="AM1646" s="282"/>
      <c r="AN1646" s="244">
        <v>97.2</v>
      </c>
      <c r="AO1646" s="246"/>
      <c r="AP1646" s="282"/>
      <c r="AQ1646" s="244">
        <v>100.5</v>
      </c>
      <c r="AR1646" s="246"/>
      <c r="AS1646" s="282"/>
      <c r="AT1646" s="244">
        <f t="shared" si="67"/>
        <v>779.20600000000002</v>
      </c>
      <c r="AU1646" s="246"/>
      <c r="AV1646" s="336"/>
      <c r="AW1646" s="285"/>
      <c r="AX1646" s="249"/>
      <c r="AY1646" s="438">
        <v>774.49952900000005</v>
      </c>
      <c r="AZ1646" s="357"/>
      <c r="BA1646"/>
      <c r="BB1646"/>
      <c r="BC1646"/>
    </row>
    <row r="1647" spans="1:58" s="24" customFormat="1">
      <c r="A1647" s="179"/>
      <c r="B1647" s="179"/>
      <c r="C1647" s="179"/>
      <c r="D1647" s="181">
        <v>687585</v>
      </c>
      <c r="E1647" s="181"/>
      <c r="F1647" s="181"/>
      <c r="G1647" s="1110">
        <v>687585</v>
      </c>
      <c r="H1647" s="125" t="s">
        <v>1061</v>
      </c>
      <c r="I1647" s="516" t="s">
        <v>364</v>
      </c>
      <c r="J1647" s="244">
        <v>10.42</v>
      </c>
      <c r="K1647" s="246"/>
      <c r="L1647" s="282"/>
      <c r="M1647" s="244">
        <v>9.7439999999999998</v>
      </c>
      <c r="N1647" s="246"/>
      <c r="O1647" s="282"/>
      <c r="P1647" s="244">
        <v>10.42</v>
      </c>
      <c r="Q1647" s="246"/>
      <c r="R1647" s="282"/>
      <c r="S1647" s="244">
        <v>10.08</v>
      </c>
      <c r="T1647" s="246"/>
      <c r="U1647" s="282"/>
      <c r="V1647" s="244">
        <v>6.9119999999999999</v>
      </c>
      <c r="W1647" s="246"/>
      <c r="X1647" s="282"/>
      <c r="Y1647" s="244">
        <v>0</v>
      </c>
      <c r="Z1647" s="246"/>
      <c r="AA1647" s="282"/>
      <c r="AB1647" s="244">
        <v>3.17</v>
      </c>
      <c r="AC1647" s="246"/>
      <c r="AD1647" s="282"/>
      <c r="AE1647" s="244">
        <v>9.6720000000000006</v>
      </c>
      <c r="AF1647" s="246"/>
      <c r="AG1647" s="282"/>
      <c r="AH1647" s="244">
        <v>9.36</v>
      </c>
      <c r="AI1647" s="246"/>
      <c r="AJ1647" s="282"/>
      <c r="AK1647" s="244">
        <v>10.42</v>
      </c>
      <c r="AL1647" s="246"/>
      <c r="AM1647" s="282"/>
      <c r="AN1647" s="244">
        <v>10.08</v>
      </c>
      <c r="AO1647" s="246"/>
      <c r="AP1647" s="282"/>
      <c r="AQ1647" s="244">
        <v>7.06</v>
      </c>
      <c r="AR1647" s="246"/>
      <c r="AS1647" s="282"/>
      <c r="AT1647" s="244">
        <f t="shared" si="67"/>
        <v>97.338000000000008</v>
      </c>
      <c r="AU1647" s="246"/>
      <c r="AV1647" s="336"/>
      <c r="AW1647" s="285"/>
      <c r="AX1647" s="249"/>
      <c r="AY1647" s="438">
        <v>1.8512679999999999</v>
      </c>
      <c r="AZ1647" s="357"/>
      <c r="BA1647"/>
      <c r="BB1647"/>
      <c r="BC1647"/>
    </row>
    <row r="1648" spans="1:58" s="24" customFormat="1">
      <c r="A1648" s="179"/>
      <c r="B1648" s="179"/>
      <c r="C1648" s="179"/>
      <c r="D1648" s="181"/>
      <c r="E1648" s="181"/>
      <c r="F1648" s="181"/>
      <c r="G1648" s="1110"/>
      <c r="H1648" s="138" t="s">
        <v>174</v>
      </c>
      <c r="I1648" s="138"/>
      <c r="J1648" s="319">
        <f>SUM(J1649,J1652:J1656)</f>
        <v>186.62752999999998</v>
      </c>
      <c r="K1648" s="288"/>
      <c r="L1648" s="289"/>
      <c r="M1648" s="287">
        <f>SUM(M1649,M1652:M1656)</f>
        <v>181.22691999999998</v>
      </c>
      <c r="N1648" s="288"/>
      <c r="O1648" s="289"/>
      <c r="P1648" s="287">
        <f>SUM(P1649,P1652:P1656)</f>
        <v>193.56674000000001</v>
      </c>
      <c r="Q1648" s="288"/>
      <c r="R1648" s="289"/>
      <c r="S1648" s="287">
        <f>SUM(S1649,S1652:S1656)</f>
        <v>187.22372999999999</v>
      </c>
      <c r="T1648" s="288"/>
      <c r="U1648" s="289"/>
      <c r="V1648" s="287">
        <f>SUM(V1649,V1652:V1656)</f>
        <v>183.82891999999998</v>
      </c>
      <c r="W1648" s="288"/>
      <c r="X1648" s="289"/>
      <c r="Y1648" s="287">
        <f>SUM(Y1649,Y1652:Y1656)</f>
        <v>127.94865000000001</v>
      </c>
      <c r="Z1648" s="288"/>
      <c r="AA1648" s="289"/>
      <c r="AB1648" s="287">
        <f>SUM(AB1649,AB1652:AB1656)</f>
        <v>117.25552</v>
      </c>
      <c r="AC1648" s="288"/>
      <c r="AD1648" s="289"/>
      <c r="AE1648" s="287">
        <f>SUM(AE1649,AE1652:AE1656)</f>
        <v>145.08542</v>
      </c>
      <c r="AF1648" s="288"/>
      <c r="AG1648" s="289"/>
      <c r="AH1648" s="287">
        <f>SUM(AH1649,AH1652:AH1656)</f>
        <v>139.90185</v>
      </c>
      <c r="AI1648" s="288"/>
      <c r="AJ1648" s="289"/>
      <c r="AK1648" s="287">
        <f>SUM(AK1649,AK1652:AK1656)</f>
        <v>186.07375000000002</v>
      </c>
      <c r="AL1648" s="288"/>
      <c r="AM1648" s="289"/>
      <c r="AN1648" s="287">
        <f>SUM(AN1649,AN1652:AN1656)</f>
        <v>195.67305999999999</v>
      </c>
      <c r="AO1648" s="288"/>
      <c r="AP1648" s="289"/>
      <c r="AQ1648" s="287">
        <f>SUM(AQ1649,AQ1652:AQ1656)</f>
        <v>179.29158000000001</v>
      </c>
      <c r="AR1648" s="288"/>
      <c r="AS1648" s="289"/>
      <c r="AT1648" s="287">
        <f>SUM(AT1649,AT1652:AT1656)</f>
        <v>2023.7036699999999</v>
      </c>
      <c r="AU1648" s="288"/>
      <c r="AV1648" s="290"/>
      <c r="AW1648" s="285"/>
      <c r="AX1648" s="295"/>
      <c r="AY1648" s="966">
        <v>1599.5106447999999</v>
      </c>
      <c r="AZ1648" s="357"/>
      <c r="BA1648"/>
      <c r="BB1648"/>
      <c r="BC1648"/>
    </row>
    <row r="1649" spans="1:55" s="115" customFormat="1">
      <c r="A1649" s="179"/>
      <c r="B1649" s="179"/>
      <c r="C1649" s="179"/>
      <c r="D1649" s="181">
        <v>687545</v>
      </c>
      <c r="E1649" s="181"/>
      <c r="F1649" s="181"/>
      <c r="G1649" s="1110">
        <v>687545</v>
      </c>
      <c r="H1649" s="139" t="s">
        <v>1056</v>
      </c>
      <c r="I1649" s="518" t="s">
        <v>364</v>
      </c>
      <c r="J1649" s="319">
        <f>SUM(J1650:J1651)</f>
        <v>138</v>
      </c>
      <c r="K1649" s="288"/>
      <c r="L1649" s="289"/>
      <c r="M1649" s="287">
        <f>SUM(M1650:M1651)</f>
        <v>136.36000000000001</v>
      </c>
      <c r="N1649" s="288"/>
      <c r="O1649" s="289"/>
      <c r="P1649" s="287">
        <f>SUM(P1650:P1651)</f>
        <v>144.76400000000001</v>
      </c>
      <c r="Q1649" s="288"/>
      <c r="R1649" s="289"/>
      <c r="S1649" s="287">
        <f>SUM(S1650:S1651)</f>
        <v>142.29</v>
      </c>
      <c r="T1649" s="288"/>
      <c r="U1649" s="289"/>
      <c r="V1649" s="287">
        <f>SUM(V1650:V1651)</f>
        <v>136.292</v>
      </c>
      <c r="W1649" s="288"/>
      <c r="X1649" s="289"/>
      <c r="Y1649" s="287">
        <f>SUM(Y1650:Y1651)</f>
        <v>82.800000000000011</v>
      </c>
      <c r="Z1649" s="288"/>
      <c r="AA1649" s="289"/>
      <c r="AB1649" s="287">
        <f>SUM(AB1650:AB1651)</f>
        <v>70.680000000000007</v>
      </c>
      <c r="AC1649" s="288"/>
      <c r="AD1649" s="289"/>
      <c r="AE1649" s="287">
        <f>SUM(AE1650:AE1651)</f>
        <v>113.24000000000001</v>
      </c>
      <c r="AF1649" s="288"/>
      <c r="AG1649" s="289"/>
      <c r="AH1649" s="287">
        <f>SUM(AH1650:AH1651)</f>
        <v>100.71000000000001</v>
      </c>
      <c r="AI1649" s="288"/>
      <c r="AJ1649" s="289"/>
      <c r="AK1649" s="287">
        <f>SUM(AK1650:AK1651)</f>
        <v>139.19999999999999</v>
      </c>
      <c r="AL1649" s="288"/>
      <c r="AM1649" s="289"/>
      <c r="AN1649" s="287">
        <f>SUM(AN1650:AN1651)</f>
        <v>150.09</v>
      </c>
      <c r="AO1649" s="288"/>
      <c r="AP1649" s="289"/>
      <c r="AQ1649" s="287">
        <f>SUM(AQ1650:AQ1651)</f>
        <v>132.44</v>
      </c>
      <c r="AR1649" s="288"/>
      <c r="AS1649" s="289"/>
      <c r="AT1649" s="287">
        <f>SUM(AT1650:AT1651)</f>
        <v>1486.866</v>
      </c>
      <c r="AU1649" s="288"/>
      <c r="AV1649" s="290"/>
      <c r="AW1649" s="285"/>
      <c r="AX1649" s="295"/>
      <c r="AY1649" s="966">
        <v>1015.410274</v>
      </c>
      <c r="AZ1649" s="375"/>
      <c r="BA1649"/>
      <c r="BB1649"/>
      <c r="BC1649"/>
    </row>
    <row r="1650" spans="1:55" s="115" customFormat="1">
      <c r="A1650" s="179"/>
      <c r="B1650" s="179"/>
      <c r="C1650" s="179"/>
      <c r="D1650" s="181"/>
      <c r="E1650" s="181"/>
      <c r="F1650" s="181"/>
      <c r="G1650" s="1110"/>
      <c r="H1650" s="136" t="s">
        <v>1057</v>
      </c>
      <c r="I1650" s="518"/>
      <c r="J1650" s="294">
        <v>99.289999999999992</v>
      </c>
      <c r="K1650" s="288"/>
      <c r="L1650" s="289"/>
      <c r="M1650" s="294">
        <v>85.14</v>
      </c>
      <c r="N1650" s="288"/>
      <c r="O1650" s="289"/>
      <c r="P1650" s="294">
        <v>96.573999999999998</v>
      </c>
      <c r="Q1650" s="288"/>
      <c r="R1650" s="289"/>
      <c r="S1650" s="294">
        <v>94.1</v>
      </c>
      <c r="T1650" s="288"/>
      <c r="U1650" s="289"/>
      <c r="V1650" s="294">
        <v>85.932000000000002</v>
      </c>
      <c r="W1650" s="288"/>
      <c r="X1650" s="289"/>
      <c r="Y1650" s="294">
        <v>82.800000000000011</v>
      </c>
      <c r="Z1650" s="288"/>
      <c r="AA1650" s="289"/>
      <c r="AB1650" s="943">
        <v>70.680000000000007</v>
      </c>
      <c r="AC1650" s="288"/>
      <c r="AD1650" s="289"/>
      <c r="AE1650" s="294">
        <v>53.52</v>
      </c>
      <c r="AF1650" s="288"/>
      <c r="AG1650" s="289"/>
      <c r="AH1650" s="294">
        <v>40.32</v>
      </c>
      <c r="AI1650" s="288"/>
      <c r="AJ1650" s="289"/>
      <c r="AK1650" s="294">
        <v>89.13</v>
      </c>
      <c r="AL1650" s="288"/>
      <c r="AM1650" s="289"/>
      <c r="AN1650" s="294">
        <v>91.92</v>
      </c>
      <c r="AO1650" s="288"/>
      <c r="AP1650" s="289"/>
      <c r="AQ1650" s="294">
        <v>95.240000000000009</v>
      </c>
      <c r="AR1650" s="288"/>
      <c r="AS1650" s="289"/>
      <c r="AT1650" s="294">
        <f>J1650+M1650+P1650+S1650+V1650+Y1650+AB1650+AE1650+AH1650+AK1650+AN1650+AQ1650</f>
        <v>984.64600000000007</v>
      </c>
      <c r="AU1650" s="288"/>
      <c r="AV1650" s="290"/>
      <c r="AW1650" s="285"/>
      <c r="AX1650" s="295"/>
      <c r="AY1650" s="313"/>
      <c r="AZ1650" s="375"/>
      <c r="BA1650"/>
      <c r="BB1650"/>
      <c r="BC1650"/>
    </row>
    <row r="1651" spans="1:55" s="115" customFormat="1">
      <c r="A1651" s="179"/>
      <c r="B1651" s="179"/>
      <c r="C1651" s="179"/>
      <c r="D1651" s="181"/>
      <c r="E1651" s="181"/>
      <c r="F1651" s="181"/>
      <c r="G1651" s="1110"/>
      <c r="H1651" s="136" t="s">
        <v>1058</v>
      </c>
      <c r="I1651" s="518"/>
      <c r="J1651" s="294">
        <v>38.71</v>
      </c>
      <c r="K1651" s="288"/>
      <c r="L1651" s="289"/>
      <c r="M1651" s="294">
        <v>51.22</v>
      </c>
      <c r="N1651" s="288"/>
      <c r="O1651" s="289"/>
      <c r="P1651" s="294">
        <v>48.19</v>
      </c>
      <c r="Q1651" s="288"/>
      <c r="R1651" s="289"/>
      <c r="S1651" s="294">
        <v>48.19</v>
      </c>
      <c r="T1651" s="288"/>
      <c r="U1651" s="289"/>
      <c r="V1651" s="294">
        <v>50.36</v>
      </c>
      <c r="W1651" s="288"/>
      <c r="X1651" s="289"/>
      <c r="Y1651" s="294">
        <v>0</v>
      </c>
      <c r="Z1651" s="288"/>
      <c r="AA1651" s="289"/>
      <c r="AB1651" s="294">
        <v>0</v>
      </c>
      <c r="AC1651" s="288"/>
      <c r="AD1651" s="289"/>
      <c r="AE1651" s="294">
        <v>59.72</v>
      </c>
      <c r="AF1651" s="288"/>
      <c r="AG1651" s="289"/>
      <c r="AH1651" s="294">
        <v>60.39</v>
      </c>
      <c r="AI1651" s="288"/>
      <c r="AJ1651" s="289"/>
      <c r="AK1651" s="294">
        <v>50.07</v>
      </c>
      <c r="AL1651" s="288"/>
      <c r="AM1651" s="289"/>
      <c r="AN1651" s="294">
        <v>58.17</v>
      </c>
      <c r="AO1651" s="288"/>
      <c r="AP1651" s="289"/>
      <c r="AQ1651" s="294">
        <v>37.200000000000003</v>
      </c>
      <c r="AR1651" s="288"/>
      <c r="AS1651" s="289"/>
      <c r="AT1651" s="294">
        <f>J1651+M1651+P1651+S1651+V1651+Y1651+AB1651+AE1651+AH1651+AK1651+AN1651+AQ1651</f>
        <v>502.21999999999997</v>
      </c>
      <c r="AU1651" s="288"/>
      <c r="AV1651" s="290"/>
      <c r="AW1651" s="285"/>
      <c r="AX1651" s="295"/>
      <c r="AY1651" s="313"/>
      <c r="AZ1651" s="375"/>
      <c r="BA1651"/>
      <c r="BB1651"/>
      <c r="BC1651"/>
    </row>
    <row r="1652" spans="1:55" s="115" customFormat="1">
      <c r="A1652" s="179"/>
      <c r="B1652" s="179"/>
      <c r="C1652" s="179"/>
      <c r="D1652" s="181">
        <v>687544</v>
      </c>
      <c r="E1652" s="181"/>
      <c r="F1652" s="181"/>
      <c r="G1652" s="1110">
        <v>687544</v>
      </c>
      <c r="H1652" s="145" t="s">
        <v>1462</v>
      </c>
      <c r="I1652" s="518" t="s">
        <v>365</v>
      </c>
      <c r="J1652" s="294">
        <v>5.45</v>
      </c>
      <c r="K1652" s="288"/>
      <c r="L1652" s="289"/>
      <c r="M1652" s="294">
        <v>5.0107999999999997</v>
      </c>
      <c r="N1652" s="288"/>
      <c r="O1652" s="289"/>
      <c r="P1652" s="294">
        <v>5.73</v>
      </c>
      <c r="Q1652" s="288"/>
      <c r="R1652" s="289"/>
      <c r="S1652" s="294">
        <v>5.6689999999999996</v>
      </c>
      <c r="T1652" s="288"/>
      <c r="U1652" s="289"/>
      <c r="V1652" s="294">
        <v>6.29</v>
      </c>
      <c r="W1652" s="288"/>
      <c r="X1652" s="289"/>
      <c r="Y1652" s="294">
        <v>5.6689999999999996</v>
      </c>
      <c r="Z1652" s="288"/>
      <c r="AA1652" s="289"/>
      <c r="AB1652" s="294">
        <v>5.87</v>
      </c>
      <c r="AC1652" s="288"/>
      <c r="AD1652" s="289"/>
      <c r="AE1652" s="294">
        <v>5.8849999999999998</v>
      </c>
      <c r="AF1652" s="288"/>
      <c r="AG1652" s="289"/>
      <c r="AH1652" s="294">
        <v>3.7450000000000001</v>
      </c>
      <c r="AI1652" s="288"/>
      <c r="AJ1652" s="289"/>
      <c r="AK1652" s="294">
        <v>4.6100000000000003</v>
      </c>
      <c r="AL1652" s="288"/>
      <c r="AM1652" s="289"/>
      <c r="AN1652" s="294">
        <v>4.5873999999999997</v>
      </c>
      <c r="AO1652" s="288"/>
      <c r="AP1652" s="289"/>
      <c r="AQ1652" s="294">
        <v>4.6100000000000003</v>
      </c>
      <c r="AR1652" s="288"/>
      <c r="AS1652" s="289"/>
      <c r="AT1652" s="294">
        <f t="shared" si="67"/>
        <v>63.12619999999999</v>
      </c>
      <c r="AU1652" s="288"/>
      <c r="AV1652" s="290"/>
      <c r="AW1652" s="285"/>
      <c r="AX1652" s="295"/>
      <c r="AY1652" s="311"/>
      <c r="AZ1652" s="375"/>
      <c r="BA1652"/>
      <c r="BB1652"/>
      <c r="BC1652"/>
    </row>
    <row r="1653" spans="1:55" s="115" customFormat="1">
      <c r="A1653" s="179"/>
      <c r="B1653" s="179"/>
      <c r="C1653" s="179"/>
      <c r="D1653" s="181">
        <v>610025</v>
      </c>
      <c r="E1653" s="181"/>
      <c r="F1653" s="181"/>
      <c r="G1653" s="1110">
        <v>610025</v>
      </c>
      <c r="H1653" s="145" t="s">
        <v>1463</v>
      </c>
      <c r="I1653" s="518" t="s">
        <v>365</v>
      </c>
      <c r="J1653" s="294">
        <v>6.1858000000000004</v>
      </c>
      <c r="K1653" s="288"/>
      <c r="L1653" s="289"/>
      <c r="M1653" s="294">
        <v>5.5754400000000004</v>
      </c>
      <c r="N1653" s="288"/>
      <c r="O1653" s="289"/>
      <c r="P1653" s="294">
        <v>6.2206700000000001</v>
      </c>
      <c r="Q1653" s="288"/>
      <c r="R1653" s="289"/>
      <c r="S1653" s="294">
        <v>5.5113399999999997</v>
      </c>
      <c r="T1653" s="288"/>
      <c r="U1653" s="289"/>
      <c r="V1653" s="294">
        <v>4.7312099999999999</v>
      </c>
      <c r="W1653" s="288"/>
      <c r="X1653" s="289"/>
      <c r="Y1653" s="294">
        <v>4.57761</v>
      </c>
      <c r="Z1653" s="288"/>
      <c r="AA1653" s="289"/>
      <c r="AB1653" s="294">
        <v>4.57761</v>
      </c>
      <c r="AC1653" s="288"/>
      <c r="AD1653" s="289"/>
      <c r="AE1653" s="294">
        <v>2.5921099999999999</v>
      </c>
      <c r="AF1653" s="288"/>
      <c r="AG1653" s="289"/>
      <c r="AH1653" s="294">
        <v>5.4284999999999997</v>
      </c>
      <c r="AI1653" s="288"/>
      <c r="AJ1653" s="289"/>
      <c r="AK1653" s="294">
        <v>6.12364</v>
      </c>
      <c r="AL1653" s="288"/>
      <c r="AM1653" s="289"/>
      <c r="AN1653" s="294">
        <v>6.00596</v>
      </c>
      <c r="AO1653" s="288"/>
      <c r="AP1653" s="289"/>
      <c r="AQ1653" s="294">
        <v>6.1112299999999999</v>
      </c>
      <c r="AR1653" s="288"/>
      <c r="AS1653" s="289"/>
      <c r="AT1653" s="294">
        <f t="shared" si="67"/>
        <v>63.641120000000001</v>
      </c>
      <c r="AU1653" s="288"/>
      <c r="AV1653" s="290"/>
      <c r="AW1653" s="285"/>
      <c r="AX1653" s="295"/>
      <c r="AY1653" s="313"/>
      <c r="AZ1653" s="375"/>
      <c r="BA1653"/>
      <c r="BB1653"/>
      <c r="BC1653"/>
    </row>
    <row r="1654" spans="1:55" s="115" customFormat="1">
      <c r="A1654" s="179"/>
      <c r="B1654" s="179"/>
      <c r="C1654" s="179"/>
      <c r="D1654" s="181">
        <v>687547</v>
      </c>
      <c r="E1654" s="181"/>
      <c r="F1654" s="181"/>
      <c r="G1654" s="1121">
        <v>687547</v>
      </c>
      <c r="H1654" s="145" t="s">
        <v>1464</v>
      </c>
      <c r="I1654" s="518" t="s">
        <v>365</v>
      </c>
      <c r="J1654" s="294">
        <v>10.44773</v>
      </c>
      <c r="K1654" s="288"/>
      <c r="L1654" s="289"/>
      <c r="M1654" s="294">
        <v>9.4838799999999992</v>
      </c>
      <c r="N1654" s="288"/>
      <c r="O1654" s="289"/>
      <c r="P1654" s="294">
        <v>10.711270000000001</v>
      </c>
      <c r="Q1654" s="288"/>
      <c r="R1654" s="289"/>
      <c r="S1654" s="294">
        <v>10.098990000000001</v>
      </c>
      <c r="T1654" s="288"/>
      <c r="U1654" s="289"/>
      <c r="V1654" s="294">
        <v>10.106109999999999</v>
      </c>
      <c r="W1654" s="288"/>
      <c r="X1654" s="289"/>
      <c r="Y1654" s="294">
        <v>9.3660399999999999</v>
      </c>
      <c r="Z1654" s="288"/>
      <c r="AA1654" s="289"/>
      <c r="AB1654" s="294">
        <v>9.5839099999999995</v>
      </c>
      <c r="AC1654" s="288"/>
      <c r="AD1654" s="289"/>
      <c r="AE1654" s="294">
        <v>7.3747100000000003</v>
      </c>
      <c r="AF1654" s="288"/>
      <c r="AG1654" s="289"/>
      <c r="AH1654" s="294">
        <v>9.38795</v>
      </c>
      <c r="AI1654" s="288"/>
      <c r="AJ1654" s="289"/>
      <c r="AK1654" s="294">
        <v>9.5961099999999995</v>
      </c>
      <c r="AL1654" s="288"/>
      <c r="AM1654" s="289"/>
      <c r="AN1654" s="294">
        <v>9.4536999999999995</v>
      </c>
      <c r="AO1654" s="288"/>
      <c r="AP1654" s="289"/>
      <c r="AQ1654" s="294">
        <v>9.5863499999999995</v>
      </c>
      <c r="AR1654" s="288"/>
      <c r="AS1654" s="289"/>
      <c r="AT1654" s="294">
        <f t="shared" si="67"/>
        <v>115.19674999999999</v>
      </c>
      <c r="AU1654" s="288"/>
      <c r="AV1654" s="290"/>
      <c r="AW1654" s="285"/>
      <c r="AX1654" s="295"/>
      <c r="AY1654" s="313"/>
      <c r="AZ1654" s="375"/>
      <c r="BA1654"/>
      <c r="BB1654"/>
      <c r="BC1654"/>
    </row>
    <row r="1655" spans="1:55" s="115" customFormat="1">
      <c r="A1655" s="179"/>
      <c r="B1655" s="179"/>
      <c r="C1655" s="179"/>
      <c r="D1655" s="181"/>
      <c r="E1655" s="181"/>
      <c r="F1655" s="181"/>
      <c r="G1655" s="1110">
        <v>777174</v>
      </c>
      <c r="H1655" s="145" t="s">
        <v>1059</v>
      </c>
      <c r="I1655" s="518" t="s">
        <v>365</v>
      </c>
      <c r="J1655" s="294">
        <v>16.128</v>
      </c>
      <c r="K1655" s="288"/>
      <c r="L1655" s="289"/>
      <c r="M1655" s="294">
        <v>15.0528</v>
      </c>
      <c r="N1655" s="288"/>
      <c r="O1655" s="289"/>
      <c r="P1655" s="294">
        <v>15.7248</v>
      </c>
      <c r="Q1655" s="288"/>
      <c r="R1655" s="289"/>
      <c r="S1655" s="294">
        <v>13.574400000000001</v>
      </c>
      <c r="T1655" s="288"/>
      <c r="U1655" s="289"/>
      <c r="V1655" s="294">
        <v>15.993600000000001</v>
      </c>
      <c r="W1655" s="288"/>
      <c r="X1655" s="289"/>
      <c r="Y1655" s="294">
        <v>15.456</v>
      </c>
      <c r="Z1655" s="288"/>
      <c r="AA1655" s="289"/>
      <c r="AB1655" s="294">
        <v>16.128</v>
      </c>
      <c r="AC1655" s="288"/>
      <c r="AD1655" s="289"/>
      <c r="AE1655" s="294">
        <v>15.993600000000001</v>
      </c>
      <c r="AF1655" s="288"/>
      <c r="AG1655" s="289"/>
      <c r="AH1655" s="294">
        <v>15.590400000000001</v>
      </c>
      <c r="AI1655" s="288"/>
      <c r="AJ1655" s="289"/>
      <c r="AK1655" s="294">
        <v>16.128</v>
      </c>
      <c r="AL1655" s="288"/>
      <c r="AM1655" s="289"/>
      <c r="AN1655" s="294">
        <v>15.456</v>
      </c>
      <c r="AO1655" s="288"/>
      <c r="AP1655" s="289"/>
      <c r="AQ1655" s="294">
        <v>16.128</v>
      </c>
      <c r="AR1655" s="288"/>
      <c r="AS1655" s="289"/>
      <c r="AT1655" s="294">
        <f t="shared" si="67"/>
        <v>187.35360000000003</v>
      </c>
      <c r="AU1655" s="288"/>
      <c r="AV1655" s="290"/>
      <c r="AW1655" s="285"/>
      <c r="AX1655" s="295"/>
      <c r="AY1655" s="313"/>
      <c r="AZ1655" s="375"/>
      <c r="BA1655"/>
      <c r="BB1655"/>
      <c r="BC1655"/>
    </row>
    <row r="1656" spans="1:55" s="92" customFormat="1">
      <c r="A1656" s="179"/>
      <c r="B1656" s="179"/>
      <c r="C1656" s="179"/>
      <c r="D1656" s="181">
        <v>687546</v>
      </c>
      <c r="E1656" s="181"/>
      <c r="F1656" s="181"/>
      <c r="G1656" s="1110">
        <v>687546</v>
      </c>
      <c r="H1656" s="145" t="s">
        <v>1465</v>
      </c>
      <c r="I1656" s="518" t="s">
        <v>365</v>
      </c>
      <c r="J1656" s="294">
        <v>10.416</v>
      </c>
      <c r="K1656" s="288"/>
      <c r="L1656" s="289"/>
      <c r="M1656" s="294">
        <v>9.7439999999999998</v>
      </c>
      <c r="N1656" s="288"/>
      <c r="O1656" s="289"/>
      <c r="P1656" s="294">
        <v>10.416</v>
      </c>
      <c r="Q1656" s="288"/>
      <c r="R1656" s="289"/>
      <c r="S1656" s="294">
        <v>10.08</v>
      </c>
      <c r="T1656" s="288"/>
      <c r="U1656" s="289"/>
      <c r="V1656" s="294">
        <v>10.416</v>
      </c>
      <c r="W1656" s="288"/>
      <c r="X1656" s="289"/>
      <c r="Y1656" s="294">
        <v>10.08</v>
      </c>
      <c r="Z1656" s="288"/>
      <c r="AA1656" s="289"/>
      <c r="AB1656" s="294">
        <v>10.416</v>
      </c>
      <c r="AC1656" s="288"/>
      <c r="AD1656" s="289"/>
      <c r="AE1656" s="294">
        <v>0</v>
      </c>
      <c r="AF1656" s="288"/>
      <c r="AG1656" s="289"/>
      <c r="AH1656" s="294">
        <v>5.04</v>
      </c>
      <c r="AI1656" s="288"/>
      <c r="AJ1656" s="289"/>
      <c r="AK1656" s="294">
        <v>10.416</v>
      </c>
      <c r="AL1656" s="288"/>
      <c r="AM1656" s="289"/>
      <c r="AN1656" s="294">
        <v>10.08</v>
      </c>
      <c r="AO1656" s="288"/>
      <c r="AP1656" s="289"/>
      <c r="AQ1656" s="294">
        <v>10.416</v>
      </c>
      <c r="AR1656" s="288"/>
      <c r="AS1656" s="289"/>
      <c r="AT1656" s="294">
        <f t="shared" si="67"/>
        <v>107.52</v>
      </c>
      <c r="AU1656" s="288"/>
      <c r="AV1656" s="290"/>
      <c r="AW1656" s="285"/>
      <c r="AX1656" s="295"/>
      <c r="AY1656" s="313"/>
      <c r="AZ1656" s="306"/>
      <c r="BA1656"/>
      <c r="BB1656"/>
      <c r="BC1656"/>
    </row>
    <row r="1657" spans="1:55" s="24" customFormat="1" ht="18.75">
      <c r="A1657" s="179"/>
      <c r="B1657" s="179"/>
      <c r="C1657" s="179"/>
      <c r="D1657" s="181">
        <v>357700</v>
      </c>
      <c r="E1657" s="181"/>
      <c r="F1657" s="181"/>
      <c r="G1657" s="181">
        <v>357700</v>
      </c>
      <c r="H1657" s="474" t="s">
        <v>1645</v>
      </c>
      <c r="I1657" s="474"/>
      <c r="J1657" s="277">
        <f>J1658</f>
        <v>6</v>
      </c>
      <c r="K1657" s="275">
        <f>L1657-J1657</f>
        <v>94.226707132405593</v>
      </c>
      <c r="L1657" s="276">
        <f>Потребление!D93</f>
        <v>100.22670713240559</v>
      </c>
      <c r="M1657" s="277">
        <f>M1658</f>
        <v>5</v>
      </c>
      <c r="N1657" s="275">
        <f>O1657-M1657</f>
        <v>83.463199796228466</v>
      </c>
      <c r="O1657" s="276">
        <f>Потребление!E93</f>
        <v>88.463199796228466</v>
      </c>
      <c r="P1657" s="277">
        <f>P1658</f>
        <v>4</v>
      </c>
      <c r="Q1657" s="275">
        <f>R1657-P1657</f>
        <v>77.387238644802096</v>
      </c>
      <c r="R1657" s="276">
        <f>Потребление!F93</f>
        <v>81.387238644802096</v>
      </c>
      <c r="S1657" s="277">
        <f>S1658</f>
        <v>2.8</v>
      </c>
      <c r="T1657" s="275">
        <f>U1657-S1657</f>
        <v>60.095857376277223</v>
      </c>
      <c r="U1657" s="276">
        <f>Потребление!G93</f>
        <v>62.89585737627722</v>
      </c>
      <c r="V1657" s="277">
        <f>V1658</f>
        <v>2</v>
      </c>
      <c r="W1657" s="275">
        <f>X1657-V1657</f>
        <v>50.286090427731828</v>
      </c>
      <c r="X1657" s="276">
        <f>Потребление!H93</f>
        <v>52.286090427731828</v>
      </c>
      <c r="Y1657" s="277">
        <f>Y1658</f>
        <v>2</v>
      </c>
      <c r="Z1657" s="275">
        <f>AA1657-Y1657</f>
        <v>40.37989939166944</v>
      </c>
      <c r="AA1657" s="276">
        <f>Потребление!I93</f>
        <v>42.37989939166944</v>
      </c>
      <c r="AB1657" s="277">
        <f>AB1658</f>
        <v>1</v>
      </c>
      <c r="AC1657" s="275">
        <f>AD1657-AB1657</f>
        <v>42.864913446187302</v>
      </c>
      <c r="AD1657" s="276">
        <f>Потребление!J93</f>
        <v>43.864913446187302</v>
      </c>
      <c r="AE1657" s="277">
        <f>AE1658</f>
        <v>1</v>
      </c>
      <c r="AF1657" s="275">
        <f>AG1657-AE1657</f>
        <v>44.184661703275118</v>
      </c>
      <c r="AG1657" s="276">
        <f>Потребление!K93</f>
        <v>45.184661703275118</v>
      </c>
      <c r="AH1657" s="277">
        <f>AH1658</f>
        <v>2</v>
      </c>
      <c r="AI1657" s="275">
        <f>AJ1657-AH1657</f>
        <v>52.547340954032002</v>
      </c>
      <c r="AJ1657" s="276">
        <f>Потребление!L93</f>
        <v>54.547340954032002</v>
      </c>
      <c r="AK1657" s="277">
        <f>AK1658</f>
        <v>3.8</v>
      </c>
      <c r="AL1657" s="275">
        <f>AM1657-AK1657</f>
        <v>66.917887969003118</v>
      </c>
      <c r="AM1657" s="276">
        <f>Потребление!M93</f>
        <v>70.717887969003115</v>
      </c>
      <c r="AN1657" s="277">
        <f>AN1658</f>
        <v>4</v>
      </c>
      <c r="AO1657" s="275">
        <f>AP1657-AN1657</f>
        <v>79.208361395540123</v>
      </c>
      <c r="AP1657" s="276">
        <f>Потребление!N93</f>
        <v>83.208361395540123</v>
      </c>
      <c r="AQ1657" s="277">
        <f>AQ1658</f>
        <v>6</v>
      </c>
      <c r="AR1657" s="275">
        <f>AS1657-AQ1657</f>
        <v>92.83784176284756</v>
      </c>
      <c r="AS1657" s="276">
        <f>Потребление!O93</f>
        <v>98.83784176284756</v>
      </c>
      <c r="AT1657" s="277">
        <f>AT1658</f>
        <v>39.6</v>
      </c>
      <c r="AU1657" s="275">
        <f>AV1657-AT1657</f>
        <v>784.39999999999986</v>
      </c>
      <c r="AV1657" s="278">
        <f>L1657+O1657+R1657+U1657+X1657+AA1657+AD1657+AG1657+AJ1657+AM1657+AP1657+AS1657</f>
        <v>823.99999999999989</v>
      </c>
      <c r="AW1657" s="279"/>
      <c r="AX1657" s="1067">
        <v>807.91351399999996</v>
      </c>
      <c r="AY1657" s="298">
        <f>AY1658</f>
        <v>38.426740000000002</v>
      </c>
      <c r="AZ1657" s="357"/>
      <c r="BA1657"/>
      <c r="BB1657"/>
      <c r="BC1657"/>
    </row>
    <row r="1658" spans="1:55" s="24" customFormat="1">
      <c r="A1658" s="179"/>
      <c r="B1658" s="179"/>
      <c r="C1658" s="179"/>
      <c r="D1658" s="181"/>
      <c r="E1658" s="181"/>
      <c r="F1658" s="181"/>
      <c r="G1658" s="181"/>
      <c r="H1658" s="126" t="s">
        <v>56</v>
      </c>
      <c r="I1658" s="126"/>
      <c r="J1658" s="223">
        <f>J1659</f>
        <v>6</v>
      </c>
      <c r="K1658" s="271"/>
      <c r="L1658" s="224"/>
      <c r="M1658" s="223">
        <f>M1659</f>
        <v>5</v>
      </c>
      <c r="N1658" s="271"/>
      <c r="O1658" s="224"/>
      <c r="P1658" s="223">
        <f>P1659</f>
        <v>4</v>
      </c>
      <c r="Q1658" s="271"/>
      <c r="R1658" s="224"/>
      <c r="S1658" s="223">
        <f>S1659</f>
        <v>2.8</v>
      </c>
      <c r="T1658" s="271"/>
      <c r="U1658" s="224"/>
      <c r="V1658" s="223">
        <f>V1659</f>
        <v>2</v>
      </c>
      <c r="W1658" s="271"/>
      <c r="X1658" s="224"/>
      <c r="Y1658" s="223">
        <f>Y1659</f>
        <v>2</v>
      </c>
      <c r="Z1658" s="271"/>
      <c r="AA1658" s="224"/>
      <c r="AB1658" s="223">
        <f>AB1659</f>
        <v>1</v>
      </c>
      <c r="AC1658" s="271"/>
      <c r="AD1658" s="224"/>
      <c r="AE1658" s="223">
        <f>AE1659</f>
        <v>1</v>
      </c>
      <c r="AF1658" s="271"/>
      <c r="AG1658" s="224"/>
      <c r="AH1658" s="223">
        <f>AH1659</f>
        <v>2</v>
      </c>
      <c r="AI1658" s="271"/>
      <c r="AJ1658" s="224"/>
      <c r="AK1658" s="223">
        <f>AK1659</f>
        <v>3.8</v>
      </c>
      <c r="AL1658" s="271"/>
      <c r="AM1658" s="224"/>
      <c r="AN1658" s="223">
        <f>AN1659</f>
        <v>4</v>
      </c>
      <c r="AO1658" s="271"/>
      <c r="AP1658" s="224"/>
      <c r="AQ1658" s="223">
        <f>AQ1659</f>
        <v>6</v>
      </c>
      <c r="AR1658" s="271"/>
      <c r="AS1658" s="224"/>
      <c r="AT1658" s="223">
        <f>AT1659</f>
        <v>39.6</v>
      </c>
      <c r="AU1658" s="271"/>
      <c r="AV1658" s="229"/>
      <c r="AW1658" s="226"/>
      <c r="AX1658" s="230"/>
      <c r="AY1658" s="231">
        <f>AY1659</f>
        <v>38.426740000000002</v>
      </c>
      <c r="AZ1658" s="357"/>
      <c r="BA1658"/>
      <c r="BB1658"/>
      <c r="BC1658"/>
    </row>
    <row r="1659" spans="1:55" s="24" customFormat="1">
      <c r="A1659" s="179"/>
      <c r="B1659" s="179"/>
      <c r="C1659" s="179"/>
      <c r="D1659" s="181">
        <v>357143</v>
      </c>
      <c r="E1659" s="181"/>
      <c r="F1659" s="181"/>
      <c r="G1659" s="1110">
        <v>357143</v>
      </c>
      <c r="H1659" s="125" t="s">
        <v>495</v>
      </c>
      <c r="I1659" s="533" t="s">
        <v>365</v>
      </c>
      <c r="J1659" s="244">
        <v>6</v>
      </c>
      <c r="K1659" s="246"/>
      <c r="L1659" s="282"/>
      <c r="M1659" s="244">
        <v>5</v>
      </c>
      <c r="N1659" s="246"/>
      <c r="O1659" s="282"/>
      <c r="P1659" s="244">
        <v>4</v>
      </c>
      <c r="Q1659" s="246"/>
      <c r="R1659" s="282"/>
      <c r="S1659" s="244">
        <v>2.8</v>
      </c>
      <c r="T1659" s="246"/>
      <c r="U1659" s="282"/>
      <c r="V1659" s="244">
        <v>2</v>
      </c>
      <c r="W1659" s="246"/>
      <c r="X1659" s="282"/>
      <c r="Y1659" s="244">
        <v>2</v>
      </c>
      <c r="Z1659" s="246"/>
      <c r="AA1659" s="282"/>
      <c r="AB1659" s="244">
        <v>1</v>
      </c>
      <c r="AC1659" s="246"/>
      <c r="AD1659" s="282"/>
      <c r="AE1659" s="244">
        <v>1</v>
      </c>
      <c r="AF1659" s="246"/>
      <c r="AG1659" s="282"/>
      <c r="AH1659" s="244">
        <v>2</v>
      </c>
      <c r="AI1659" s="246"/>
      <c r="AJ1659" s="282"/>
      <c r="AK1659" s="244">
        <v>3.8</v>
      </c>
      <c r="AL1659" s="246"/>
      <c r="AM1659" s="282"/>
      <c r="AN1659" s="244">
        <v>4</v>
      </c>
      <c r="AO1659" s="246"/>
      <c r="AP1659" s="282"/>
      <c r="AQ1659" s="244">
        <v>6</v>
      </c>
      <c r="AR1659" s="246"/>
      <c r="AS1659" s="282"/>
      <c r="AT1659" s="244">
        <f>J1659+M1659+P1659+S1659+V1659+Y1659+AB1659+AE1659+AH1659+AK1659+AN1659+AQ1659</f>
        <v>39.6</v>
      </c>
      <c r="AU1659" s="246"/>
      <c r="AV1659" s="336"/>
      <c r="AW1659" s="285"/>
      <c r="AX1659" s="249"/>
      <c r="AY1659" s="438">
        <v>38.426740000000002</v>
      </c>
      <c r="AZ1659" s="357"/>
      <c r="BA1659"/>
      <c r="BB1659"/>
      <c r="BC1659"/>
    </row>
    <row r="1660" spans="1:55" ht="18.75">
      <c r="B1660" s="179"/>
      <c r="C1660" s="179"/>
      <c r="D1660" s="181">
        <v>357500</v>
      </c>
      <c r="E1660" s="181"/>
      <c r="F1660" s="181"/>
      <c r="G1660" s="181">
        <v>357500</v>
      </c>
      <c r="H1660" s="474" t="s">
        <v>1646</v>
      </c>
      <c r="I1660" s="474"/>
      <c r="J1660" s="277">
        <f>SUM(J1661:J1664)</f>
        <v>2108.5267432998048</v>
      </c>
      <c r="K1660" s="275">
        <f>L1660-J1660</f>
        <v>-579.09350923190732</v>
      </c>
      <c r="L1660" s="276">
        <f>Потребление!D94</f>
        <v>1529.4332340678975</v>
      </c>
      <c r="M1660" s="277">
        <f>SUM(M1661:M1664)</f>
        <v>1785.8372129453126</v>
      </c>
      <c r="N1660" s="275">
        <f>O1660-M1660</f>
        <v>-368.95097113471093</v>
      </c>
      <c r="O1660" s="276">
        <f>Потребление!E94</f>
        <v>1416.8862418106016</v>
      </c>
      <c r="P1660" s="277">
        <f>SUM(P1661:P1664)</f>
        <v>2060.4963236577146</v>
      </c>
      <c r="Q1660" s="275">
        <f>R1660-P1660</f>
        <v>-598.39030817230673</v>
      </c>
      <c r="R1660" s="276">
        <f>Потребление!F94</f>
        <v>1462.1060154854079</v>
      </c>
      <c r="S1660" s="277">
        <f>SUM(S1661:S1664)</f>
        <v>1855.3822636748046</v>
      </c>
      <c r="T1660" s="275">
        <f>U1660-S1660</f>
        <v>-481.70602782012929</v>
      </c>
      <c r="U1660" s="276">
        <f>Потребление!G94</f>
        <v>1373.6762358546753</v>
      </c>
      <c r="V1660" s="277">
        <f>SUM(V1661:V1664)</f>
        <v>2008.9111396293945</v>
      </c>
      <c r="W1660" s="275">
        <f>X1660-V1660</f>
        <v>-636.23978763415926</v>
      </c>
      <c r="X1660" s="276">
        <f>Потребление!H94</f>
        <v>1372.6713519952352</v>
      </c>
      <c r="Y1660" s="277">
        <f>SUM(Y1661:Y1664)</f>
        <v>2200.3912237524414</v>
      </c>
      <c r="Z1660" s="275">
        <f>AA1660-Y1660</f>
        <v>-909.1154643718578</v>
      </c>
      <c r="AA1660" s="276">
        <f>Потребление!I94</f>
        <v>1291.2757593805836</v>
      </c>
      <c r="AB1660" s="277">
        <f>SUM(AB1661:AB1664)</f>
        <v>2137.0378228178715</v>
      </c>
      <c r="AC1660" s="275">
        <f>AD1660-AB1660</f>
        <v>-798.53252204360115</v>
      </c>
      <c r="AD1660" s="276">
        <f>Потребление!J94</f>
        <v>1338.5053007742704</v>
      </c>
      <c r="AE1660" s="277">
        <f>SUM(AE1661:AE1664)</f>
        <v>2336.1183044664917</v>
      </c>
      <c r="AF1660" s="275">
        <f>AG1660-AE1660</f>
        <v>-974.50067492509788</v>
      </c>
      <c r="AG1660" s="276">
        <f>Потребление!K94</f>
        <v>1361.6176295413939</v>
      </c>
      <c r="AH1660" s="277">
        <f>SUM(AH1661:AH1664)</f>
        <v>2404.6991296835122</v>
      </c>
      <c r="AI1660" s="275">
        <f>AJ1660-AH1660</f>
        <v>-1062.1742934714812</v>
      </c>
      <c r="AJ1660" s="276">
        <f>Потребление!L94</f>
        <v>1342.524836212031</v>
      </c>
      <c r="AK1660" s="277">
        <f>SUM(AK1661:AK1664)</f>
        <v>2180.3402632660932</v>
      </c>
      <c r="AL1660" s="275">
        <f>AM1660-AK1660</f>
        <v>-743.35634426668867</v>
      </c>
      <c r="AM1660" s="276">
        <f>Потребление!M94</f>
        <v>1436.9839189994045</v>
      </c>
      <c r="AN1660" s="277">
        <f>SUM(AN1661:AN1664)</f>
        <v>2047.8006992285157</v>
      </c>
      <c r="AO1660" s="275">
        <f>AP1660-AN1660</f>
        <v>-618.85585110463239</v>
      </c>
      <c r="AP1660" s="276">
        <f>Потребление!N94</f>
        <v>1428.9448481238833</v>
      </c>
      <c r="AQ1660" s="277">
        <f>SUM(AQ1661:AQ1664)</f>
        <v>2135.1571206059571</v>
      </c>
      <c r="AR1660" s="275">
        <f>AS1660-AQ1660</f>
        <v>-617.7824928513412</v>
      </c>
      <c r="AS1660" s="276">
        <f>Потребление!O94</f>
        <v>1517.3746277546159</v>
      </c>
      <c r="AT1660" s="277">
        <f>SUM(AT1661:AT1664)</f>
        <v>25260.698247027918</v>
      </c>
      <c r="AU1660" s="275">
        <f>AV1660-AT1660</f>
        <v>-8388.6982470279181</v>
      </c>
      <c r="AV1660" s="278">
        <f>L1660+O1660+R1660+U1660+X1660+AA1660+AD1660+AG1660+AJ1660+AM1660+AP1660+AS1660</f>
        <v>16872</v>
      </c>
      <c r="AW1660" s="279"/>
      <c r="AX1660" s="1067">
        <v>16830.112718</v>
      </c>
      <c r="AY1660" s="298">
        <f>SUM(AY1661:AY1664)</f>
        <v>29787.215083999999</v>
      </c>
      <c r="AZ1660" s="261"/>
    </row>
    <row r="1661" spans="1:55">
      <c r="B1661" s="179"/>
      <c r="C1661" s="179"/>
      <c r="D1661" s="181"/>
      <c r="E1661" s="181"/>
      <c r="F1661" s="181"/>
      <c r="G1661" s="181"/>
      <c r="H1661" s="126" t="s">
        <v>56</v>
      </c>
      <c r="I1661" s="126"/>
      <c r="J1661" s="223">
        <f>J1667</f>
        <v>223.903761</v>
      </c>
      <c r="K1661" s="271"/>
      <c r="L1661" s="224"/>
      <c r="M1661" s="270">
        <f>M1667</f>
        <v>169.542385</v>
      </c>
      <c r="N1661" s="271"/>
      <c r="O1661" s="224"/>
      <c r="P1661" s="270">
        <f>P1667</f>
        <v>171.709937</v>
      </c>
      <c r="Q1661" s="271"/>
      <c r="R1661" s="224"/>
      <c r="S1661" s="270">
        <f>S1667</f>
        <v>138.06279699999999</v>
      </c>
      <c r="T1661" s="271"/>
      <c r="U1661" s="224"/>
      <c r="V1661" s="270">
        <f>V1667</f>
        <v>127.38113200000001</v>
      </c>
      <c r="W1661" s="271"/>
      <c r="X1661" s="224"/>
      <c r="Y1661" s="270">
        <f>Y1667</f>
        <v>102.298315</v>
      </c>
      <c r="Z1661" s="271"/>
      <c r="AA1661" s="224"/>
      <c r="AB1661" s="270">
        <f>AB1667</f>
        <v>108.978297</v>
      </c>
      <c r="AC1661" s="271"/>
      <c r="AD1661" s="224"/>
      <c r="AE1661" s="270">
        <f>AE1667</f>
        <v>79.582931000000002</v>
      </c>
      <c r="AF1661" s="271"/>
      <c r="AG1661" s="224"/>
      <c r="AH1661" s="270">
        <f>AH1667</f>
        <v>90.930076999999997</v>
      </c>
      <c r="AI1661" s="271"/>
      <c r="AJ1661" s="224"/>
      <c r="AK1661" s="270">
        <f>AK1667</f>
        <v>132.09346500000001</v>
      </c>
      <c r="AL1661" s="271"/>
      <c r="AM1661" s="224"/>
      <c r="AN1661" s="270">
        <f>AN1667</f>
        <v>200.04611499999999</v>
      </c>
      <c r="AO1661" s="271"/>
      <c r="AP1661" s="224"/>
      <c r="AQ1661" s="270">
        <f>AQ1667</f>
        <v>212.32673699999998</v>
      </c>
      <c r="AR1661" s="271"/>
      <c r="AS1661" s="224"/>
      <c r="AT1661" s="270">
        <f>AT1667</f>
        <v>1756.8559490000002</v>
      </c>
      <c r="AU1661" s="271"/>
      <c r="AV1661" s="229"/>
      <c r="AW1661" s="226"/>
      <c r="AX1661" s="230"/>
      <c r="AY1661" s="231">
        <f>AY1667</f>
        <v>2304.3867730000002</v>
      </c>
      <c r="AZ1661" s="261"/>
    </row>
    <row r="1662" spans="1:55" s="92" customFormat="1">
      <c r="A1662" s="179"/>
      <c r="B1662" s="179"/>
      <c r="C1662" s="179"/>
      <c r="D1662" s="181"/>
      <c r="E1662" s="181"/>
      <c r="F1662" s="181"/>
      <c r="G1662" s="181"/>
      <c r="H1662" s="126" t="s">
        <v>55</v>
      </c>
      <c r="I1662" s="126"/>
      <c r="J1662" s="223">
        <f>SUM(J1665:J1666)</f>
        <v>1879.0199822998047</v>
      </c>
      <c r="K1662" s="271"/>
      <c r="L1662" s="224"/>
      <c r="M1662" s="223">
        <f>SUM(M1665:M1666)</f>
        <v>1611.0150439453125</v>
      </c>
      <c r="N1662" s="271"/>
      <c r="O1662" s="224"/>
      <c r="P1662" s="223">
        <f>SUM(P1665:P1666)</f>
        <v>1883.0653866577147</v>
      </c>
      <c r="Q1662" s="271"/>
      <c r="R1662" s="224"/>
      <c r="S1662" s="223">
        <f>SUM(S1665:S1666)</f>
        <v>1712.4614666748046</v>
      </c>
      <c r="T1662" s="271"/>
      <c r="U1662" s="224"/>
      <c r="V1662" s="223">
        <f>SUM(V1665:V1666)</f>
        <v>1878.0900076293944</v>
      </c>
      <c r="W1662" s="271"/>
      <c r="X1662" s="224"/>
      <c r="Y1662" s="223">
        <f>SUM(Y1665:Y1666)</f>
        <v>2094.6899087524412</v>
      </c>
      <c r="Z1662" s="271"/>
      <c r="AA1662" s="224"/>
      <c r="AB1662" s="223">
        <f>SUM(AB1665:AB1666)</f>
        <v>2024.8055258178711</v>
      </c>
      <c r="AC1662" s="271"/>
      <c r="AD1662" s="224"/>
      <c r="AE1662" s="223">
        <f>SUM(AE1665:AE1666)</f>
        <v>2253.2423734664917</v>
      </c>
      <c r="AF1662" s="271"/>
      <c r="AG1662" s="224"/>
      <c r="AH1662" s="223">
        <f>SUM(AH1665:AH1666)</f>
        <v>2310.6240526835122</v>
      </c>
      <c r="AI1662" s="271"/>
      <c r="AJ1662" s="224"/>
      <c r="AK1662" s="223">
        <f>SUM(AK1665:AK1666)</f>
        <v>2043.949798266093</v>
      </c>
      <c r="AL1662" s="271"/>
      <c r="AM1662" s="224"/>
      <c r="AN1662" s="223">
        <f>SUM(AN1665:AN1666)</f>
        <v>1843.1175842285156</v>
      </c>
      <c r="AO1662" s="271"/>
      <c r="AP1662" s="224"/>
      <c r="AQ1662" s="223">
        <f>SUM(AQ1665:AQ1666)</f>
        <v>1917.365383605957</v>
      </c>
      <c r="AR1662" s="271"/>
      <c r="AS1662" s="224"/>
      <c r="AT1662" s="223">
        <f>SUM(AT1665:AT1666)</f>
        <v>23451.446514027917</v>
      </c>
      <c r="AU1662" s="271"/>
      <c r="AV1662" s="229"/>
      <c r="AW1662" s="226"/>
      <c r="AX1662" s="230"/>
      <c r="AY1662" s="231">
        <f>SUM(AY1665:AY1666)</f>
        <v>27442.979779000001</v>
      </c>
      <c r="AZ1662" s="306"/>
      <c r="BA1662"/>
      <c r="BB1662"/>
      <c r="BC1662"/>
    </row>
    <row r="1663" spans="1:55" s="92" customFormat="1">
      <c r="A1663" s="179"/>
      <c r="B1663" s="179"/>
      <c r="C1663" s="179"/>
      <c r="D1663" s="181"/>
      <c r="E1663" s="181"/>
      <c r="F1663" s="181"/>
      <c r="G1663" s="181"/>
      <c r="H1663" s="126" t="s">
        <v>347</v>
      </c>
      <c r="I1663" s="126"/>
      <c r="J1663" s="223">
        <f>J1670</f>
        <v>0.16300000000000001</v>
      </c>
      <c r="K1663" s="271"/>
      <c r="L1663" s="224"/>
      <c r="M1663" s="223">
        <f>M1670</f>
        <v>0.27978399999999998</v>
      </c>
      <c r="N1663" s="271"/>
      <c r="O1663" s="224"/>
      <c r="P1663" s="223">
        <f>P1670</f>
        <v>0.68100000000000005</v>
      </c>
      <c r="Q1663" s="271"/>
      <c r="R1663" s="224"/>
      <c r="S1663" s="223">
        <f>S1670</f>
        <v>0.66800000000000004</v>
      </c>
      <c r="T1663" s="271"/>
      <c r="U1663" s="224"/>
      <c r="V1663" s="223">
        <f>V1670</f>
        <v>0.72</v>
      </c>
      <c r="W1663" s="271"/>
      <c r="X1663" s="224"/>
      <c r="Y1663" s="223">
        <f>Y1670</f>
        <v>0.873</v>
      </c>
      <c r="Z1663" s="271"/>
      <c r="AA1663" s="224"/>
      <c r="AB1663" s="223">
        <f>AB1670</f>
        <v>0.72399999999999998</v>
      </c>
      <c r="AC1663" s="271"/>
      <c r="AD1663" s="224"/>
      <c r="AE1663" s="223">
        <f>AE1670</f>
        <v>0.73299999999999998</v>
      </c>
      <c r="AF1663" s="271"/>
      <c r="AG1663" s="224"/>
      <c r="AH1663" s="223">
        <f>AH1670</f>
        <v>0.53500000000000003</v>
      </c>
      <c r="AI1663" s="271"/>
      <c r="AJ1663" s="224"/>
      <c r="AK1663" s="223">
        <f>AK1670</f>
        <v>0.377</v>
      </c>
      <c r="AL1663" s="271"/>
      <c r="AM1663" s="224"/>
      <c r="AN1663" s="223">
        <f>AN1670</f>
        <v>0.19700000000000001</v>
      </c>
      <c r="AO1663" s="271"/>
      <c r="AP1663" s="224"/>
      <c r="AQ1663" s="223">
        <f>AQ1670</f>
        <v>0.125</v>
      </c>
      <c r="AR1663" s="271"/>
      <c r="AS1663" s="224"/>
      <c r="AT1663" s="223">
        <f>AT1670</f>
        <v>6.0757840000000005</v>
      </c>
      <c r="AU1663" s="271"/>
      <c r="AV1663" s="229"/>
      <c r="AW1663" s="226"/>
      <c r="AX1663" s="230"/>
      <c r="AY1663" s="231">
        <f>AY1670</f>
        <v>6.006526</v>
      </c>
      <c r="AZ1663" s="306"/>
      <c r="BA1663"/>
      <c r="BB1663"/>
      <c r="BC1663"/>
    </row>
    <row r="1664" spans="1:55">
      <c r="B1664" s="179"/>
      <c r="C1664" s="179"/>
      <c r="D1664" s="181"/>
      <c r="E1664" s="181"/>
      <c r="F1664" s="181"/>
      <c r="G1664" s="181"/>
      <c r="H1664" s="124" t="s">
        <v>184</v>
      </c>
      <c r="I1664" s="124"/>
      <c r="J1664" s="223">
        <f>J1671</f>
        <v>5.44</v>
      </c>
      <c r="K1664" s="271"/>
      <c r="L1664" s="224"/>
      <c r="M1664" s="223">
        <f>M1671</f>
        <v>5</v>
      </c>
      <c r="N1664" s="271"/>
      <c r="O1664" s="224"/>
      <c r="P1664" s="223">
        <f>P1671</f>
        <v>5.04</v>
      </c>
      <c r="Q1664" s="271"/>
      <c r="R1664" s="224"/>
      <c r="S1664" s="223">
        <f>S1671</f>
        <v>4.1900000000000004</v>
      </c>
      <c r="T1664" s="271"/>
      <c r="U1664" s="224"/>
      <c r="V1664" s="223">
        <f>V1671</f>
        <v>2.72</v>
      </c>
      <c r="W1664" s="271"/>
      <c r="X1664" s="224"/>
      <c r="Y1664" s="223">
        <f>Y1671</f>
        <v>2.5299999999999998</v>
      </c>
      <c r="Z1664" s="271"/>
      <c r="AA1664" s="224"/>
      <c r="AB1664" s="223">
        <f>AB1671</f>
        <v>2.5299999999999998</v>
      </c>
      <c r="AC1664" s="271"/>
      <c r="AD1664" s="224"/>
      <c r="AE1664" s="223">
        <f>AE1671</f>
        <v>2.56</v>
      </c>
      <c r="AF1664" s="271"/>
      <c r="AG1664" s="224"/>
      <c r="AH1664" s="223">
        <f>AH1671</f>
        <v>2.61</v>
      </c>
      <c r="AI1664" s="271"/>
      <c r="AJ1664" s="224"/>
      <c r="AK1664" s="223">
        <f>AK1671</f>
        <v>3.92</v>
      </c>
      <c r="AL1664" s="271"/>
      <c r="AM1664" s="224"/>
      <c r="AN1664" s="223">
        <f>AN1671</f>
        <v>4.4400000000000004</v>
      </c>
      <c r="AO1664" s="271"/>
      <c r="AP1664" s="224"/>
      <c r="AQ1664" s="223">
        <f>AQ1671</f>
        <v>5.34</v>
      </c>
      <c r="AR1664" s="271"/>
      <c r="AS1664" s="224"/>
      <c r="AT1664" s="223">
        <f>AT1671</f>
        <v>46.320000000000007</v>
      </c>
      <c r="AU1664" s="271"/>
      <c r="AV1664" s="229"/>
      <c r="AW1664" s="226"/>
      <c r="AX1664" s="230"/>
      <c r="AY1664" s="231">
        <f>AY1671</f>
        <v>33.842005999999998</v>
      </c>
      <c r="AZ1664" s="261"/>
    </row>
    <row r="1665" spans="1:55">
      <c r="B1665" s="179"/>
      <c r="C1665" s="179"/>
      <c r="D1665" s="181">
        <v>357128</v>
      </c>
      <c r="E1665" s="181"/>
      <c r="F1665" s="181"/>
      <c r="G1665" s="1110">
        <v>357128</v>
      </c>
      <c r="H1665" s="122" t="s">
        <v>731</v>
      </c>
      <c r="I1665" s="516" t="s">
        <v>364</v>
      </c>
      <c r="J1665" s="824">
        <f>ГЭС!C189</f>
        <v>1759.538798828125</v>
      </c>
      <c r="K1665" s="521"/>
      <c r="L1665" s="522"/>
      <c r="M1665" s="638">
        <f>ГЭС!D189</f>
        <v>1505.2984375000001</v>
      </c>
      <c r="N1665" s="521"/>
      <c r="O1665" s="522"/>
      <c r="P1665" s="638">
        <f>ГЭС!E189</f>
        <v>1763.254345703125</v>
      </c>
      <c r="Q1665" s="521"/>
      <c r="R1665" s="522"/>
      <c r="S1665" s="638">
        <f>ГЭС!G189</f>
        <v>1607.1372216796874</v>
      </c>
      <c r="T1665" s="521"/>
      <c r="U1665" s="522"/>
      <c r="V1665" s="638">
        <f>ГЭС!H189</f>
        <v>1761.0704589843749</v>
      </c>
      <c r="W1665" s="521"/>
      <c r="X1665" s="522"/>
      <c r="Y1665" s="638">
        <f>ГЭС!I189</f>
        <v>1971.2193408203125</v>
      </c>
      <c r="Z1665" s="521"/>
      <c r="AA1665" s="522"/>
      <c r="AB1665" s="638">
        <f>ГЭС!K189</f>
        <v>1905.5572998046875</v>
      </c>
      <c r="AC1665" s="521"/>
      <c r="AD1665" s="522"/>
      <c r="AE1665" s="638">
        <f>ГЭС!L189</f>
        <v>2128.6350606282554</v>
      </c>
      <c r="AF1665" s="521"/>
      <c r="AG1665" s="522"/>
      <c r="AH1665" s="638">
        <f>ГЭС!M189</f>
        <v>2187.2565765380859</v>
      </c>
      <c r="AI1665" s="521"/>
      <c r="AJ1665" s="522"/>
      <c r="AK1665" s="638">
        <f>ГЭС!O189</f>
        <v>1928.7057189941406</v>
      </c>
      <c r="AL1665" s="521"/>
      <c r="AM1665" s="522"/>
      <c r="AN1665" s="638">
        <f>ГЭС!P189</f>
        <v>1732.3737436930339</v>
      </c>
      <c r="AO1665" s="521"/>
      <c r="AP1665" s="522"/>
      <c r="AQ1665" s="638">
        <f>ГЭС!Q189</f>
        <v>1796.9219189453124</v>
      </c>
      <c r="AR1665" s="397"/>
      <c r="AS1665" s="412"/>
      <c r="AT1665" s="638">
        <f t="shared" ref="AT1665:AT1673" si="68">J1665+M1665+P1665+S1665+V1665+Y1665+AB1665+AE1665+AH1665+AK1665+AN1665+AQ1665</f>
        <v>22046.968922119144</v>
      </c>
      <c r="AU1665" s="246"/>
      <c r="AV1665" s="336"/>
      <c r="AW1665" s="285"/>
      <c r="AX1665" s="249"/>
      <c r="AY1665" s="438">
        <v>26017.850545000001</v>
      </c>
      <c r="AZ1665" s="261"/>
    </row>
    <row r="1666" spans="1:55">
      <c r="B1666" s="179"/>
      <c r="C1666" s="179"/>
      <c r="D1666" s="181">
        <v>357129</v>
      </c>
      <c r="E1666" s="181"/>
      <c r="F1666" s="181"/>
      <c r="G1666" s="1110">
        <v>357129</v>
      </c>
      <c r="H1666" s="125" t="s">
        <v>732</v>
      </c>
      <c r="I1666" s="516" t="s">
        <v>364</v>
      </c>
      <c r="J1666" s="824">
        <f>ГЭС!C190</f>
        <v>119.48118347167969</v>
      </c>
      <c r="K1666" s="521"/>
      <c r="L1666" s="522"/>
      <c r="M1666" s="638">
        <f>ГЭС!D190</f>
        <v>105.71660644531249</v>
      </c>
      <c r="N1666" s="521"/>
      <c r="O1666" s="522"/>
      <c r="P1666" s="638">
        <f>ГЭС!E190</f>
        <v>119.81104095458984</v>
      </c>
      <c r="Q1666" s="521"/>
      <c r="R1666" s="522"/>
      <c r="S1666" s="638">
        <f>ГЭС!G190</f>
        <v>105.32424499511718</v>
      </c>
      <c r="T1666" s="521"/>
      <c r="U1666" s="522"/>
      <c r="V1666" s="638">
        <f>ГЭС!H190</f>
        <v>117.01954864501953</v>
      </c>
      <c r="W1666" s="521"/>
      <c r="X1666" s="522"/>
      <c r="Y1666" s="638">
        <f>ГЭС!I190</f>
        <v>123.4705679321289</v>
      </c>
      <c r="Z1666" s="521"/>
      <c r="AA1666" s="522"/>
      <c r="AB1666" s="638">
        <f>ГЭС!K190</f>
        <v>119.2482260131836</v>
      </c>
      <c r="AC1666" s="521"/>
      <c r="AD1666" s="522"/>
      <c r="AE1666" s="638">
        <f>ГЭС!L190</f>
        <v>124.6073128382365</v>
      </c>
      <c r="AF1666" s="521"/>
      <c r="AG1666" s="522"/>
      <c r="AH1666" s="638">
        <f>ГЭС!M190</f>
        <v>123.36747614542644</v>
      </c>
      <c r="AI1666" s="521"/>
      <c r="AJ1666" s="522"/>
      <c r="AK1666" s="638">
        <f>ГЭС!O190</f>
        <v>115.24407927195232</v>
      </c>
      <c r="AL1666" s="521"/>
      <c r="AM1666" s="522"/>
      <c r="AN1666" s="638">
        <f>ГЭС!P190</f>
        <v>110.74384053548177</v>
      </c>
      <c r="AO1666" s="521"/>
      <c r="AP1666" s="522"/>
      <c r="AQ1666" s="638">
        <f>ГЭС!Q190</f>
        <v>120.44346466064454</v>
      </c>
      <c r="AR1666" s="397"/>
      <c r="AS1666" s="412"/>
      <c r="AT1666" s="638">
        <f t="shared" si="68"/>
        <v>1404.4775919087729</v>
      </c>
      <c r="AU1666" s="246"/>
      <c r="AV1666" s="336"/>
      <c r="AW1666" s="285"/>
      <c r="AX1666" s="249"/>
      <c r="AY1666" s="438">
        <v>1425.129234</v>
      </c>
      <c r="AZ1666" s="261"/>
    </row>
    <row r="1667" spans="1:55">
      <c r="B1667" s="179"/>
      <c r="C1667" s="179"/>
      <c r="D1667" s="181">
        <v>357135</v>
      </c>
      <c r="E1667" s="181"/>
      <c r="F1667" s="181"/>
      <c r="G1667" s="1110">
        <v>357135</v>
      </c>
      <c r="H1667" s="134" t="s">
        <v>1060</v>
      </c>
      <c r="I1667" s="516" t="s">
        <v>364</v>
      </c>
      <c r="J1667" s="262">
        <f>J1668+J1669</f>
        <v>223.903761</v>
      </c>
      <c r="K1667" s="246"/>
      <c r="L1667" s="282"/>
      <c r="M1667" s="317">
        <f>M1668+M1669</f>
        <v>169.542385</v>
      </c>
      <c r="N1667" s="246"/>
      <c r="O1667" s="282"/>
      <c r="P1667" s="317">
        <f>P1668+P1669</f>
        <v>171.709937</v>
      </c>
      <c r="Q1667" s="246"/>
      <c r="R1667" s="282"/>
      <c r="S1667" s="317">
        <f>S1668+S1669</f>
        <v>138.06279699999999</v>
      </c>
      <c r="T1667" s="246"/>
      <c r="U1667" s="282"/>
      <c r="V1667" s="317">
        <f>V1668+V1669</f>
        <v>127.38113200000001</v>
      </c>
      <c r="W1667" s="246"/>
      <c r="X1667" s="282"/>
      <c r="Y1667" s="317">
        <f>Y1668+Y1669</f>
        <v>102.298315</v>
      </c>
      <c r="Z1667" s="246"/>
      <c r="AA1667" s="282"/>
      <c r="AB1667" s="317">
        <f>AB1668+AB1669</f>
        <v>108.978297</v>
      </c>
      <c r="AC1667" s="246"/>
      <c r="AD1667" s="282"/>
      <c r="AE1667" s="317">
        <f>AE1668+AE1669</f>
        <v>79.582931000000002</v>
      </c>
      <c r="AF1667" s="246"/>
      <c r="AG1667" s="282"/>
      <c r="AH1667" s="317">
        <f>AH1668+AH1669</f>
        <v>90.930076999999997</v>
      </c>
      <c r="AI1667" s="246"/>
      <c r="AJ1667" s="282"/>
      <c r="AK1667" s="317">
        <f>AK1668+AK1669</f>
        <v>132.09346500000001</v>
      </c>
      <c r="AL1667" s="246"/>
      <c r="AM1667" s="282"/>
      <c r="AN1667" s="317">
        <f>AN1668+AN1669</f>
        <v>200.04611499999999</v>
      </c>
      <c r="AO1667" s="246"/>
      <c r="AP1667" s="282"/>
      <c r="AQ1667" s="317">
        <f>AQ1668+AQ1669</f>
        <v>212.32673699999998</v>
      </c>
      <c r="AR1667" s="246"/>
      <c r="AS1667" s="282"/>
      <c r="AT1667" s="317">
        <f>AT1668+AT1669</f>
        <v>1756.8559490000002</v>
      </c>
      <c r="AU1667" s="246"/>
      <c r="AV1667" s="336"/>
      <c r="AW1667" s="285"/>
      <c r="AX1667" s="249"/>
      <c r="AY1667" s="1068">
        <v>2304.3867730000002</v>
      </c>
      <c r="AZ1667" s="261"/>
    </row>
    <row r="1668" spans="1:55">
      <c r="B1668" s="179"/>
      <c r="C1668" s="179"/>
      <c r="D1668" s="181">
        <v>610023</v>
      </c>
      <c r="E1668" s="181"/>
      <c r="F1668" s="181"/>
      <c r="G1668" s="1110"/>
      <c r="H1668" s="122" t="s">
        <v>1466</v>
      </c>
      <c r="I1668" s="122"/>
      <c r="J1668" s="244">
        <v>171.864</v>
      </c>
      <c r="K1668" s="246"/>
      <c r="L1668" s="282"/>
      <c r="M1668" s="244">
        <v>130.84813800000001</v>
      </c>
      <c r="N1668" s="246"/>
      <c r="O1668" s="282"/>
      <c r="P1668" s="244">
        <v>124.057953</v>
      </c>
      <c r="Q1668" s="246"/>
      <c r="R1668" s="282"/>
      <c r="S1668" s="244">
        <v>107.86062699999999</v>
      </c>
      <c r="T1668" s="246"/>
      <c r="U1668" s="282"/>
      <c r="V1668" s="244">
        <v>91.323569000000006</v>
      </c>
      <c r="W1668" s="246"/>
      <c r="X1668" s="282"/>
      <c r="Y1668" s="244">
        <v>75.069198</v>
      </c>
      <c r="Z1668" s="246"/>
      <c r="AA1668" s="282"/>
      <c r="AB1668" s="244">
        <v>76.074524999999994</v>
      </c>
      <c r="AC1668" s="246"/>
      <c r="AD1668" s="282"/>
      <c r="AE1668" s="244">
        <v>59.065102000000003</v>
      </c>
      <c r="AF1668" s="246"/>
      <c r="AG1668" s="282"/>
      <c r="AH1668" s="244">
        <v>72.447762999999995</v>
      </c>
      <c r="AI1668" s="246"/>
      <c r="AJ1668" s="282"/>
      <c r="AK1668" s="244">
        <v>95.220905000000002</v>
      </c>
      <c r="AL1668" s="246"/>
      <c r="AM1668" s="282"/>
      <c r="AN1668" s="244">
        <v>132.95308399999999</v>
      </c>
      <c r="AO1668" s="246"/>
      <c r="AP1668" s="282"/>
      <c r="AQ1668" s="244">
        <v>147.31171499999999</v>
      </c>
      <c r="AR1668" s="246"/>
      <c r="AS1668" s="282"/>
      <c r="AT1668" s="244">
        <f t="shared" si="68"/>
        <v>1284.0965790000002</v>
      </c>
      <c r="AU1668" s="246"/>
      <c r="AV1668" s="336"/>
      <c r="AW1668" s="285"/>
      <c r="AX1668" s="249"/>
      <c r="AY1668" s="338"/>
      <c r="AZ1668" s="261"/>
    </row>
    <row r="1669" spans="1:55">
      <c r="B1669" s="179"/>
      <c r="C1669" s="179"/>
      <c r="D1669" s="181"/>
      <c r="E1669" s="181"/>
      <c r="F1669" s="181"/>
      <c r="G1669" s="1110"/>
      <c r="H1669" s="122" t="s">
        <v>1467</v>
      </c>
      <c r="I1669" s="122"/>
      <c r="J1669" s="244">
        <v>52.039760999999999</v>
      </c>
      <c r="K1669" s="246"/>
      <c r="L1669" s="282"/>
      <c r="M1669" s="244">
        <v>38.694246999999997</v>
      </c>
      <c r="N1669" s="246"/>
      <c r="O1669" s="282"/>
      <c r="P1669" s="244">
        <v>47.651983999999999</v>
      </c>
      <c r="Q1669" s="246"/>
      <c r="R1669" s="282"/>
      <c r="S1669" s="244">
        <v>30.202169999999999</v>
      </c>
      <c r="T1669" s="246"/>
      <c r="U1669" s="282"/>
      <c r="V1669" s="244">
        <v>36.057563000000002</v>
      </c>
      <c r="W1669" s="246"/>
      <c r="X1669" s="282"/>
      <c r="Y1669" s="244">
        <v>27.229116999999999</v>
      </c>
      <c r="Z1669" s="246"/>
      <c r="AA1669" s="282"/>
      <c r="AB1669" s="244">
        <v>32.903772000000004</v>
      </c>
      <c r="AC1669" s="246"/>
      <c r="AD1669" s="282"/>
      <c r="AE1669" s="244">
        <v>20.517828999999999</v>
      </c>
      <c r="AF1669" s="246"/>
      <c r="AG1669" s="282"/>
      <c r="AH1669" s="244">
        <v>18.482313999999999</v>
      </c>
      <c r="AI1669" s="246"/>
      <c r="AJ1669" s="282"/>
      <c r="AK1669" s="244">
        <v>36.87256</v>
      </c>
      <c r="AL1669" s="246"/>
      <c r="AM1669" s="282"/>
      <c r="AN1669" s="244">
        <v>67.093030999999996</v>
      </c>
      <c r="AO1669" s="246"/>
      <c r="AP1669" s="282"/>
      <c r="AQ1669" s="244">
        <v>65.015022000000002</v>
      </c>
      <c r="AR1669" s="246"/>
      <c r="AS1669" s="282"/>
      <c r="AT1669" s="244">
        <f t="shared" si="68"/>
        <v>472.75936999999993</v>
      </c>
      <c r="AU1669" s="246"/>
      <c r="AV1669" s="336"/>
      <c r="AW1669" s="285"/>
      <c r="AX1669" s="249"/>
      <c r="AY1669" s="338"/>
      <c r="AZ1669" s="261"/>
    </row>
    <row r="1670" spans="1:55">
      <c r="B1670" s="179"/>
      <c r="C1670" s="179"/>
      <c r="D1670" s="181">
        <v>777175</v>
      </c>
      <c r="E1670" s="181"/>
      <c r="F1670" s="181"/>
      <c r="G1670" s="1110">
        <v>777175</v>
      </c>
      <c r="H1670" s="122" t="s">
        <v>1203</v>
      </c>
      <c r="I1670" s="828" t="s">
        <v>364</v>
      </c>
      <c r="J1670" s="244">
        <v>0.16300000000000001</v>
      </c>
      <c r="K1670" s="246"/>
      <c r="L1670" s="282"/>
      <c r="M1670" s="244">
        <v>0.27978399999999998</v>
      </c>
      <c r="N1670" s="246"/>
      <c r="O1670" s="282"/>
      <c r="P1670" s="244">
        <v>0.68100000000000005</v>
      </c>
      <c r="Q1670" s="246"/>
      <c r="R1670" s="282"/>
      <c r="S1670" s="244">
        <v>0.66800000000000004</v>
      </c>
      <c r="T1670" s="246"/>
      <c r="U1670" s="282"/>
      <c r="V1670" s="244">
        <v>0.72</v>
      </c>
      <c r="W1670" s="246"/>
      <c r="X1670" s="282"/>
      <c r="Y1670" s="244">
        <v>0.873</v>
      </c>
      <c r="Z1670" s="246"/>
      <c r="AA1670" s="282"/>
      <c r="AB1670" s="244">
        <v>0.72399999999999998</v>
      </c>
      <c r="AC1670" s="246"/>
      <c r="AD1670" s="282"/>
      <c r="AE1670" s="244">
        <v>0.73299999999999998</v>
      </c>
      <c r="AF1670" s="246"/>
      <c r="AG1670" s="282"/>
      <c r="AH1670" s="244">
        <v>0.53500000000000003</v>
      </c>
      <c r="AI1670" s="246"/>
      <c r="AJ1670" s="282"/>
      <c r="AK1670" s="244">
        <v>0.377</v>
      </c>
      <c r="AL1670" s="246"/>
      <c r="AM1670" s="282"/>
      <c r="AN1670" s="244">
        <v>0.19700000000000001</v>
      </c>
      <c r="AO1670" s="246"/>
      <c r="AP1670" s="282"/>
      <c r="AQ1670" s="244">
        <v>0.125</v>
      </c>
      <c r="AR1670" s="246"/>
      <c r="AS1670" s="282"/>
      <c r="AT1670" s="244">
        <f t="shared" si="68"/>
        <v>6.0757840000000005</v>
      </c>
      <c r="AU1670" s="246"/>
      <c r="AV1670" s="336"/>
      <c r="AW1670" s="285"/>
      <c r="AX1670" s="249"/>
      <c r="AY1670" s="438">
        <v>6.006526</v>
      </c>
      <c r="AZ1670" s="261"/>
    </row>
    <row r="1671" spans="1:55">
      <c r="B1671" s="179"/>
      <c r="C1671" s="179"/>
      <c r="D1671" s="181"/>
      <c r="E1671" s="181"/>
      <c r="F1671" s="181"/>
      <c r="G1671" s="1110"/>
      <c r="H1671" s="138" t="s">
        <v>174</v>
      </c>
      <c r="I1671" s="138"/>
      <c r="J1671" s="319">
        <f>SUM(J1672:J1673)</f>
        <v>5.44</v>
      </c>
      <c r="K1671" s="288"/>
      <c r="L1671" s="289"/>
      <c r="M1671" s="287">
        <f>SUM(M1672:M1673)</f>
        <v>5</v>
      </c>
      <c r="N1671" s="288"/>
      <c r="O1671" s="289"/>
      <c r="P1671" s="287">
        <f>SUM(P1672:P1673)</f>
        <v>5.04</v>
      </c>
      <c r="Q1671" s="288"/>
      <c r="R1671" s="289"/>
      <c r="S1671" s="287">
        <f>SUM(S1672:S1673)</f>
        <v>4.1900000000000004</v>
      </c>
      <c r="T1671" s="288"/>
      <c r="U1671" s="289"/>
      <c r="V1671" s="287">
        <f>SUM(V1672:V1673)</f>
        <v>2.72</v>
      </c>
      <c r="W1671" s="288"/>
      <c r="X1671" s="289"/>
      <c r="Y1671" s="287">
        <f>SUM(Y1672:Y1673)</f>
        <v>2.5299999999999998</v>
      </c>
      <c r="Z1671" s="288"/>
      <c r="AA1671" s="289"/>
      <c r="AB1671" s="287">
        <f>SUM(AB1672:AB1673)</f>
        <v>2.5299999999999998</v>
      </c>
      <c r="AC1671" s="288"/>
      <c r="AD1671" s="289"/>
      <c r="AE1671" s="287">
        <f>SUM(AE1672:AE1673)</f>
        <v>2.56</v>
      </c>
      <c r="AF1671" s="288"/>
      <c r="AG1671" s="289"/>
      <c r="AH1671" s="287">
        <f>SUM(AH1672:AH1673)</f>
        <v>2.61</v>
      </c>
      <c r="AI1671" s="288"/>
      <c r="AJ1671" s="289"/>
      <c r="AK1671" s="287">
        <f>SUM(AK1672:AK1673)</f>
        <v>3.92</v>
      </c>
      <c r="AL1671" s="288"/>
      <c r="AM1671" s="289"/>
      <c r="AN1671" s="287">
        <f>SUM(AN1672:AN1673)</f>
        <v>4.4400000000000004</v>
      </c>
      <c r="AO1671" s="288"/>
      <c r="AP1671" s="289"/>
      <c r="AQ1671" s="287">
        <f>SUM(AQ1672:AQ1673)</f>
        <v>5.34</v>
      </c>
      <c r="AR1671" s="288"/>
      <c r="AS1671" s="289"/>
      <c r="AT1671" s="287">
        <f>SUM(AT1672:AT1673)</f>
        <v>46.320000000000007</v>
      </c>
      <c r="AU1671" s="288"/>
      <c r="AV1671" s="290"/>
      <c r="AW1671" s="285"/>
      <c r="AX1671" s="295"/>
      <c r="AY1671" s="436">
        <v>33.842005999999998</v>
      </c>
      <c r="AZ1671" s="261"/>
    </row>
    <row r="1672" spans="1:55">
      <c r="B1672" s="179"/>
      <c r="C1672" s="179"/>
      <c r="D1672" s="181">
        <v>357141</v>
      </c>
      <c r="E1672" s="181"/>
      <c r="F1672" s="181"/>
      <c r="G1672" s="1110">
        <v>357141</v>
      </c>
      <c r="H1672" s="145" t="s">
        <v>499</v>
      </c>
      <c r="I1672" s="518" t="s">
        <v>365</v>
      </c>
      <c r="J1672" s="294">
        <v>5.44</v>
      </c>
      <c r="K1672" s="288"/>
      <c r="L1672" s="289"/>
      <c r="M1672" s="294">
        <v>5</v>
      </c>
      <c r="N1672" s="288"/>
      <c r="O1672" s="289"/>
      <c r="P1672" s="294">
        <v>5.04</v>
      </c>
      <c r="Q1672" s="288"/>
      <c r="R1672" s="289"/>
      <c r="S1672" s="294">
        <v>4.1900000000000004</v>
      </c>
      <c r="T1672" s="288"/>
      <c r="U1672" s="289"/>
      <c r="V1672" s="294">
        <v>2.72</v>
      </c>
      <c r="W1672" s="288"/>
      <c r="X1672" s="289"/>
      <c r="Y1672" s="294">
        <v>2.5299999999999998</v>
      </c>
      <c r="Z1672" s="288"/>
      <c r="AA1672" s="289"/>
      <c r="AB1672" s="294">
        <v>2.5299999999999998</v>
      </c>
      <c r="AC1672" s="288"/>
      <c r="AD1672" s="289"/>
      <c r="AE1672" s="294">
        <v>2.56</v>
      </c>
      <c r="AF1672" s="288"/>
      <c r="AG1672" s="289"/>
      <c r="AH1672" s="294">
        <v>2.61</v>
      </c>
      <c r="AI1672" s="288"/>
      <c r="AJ1672" s="289"/>
      <c r="AK1672" s="294">
        <v>3.92</v>
      </c>
      <c r="AL1672" s="288"/>
      <c r="AM1672" s="289"/>
      <c r="AN1672" s="294">
        <v>4.4400000000000004</v>
      </c>
      <c r="AO1672" s="288"/>
      <c r="AP1672" s="289"/>
      <c r="AQ1672" s="294">
        <v>5.34</v>
      </c>
      <c r="AR1672" s="288"/>
      <c r="AS1672" s="289"/>
      <c r="AT1672" s="294">
        <f t="shared" si="68"/>
        <v>46.320000000000007</v>
      </c>
      <c r="AU1672" s="288"/>
      <c r="AV1672" s="290"/>
      <c r="AW1672" s="285"/>
      <c r="AX1672" s="295"/>
      <c r="AY1672" s="313"/>
      <c r="AZ1672" s="261"/>
    </row>
    <row r="1673" spans="1:55" ht="16.5" thickBot="1">
      <c r="B1673" s="179"/>
      <c r="C1673" s="179"/>
      <c r="D1673" s="181">
        <v>357142</v>
      </c>
      <c r="E1673" s="181"/>
      <c r="F1673" s="181"/>
      <c r="G1673" s="1110">
        <v>357142</v>
      </c>
      <c r="H1673" s="145" t="s">
        <v>500</v>
      </c>
      <c r="I1673" s="518" t="s">
        <v>365</v>
      </c>
      <c r="J1673" s="294">
        <v>0</v>
      </c>
      <c r="K1673" s="288"/>
      <c r="L1673" s="289"/>
      <c r="M1673" s="294">
        <v>0</v>
      </c>
      <c r="N1673" s="288"/>
      <c r="O1673" s="289"/>
      <c r="P1673" s="294">
        <v>0</v>
      </c>
      <c r="Q1673" s="288"/>
      <c r="R1673" s="289"/>
      <c r="S1673" s="294">
        <v>0</v>
      </c>
      <c r="T1673" s="288"/>
      <c r="U1673" s="289"/>
      <c r="V1673" s="294">
        <v>0</v>
      </c>
      <c r="W1673" s="288"/>
      <c r="X1673" s="289"/>
      <c r="Y1673" s="294">
        <v>0</v>
      </c>
      <c r="Z1673" s="288"/>
      <c r="AA1673" s="289"/>
      <c r="AB1673" s="294">
        <v>0</v>
      </c>
      <c r="AC1673" s="288"/>
      <c r="AD1673" s="289"/>
      <c r="AE1673" s="294">
        <v>0</v>
      </c>
      <c r="AF1673" s="288"/>
      <c r="AG1673" s="289"/>
      <c r="AH1673" s="294">
        <v>0</v>
      </c>
      <c r="AI1673" s="288"/>
      <c r="AJ1673" s="289"/>
      <c r="AK1673" s="294">
        <v>0</v>
      </c>
      <c r="AL1673" s="288"/>
      <c r="AM1673" s="289"/>
      <c r="AN1673" s="294">
        <v>0</v>
      </c>
      <c r="AO1673" s="288"/>
      <c r="AP1673" s="289"/>
      <c r="AQ1673" s="294">
        <v>0</v>
      </c>
      <c r="AR1673" s="288"/>
      <c r="AS1673" s="289"/>
      <c r="AT1673" s="294">
        <f t="shared" si="68"/>
        <v>0</v>
      </c>
      <c r="AU1673" s="288"/>
      <c r="AV1673" s="290"/>
      <c r="AW1673" s="285"/>
      <c r="AX1673" s="295"/>
      <c r="AY1673" s="413"/>
      <c r="AZ1673" s="261"/>
    </row>
    <row r="1674" spans="1:55" ht="18.75">
      <c r="B1674" s="179"/>
      <c r="C1674" s="179"/>
      <c r="D1674" s="181">
        <v>540000</v>
      </c>
      <c r="E1674" s="181"/>
      <c r="F1674" s="181"/>
      <c r="G1674" s="181"/>
      <c r="H1674" s="472" t="s">
        <v>95</v>
      </c>
      <c r="I1674" s="472"/>
      <c r="J1674" s="266">
        <f>SUM(J1679:J1680)</f>
        <v>0</v>
      </c>
      <c r="K1674" s="264">
        <f>L1674-J1674</f>
        <v>4455.9474055000001</v>
      </c>
      <c r="L1674" s="265">
        <f>L1716+L1720+L1726+L1681+L1692+L1704+L1715</f>
        <v>4455.9474055000001</v>
      </c>
      <c r="M1674" s="263">
        <f>SUM(M1679:M1680)</f>
        <v>4153.2139999999999</v>
      </c>
      <c r="N1674" s="264">
        <f>O1674-M1674</f>
        <v>-128.47948700000006</v>
      </c>
      <c r="O1674" s="265">
        <f>O1716+O1720+O1726+O1681+O1692+O1704+O1715</f>
        <v>4024.7345129999999</v>
      </c>
      <c r="P1674" s="263">
        <f>SUM(P1679:P1680)</f>
        <v>4153.7709999999997</v>
      </c>
      <c r="Q1674" s="264">
        <f>R1674-P1674</f>
        <v>-269.43886519999978</v>
      </c>
      <c r="R1674" s="265">
        <f>R1716+R1720+R1726+R1681+R1692+R1704+R1715</f>
        <v>3884.3321347999999</v>
      </c>
      <c r="S1674" s="263">
        <f>SUM(S1679:S1680)</f>
        <v>3517.2309999999998</v>
      </c>
      <c r="T1674" s="264">
        <f>U1674-S1674</f>
        <v>-225.91975129999946</v>
      </c>
      <c r="U1674" s="265">
        <f>U1716+U1720+U1726+U1681+U1692+U1704+U1715</f>
        <v>3291.3112487000003</v>
      </c>
      <c r="V1674" s="263">
        <f>SUM(V1679:V1680)</f>
        <v>3236.0200000000004</v>
      </c>
      <c r="W1674" s="264">
        <f>X1674-V1674</f>
        <v>-304.31902080000054</v>
      </c>
      <c r="X1674" s="265">
        <f>X1716+X1720+X1726+X1681+X1692+X1704+X1715</f>
        <v>2931.7009791999999</v>
      </c>
      <c r="Y1674" s="263">
        <f>SUM(Y1679:Y1680)</f>
        <v>2942.951</v>
      </c>
      <c r="Z1674" s="264">
        <f>AA1674-Y1674</f>
        <v>-331.76053499999989</v>
      </c>
      <c r="AA1674" s="265">
        <f>AA1716+AA1720+AA1726+AA1681+AA1692+AA1704+AA1715</f>
        <v>2611.1904650000001</v>
      </c>
      <c r="AB1674" s="263">
        <f>SUM(AB1679:AB1680)</f>
        <v>3074.373</v>
      </c>
      <c r="AC1674" s="264">
        <f>AD1674-AB1674</f>
        <v>-372.07996529999991</v>
      </c>
      <c r="AD1674" s="265">
        <f>AD1716+AD1720+AD1726+AD1681+AD1692+AD1704+AD1715</f>
        <v>2702.2930347000001</v>
      </c>
      <c r="AE1674" s="263">
        <f>SUM(AE1679:AE1680)</f>
        <v>3183.0940000000001</v>
      </c>
      <c r="AF1674" s="264">
        <f>AG1674-AE1674</f>
        <v>-422.3998418000001</v>
      </c>
      <c r="AG1674" s="265">
        <f>AG1716+AG1720+AG1726+AG1681+AG1692+AG1704+AG1715</f>
        <v>2760.6941581999999</v>
      </c>
      <c r="AH1674" s="263">
        <f>SUM(AH1679:AH1680)</f>
        <v>3155.7579999999998</v>
      </c>
      <c r="AI1674" s="264">
        <f>AJ1674-AH1674</f>
        <v>-343.36016239999981</v>
      </c>
      <c r="AJ1674" s="265">
        <f>AJ1716+AJ1720+AJ1726+AJ1681+AJ1692+AJ1704+AJ1715</f>
        <v>2812.3978376</v>
      </c>
      <c r="AK1674" s="263">
        <f>SUM(AK1679:AK1680)</f>
        <v>3718.5159999999996</v>
      </c>
      <c r="AL1674" s="264">
        <f>AM1674-AK1674</f>
        <v>-327.19983850000017</v>
      </c>
      <c r="AM1674" s="265">
        <f>AM1716+AM1720+AM1726+AM1681+AM1692+AM1704+AM1715</f>
        <v>3391.3161614999995</v>
      </c>
      <c r="AN1674" s="263">
        <f>SUM(AN1679:AN1680)</f>
        <v>4275.271999999999</v>
      </c>
      <c r="AO1674" s="264">
        <f>AP1674-AN1674</f>
        <v>-319.43963479999866</v>
      </c>
      <c r="AP1674" s="265">
        <f>AP1716+AP1720+AP1726+AP1681+AP1692+AP1704+AP1715</f>
        <v>3955.8323652000004</v>
      </c>
      <c r="AQ1674" s="263">
        <f>SUM(AQ1679:AQ1680)</f>
        <v>4906.51</v>
      </c>
      <c r="AR1674" s="264">
        <f>AS1674-AQ1674</f>
        <v>-332.95995750000111</v>
      </c>
      <c r="AS1674" s="265">
        <f>AS1716+AS1720+AS1726+AS1681+AS1692+AS1704+AS1715</f>
        <v>4573.5500424999991</v>
      </c>
      <c r="AT1674" s="263">
        <f>SUM(AT1679:AT1680)</f>
        <v>40316.71</v>
      </c>
      <c r="AU1674" s="264">
        <f>AV1674-AT1674</f>
        <v>1078.5903459000037</v>
      </c>
      <c r="AV1674" s="267">
        <f>L1674+O1674+R1674+U1674+X1674+AA1674+AD1674+AG1674+AJ1674+AM1674+AP1674+AS1674</f>
        <v>41395.300345900003</v>
      </c>
      <c r="AW1674" s="405"/>
      <c r="AX1674" s="269">
        <f>AX1716+AX1681+AX1692+AX1704+AX1715</f>
        <v>34197.444969999997</v>
      </c>
      <c r="AY1674" s="376">
        <f>SUM(AY1679:AY1680)</f>
        <v>37644.743361999994</v>
      </c>
      <c r="AZ1674" s="261"/>
      <c r="BA1674" s="306"/>
      <c r="BB1674" s="306"/>
      <c r="BC1674" s="306"/>
    </row>
    <row r="1675" spans="1:55">
      <c r="B1675" s="179"/>
      <c r="C1675" s="179"/>
      <c r="D1675" s="181"/>
      <c r="E1675" s="181"/>
      <c r="F1675" s="181"/>
      <c r="G1675" s="181"/>
      <c r="H1675" s="189" t="s">
        <v>331</v>
      </c>
      <c r="I1675" s="189"/>
      <c r="J1675" s="223"/>
      <c r="K1675" s="381">
        <f>K1676+K1677+K1678</f>
        <v>-242.64</v>
      </c>
      <c r="L1675" s="224"/>
      <c r="M1675" s="270"/>
      <c r="N1675" s="381">
        <f>N1676+N1677+N1678</f>
        <v>-128.47999999999999</v>
      </c>
      <c r="O1675" s="224"/>
      <c r="P1675" s="270"/>
      <c r="Q1675" s="381">
        <f>Q1676+Q1677+Q1678</f>
        <v>-269.44</v>
      </c>
      <c r="R1675" s="224"/>
      <c r="S1675" s="270"/>
      <c r="T1675" s="381">
        <f>T1676+T1677+T1678</f>
        <v>-225.92000000000002</v>
      </c>
      <c r="U1675" s="224"/>
      <c r="V1675" s="270"/>
      <c r="W1675" s="381">
        <f>W1676+W1677+W1678</f>
        <v>-304.32</v>
      </c>
      <c r="X1675" s="224"/>
      <c r="Y1675" s="270"/>
      <c r="Z1675" s="381">
        <f>Z1676+Z1677+Z1678</f>
        <v>-331.76</v>
      </c>
      <c r="AA1675" s="224"/>
      <c r="AB1675" s="270"/>
      <c r="AC1675" s="381">
        <f>AC1676+AC1677+AC1678</f>
        <v>-372.08</v>
      </c>
      <c r="AD1675" s="224"/>
      <c r="AE1675" s="270"/>
      <c r="AF1675" s="381">
        <f>AF1676+AF1677+AF1678</f>
        <v>-422.4</v>
      </c>
      <c r="AG1675" s="224"/>
      <c r="AH1675" s="270"/>
      <c r="AI1675" s="381">
        <f>AI1676+AI1677+AI1678</f>
        <v>-343.36</v>
      </c>
      <c r="AJ1675" s="224"/>
      <c r="AK1675" s="270"/>
      <c r="AL1675" s="381">
        <f>AL1676+AL1677+AL1678</f>
        <v>-327.2</v>
      </c>
      <c r="AM1675" s="224"/>
      <c r="AN1675" s="270"/>
      <c r="AO1675" s="381">
        <f>AO1676+AO1677+AO1678</f>
        <v>-319.44</v>
      </c>
      <c r="AP1675" s="224"/>
      <c r="AQ1675" s="270"/>
      <c r="AR1675" s="381">
        <f>AR1676+AR1677+AR1678</f>
        <v>-332.96</v>
      </c>
      <c r="AS1675" s="224"/>
      <c r="AT1675" s="270"/>
      <c r="AU1675" s="381">
        <f>AU1676+AU1677+AU1678</f>
        <v>-3620</v>
      </c>
      <c r="AV1675" s="225"/>
      <c r="AW1675" s="279"/>
      <c r="AX1675" s="227"/>
      <c r="AY1675" s="406"/>
      <c r="AZ1675" s="261"/>
      <c r="BA1675" s="306"/>
      <c r="BB1675" s="306"/>
      <c r="BC1675" s="306"/>
    </row>
    <row r="1676" spans="1:55">
      <c r="B1676" s="179"/>
      <c r="C1676" s="179"/>
      <c r="D1676" s="181"/>
      <c r="E1676" s="181"/>
      <c r="F1676" s="181"/>
      <c r="G1676" s="181"/>
      <c r="H1676" s="126" t="s">
        <v>332</v>
      </c>
      <c r="I1676" s="126"/>
      <c r="J1676" s="223"/>
      <c r="K1676" s="271">
        <f>K29</f>
        <v>-210</v>
      </c>
      <c r="L1676" s="224"/>
      <c r="M1676" s="270"/>
      <c r="N1676" s="271">
        <f>N29</f>
        <v>-100</v>
      </c>
      <c r="O1676" s="224"/>
      <c r="P1676" s="270"/>
      <c r="Q1676" s="271">
        <f>Q29</f>
        <v>-240</v>
      </c>
      <c r="R1676" s="224"/>
      <c r="S1676" s="270"/>
      <c r="T1676" s="271">
        <f>T29</f>
        <v>-200</v>
      </c>
      <c r="U1676" s="224"/>
      <c r="V1676" s="270"/>
      <c r="W1676" s="271">
        <f>W29</f>
        <v>-280</v>
      </c>
      <c r="X1676" s="224"/>
      <c r="Y1676" s="270"/>
      <c r="Z1676" s="271">
        <f>Z29</f>
        <v>-310</v>
      </c>
      <c r="AA1676" s="224"/>
      <c r="AB1676" s="270"/>
      <c r="AC1676" s="271">
        <f>AC29</f>
        <v>-350</v>
      </c>
      <c r="AD1676" s="224"/>
      <c r="AE1676" s="270"/>
      <c r="AF1676" s="271">
        <f>AF29</f>
        <v>-400</v>
      </c>
      <c r="AG1676" s="224"/>
      <c r="AH1676" s="270"/>
      <c r="AI1676" s="271">
        <f>AI29</f>
        <v>-320</v>
      </c>
      <c r="AJ1676" s="224"/>
      <c r="AK1676" s="270"/>
      <c r="AL1676" s="271">
        <f>AL29</f>
        <v>-300</v>
      </c>
      <c r="AM1676" s="224"/>
      <c r="AN1676" s="270"/>
      <c r="AO1676" s="271">
        <f>AO29</f>
        <v>-290</v>
      </c>
      <c r="AP1676" s="224"/>
      <c r="AQ1676" s="270"/>
      <c r="AR1676" s="271">
        <f>AR29</f>
        <v>-300</v>
      </c>
      <c r="AS1676" s="224"/>
      <c r="AT1676" s="270"/>
      <c r="AU1676" s="271">
        <f>K1676+N1676+Q1676+T1676+W1676+Z1676+AC1676+AF1676+AI1676+AL1676+AO1676+AR1676</f>
        <v>-3300</v>
      </c>
      <c r="AV1676" s="225"/>
      <c r="AW1676" s="279"/>
      <c r="AX1676" s="227"/>
      <c r="AY1676" s="406"/>
      <c r="AZ1676" s="261"/>
      <c r="BA1676" s="306"/>
      <c r="BB1676" s="306"/>
      <c r="BC1676" s="306"/>
    </row>
    <row r="1677" spans="1:55">
      <c r="B1677" s="179"/>
      <c r="C1677" s="179"/>
      <c r="D1677" s="181"/>
      <c r="E1677" s="181"/>
      <c r="F1677" s="181"/>
      <c r="G1677" s="181"/>
      <c r="H1677" s="126" t="s">
        <v>333</v>
      </c>
      <c r="I1677" s="126"/>
      <c r="J1677" s="223"/>
      <c r="K1677" s="271">
        <v>-32.64</v>
      </c>
      <c r="L1677" s="224"/>
      <c r="M1677" s="270"/>
      <c r="N1677" s="271">
        <v>-28.48</v>
      </c>
      <c r="O1677" s="224"/>
      <c r="P1677" s="270"/>
      <c r="Q1677" s="271">
        <v>-29.44</v>
      </c>
      <c r="R1677" s="224"/>
      <c r="S1677" s="270"/>
      <c r="T1677" s="271">
        <v>-25.92</v>
      </c>
      <c r="U1677" s="224"/>
      <c r="V1677" s="270"/>
      <c r="W1677" s="271">
        <v>-24.32</v>
      </c>
      <c r="X1677" s="224"/>
      <c r="Y1677" s="270"/>
      <c r="Z1677" s="271">
        <v>-21.76</v>
      </c>
      <c r="AA1677" s="224"/>
      <c r="AB1677" s="270"/>
      <c r="AC1677" s="271">
        <v>-22.08</v>
      </c>
      <c r="AD1677" s="224"/>
      <c r="AE1677" s="270"/>
      <c r="AF1677" s="271">
        <v>-22.4</v>
      </c>
      <c r="AG1677" s="224"/>
      <c r="AH1677" s="270"/>
      <c r="AI1677" s="271">
        <v>-23.36</v>
      </c>
      <c r="AJ1677" s="224"/>
      <c r="AK1677" s="270"/>
      <c r="AL1677" s="271">
        <v>-27.2</v>
      </c>
      <c r="AM1677" s="224"/>
      <c r="AN1677" s="270"/>
      <c r="AO1677" s="271">
        <v>-29.44</v>
      </c>
      <c r="AP1677" s="224"/>
      <c r="AQ1677" s="270"/>
      <c r="AR1677" s="271">
        <v>-32.96</v>
      </c>
      <c r="AS1677" s="224"/>
      <c r="AT1677" s="270"/>
      <c r="AU1677" s="271">
        <f>K1677+N1677+Q1677+T1677+W1677+Z1677+AC1677+AF1677+AI1677+AL1677+AO1677+AR1677</f>
        <v>-319.99999999999994</v>
      </c>
      <c r="AV1677" s="225"/>
      <c r="AW1677" s="279"/>
      <c r="AX1677" s="227"/>
      <c r="AY1677" s="406"/>
      <c r="AZ1677" s="261"/>
      <c r="BA1677" s="306"/>
      <c r="BB1677" s="306"/>
      <c r="BC1677" s="306"/>
    </row>
    <row r="1678" spans="1:55">
      <c r="B1678" s="179"/>
      <c r="C1678" s="179"/>
      <c r="D1678" s="181"/>
      <c r="E1678" s="181"/>
      <c r="F1678" s="181"/>
      <c r="G1678" s="181"/>
      <c r="H1678" s="126" t="s">
        <v>1659</v>
      </c>
      <c r="I1678" s="126"/>
      <c r="J1678" s="223"/>
      <c r="K1678" s="271"/>
      <c r="L1678" s="224"/>
      <c r="M1678" s="270"/>
      <c r="N1678" s="271"/>
      <c r="O1678" s="224"/>
      <c r="P1678" s="270"/>
      <c r="Q1678" s="271"/>
      <c r="R1678" s="224"/>
      <c r="S1678" s="270"/>
      <c r="T1678" s="271"/>
      <c r="U1678" s="224"/>
      <c r="V1678" s="270"/>
      <c r="W1678" s="271"/>
      <c r="X1678" s="224"/>
      <c r="Y1678" s="270"/>
      <c r="Z1678" s="271"/>
      <c r="AA1678" s="224"/>
      <c r="AB1678" s="270"/>
      <c r="AC1678" s="271"/>
      <c r="AD1678" s="224"/>
      <c r="AE1678" s="270"/>
      <c r="AF1678" s="271"/>
      <c r="AG1678" s="224"/>
      <c r="AH1678" s="270"/>
      <c r="AI1678" s="271"/>
      <c r="AJ1678" s="224"/>
      <c r="AK1678" s="270"/>
      <c r="AL1678" s="271"/>
      <c r="AM1678" s="224"/>
      <c r="AN1678" s="270"/>
      <c r="AO1678" s="271"/>
      <c r="AP1678" s="224"/>
      <c r="AQ1678" s="270"/>
      <c r="AR1678" s="271"/>
      <c r="AS1678" s="224"/>
      <c r="AT1678" s="270"/>
      <c r="AU1678" s="271">
        <f>K1678+N1678+Q1678+T1678+W1678+Z1678+AC1678+AF1678+AI1678+AL1678+AO1678+AR1678</f>
        <v>0</v>
      </c>
      <c r="AV1678" s="225"/>
      <c r="AW1678" s="279"/>
      <c r="AX1678" s="227"/>
      <c r="AY1678" s="406"/>
      <c r="AZ1678" s="261"/>
      <c r="BA1678" s="306"/>
      <c r="BB1678" s="306"/>
      <c r="BC1678" s="306"/>
    </row>
    <row r="1679" spans="1:55">
      <c r="A1679"/>
      <c r="B1679" s="179"/>
      <c r="C1679" s="179"/>
      <c r="D1679" s="181"/>
      <c r="E1679" s="181"/>
      <c r="F1679" s="181"/>
      <c r="G1679" s="181"/>
      <c r="H1679" s="10" t="s">
        <v>56</v>
      </c>
      <c r="I1679" s="10"/>
      <c r="J1679" s="223">
        <f>J1717+J1721+J1727+J1682+J1693+J1705</f>
        <v>0</v>
      </c>
      <c r="K1679" s="271"/>
      <c r="L1679" s="224"/>
      <c r="M1679" s="270">
        <f>M1717+M1721+M1727+M1682+M1693+M1705</f>
        <v>2838.8139999999999</v>
      </c>
      <c r="N1679" s="271"/>
      <c r="O1679" s="224"/>
      <c r="P1679" s="270">
        <f>P1717+P1721+P1727+P1682+P1693+P1705</f>
        <v>2789.4009999999998</v>
      </c>
      <c r="Q1679" s="271"/>
      <c r="R1679" s="224"/>
      <c r="S1679" s="270">
        <f>S1717+S1721+S1727+S1682+S1693+S1705</f>
        <v>2299.0909999999999</v>
      </c>
      <c r="T1679" s="271"/>
      <c r="U1679" s="224"/>
      <c r="V1679" s="270">
        <f>V1717+V1721+V1727+V1682+V1693+V1705</f>
        <v>2050.9</v>
      </c>
      <c r="W1679" s="271"/>
      <c r="X1679" s="224"/>
      <c r="Y1679" s="270">
        <f>Y1717+Y1721+Y1727+Y1682+Y1693+Y1705</f>
        <v>1717.7909999999999</v>
      </c>
      <c r="Z1679" s="271"/>
      <c r="AA1679" s="224"/>
      <c r="AB1679" s="270">
        <f>AB1717+AB1721+AB1727+AB1682+AB1693+AB1705</f>
        <v>1833.5129999999999</v>
      </c>
      <c r="AC1679" s="271"/>
      <c r="AD1679" s="224"/>
      <c r="AE1679" s="270">
        <f>AE1717+AE1721+AE1727+AE1682+AE1693+AE1705</f>
        <v>1803.4840000000002</v>
      </c>
      <c r="AF1679" s="271"/>
      <c r="AG1679" s="224"/>
      <c r="AH1679" s="270">
        <f>AH1717+AH1721+AH1727+AH1682+AH1693+AH1705</f>
        <v>1756.9779999999998</v>
      </c>
      <c r="AI1679" s="271"/>
      <c r="AJ1679" s="224"/>
      <c r="AK1679" s="270">
        <f>AK1717+AK1721+AK1727+AK1682+AK1693+AK1705</f>
        <v>2253.4659999999999</v>
      </c>
      <c r="AL1679" s="271"/>
      <c r="AM1679" s="224"/>
      <c r="AN1679" s="270">
        <f>AN1717+AN1721+AN1727+AN1682+AN1693+AN1705</f>
        <v>2848.2519999999995</v>
      </c>
      <c r="AO1679" s="271"/>
      <c r="AP1679" s="224"/>
      <c r="AQ1679" s="270">
        <f>AQ1717+AQ1721+AQ1727+AQ1682+AQ1693+AQ1705</f>
        <v>3441.26</v>
      </c>
      <c r="AR1679" s="271"/>
      <c r="AS1679" s="224"/>
      <c r="AT1679" s="270">
        <f>AT1717+AT1721+AT1727+AT1682+AT1693+AT1705</f>
        <v>25632.95</v>
      </c>
      <c r="AU1679" s="271"/>
      <c r="AV1679" s="229"/>
      <c r="AW1679" s="226"/>
      <c r="AX1679" s="230"/>
      <c r="AY1679" s="231">
        <f>AY1717+AY1682+AY1693+AY1705</f>
        <v>25715.354186999997</v>
      </c>
      <c r="AZ1679" s="261"/>
      <c r="BA1679" s="261"/>
      <c r="BB1679" s="261"/>
      <c r="BC1679" s="261"/>
    </row>
    <row r="1680" spans="1:55" ht="16.5" thickBot="1">
      <c r="A1680"/>
      <c r="B1680" s="179"/>
      <c r="C1680" s="179"/>
      <c r="D1680" s="181"/>
      <c r="E1680" s="181"/>
      <c r="F1680" s="181"/>
      <c r="G1680" s="181"/>
      <c r="H1680" s="121" t="s">
        <v>55</v>
      </c>
      <c r="I1680" s="121"/>
      <c r="J1680" s="820">
        <f>J1728+J1683</f>
        <v>0</v>
      </c>
      <c r="K1680" s="273"/>
      <c r="L1680" s="233"/>
      <c r="M1680" s="272">
        <f>M1728+M1683</f>
        <v>1314.4</v>
      </c>
      <c r="N1680" s="273"/>
      <c r="O1680" s="233"/>
      <c r="P1680" s="272">
        <f>P1728+P1683</f>
        <v>1364.37</v>
      </c>
      <c r="Q1680" s="273"/>
      <c r="R1680" s="233"/>
      <c r="S1680" s="272">
        <f>S1728+S1683</f>
        <v>1218.1399999999999</v>
      </c>
      <c r="T1680" s="273"/>
      <c r="U1680" s="233"/>
      <c r="V1680" s="272">
        <f>V1728+V1683</f>
        <v>1185.1200000000001</v>
      </c>
      <c r="W1680" s="273"/>
      <c r="X1680" s="233"/>
      <c r="Y1680" s="272">
        <f>Y1728+Y1683</f>
        <v>1225.1599999999999</v>
      </c>
      <c r="Z1680" s="273"/>
      <c r="AA1680" s="233"/>
      <c r="AB1680" s="272">
        <f>AB1728+AB1683</f>
        <v>1240.8600000000001</v>
      </c>
      <c r="AC1680" s="273"/>
      <c r="AD1680" s="233"/>
      <c r="AE1680" s="272">
        <f>AE1728+AE1683</f>
        <v>1379.6100000000001</v>
      </c>
      <c r="AF1680" s="273"/>
      <c r="AG1680" s="233"/>
      <c r="AH1680" s="272">
        <f>AH1728+AH1683</f>
        <v>1398.7800000000002</v>
      </c>
      <c r="AI1680" s="273"/>
      <c r="AJ1680" s="233"/>
      <c r="AK1680" s="272">
        <f>AK1728+AK1683</f>
        <v>1465.0499999999997</v>
      </c>
      <c r="AL1680" s="273"/>
      <c r="AM1680" s="233"/>
      <c r="AN1680" s="272">
        <f>AN1728+AN1683</f>
        <v>1427.02</v>
      </c>
      <c r="AO1680" s="273"/>
      <c r="AP1680" s="233"/>
      <c r="AQ1680" s="272">
        <f>AQ1728+AQ1683</f>
        <v>1465.25</v>
      </c>
      <c r="AR1680" s="273"/>
      <c r="AS1680" s="233"/>
      <c r="AT1680" s="272">
        <f>AT1728+AT1683</f>
        <v>14683.759999999998</v>
      </c>
      <c r="AU1680" s="273"/>
      <c r="AV1680" s="807"/>
      <c r="AW1680" s="235"/>
      <c r="AX1680" s="236"/>
      <c r="AY1680" s="237">
        <f>AY1683</f>
        <v>11929.389174999998</v>
      </c>
      <c r="AZ1680" s="261"/>
      <c r="BA1680" s="261"/>
      <c r="BB1680" s="261"/>
      <c r="BC1680" s="261"/>
    </row>
    <row r="1681" spans="1:55" ht="18.75">
      <c r="B1681" s="179"/>
      <c r="C1681" s="179"/>
      <c r="D1681" s="181">
        <v>361700</v>
      </c>
      <c r="E1681" s="181"/>
      <c r="F1681" s="181"/>
      <c r="G1681" s="181"/>
      <c r="H1681" s="473" t="s">
        <v>1647</v>
      </c>
      <c r="I1681" s="473"/>
      <c r="J1681" s="393">
        <f>SUM(J1682:J1683)</f>
        <v>0</v>
      </c>
      <c r="K1681" s="391">
        <f>L1681-J1681</f>
        <v>924.5</v>
      </c>
      <c r="L1681" s="392">
        <f>Потребление!D97</f>
        <v>924.5</v>
      </c>
      <c r="M1681" s="390">
        <f>SUM(M1682:M1683)</f>
        <v>1177.4760000000001</v>
      </c>
      <c r="N1681" s="391">
        <f>O1681-M1681</f>
        <v>-344.57600000000014</v>
      </c>
      <c r="O1681" s="392">
        <f>Потребление!E97</f>
        <v>832.9</v>
      </c>
      <c r="P1681" s="390">
        <f>SUM(P1682:P1683)</f>
        <v>1215.8619999999999</v>
      </c>
      <c r="Q1681" s="391">
        <f>R1681-P1681</f>
        <v>-397.26199999999983</v>
      </c>
      <c r="R1681" s="392">
        <f>Потребление!F97</f>
        <v>818.6</v>
      </c>
      <c r="S1681" s="390">
        <f>SUM(S1682:S1683)</f>
        <v>1104.134</v>
      </c>
      <c r="T1681" s="391">
        <f>U1681-S1681</f>
        <v>-397.13400000000001</v>
      </c>
      <c r="U1681" s="392">
        <f>Потребление!G97</f>
        <v>707</v>
      </c>
      <c r="V1681" s="390">
        <f>SUM(V1682:V1683)</f>
        <v>1077.1120000000001</v>
      </c>
      <c r="W1681" s="391">
        <f>X1681-V1681</f>
        <v>-436.2120000000001</v>
      </c>
      <c r="X1681" s="392">
        <f>Потребление!H97</f>
        <v>640.9</v>
      </c>
      <c r="Y1681" s="390">
        <f>SUM(Y1682:Y1683)</f>
        <v>1151.3</v>
      </c>
      <c r="Z1681" s="391">
        <f>AA1681-Y1681</f>
        <v>-561</v>
      </c>
      <c r="AA1681" s="392">
        <f>Потребление!I97</f>
        <v>590.29999999999995</v>
      </c>
      <c r="AB1681" s="390">
        <f>SUM(AB1682:AB1683)</f>
        <v>1170.0119999999999</v>
      </c>
      <c r="AC1681" s="275">
        <f>AD1681-AB1681</f>
        <v>-558.91199999999992</v>
      </c>
      <c r="AD1681" s="392">
        <f>Потребление!J97</f>
        <v>611.1</v>
      </c>
      <c r="AE1681" s="390">
        <f>SUM(AE1682:AE1683)</f>
        <v>1332.1620000000003</v>
      </c>
      <c r="AF1681" s="391">
        <f>AG1681-AE1681</f>
        <v>-678.36200000000031</v>
      </c>
      <c r="AG1681" s="392">
        <f>Потребление!K97</f>
        <v>653.79999999999995</v>
      </c>
      <c r="AH1681" s="390">
        <f>SUM(AH1682:AH1683)</f>
        <v>1316</v>
      </c>
      <c r="AI1681" s="391">
        <f>AJ1681-AH1681</f>
        <v>-659.90000000000009</v>
      </c>
      <c r="AJ1681" s="392">
        <f>Потребление!L97</f>
        <v>656.09999999999991</v>
      </c>
      <c r="AK1681" s="390">
        <f>SUM(AK1682:AK1683)</f>
        <v>1370.9709999999998</v>
      </c>
      <c r="AL1681" s="391">
        <f>AM1681-AK1681</f>
        <v>-588.67099999999982</v>
      </c>
      <c r="AM1681" s="392">
        <f>Потребление!M97</f>
        <v>782.3</v>
      </c>
      <c r="AN1681" s="390">
        <f>SUM(AN1682:AN1683)</f>
        <v>1307.472</v>
      </c>
      <c r="AO1681" s="391">
        <f>AP1681-AN1681</f>
        <v>-443.67200000000003</v>
      </c>
      <c r="AP1681" s="392">
        <f>Потребление!N97</f>
        <v>863.8</v>
      </c>
      <c r="AQ1681" s="390">
        <f>SUM(AQ1682:AQ1683)</f>
        <v>1340.8820000000001</v>
      </c>
      <c r="AR1681" s="391">
        <f>AS1681-AQ1681</f>
        <v>-354.68200000000002</v>
      </c>
      <c r="AS1681" s="392">
        <f>Потребление!O97</f>
        <v>986.2</v>
      </c>
      <c r="AT1681" s="390">
        <f>SUM(AT1682:AT1683)</f>
        <v>13563.383</v>
      </c>
      <c r="AU1681" s="391">
        <f>AV1681-AT1681</f>
        <v>-4495.882999999998</v>
      </c>
      <c r="AV1681" s="394">
        <f>L1681+O1681+R1681+U1681+X1681+AA1681+AD1681+AG1681+AJ1681+AM1681+AP1681+AS1681</f>
        <v>9067.5000000000018</v>
      </c>
      <c r="AW1681" s="395"/>
      <c r="AX1681" s="424">
        <v>8429.7447269999993</v>
      </c>
      <c r="AY1681" s="444">
        <f>SUM(AY1682:AY1683)</f>
        <v>14511.494946999999</v>
      </c>
      <c r="AZ1681" s="261"/>
      <c r="BA1681" s="261"/>
      <c r="BB1681" s="261"/>
      <c r="BC1681" s="261"/>
    </row>
    <row r="1682" spans="1:55">
      <c r="B1682" s="179"/>
      <c r="C1682" s="179"/>
      <c r="D1682" s="181"/>
      <c r="E1682" s="181"/>
      <c r="F1682" s="181"/>
      <c r="G1682" s="181"/>
      <c r="H1682" s="10" t="s">
        <v>56</v>
      </c>
      <c r="I1682" s="10"/>
      <c r="J1682" s="223">
        <f>SUM(J1684:J1685)+J1688</f>
        <v>0</v>
      </c>
      <c r="K1682" s="271"/>
      <c r="L1682" s="224"/>
      <c r="M1682" s="223">
        <f>SUM(M1684:M1685)+M1688</f>
        <v>251.136</v>
      </c>
      <c r="N1682" s="271"/>
      <c r="O1682" s="224"/>
      <c r="P1682" s="223">
        <f>SUM(P1684:P1685)+P1688</f>
        <v>209.75200000000001</v>
      </c>
      <c r="Q1682" s="271"/>
      <c r="R1682" s="224"/>
      <c r="S1682" s="223">
        <f>SUM(S1684:S1685)+S1688</f>
        <v>177.464</v>
      </c>
      <c r="T1682" s="271"/>
      <c r="U1682" s="224"/>
      <c r="V1682" s="223">
        <f>SUM(V1684:V1685)+V1688</f>
        <v>149.172</v>
      </c>
      <c r="W1682" s="271"/>
      <c r="X1682" s="224"/>
      <c r="Y1682" s="223">
        <f>SUM(Y1684:Y1685)+Y1688</f>
        <v>111.52000000000001</v>
      </c>
      <c r="Z1682" s="271"/>
      <c r="AA1682" s="224"/>
      <c r="AB1682" s="223">
        <f>SUM(AB1684:AB1685)+AB1688</f>
        <v>106.032</v>
      </c>
      <c r="AC1682" s="271"/>
      <c r="AD1682" s="224"/>
      <c r="AE1682" s="223">
        <f>SUM(AE1684:AE1685)+AE1688</f>
        <v>137.83199999999999</v>
      </c>
      <c r="AF1682" s="271"/>
      <c r="AG1682" s="224"/>
      <c r="AH1682" s="223">
        <f>SUM(AH1684:AH1685)+AH1688</f>
        <v>139.1</v>
      </c>
      <c r="AI1682" s="271"/>
      <c r="AJ1682" s="224"/>
      <c r="AK1682" s="223">
        <f>SUM(AK1684:AK1685)+AK1688</f>
        <v>206.791</v>
      </c>
      <c r="AL1682" s="271"/>
      <c r="AM1682" s="224"/>
      <c r="AN1682" s="223">
        <f>SUM(AN1684:AN1685)+AN1688</f>
        <v>263.71199999999999</v>
      </c>
      <c r="AO1682" s="271"/>
      <c r="AP1682" s="224"/>
      <c r="AQ1682" s="223">
        <f>SUM(AQ1684:AQ1685)+AQ1688</f>
        <v>297.98200000000003</v>
      </c>
      <c r="AR1682" s="271"/>
      <c r="AS1682" s="224"/>
      <c r="AT1682" s="270">
        <f>SUM(AT1684:AT1685)+AT1688</f>
        <v>2050.4930000000004</v>
      </c>
      <c r="AU1682" s="271"/>
      <c r="AV1682" s="229"/>
      <c r="AW1682" s="226"/>
      <c r="AX1682" s="230"/>
      <c r="AY1682" s="231">
        <f>SUM(AY1684:AY1685)</f>
        <v>2582.1057719999999</v>
      </c>
      <c r="AZ1682" s="261"/>
      <c r="BA1682" s="261"/>
      <c r="BB1682" s="261"/>
      <c r="BC1682" s="261"/>
    </row>
    <row r="1683" spans="1:55">
      <c r="B1683" s="179"/>
      <c r="C1683" s="179"/>
      <c r="D1683" s="181"/>
      <c r="E1683" s="181"/>
      <c r="F1683" s="181"/>
      <c r="G1683" s="181"/>
      <c r="H1683" s="10" t="s">
        <v>55</v>
      </c>
      <c r="I1683" s="10"/>
      <c r="J1683" s="223">
        <f>SUM(J1689:J1691)</f>
        <v>0</v>
      </c>
      <c r="K1683" s="271"/>
      <c r="L1683" s="224"/>
      <c r="M1683" s="270">
        <f>SUM(M1689:M1691)</f>
        <v>926.34</v>
      </c>
      <c r="N1683" s="271"/>
      <c r="O1683" s="224"/>
      <c r="P1683" s="270">
        <f>SUM(P1689:P1691)</f>
        <v>1006.1099999999999</v>
      </c>
      <c r="Q1683" s="271"/>
      <c r="R1683" s="224"/>
      <c r="S1683" s="270">
        <f>SUM(S1689:S1691)</f>
        <v>926.67</v>
      </c>
      <c r="T1683" s="271"/>
      <c r="U1683" s="224"/>
      <c r="V1683" s="270">
        <f>SUM(V1689:V1691)</f>
        <v>927.94</v>
      </c>
      <c r="W1683" s="271"/>
      <c r="X1683" s="224"/>
      <c r="Y1683" s="270">
        <f>SUM(Y1689:Y1691)</f>
        <v>1039.78</v>
      </c>
      <c r="Z1683" s="271"/>
      <c r="AA1683" s="224"/>
      <c r="AB1683" s="270">
        <f>SUM(AB1689:AB1691)</f>
        <v>1063.98</v>
      </c>
      <c r="AC1683" s="271"/>
      <c r="AD1683" s="224"/>
      <c r="AE1683" s="270">
        <f>SUM(AE1689:AE1691)</f>
        <v>1194.3300000000002</v>
      </c>
      <c r="AF1683" s="271"/>
      <c r="AG1683" s="224"/>
      <c r="AH1683" s="270">
        <f>SUM(AH1689:AH1691)</f>
        <v>1176.9000000000001</v>
      </c>
      <c r="AI1683" s="271"/>
      <c r="AJ1683" s="224"/>
      <c r="AK1683" s="270">
        <f>SUM(AK1689:AK1691)</f>
        <v>1164.1799999999998</v>
      </c>
      <c r="AL1683" s="271"/>
      <c r="AM1683" s="224"/>
      <c r="AN1683" s="270">
        <f>SUM(AN1689:AN1691)</f>
        <v>1043.76</v>
      </c>
      <c r="AO1683" s="271"/>
      <c r="AP1683" s="224"/>
      <c r="AQ1683" s="270">
        <f>SUM(AQ1689:AQ1691)</f>
        <v>1042.9000000000001</v>
      </c>
      <c r="AR1683" s="271"/>
      <c r="AS1683" s="224"/>
      <c r="AT1683" s="270">
        <f>SUM(AT1689:AT1691)</f>
        <v>11512.89</v>
      </c>
      <c r="AU1683" s="271"/>
      <c r="AV1683" s="229"/>
      <c r="AW1683" s="226"/>
      <c r="AX1683" s="230"/>
      <c r="AY1683" s="231">
        <f>SUM(AY1689:AY1691)</f>
        <v>11929.389174999998</v>
      </c>
      <c r="AZ1683" s="261"/>
      <c r="BA1683" s="261"/>
      <c r="BB1683" s="261"/>
      <c r="BC1683" s="261"/>
    </row>
    <row r="1684" spans="1:55" s="114" customFormat="1">
      <c r="A1684" s="179"/>
      <c r="B1684" s="179"/>
      <c r="C1684" s="179"/>
      <c r="D1684" s="181">
        <v>361726</v>
      </c>
      <c r="E1684" s="181"/>
      <c r="F1684" s="181"/>
      <c r="G1684" s="1110"/>
      <c r="H1684" s="122" t="s">
        <v>204</v>
      </c>
      <c r="I1684" s="516" t="s">
        <v>364</v>
      </c>
      <c r="J1684" s="281">
        <v>0</v>
      </c>
      <c r="K1684" s="416"/>
      <c r="L1684" s="421"/>
      <c r="M1684" s="244">
        <v>43.136000000000003</v>
      </c>
      <c r="N1684" s="416"/>
      <c r="O1684" s="421"/>
      <c r="P1684" s="244">
        <v>45.384</v>
      </c>
      <c r="Q1684" s="246"/>
      <c r="R1684" s="282"/>
      <c r="S1684" s="708">
        <v>34.32</v>
      </c>
      <c r="T1684" s="246"/>
      <c r="U1684" s="282"/>
      <c r="V1684" s="1105">
        <f>19.872+3.6</f>
        <v>23.472000000000001</v>
      </c>
      <c r="W1684" s="416"/>
      <c r="X1684" s="421"/>
      <c r="Y1684" s="1105">
        <f>20.16+0.96</f>
        <v>21.12</v>
      </c>
      <c r="Z1684" s="416"/>
      <c r="AA1684" s="421"/>
      <c r="AB1684" s="1105">
        <f>18.312+6</f>
        <v>24.312000000000001</v>
      </c>
      <c r="AC1684" s="416"/>
      <c r="AD1684" s="421"/>
      <c r="AE1684" s="244">
        <v>20.832000000000001</v>
      </c>
      <c r="AF1684" s="416"/>
      <c r="AG1684" s="421"/>
      <c r="AH1684" s="1105">
        <f>21.464+1.936</f>
        <v>23.4</v>
      </c>
      <c r="AI1684" s="416"/>
      <c r="AJ1684" s="421"/>
      <c r="AK1684" s="1105">
        <f>27.552+0.84</f>
        <v>28.391999999999999</v>
      </c>
      <c r="AL1684" s="416"/>
      <c r="AM1684" s="421"/>
      <c r="AN1684" s="244">
        <v>43.2</v>
      </c>
      <c r="AO1684" s="416"/>
      <c r="AP1684" s="421"/>
      <c r="AQ1684" s="244">
        <f>45.384</f>
        <v>45.384</v>
      </c>
      <c r="AR1684" s="416"/>
      <c r="AS1684" s="421"/>
      <c r="AT1684" s="244">
        <f>J1684+M1684+P1684+S1684+V1684+Y1684+AB1684+AE1684+AH1684+AK1684+AN1684+AQ1684</f>
        <v>352.95200000000006</v>
      </c>
      <c r="AU1684" s="246"/>
      <c r="AV1684" s="336"/>
      <c r="AW1684" s="285"/>
      <c r="AX1684" s="249"/>
      <c r="AY1684" s="438">
        <v>476.37593700000002</v>
      </c>
      <c r="AZ1684" s="415"/>
      <c r="BA1684" s="261"/>
      <c r="BB1684" s="261"/>
      <c r="BC1684" s="261"/>
    </row>
    <row r="1685" spans="1:55" s="114" customFormat="1">
      <c r="A1685" s="179"/>
      <c r="B1685" s="179"/>
      <c r="C1685" s="179"/>
      <c r="D1685" s="181">
        <v>361710</v>
      </c>
      <c r="E1685" s="181"/>
      <c r="F1685" s="181"/>
      <c r="G1685" s="1110"/>
      <c r="H1685" s="132" t="s">
        <v>203</v>
      </c>
      <c r="I1685" s="516" t="s">
        <v>364</v>
      </c>
      <c r="J1685" s="262">
        <v>0</v>
      </c>
      <c r="K1685" s="416"/>
      <c r="L1685" s="421"/>
      <c r="M1685" s="317">
        <f>M1686+M1687</f>
        <v>208</v>
      </c>
      <c r="N1685" s="416"/>
      <c r="O1685" s="421"/>
      <c r="P1685" s="317">
        <f>P1686+P1687</f>
        <v>164.36799999999999</v>
      </c>
      <c r="Q1685" s="246"/>
      <c r="R1685" s="282"/>
      <c r="S1685" s="317">
        <f>S1686+S1687</f>
        <v>143.14400000000001</v>
      </c>
      <c r="T1685" s="246"/>
      <c r="U1685" s="282"/>
      <c r="V1685" s="317">
        <f>V1686+V1687</f>
        <v>125.7</v>
      </c>
      <c r="W1685" s="416"/>
      <c r="X1685" s="421"/>
      <c r="Y1685" s="317">
        <f>Y1686+Y1687</f>
        <v>90.4</v>
      </c>
      <c r="Z1685" s="416"/>
      <c r="AA1685" s="421"/>
      <c r="AB1685" s="317">
        <f>AB1686+AB1687</f>
        <v>81.72</v>
      </c>
      <c r="AC1685" s="416"/>
      <c r="AD1685" s="421"/>
      <c r="AE1685" s="317">
        <f>AE1686+AE1687</f>
        <v>117</v>
      </c>
      <c r="AF1685" s="416"/>
      <c r="AG1685" s="421"/>
      <c r="AH1685" s="317">
        <f>AH1686+AH1687</f>
        <v>115.7</v>
      </c>
      <c r="AI1685" s="416"/>
      <c r="AJ1685" s="421"/>
      <c r="AK1685" s="317">
        <f>AK1686+AK1687</f>
        <v>178.399</v>
      </c>
      <c r="AL1685" s="416"/>
      <c r="AM1685" s="421"/>
      <c r="AN1685" s="317">
        <f>AN1686+AN1687</f>
        <v>220.512</v>
      </c>
      <c r="AO1685" s="416"/>
      <c r="AP1685" s="421"/>
      <c r="AQ1685" s="317">
        <f>AQ1686+AQ1687</f>
        <v>252.59800000000001</v>
      </c>
      <c r="AR1685" s="416"/>
      <c r="AS1685" s="421"/>
      <c r="AT1685" s="317">
        <f>AT1686+AT1687</f>
        <v>1697.5410000000002</v>
      </c>
      <c r="AU1685" s="246"/>
      <c r="AV1685" s="336"/>
      <c r="AW1685" s="285"/>
      <c r="AX1685" s="249"/>
      <c r="AY1685" s="1068">
        <v>2105.7298350000001</v>
      </c>
      <c r="AZ1685" s="415"/>
      <c r="BA1685" s="261"/>
      <c r="BB1685" s="261"/>
      <c r="BC1685" s="261"/>
    </row>
    <row r="1686" spans="1:55" s="114" customFormat="1">
      <c r="A1686" s="179"/>
      <c r="B1686" s="179"/>
      <c r="C1686" s="179"/>
      <c r="D1686" s="181"/>
      <c r="E1686" s="181"/>
      <c r="F1686" s="181"/>
      <c r="G1686" s="1110"/>
      <c r="H1686" s="127" t="s">
        <v>334</v>
      </c>
      <c r="I1686" s="127"/>
      <c r="J1686" s="1106">
        <v>0</v>
      </c>
      <c r="K1686" s="545"/>
      <c r="L1686" s="546"/>
      <c r="M1686" s="1107">
        <f>131+20</f>
        <v>151</v>
      </c>
      <c r="N1686" s="545"/>
      <c r="O1686" s="546"/>
      <c r="P1686" s="1108">
        <f>88.5+20+0.868</f>
        <v>109.36799999999999</v>
      </c>
      <c r="Q1686" s="545"/>
      <c r="R1686" s="546"/>
      <c r="S1686" s="1108">
        <f>43.5+30+7.644</f>
        <v>81.144000000000005</v>
      </c>
      <c r="T1686" s="545"/>
      <c r="U1686" s="546"/>
      <c r="V1686" s="1106">
        <f>50.7+40</f>
        <v>90.7</v>
      </c>
      <c r="W1686" s="545"/>
      <c r="X1686" s="546"/>
      <c r="Y1686" s="547">
        <f>40.2</f>
        <v>40.200000000000003</v>
      </c>
      <c r="Z1686" s="545"/>
      <c r="AA1686" s="546"/>
      <c r="AB1686" s="1106">
        <f>29.82+20</f>
        <v>49.82</v>
      </c>
      <c r="AC1686" s="545"/>
      <c r="AD1686" s="546"/>
      <c r="AE1686" s="1107">
        <f>30+35</f>
        <v>65</v>
      </c>
      <c r="AF1686" s="545"/>
      <c r="AG1686" s="546"/>
      <c r="AH1686" s="1107">
        <f>35.7+30</f>
        <v>65.7</v>
      </c>
      <c r="AI1686" s="545"/>
      <c r="AJ1686" s="546"/>
      <c r="AK1686" s="1108">
        <f>88+50</f>
        <v>138</v>
      </c>
      <c r="AL1686" s="545"/>
      <c r="AM1686" s="546"/>
      <c r="AN1686" s="1109">
        <f>98.2+70+0.256</f>
        <v>168.45599999999999</v>
      </c>
      <c r="AO1686" s="545"/>
      <c r="AP1686" s="546"/>
      <c r="AQ1686" s="1108">
        <f>135.5+45+3.799</f>
        <v>184.29900000000001</v>
      </c>
      <c r="AR1686" s="545"/>
      <c r="AS1686" s="546"/>
      <c r="AT1686" s="244">
        <f t="shared" ref="AT1686:AT1691" si="69">J1686+M1686+P1686+S1686+V1686+Y1686+AB1686+AE1686+AH1686+AK1686+AN1686+AQ1686</f>
        <v>1143.6870000000001</v>
      </c>
      <c r="AU1686" s="246"/>
      <c r="AV1686" s="336"/>
      <c r="AW1686" s="285"/>
      <c r="AX1686" s="249"/>
      <c r="AY1686" s="249"/>
      <c r="AZ1686" s="415"/>
      <c r="BA1686" s="261"/>
      <c r="BB1686" s="261"/>
      <c r="BC1686" s="261"/>
    </row>
    <row r="1687" spans="1:55" s="114" customFormat="1">
      <c r="A1687" s="179"/>
      <c r="B1687" s="179"/>
      <c r="C1687" s="179"/>
      <c r="D1687" s="181"/>
      <c r="E1687" s="181"/>
      <c r="F1687" s="181"/>
      <c r="G1687" s="1110"/>
      <c r="H1687" s="127" t="s">
        <v>501</v>
      </c>
      <c r="I1687" s="127"/>
      <c r="J1687" s="1109">
        <v>0</v>
      </c>
      <c r="K1687" s="545"/>
      <c r="L1687" s="546"/>
      <c r="M1687" s="547">
        <v>57</v>
      </c>
      <c r="N1687" s="545"/>
      <c r="O1687" s="546"/>
      <c r="P1687" s="547">
        <v>55</v>
      </c>
      <c r="Q1687" s="545"/>
      <c r="R1687" s="546"/>
      <c r="S1687" s="547">
        <v>62</v>
      </c>
      <c r="T1687" s="545"/>
      <c r="U1687" s="546"/>
      <c r="V1687" s="548">
        <v>35</v>
      </c>
      <c r="W1687" s="545"/>
      <c r="X1687" s="546"/>
      <c r="Y1687" s="547">
        <v>50.2</v>
      </c>
      <c r="Z1687" s="545"/>
      <c r="AA1687" s="546"/>
      <c r="AB1687" s="548">
        <v>31.9</v>
      </c>
      <c r="AC1687" s="545"/>
      <c r="AD1687" s="546"/>
      <c r="AE1687" s="547">
        <v>52</v>
      </c>
      <c r="AF1687" s="545"/>
      <c r="AG1687" s="546"/>
      <c r="AH1687" s="547">
        <v>50</v>
      </c>
      <c r="AI1687" s="545"/>
      <c r="AJ1687" s="546"/>
      <c r="AK1687" s="1108">
        <f>12+28.399</f>
        <v>40.399000000000001</v>
      </c>
      <c r="AL1687" s="545"/>
      <c r="AM1687" s="546"/>
      <c r="AN1687" s="1109">
        <f>51.8+0.256</f>
        <v>52.055999999999997</v>
      </c>
      <c r="AO1687" s="545"/>
      <c r="AP1687" s="546"/>
      <c r="AQ1687" s="1108">
        <f>64.5+3.799</f>
        <v>68.299000000000007</v>
      </c>
      <c r="AR1687" s="545"/>
      <c r="AS1687" s="546"/>
      <c r="AT1687" s="244">
        <f t="shared" si="69"/>
        <v>553.85399999999993</v>
      </c>
      <c r="AU1687" s="246"/>
      <c r="AV1687" s="336"/>
      <c r="AW1687" s="285"/>
      <c r="AX1687" s="249"/>
      <c r="AY1687" s="249"/>
      <c r="AZ1687" s="415"/>
      <c r="BA1687" s="261"/>
      <c r="BB1687" s="261"/>
      <c r="BC1687" s="261"/>
    </row>
    <row r="1688" spans="1:55" s="114" customFormat="1">
      <c r="A1688" s="179"/>
      <c r="B1688" s="179"/>
      <c r="C1688" s="179"/>
      <c r="D1688" s="181"/>
      <c r="E1688" s="181"/>
      <c r="F1688" s="181"/>
      <c r="G1688" s="1110"/>
      <c r="H1688" s="171" t="s">
        <v>1662</v>
      </c>
      <c r="I1688" s="127"/>
      <c r="J1688" s="547"/>
      <c r="K1688" s="545"/>
      <c r="L1688" s="546"/>
      <c r="M1688" s="547"/>
      <c r="N1688" s="545"/>
      <c r="O1688" s="546"/>
      <c r="P1688" s="547"/>
      <c r="Q1688" s="545"/>
      <c r="R1688" s="546"/>
      <c r="S1688" s="547"/>
      <c r="T1688" s="545"/>
      <c r="U1688" s="546"/>
      <c r="V1688" s="547"/>
      <c r="W1688" s="545"/>
      <c r="X1688" s="546"/>
      <c r="Y1688" s="547"/>
      <c r="Z1688" s="545"/>
      <c r="AA1688" s="546"/>
      <c r="AB1688" s="547"/>
      <c r="AC1688" s="545"/>
      <c r="AD1688" s="546"/>
      <c r="AE1688" s="547"/>
      <c r="AF1688" s="545"/>
      <c r="AG1688" s="546"/>
      <c r="AH1688" s="547"/>
      <c r="AI1688" s="545"/>
      <c r="AJ1688" s="546"/>
      <c r="AK1688" s="547"/>
      <c r="AL1688" s="545"/>
      <c r="AM1688" s="546"/>
      <c r="AN1688" s="547"/>
      <c r="AO1688" s="545"/>
      <c r="AP1688" s="546"/>
      <c r="AQ1688" s="547"/>
      <c r="AR1688" s="545"/>
      <c r="AS1688" s="546"/>
      <c r="AT1688" s="244">
        <f t="shared" si="69"/>
        <v>0</v>
      </c>
      <c r="AU1688" s="246"/>
      <c r="AV1688" s="336"/>
      <c r="AW1688" s="285"/>
      <c r="AX1688" s="249"/>
      <c r="AY1688" s="249"/>
      <c r="AZ1688" s="415"/>
      <c r="BA1688" s="261"/>
      <c r="BB1688" s="261"/>
      <c r="BC1688" s="261"/>
    </row>
    <row r="1689" spans="1:55" s="114" customFormat="1">
      <c r="A1689" s="179"/>
      <c r="B1689" s="179"/>
      <c r="C1689" s="179"/>
      <c r="D1689" s="181">
        <v>361730</v>
      </c>
      <c r="E1689" s="181"/>
      <c r="F1689" s="181"/>
      <c r="G1689" s="1110"/>
      <c r="H1689" s="122" t="s">
        <v>733</v>
      </c>
      <c r="I1689" s="516" t="s">
        <v>364</v>
      </c>
      <c r="J1689" s="824">
        <v>0</v>
      </c>
      <c r="K1689" s="535"/>
      <c r="L1689" s="536"/>
      <c r="M1689" s="638">
        <f>ГЭС!D196</f>
        <v>365.4</v>
      </c>
      <c r="N1689" s="535"/>
      <c r="O1689" s="536"/>
      <c r="P1689" s="638">
        <f>ГЭС!E196</f>
        <v>409</v>
      </c>
      <c r="Q1689" s="521"/>
      <c r="R1689" s="522"/>
      <c r="S1689" s="638">
        <f>ГЭС!G196</f>
        <v>372.87</v>
      </c>
      <c r="T1689" s="521"/>
      <c r="U1689" s="522"/>
      <c r="V1689" s="638">
        <f>ГЭС!H196</f>
        <v>377.97</v>
      </c>
      <c r="W1689" s="535"/>
      <c r="X1689" s="536"/>
      <c r="Y1689" s="686">
        <f>ГЭС!I196</f>
        <v>450</v>
      </c>
      <c r="Z1689" s="535"/>
      <c r="AA1689" s="536"/>
      <c r="AB1689" s="638">
        <f>ГЭС!K196</f>
        <v>430</v>
      </c>
      <c r="AC1689" s="535"/>
      <c r="AD1689" s="536"/>
      <c r="AE1689" s="638">
        <f>ГЭС!L196</f>
        <v>396.81</v>
      </c>
      <c r="AF1689" s="535"/>
      <c r="AG1689" s="536"/>
      <c r="AH1689" s="638">
        <f>ГЭС!M196</f>
        <v>445</v>
      </c>
      <c r="AI1689" s="535"/>
      <c r="AJ1689" s="536"/>
      <c r="AK1689" s="638">
        <f>ГЭС!O196</f>
        <v>413.85</v>
      </c>
      <c r="AL1689" s="535"/>
      <c r="AM1689" s="536"/>
      <c r="AN1689" s="638">
        <f>ГЭС!P196</f>
        <v>395</v>
      </c>
      <c r="AO1689" s="535"/>
      <c r="AP1689" s="536"/>
      <c r="AQ1689" s="638">
        <f>ГЭС!Q196</f>
        <v>409</v>
      </c>
      <c r="AR1689" s="535"/>
      <c r="AS1689" s="536"/>
      <c r="AT1689" s="638">
        <f t="shared" si="69"/>
        <v>4464.8999999999996</v>
      </c>
      <c r="AU1689" s="246"/>
      <c r="AV1689" s="336"/>
      <c r="AW1689" s="285"/>
      <c r="AX1689" s="249"/>
      <c r="AY1689" s="438">
        <v>4719.7810509999999</v>
      </c>
      <c r="AZ1689" s="415"/>
      <c r="BA1689" s="261"/>
      <c r="BB1689" s="261"/>
      <c r="BC1689" s="261"/>
    </row>
    <row r="1690" spans="1:55" s="114" customFormat="1">
      <c r="A1690" s="179"/>
      <c r="B1690" s="179"/>
      <c r="C1690" s="179"/>
      <c r="D1690" s="181">
        <v>361731</v>
      </c>
      <c r="E1690" s="181"/>
      <c r="F1690" s="181"/>
      <c r="G1690" s="1110"/>
      <c r="H1690" s="122" t="s">
        <v>734</v>
      </c>
      <c r="I1690" s="516" t="s">
        <v>364</v>
      </c>
      <c r="J1690" s="824">
        <v>0</v>
      </c>
      <c r="K1690" s="535"/>
      <c r="L1690" s="536"/>
      <c r="M1690" s="638">
        <f>ГЭС!D197</f>
        <v>440.54</v>
      </c>
      <c r="N1690" s="535"/>
      <c r="O1690" s="536"/>
      <c r="P1690" s="638">
        <f>ГЭС!E197</f>
        <v>466.31</v>
      </c>
      <c r="Q1690" s="521"/>
      <c r="R1690" s="522"/>
      <c r="S1690" s="638">
        <f>ГЭС!G197</f>
        <v>432.5</v>
      </c>
      <c r="T1690" s="521"/>
      <c r="U1690" s="522"/>
      <c r="V1690" s="638">
        <f>ГЭС!H197</f>
        <v>431.87</v>
      </c>
      <c r="W1690" s="535"/>
      <c r="X1690" s="536"/>
      <c r="Y1690" s="686">
        <f>ГЭС!I197</f>
        <v>463.18</v>
      </c>
      <c r="Z1690" s="535"/>
      <c r="AA1690" s="536"/>
      <c r="AB1690" s="638">
        <f>ГЭС!K197</f>
        <v>499.28</v>
      </c>
      <c r="AC1690" s="535"/>
      <c r="AD1690" s="536"/>
      <c r="AE1690" s="638">
        <f>ГЭС!L197</f>
        <v>649.32000000000005</v>
      </c>
      <c r="AF1690" s="535"/>
      <c r="AG1690" s="536"/>
      <c r="AH1690" s="638">
        <f>ГЭС!M197</f>
        <v>581.9</v>
      </c>
      <c r="AI1690" s="535"/>
      <c r="AJ1690" s="536"/>
      <c r="AK1690" s="638">
        <f>ГЭС!O197</f>
        <v>600.32999999999993</v>
      </c>
      <c r="AL1690" s="535"/>
      <c r="AM1690" s="536"/>
      <c r="AN1690" s="638">
        <f>ГЭС!P197</f>
        <v>510.96</v>
      </c>
      <c r="AO1690" s="535"/>
      <c r="AP1690" s="536"/>
      <c r="AQ1690" s="638">
        <f>ГЭС!Q197</f>
        <v>499.2</v>
      </c>
      <c r="AR1690" s="535"/>
      <c r="AS1690" s="536"/>
      <c r="AT1690" s="638">
        <f t="shared" si="69"/>
        <v>5575.3899999999994</v>
      </c>
      <c r="AU1690" s="246"/>
      <c r="AV1690" s="336"/>
      <c r="AW1690" s="285"/>
      <c r="AX1690" s="249"/>
      <c r="AY1690" s="438">
        <v>6534.1611519999997</v>
      </c>
      <c r="AZ1690" s="415"/>
      <c r="BA1690" s="261"/>
      <c r="BB1690" s="261"/>
      <c r="BC1690" s="261"/>
    </row>
    <row r="1691" spans="1:55" s="114" customFormat="1">
      <c r="A1691" s="179"/>
      <c r="B1691" s="179"/>
      <c r="C1691" s="179"/>
      <c r="D1691" s="181"/>
      <c r="E1691" s="181"/>
      <c r="F1691" s="181"/>
      <c r="G1691" s="1110"/>
      <c r="H1691" s="122" t="s">
        <v>884</v>
      </c>
      <c r="I1691" s="516" t="s">
        <v>364</v>
      </c>
      <c r="J1691" s="824">
        <v>0</v>
      </c>
      <c r="K1691" s="535"/>
      <c r="L1691" s="536"/>
      <c r="M1691" s="638">
        <f>ГЭС!D198</f>
        <v>120.4</v>
      </c>
      <c r="N1691" s="535"/>
      <c r="O1691" s="536"/>
      <c r="P1691" s="638">
        <f>ГЭС!E198</f>
        <v>130.80000000000001</v>
      </c>
      <c r="Q1691" s="521"/>
      <c r="R1691" s="522"/>
      <c r="S1691" s="638">
        <f>ГЭС!G198</f>
        <v>121.3</v>
      </c>
      <c r="T1691" s="521"/>
      <c r="U1691" s="522"/>
      <c r="V1691" s="638">
        <f>ГЭС!H198</f>
        <v>118.1</v>
      </c>
      <c r="W1691" s="535"/>
      <c r="X1691" s="536"/>
      <c r="Y1691" s="686">
        <f>ГЭС!I198</f>
        <v>126.6</v>
      </c>
      <c r="Z1691" s="535"/>
      <c r="AA1691" s="536"/>
      <c r="AB1691" s="638">
        <f>ГЭС!K198</f>
        <v>134.69999999999999</v>
      </c>
      <c r="AC1691" s="535"/>
      <c r="AD1691" s="536"/>
      <c r="AE1691" s="638">
        <f>ГЭС!L198</f>
        <v>148.19999999999999</v>
      </c>
      <c r="AF1691" s="535"/>
      <c r="AG1691" s="536"/>
      <c r="AH1691" s="638">
        <f>ГЭС!M198</f>
        <v>150</v>
      </c>
      <c r="AI1691" s="535"/>
      <c r="AJ1691" s="536"/>
      <c r="AK1691" s="638">
        <f>ГЭС!O198</f>
        <v>150</v>
      </c>
      <c r="AL1691" s="535"/>
      <c r="AM1691" s="536"/>
      <c r="AN1691" s="638">
        <f>ГЭС!P198</f>
        <v>137.80000000000001</v>
      </c>
      <c r="AO1691" s="535"/>
      <c r="AP1691" s="536"/>
      <c r="AQ1691" s="638">
        <f>ГЭС!Q198</f>
        <v>134.69999999999999</v>
      </c>
      <c r="AR1691" s="535"/>
      <c r="AS1691" s="536"/>
      <c r="AT1691" s="638">
        <f t="shared" si="69"/>
        <v>1472.6000000000001</v>
      </c>
      <c r="AU1691" s="246"/>
      <c r="AV1691" s="336"/>
      <c r="AW1691" s="285"/>
      <c r="AX1691" s="249"/>
      <c r="AY1691" s="438">
        <v>675.44697199999996</v>
      </c>
      <c r="AZ1691" s="415"/>
      <c r="BA1691" s="261"/>
      <c r="BB1691" s="261"/>
      <c r="BC1691" s="261"/>
    </row>
    <row r="1692" spans="1:55" s="114" customFormat="1" ht="18.75">
      <c r="A1692" s="179"/>
      <c r="B1692" s="179"/>
      <c r="C1692" s="179"/>
      <c r="D1692" s="181">
        <v>361800</v>
      </c>
      <c r="E1692" s="181"/>
      <c r="F1692" s="181"/>
      <c r="G1692" s="181"/>
      <c r="H1692" s="473" t="s">
        <v>1648</v>
      </c>
      <c r="I1692" s="473"/>
      <c r="J1692" s="393">
        <f>SUM(J1693:J1693)</f>
        <v>0</v>
      </c>
      <c r="K1692" s="391">
        <f>L1692-J1692</f>
        <v>1556.2</v>
      </c>
      <c r="L1692" s="392">
        <f>Потребление!D98</f>
        <v>1556.2</v>
      </c>
      <c r="M1692" s="390">
        <f>SUM(M1693:M1693)</f>
        <v>1081.816</v>
      </c>
      <c r="N1692" s="391">
        <f>O1692-M1692</f>
        <v>337.38400000000001</v>
      </c>
      <c r="O1692" s="392">
        <f>Потребление!E98</f>
        <v>1419.2</v>
      </c>
      <c r="P1692" s="390">
        <f>SUM(P1693:P1693)</f>
        <v>1137.191</v>
      </c>
      <c r="Q1692" s="391">
        <f>R1692-P1692</f>
        <v>201.10899999999992</v>
      </c>
      <c r="R1692" s="392">
        <f>Потребление!F98</f>
        <v>1338.3</v>
      </c>
      <c r="S1692" s="390">
        <f>SUM(S1693:S1693)</f>
        <v>989.51699999999983</v>
      </c>
      <c r="T1692" s="391">
        <f>U1692-S1692</f>
        <v>127.88300000000027</v>
      </c>
      <c r="U1692" s="392">
        <f>Потребление!G98</f>
        <v>1117.4000000000001</v>
      </c>
      <c r="V1692" s="390">
        <f>SUM(V1693:V1693)</f>
        <v>936.54200000000003</v>
      </c>
      <c r="W1692" s="391">
        <f>X1692-V1692</f>
        <v>58.057999999999993</v>
      </c>
      <c r="X1692" s="392">
        <f>Потребление!H98</f>
        <v>994.6</v>
      </c>
      <c r="Y1692" s="390">
        <f>SUM(Y1693:Y1693)</f>
        <v>803.64700000000005</v>
      </c>
      <c r="Z1692" s="391">
        <f>AA1692-Y1692</f>
        <v>86.852999999999952</v>
      </c>
      <c r="AA1692" s="392">
        <f>Потребление!I98</f>
        <v>890.5</v>
      </c>
      <c r="AB1692" s="390">
        <f>SUM(AB1693:AB1693)</f>
        <v>755.72500000000002</v>
      </c>
      <c r="AC1692" s="275">
        <f>AD1692-AB1692</f>
        <v>154.07499999999993</v>
      </c>
      <c r="AD1692" s="392">
        <f>Потребление!J98</f>
        <v>909.8</v>
      </c>
      <c r="AE1692" s="390">
        <f>SUM(AE1693:AE1693)</f>
        <v>740.18299999999999</v>
      </c>
      <c r="AF1692" s="391">
        <f>AG1692-AE1692</f>
        <v>168.11699999999996</v>
      </c>
      <c r="AG1692" s="392">
        <f>Потребление!K98</f>
        <v>908.3</v>
      </c>
      <c r="AH1692" s="390">
        <f>SUM(AH1693:AH1693)</f>
        <v>840.46299999999985</v>
      </c>
      <c r="AI1692" s="391">
        <f>AJ1692-AH1692</f>
        <v>59.337000000000103</v>
      </c>
      <c r="AJ1692" s="392">
        <f>Потребление!L98</f>
        <v>899.8</v>
      </c>
      <c r="AK1692" s="390">
        <f>SUM(AK1693:AK1693)</f>
        <v>929.83500000000004</v>
      </c>
      <c r="AL1692" s="391">
        <f>AM1692-AK1692</f>
        <v>148.96499999999992</v>
      </c>
      <c r="AM1692" s="392">
        <f>Потребление!M98</f>
        <v>1078.8</v>
      </c>
      <c r="AN1692" s="390">
        <f>SUM(AN1693:AN1693)</f>
        <v>1120.2199999999998</v>
      </c>
      <c r="AO1692" s="391">
        <f>AP1692-AN1692</f>
        <v>171.38000000000011</v>
      </c>
      <c r="AP1692" s="392">
        <f>Потребление!N98</f>
        <v>1291.5999999999999</v>
      </c>
      <c r="AQ1692" s="390">
        <f>SUM(AQ1693:AQ1693)</f>
        <v>1303.4480000000001</v>
      </c>
      <c r="AR1692" s="391">
        <f>AS1692-AQ1692</f>
        <v>248.05199999999991</v>
      </c>
      <c r="AS1692" s="392">
        <f>Потребление!O98</f>
        <v>1551.5</v>
      </c>
      <c r="AT1692" s="390">
        <f>SUM(AT1693:AT1693)</f>
        <v>10638.587</v>
      </c>
      <c r="AU1692" s="391">
        <f>AV1692-AT1692</f>
        <v>3317.4129999999986</v>
      </c>
      <c r="AV1692" s="394">
        <f>L1692+O1692+R1692+U1692+X1692+AA1692+AD1692+AG1692+AJ1692+AM1692+AP1692+AS1692</f>
        <v>13955.999999999998</v>
      </c>
      <c r="AW1692" s="395"/>
      <c r="AX1692" s="424">
        <v>13393.493340999999</v>
      </c>
      <c r="AY1692" s="444">
        <f>SUM(AY1693:AY1693)</f>
        <v>10923.480679999999</v>
      </c>
      <c r="AZ1692" s="415"/>
      <c r="BA1692" s="261"/>
      <c r="BB1692" s="261"/>
      <c r="BC1692" s="261"/>
    </row>
    <row r="1693" spans="1:55" s="114" customFormat="1">
      <c r="A1693" s="179"/>
      <c r="B1693" s="179"/>
      <c r="C1693" s="179"/>
      <c r="D1693" s="181"/>
      <c r="E1693" s="181"/>
      <c r="F1693" s="181"/>
      <c r="G1693" s="181"/>
      <c r="H1693" s="10" t="s">
        <v>56</v>
      </c>
      <c r="I1693" s="10"/>
      <c r="J1693" s="223">
        <f>SUM(J1694:J1703)-J1695-J1696</f>
        <v>0</v>
      </c>
      <c r="K1693" s="271"/>
      <c r="L1693" s="224"/>
      <c r="M1693" s="223">
        <f>SUM(M1694:M1703)-M1695-M1696</f>
        <v>1081.816</v>
      </c>
      <c r="N1693" s="271"/>
      <c r="O1693" s="224"/>
      <c r="P1693" s="223">
        <f>SUM(P1694:P1703)-P1695-P1696</f>
        <v>1137.191</v>
      </c>
      <c r="Q1693" s="271"/>
      <c r="R1693" s="224"/>
      <c r="S1693" s="223">
        <f>SUM(S1694:S1703)-S1695-S1696</f>
        <v>989.51699999999983</v>
      </c>
      <c r="T1693" s="271"/>
      <c r="U1693" s="224"/>
      <c r="V1693" s="223">
        <f>SUM(V1694:V1703)-V1695-V1696</f>
        <v>936.54200000000003</v>
      </c>
      <c r="W1693" s="271"/>
      <c r="X1693" s="224"/>
      <c r="Y1693" s="223">
        <f>SUM(Y1694:Y1703)-Y1695-Y1696</f>
        <v>803.64700000000005</v>
      </c>
      <c r="Z1693" s="271"/>
      <c r="AA1693" s="224"/>
      <c r="AB1693" s="223">
        <f>SUM(AB1694:AB1703)-AB1695-AB1696</f>
        <v>755.72500000000002</v>
      </c>
      <c r="AC1693" s="271"/>
      <c r="AD1693" s="224"/>
      <c r="AE1693" s="223">
        <f>SUM(AE1694:AE1703)-AE1695-AE1696</f>
        <v>740.18299999999999</v>
      </c>
      <c r="AF1693" s="271"/>
      <c r="AG1693" s="224"/>
      <c r="AH1693" s="223">
        <f>SUM(AH1694:AH1703)-AH1695-AH1696</f>
        <v>840.46299999999985</v>
      </c>
      <c r="AI1693" s="271"/>
      <c r="AJ1693" s="224"/>
      <c r="AK1693" s="223">
        <f>SUM(AK1694:AK1703)-AK1695-AK1696</f>
        <v>929.83500000000004</v>
      </c>
      <c r="AL1693" s="271"/>
      <c r="AM1693" s="224"/>
      <c r="AN1693" s="223">
        <f>SUM(AN1694:AN1703)-AN1695-AN1696</f>
        <v>1120.2199999999998</v>
      </c>
      <c r="AO1693" s="271"/>
      <c r="AP1693" s="224"/>
      <c r="AQ1693" s="223">
        <f>SUM(AQ1694:AQ1703)-AQ1695-AQ1696</f>
        <v>1303.4480000000001</v>
      </c>
      <c r="AR1693" s="271"/>
      <c r="AS1693" s="224"/>
      <c r="AT1693" s="270">
        <f>SUM(AT1694:AT1703)-AT1695-AT1696</f>
        <v>10638.587</v>
      </c>
      <c r="AU1693" s="271"/>
      <c r="AV1693" s="229"/>
      <c r="AW1693" s="226"/>
      <c r="AX1693" s="230"/>
      <c r="AY1693" s="231">
        <f>SUM(AY1694:AY1703)</f>
        <v>10923.480679999999</v>
      </c>
      <c r="AZ1693" s="415"/>
      <c r="BA1693" s="261"/>
      <c r="BB1693" s="261"/>
      <c r="BC1693" s="261"/>
    </row>
    <row r="1694" spans="1:55" s="114" customFormat="1">
      <c r="A1694" s="179"/>
      <c r="B1694" s="179"/>
      <c r="C1694" s="179"/>
      <c r="D1694" s="181">
        <v>361827</v>
      </c>
      <c r="E1694" s="181"/>
      <c r="F1694" s="181"/>
      <c r="G1694" s="1110"/>
      <c r="H1694" s="1128" t="s">
        <v>207</v>
      </c>
      <c r="I1694" s="1129" t="s">
        <v>364</v>
      </c>
      <c r="J1694" s="927">
        <f>J1695+J1696</f>
        <v>0</v>
      </c>
      <c r="K1694" s="998"/>
      <c r="L1694" s="692"/>
      <c r="M1694" s="927">
        <f>M1695+M1696</f>
        <v>89</v>
      </c>
      <c r="N1694" s="998"/>
      <c r="O1694" s="692"/>
      <c r="P1694" s="927">
        <f>P1695+P1696</f>
        <v>94</v>
      </c>
      <c r="Q1694" s="998"/>
      <c r="R1694" s="692"/>
      <c r="S1694" s="927">
        <f>S1695+S1696</f>
        <v>83</v>
      </c>
      <c r="T1694" s="998"/>
      <c r="U1694" s="692"/>
      <c r="V1694" s="927">
        <f>V1695+V1696</f>
        <v>86.757000000000005</v>
      </c>
      <c r="W1694" s="998"/>
      <c r="X1694" s="692"/>
      <c r="Y1694" s="927">
        <f>Y1695+Y1696</f>
        <v>87.12</v>
      </c>
      <c r="Z1694" s="998"/>
      <c r="AA1694" s="692"/>
      <c r="AB1694" s="927">
        <f>AB1695+AB1696</f>
        <v>57.024000000000001</v>
      </c>
      <c r="AC1694" s="998"/>
      <c r="AD1694" s="692"/>
      <c r="AE1694" s="927">
        <f>AE1695+AE1696</f>
        <v>90.288000000000011</v>
      </c>
      <c r="AF1694" s="998"/>
      <c r="AG1694" s="692"/>
      <c r="AH1694" s="927">
        <f>AH1695+AH1696</f>
        <v>73</v>
      </c>
      <c r="AI1694" s="998"/>
      <c r="AJ1694" s="692"/>
      <c r="AK1694" s="927">
        <f>AK1695+AK1696</f>
        <v>88</v>
      </c>
      <c r="AL1694" s="998"/>
      <c r="AM1694" s="692"/>
      <c r="AN1694" s="927">
        <f>AN1695+AN1696</f>
        <v>92</v>
      </c>
      <c r="AO1694" s="998"/>
      <c r="AP1694" s="692"/>
      <c r="AQ1694" s="927">
        <f>AQ1695+AQ1696</f>
        <v>95</v>
      </c>
      <c r="AR1694" s="998"/>
      <c r="AS1694" s="692"/>
      <c r="AT1694" s="927">
        <f>AT1695+AT1696</f>
        <v>935.18899999999996</v>
      </c>
      <c r="AU1694" s="246"/>
      <c r="AV1694" s="336"/>
      <c r="AW1694" s="285"/>
      <c r="AX1694" s="249"/>
      <c r="AY1694" s="438">
        <v>969.52455999999995</v>
      </c>
      <c r="AZ1694" s="415"/>
      <c r="BA1694" s="261"/>
      <c r="BB1694" s="261"/>
      <c r="BC1694" s="261"/>
    </row>
    <row r="1695" spans="1:55" s="114" customFormat="1">
      <c r="A1695" s="179"/>
      <c r="B1695" s="179"/>
      <c r="C1695" s="179"/>
      <c r="D1695" s="181">
        <v>361810</v>
      </c>
      <c r="E1695" s="181"/>
      <c r="F1695" s="181"/>
      <c r="G1695" s="1110"/>
      <c r="H1695" s="127" t="s">
        <v>1660</v>
      </c>
      <c r="I1695" s="516"/>
      <c r="J1695" s="547">
        <v>0</v>
      </c>
      <c r="K1695" s="545"/>
      <c r="L1695" s="546"/>
      <c r="M1695" s="547">
        <f>42</f>
        <v>42</v>
      </c>
      <c r="N1695" s="545"/>
      <c r="O1695" s="546"/>
      <c r="P1695" s="547">
        <f>45</f>
        <v>45</v>
      </c>
      <c r="Q1695" s="545"/>
      <c r="R1695" s="546"/>
      <c r="S1695" s="547">
        <f>43</f>
        <v>43</v>
      </c>
      <c r="T1695" s="545"/>
      <c r="U1695" s="546"/>
      <c r="V1695" s="548">
        <f>39</f>
        <v>39</v>
      </c>
      <c r="W1695" s="545"/>
      <c r="X1695" s="546"/>
      <c r="Y1695" s="1108">
        <f>36+6.897</f>
        <v>42.896999999999998</v>
      </c>
      <c r="Z1695" s="545"/>
      <c r="AA1695" s="546"/>
      <c r="AB1695" s="1109">
        <f>14+1.386</f>
        <v>15.385999999999999</v>
      </c>
      <c r="AC1695" s="545"/>
      <c r="AD1695" s="546"/>
      <c r="AE1695" s="1108">
        <f>43+13.992</f>
        <v>56.992000000000004</v>
      </c>
      <c r="AF1695" s="545"/>
      <c r="AG1695" s="546"/>
      <c r="AH1695" s="547">
        <f>36</f>
        <v>36</v>
      </c>
      <c r="AI1695" s="545"/>
      <c r="AJ1695" s="546"/>
      <c r="AK1695" s="547">
        <f>41</f>
        <v>41</v>
      </c>
      <c r="AL1695" s="545"/>
      <c r="AM1695" s="546"/>
      <c r="AN1695" s="547">
        <f>40</f>
        <v>40</v>
      </c>
      <c r="AO1695" s="545"/>
      <c r="AP1695" s="546"/>
      <c r="AQ1695" s="547">
        <f>43</f>
        <v>43</v>
      </c>
      <c r="AR1695" s="545"/>
      <c r="AS1695" s="546"/>
      <c r="AT1695" s="244">
        <f t="shared" ref="AT1695:AT1700" si="70">J1695+M1695+P1695+S1695+V1695+Y1695+AB1695+AE1695+AH1695+AK1695+AN1695+AQ1695</f>
        <v>444.27499999999998</v>
      </c>
      <c r="AU1695" s="283"/>
      <c r="AV1695" s="284"/>
      <c r="AW1695" s="285"/>
      <c r="AX1695" s="260"/>
      <c r="AY1695" s="435">
        <v>1987.676864</v>
      </c>
      <c r="AZ1695" s="415"/>
      <c r="BA1695" s="261"/>
      <c r="BB1695" s="261"/>
      <c r="BC1695" s="261"/>
    </row>
    <row r="1696" spans="1:55">
      <c r="B1696" s="179"/>
      <c r="C1696" s="179"/>
      <c r="D1696" s="181">
        <v>361826</v>
      </c>
      <c r="E1696" s="181"/>
      <c r="F1696" s="181"/>
      <c r="G1696" s="1110"/>
      <c r="H1696" s="127" t="s">
        <v>1661</v>
      </c>
      <c r="I1696" s="516"/>
      <c r="J1696" s="547">
        <v>0</v>
      </c>
      <c r="K1696" s="545"/>
      <c r="L1696" s="546"/>
      <c r="M1696" s="547">
        <f>47</f>
        <v>47</v>
      </c>
      <c r="N1696" s="545"/>
      <c r="O1696" s="546"/>
      <c r="P1696" s="547">
        <f>49</f>
        <v>49</v>
      </c>
      <c r="Q1696" s="545"/>
      <c r="R1696" s="546"/>
      <c r="S1696" s="547">
        <f>40</f>
        <v>40</v>
      </c>
      <c r="T1696" s="545"/>
      <c r="U1696" s="546"/>
      <c r="V1696" s="1109">
        <f>47+0.757</f>
        <v>47.756999999999998</v>
      </c>
      <c r="W1696" s="545"/>
      <c r="X1696" s="546"/>
      <c r="Y1696" s="1108">
        <f>37+7.223</f>
        <v>44.222999999999999</v>
      </c>
      <c r="Z1696" s="545"/>
      <c r="AA1696" s="546"/>
      <c r="AB1696" s="1109">
        <f>37+4.638</f>
        <v>41.637999999999998</v>
      </c>
      <c r="AC1696" s="545"/>
      <c r="AD1696" s="546"/>
      <c r="AE1696" s="1108">
        <f>22+11.296</f>
        <v>33.295999999999999</v>
      </c>
      <c r="AF1696" s="545"/>
      <c r="AG1696" s="546"/>
      <c r="AH1696" s="547">
        <f>37</f>
        <v>37</v>
      </c>
      <c r="AI1696" s="545"/>
      <c r="AJ1696" s="546"/>
      <c r="AK1696" s="547">
        <f>47</f>
        <v>47</v>
      </c>
      <c r="AL1696" s="545"/>
      <c r="AM1696" s="546"/>
      <c r="AN1696" s="547">
        <f>52</f>
        <v>52</v>
      </c>
      <c r="AO1696" s="545"/>
      <c r="AP1696" s="546"/>
      <c r="AQ1696" s="547">
        <f>52</f>
        <v>52</v>
      </c>
      <c r="AR1696" s="545"/>
      <c r="AS1696" s="546"/>
      <c r="AT1696" s="244">
        <f t="shared" si="70"/>
        <v>490.91399999999999</v>
      </c>
      <c r="AU1696" s="246"/>
      <c r="AV1696" s="336"/>
      <c r="AW1696" s="285"/>
      <c r="AX1696" s="249"/>
      <c r="AY1696" s="441">
        <v>2296.514752</v>
      </c>
      <c r="AZ1696" s="261"/>
      <c r="BA1696" s="261"/>
      <c r="BB1696" s="261"/>
      <c r="BC1696" s="261"/>
    </row>
    <row r="1697" spans="1:55">
      <c r="B1697" s="179"/>
      <c r="C1697" s="179"/>
      <c r="D1697" s="181"/>
      <c r="E1697" s="181"/>
      <c r="F1697" s="181"/>
      <c r="G1697" s="1110"/>
      <c r="H1697" s="122" t="s">
        <v>208</v>
      </c>
      <c r="I1697" s="516" t="s">
        <v>364</v>
      </c>
      <c r="J1697" s="548">
        <v>0</v>
      </c>
      <c r="K1697" s="545"/>
      <c r="L1697" s="546"/>
      <c r="M1697" s="547">
        <v>224</v>
      </c>
      <c r="N1697" s="545"/>
      <c r="O1697" s="546"/>
      <c r="P1697" s="547">
        <v>209</v>
      </c>
      <c r="Q1697" s="545"/>
      <c r="R1697" s="546"/>
      <c r="S1697" s="547">
        <v>173</v>
      </c>
      <c r="T1697" s="545"/>
      <c r="U1697" s="546"/>
      <c r="V1697" s="1109">
        <f>160+7.52</f>
        <v>167.52</v>
      </c>
      <c r="W1697" s="545"/>
      <c r="X1697" s="546"/>
      <c r="Y1697" s="1108">
        <f>163+1.976</f>
        <v>164.976</v>
      </c>
      <c r="Z1697" s="545"/>
      <c r="AA1697" s="546"/>
      <c r="AB1697" s="1109">
        <f>148+18.752</f>
        <v>166.75200000000001</v>
      </c>
      <c r="AC1697" s="545"/>
      <c r="AD1697" s="546"/>
      <c r="AE1697" s="1108">
        <f>113+24.496</f>
        <v>137.49600000000001</v>
      </c>
      <c r="AF1697" s="545"/>
      <c r="AG1697" s="546"/>
      <c r="AH1697" s="1108">
        <f>114+0.984</f>
        <v>114.98399999999999</v>
      </c>
      <c r="AI1697" s="545"/>
      <c r="AJ1697" s="546"/>
      <c r="AK1697" s="547">
        <v>152</v>
      </c>
      <c r="AL1697" s="545"/>
      <c r="AM1697" s="546"/>
      <c r="AN1697" s="1109">
        <f>183+13.896</f>
        <v>196.89600000000002</v>
      </c>
      <c r="AO1697" s="545"/>
      <c r="AP1697" s="546"/>
      <c r="AQ1697" s="1111">
        <f>219+16.584+10</f>
        <v>245.584</v>
      </c>
      <c r="AR1697" s="545"/>
      <c r="AS1697" s="546"/>
      <c r="AT1697" s="244">
        <f t="shared" si="70"/>
        <v>1952.2080000000001</v>
      </c>
      <c r="AU1697" s="246"/>
      <c r="AV1697" s="336"/>
      <c r="AW1697" s="285"/>
      <c r="AX1697" s="249"/>
      <c r="AY1697" s="441"/>
      <c r="AZ1697" s="261"/>
      <c r="BA1697" s="261"/>
      <c r="BB1697" s="261"/>
      <c r="BC1697" s="261"/>
    </row>
    <row r="1698" spans="1:55">
      <c r="B1698" s="179"/>
      <c r="C1698" s="179"/>
      <c r="D1698" s="181"/>
      <c r="E1698" s="181"/>
      <c r="F1698" s="181"/>
      <c r="G1698" s="1110"/>
      <c r="H1698" s="122" t="s">
        <v>209</v>
      </c>
      <c r="I1698" s="516" t="s">
        <v>364</v>
      </c>
      <c r="J1698" s="548">
        <v>0</v>
      </c>
      <c r="K1698" s="545"/>
      <c r="L1698" s="546"/>
      <c r="M1698" s="547">
        <v>210</v>
      </c>
      <c r="N1698" s="545"/>
      <c r="O1698" s="546"/>
      <c r="P1698" s="547">
        <v>211</v>
      </c>
      <c r="Q1698" s="545"/>
      <c r="R1698" s="546"/>
      <c r="S1698" s="547">
        <v>169</v>
      </c>
      <c r="T1698" s="545"/>
      <c r="U1698" s="546"/>
      <c r="V1698" s="1109">
        <f>128+28.68</f>
        <v>156.68</v>
      </c>
      <c r="W1698" s="545"/>
      <c r="X1698" s="546"/>
      <c r="Y1698" s="1108">
        <f>115+56.08</f>
        <v>171.07999999999998</v>
      </c>
      <c r="Z1698" s="545"/>
      <c r="AA1698" s="546"/>
      <c r="AB1698" s="1109">
        <f>135+22.16</f>
        <v>157.16</v>
      </c>
      <c r="AC1698" s="545"/>
      <c r="AD1698" s="546"/>
      <c r="AE1698" s="1108">
        <f>164+26.12</f>
        <v>190.12</v>
      </c>
      <c r="AF1698" s="545"/>
      <c r="AG1698" s="546"/>
      <c r="AH1698" s="547">
        <v>173</v>
      </c>
      <c r="AI1698" s="545"/>
      <c r="AJ1698" s="546"/>
      <c r="AK1698" s="547">
        <v>176</v>
      </c>
      <c r="AL1698" s="545"/>
      <c r="AM1698" s="546"/>
      <c r="AN1698" s="548">
        <v>206</v>
      </c>
      <c r="AO1698" s="545"/>
      <c r="AP1698" s="546"/>
      <c r="AQ1698" s="547">
        <v>258</v>
      </c>
      <c r="AR1698" s="545"/>
      <c r="AS1698" s="546"/>
      <c r="AT1698" s="244">
        <f t="shared" si="70"/>
        <v>2078.04</v>
      </c>
      <c r="AU1698" s="246"/>
      <c r="AV1698" s="336"/>
      <c r="AW1698" s="285"/>
      <c r="AX1698" s="249"/>
      <c r="AY1698" s="441"/>
      <c r="AZ1698" s="261"/>
      <c r="BA1698" s="261"/>
      <c r="BB1698" s="261"/>
      <c r="BC1698" s="261"/>
    </row>
    <row r="1699" spans="1:55">
      <c r="B1699" s="179"/>
      <c r="C1699" s="179"/>
      <c r="D1699" s="181">
        <v>361801</v>
      </c>
      <c r="E1699" s="181"/>
      <c r="F1699" s="181"/>
      <c r="G1699" s="1110"/>
      <c r="H1699" s="122" t="s">
        <v>210</v>
      </c>
      <c r="I1699" s="516" t="s">
        <v>364</v>
      </c>
      <c r="J1699" s="1106">
        <v>0</v>
      </c>
      <c r="K1699" s="545"/>
      <c r="L1699" s="546"/>
      <c r="M1699" s="1107">
        <f>439.872+39.638</f>
        <v>479.51</v>
      </c>
      <c r="N1699" s="545"/>
      <c r="O1699" s="546"/>
      <c r="P1699" s="1107">
        <f>520.8+35.66</f>
        <v>556.45999999999992</v>
      </c>
      <c r="Q1699" s="545"/>
      <c r="R1699" s="546"/>
      <c r="S1699" s="1107">
        <f>497.592+7.421</f>
        <v>505.01299999999998</v>
      </c>
      <c r="T1699" s="545"/>
      <c r="U1699" s="546"/>
      <c r="V1699" s="1106">
        <f>479.904+13.681</f>
        <v>493.58499999999998</v>
      </c>
      <c r="W1699" s="545"/>
      <c r="X1699" s="546"/>
      <c r="Y1699" s="1107">
        <f>360.72-10.249</f>
        <v>350.471</v>
      </c>
      <c r="Z1699" s="545"/>
      <c r="AA1699" s="546"/>
      <c r="AB1699" s="1106">
        <f>272.4+72.389</f>
        <v>344.78899999999999</v>
      </c>
      <c r="AC1699" s="545"/>
      <c r="AD1699" s="546"/>
      <c r="AE1699" s="1107">
        <f>279.944+12.335</f>
        <v>292.279</v>
      </c>
      <c r="AF1699" s="545"/>
      <c r="AG1699" s="546"/>
      <c r="AH1699" s="1107">
        <f>514.848-78.903</f>
        <v>435.94499999999994</v>
      </c>
      <c r="AI1699" s="545"/>
      <c r="AJ1699" s="546"/>
      <c r="AK1699" s="1107">
        <f>491.04-29.205</f>
        <v>461.83500000000004</v>
      </c>
      <c r="AL1699" s="545"/>
      <c r="AM1699" s="546"/>
      <c r="AN1699" s="1106">
        <f>460.8+95.02</f>
        <v>555.82000000000005</v>
      </c>
      <c r="AO1699" s="545"/>
      <c r="AP1699" s="546"/>
      <c r="AQ1699" s="1107">
        <f>505.92+109.213</f>
        <v>615.13300000000004</v>
      </c>
      <c r="AR1699" s="545"/>
      <c r="AS1699" s="546"/>
      <c r="AT1699" s="244">
        <f t="shared" si="70"/>
        <v>5090.8399999999992</v>
      </c>
      <c r="AU1699" s="246"/>
      <c r="AV1699" s="336"/>
      <c r="AW1699" s="285"/>
      <c r="AX1699" s="249"/>
      <c r="AY1699" s="441">
        <v>5534.1118820000002</v>
      </c>
      <c r="AZ1699" s="261"/>
      <c r="BA1699" s="415"/>
      <c r="BB1699" s="415"/>
      <c r="BC1699" s="415"/>
    </row>
    <row r="1700" spans="1:55">
      <c r="B1700" s="179"/>
      <c r="C1700" s="179"/>
      <c r="D1700" s="181"/>
      <c r="E1700" s="181"/>
      <c r="F1700" s="181"/>
      <c r="G1700" s="1110"/>
      <c r="H1700" s="122" t="s">
        <v>503</v>
      </c>
      <c r="I1700" s="516" t="s">
        <v>364</v>
      </c>
      <c r="J1700" s="548">
        <v>0</v>
      </c>
      <c r="K1700" s="545"/>
      <c r="L1700" s="546"/>
      <c r="M1700" s="547">
        <v>66</v>
      </c>
      <c r="N1700" s="545"/>
      <c r="O1700" s="546"/>
      <c r="P1700" s="547">
        <v>52</v>
      </c>
      <c r="Q1700" s="545"/>
      <c r="R1700" s="546"/>
      <c r="S1700" s="547">
        <v>50</v>
      </c>
      <c r="T1700" s="545"/>
      <c r="U1700" s="546"/>
      <c r="V1700" s="548">
        <v>32</v>
      </c>
      <c r="W1700" s="545"/>
      <c r="X1700" s="546"/>
      <c r="Y1700" s="547">
        <v>30</v>
      </c>
      <c r="Z1700" s="545"/>
      <c r="AA1700" s="546"/>
      <c r="AB1700" s="548">
        <v>30</v>
      </c>
      <c r="AC1700" s="545"/>
      <c r="AD1700" s="546"/>
      <c r="AE1700" s="547">
        <v>30</v>
      </c>
      <c r="AF1700" s="545"/>
      <c r="AG1700" s="546"/>
      <c r="AH1700" s="547">
        <v>42</v>
      </c>
      <c r="AI1700" s="545"/>
      <c r="AJ1700" s="546"/>
      <c r="AK1700" s="547">
        <v>52</v>
      </c>
      <c r="AL1700" s="545"/>
      <c r="AM1700" s="546"/>
      <c r="AN1700" s="548">
        <v>60</v>
      </c>
      <c r="AO1700" s="545"/>
      <c r="AP1700" s="546"/>
      <c r="AQ1700" s="547">
        <v>75</v>
      </c>
      <c r="AR1700" s="545"/>
      <c r="AS1700" s="546"/>
      <c r="AT1700" s="244">
        <f t="shared" si="70"/>
        <v>519</v>
      </c>
      <c r="AU1700" s="246"/>
      <c r="AV1700" s="336"/>
      <c r="AW1700" s="285"/>
      <c r="AX1700" s="249"/>
      <c r="AY1700" s="441">
        <v>39.293157999999998</v>
      </c>
      <c r="AZ1700" s="261"/>
      <c r="BA1700" s="261"/>
      <c r="BB1700" s="261"/>
      <c r="BC1700" s="261"/>
    </row>
    <row r="1701" spans="1:55">
      <c r="B1701" s="179"/>
      <c r="C1701" s="179"/>
      <c r="D1701" s="181"/>
      <c r="E1701" s="181"/>
      <c r="F1701" s="181"/>
      <c r="G1701" s="1110"/>
      <c r="H1701" s="123" t="s">
        <v>504</v>
      </c>
      <c r="I1701" s="519" t="s">
        <v>365</v>
      </c>
      <c r="J1701" s="548">
        <v>0</v>
      </c>
      <c r="K1701" s="545"/>
      <c r="L1701" s="546"/>
      <c r="M1701" s="547">
        <v>0</v>
      </c>
      <c r="N1701" s="545"/>
      <c r="O1701" s="546"/>
      <c r="P1701" s="547">
        <v>0</v>
      </c>
      <c r="Q1701" s="545"/>
      <c r="R1701" s="546"/>
      <c r="S1701" s="547">
        <v>0</v>
      </c>
      <c r="T1701" s="545"/>
      <c r="U1701" s="546"/>
      <c r="V1701" s="548">
        <v>0</v>
      </c>
      <c r="W1701" s="545"/>
      <c r="X1701" s="546"/>
      <c r="Y1701" s="547">
        <v>0</v>
      </c>
      <c r="Z1701" s="545"/>
      <c r="AA1701" s="546"/>
      <c r="AB1701" s="548">
        <v>0</v>
      </c>
      <c r="AC1701" s="545"/>
      <c r="AD1701" s="546"/>
      <c r="AE1701" s="547">
        <v>0</v>
      </c>
      <c r="AF1701" s="545"/>
      <c r="AG1701" s="546"/>
      <c r="AH1701" s="547">
        <v>0</v>
      </c>
      <c r="AI1701" s="545"/>
      <c r="AJ1701" s="546"/>
      <c r="AK1701" s="547">
        <v>0</v>
      </c>
      <c r="AL1701" s="545"/>
      <c r="AM1701" s="546"/>
      <c r="AN1701" s="548">
        <v>0</v>
      </c>
      <c r="AO1701" s="545"/>
      <c r="AP1701" s="546"/>
      <c r="AQ1701" s="547">
        <v>0</v>
      </c>
      <c r="AR1701" s="545"/>
      <c r="AS1701" s="546"/>
      <c r="AT1701" s="244">
        <f>J1701+M1701+P1701+S1701+V1701+Y1701+AB1701+AE1701+AH1701+AK1701+AN1701+AQ1701</f>
        <v>0</v>
      </c>
      <c r="AU1701" s="246"/>
      <c r="AV1701" s="336"/>
      <c r="AW1701" s="285"/>
      <c r="AX1701" s="249"/>
      <c r="AY1701" s="1073">
        <v>0</v>
      </c>
      <c r="AZ1701" s="261"/>
      <c r="BA1701" s="261"/>
      <c r="BB1701" s="261"/>
      <c r="BC1701" s="261"/>
    </row>
    <row r="1702" spans="1:55">
      <c r="B1702" s="179"/>
      <c r="C1702" s="179"/>
      <c r="D1702" s="181"/>
      <c r="E1702" s="181"/>
      <c r="F1702" s="181"/>
      <c r="G1702" s="1110"/>
      <c r="H1702" s="123" t="s">
        <v>505</v>
      </c>
      <c r="I1702" s="519" t="s">
        <v>365</v>
      </c>
      <c r="J1702" s="548">
        <v>0</v>
      </c>
      <c r="K1702" s="545"/>
      <c r="L1702" s="546"/>
      <c r="M1702" s="547">
        <v>13.305999999999999</v>
      </c>
      <c r="N1702" s="545"/>
      <c r="O1702" s="546"/>
      <c r="P1702" s="547">
        <v>14.731</v>
      </c>
      <c r="Q1702" s="545"/>
      <c r="R1702" s="546"/>
      <c r="S1702" s="547">
        <v>9.5039999999999996</v>
      </c>
      <c r="T1702" s="545"/>
      <c r="U1702" s="546"/>
      <c r="V1702" s="548">
        <v>0</v>
      </c>
      <c r="W1702" s="545"/>
      <c r="X1702" s="546"/>
      <c r="Y1702" s="547">
        <v>0</v>
      </c>
      <c r="Z1702" s="545"/>
      <c r="AA1702" s="546"/>
      <c r="AB1702" s="548">
        <v>0</v>
      </c>
      <c r="AC1702" s="545"/>
      <c r="AD1702" s="546"/>
      <c r="AE1702" s="547">
        <v>0</v>
      </c>
      <c r="AF1702" s="545"/>
      <c r="AG1702" s="546"/>
      <c r="AH1702" s="547">
        <v>1.534</v>
      </c>
      <c r="AI1702" s="545"/>
      <c r="AJ1702" s="546"/>
      <c r="AK1702" s="547">
        <v>0</v>
      </c>
      <c r="AL1702" s="545"/>
      <c r="AM1702" s="546"/>
      <c r="AN1702" s="548">
        <v>9.5039999999999996</v>
      </c>
      <c r="AO1702" s="545"/>
      <c r="AP1702" s="546"/>
      <c r="AQ1702" s="547">
        <v>14.731</v>
      </c>
      <c r="AR1702" s="545"/>
      <c r="AS1702" s="546"/>
      <c r="AT1702" s="244">
        <f>J1702+M1702+P1702+S1702+V1702+Y1702+AB1702+AE1702+AH1702+AK1702+AN1702+AQ1702</f>
        <v>63.309999999999995</v>
      </c>
      <c r="AU1702" s="246"/>
      <c r="AV1702" s="336"/>
      <c r="AW1702" s="285"/>
      <c r="AX1702" s="249"/>
      <c r="AY1702" s="1073">
        <v>78.922201000000001</v>
      </c>
      <c r="AZ1702" s="261"/>
      <c r="BA1702" s="261"/>
      <c r="BB1702" s="261"/>
      <c r="BC1702" s="261"/>
    </row>
    <row r="1703" spans="1:55">
      <c r="B1703" s="179"/>
      <c r="C1703" s="179"/>
      <c r="D1703" s="181"/>
      <c r="E1703" s="181"/>
      <c r="F1703" s="181"/>
      <c r="G1703" s="1110"/>
      <c r="H1703" s="123" t="s">
        <v>506</v>
      </c>
      <c r="I1703" s="519" t="s">
        <v>365</v>
      </c>
      <c r="J1703" s="548">
        <v>0</v>
      </c>
      <c r="K1703" s="545"/>
      <c r="L1703" s="546"/>
      <c r="M1703" s="547">
        <v>0</v>
      </c>
      <c r="N1703" s="545"/>
      <c r="O1703" s="546"/>
      <c r="P1703" s="547">
        <v>0</v>
      </c>
      <c r="Q1703" s="545"/>
      <c r="R1703" s="546"/>
      <c r="S1703" s="547">
        <v>0</v>
      </c>
      <c r="T1703" s="545"/>
      <c r="U1703" s="546"/>
      <c r="V1703" s="548">
        <v>0</v>
      </c>
      <c r="W1703" s="545"/>
      <c r="X1703" s="546"/>
      <c r="Y1703" s="547">
        <v>0</v>
      </c>
      <c r="Z1703" s="545"/>
      <c r="AA1703" s="546"/>
      <c r="AB1703" s="548">
        <v>0</v>
      </c>
      <c r="AC1703" s="545"/>
      <c r="AD1703" s="546"/>
      <c r="AE1703" s="547">
        <v>0</v>
      </c>
      <c r="AF1703" s="545"/>
      <c r="AG1703" s="546"/>
      <c r="AH1703" s="547">
        <v>0</v>
      </c>
      <c r="AI1703" s="545"/>
      <c r="AJ1703" s="546"/>
      <c r="AK1703" s="547">
        <v>0</v>
      </c>
      <c r="AL1703" s="545"/>
      <c r="AM1703" s="546"/>
      <c r="AN1703" s="548">
        <v>0</v>
      </c>
      <c r="AO1703" s="545"/>
      <c r="AP1703" s="546"/>
      <c r="AQ1703" s="547">
        <v>0</v>
      </c>
      <c r="AR1703" s="545"/>
      <c r="AS1703" s="546"/>
      <c r="AT1703" s="244">
        <f>J1703+M1703+P1703+S1703+V1703+Y1703+AB1703+AE1703+AH1703+AK1703+AN1703+AQ1703</f>
        <v>0</v>
      </c>
      <c r="AU1703" s="246"/>
      <c r="AV1703" s="336"/>
      <c r="AW1703" s="285"/>
      <c r="AX1703" s="249"/>
      <c r="AY1703" s="1073">
        <v>17.437263000000002</v>
      </c>
      <c r="AZ1703" s="261"/>
      <c r="BA1703" s="261"/>
      <c r="BB1703" s="261"/>
      <c r="BC1703" s="261"/>
    </row>
    <row r="1704" spans="1:55" ht="18.75">
      <c r="B1704" s="179"/>
      <c r="C1704" s="179"/>
      <c r="D1704" s="181">
        <v>362200</v>
      </c>
      <c r="E1704" s="181"/>
      <c r="F1704" s="181"/>
      <c r="G1704" s="181"/>
      <c r="H1704" s="473" t="s">
        <v>1649</v>
      </c>
      <c r="I1704" s="7"/>
      <c r="J1704" s="393">
        <f>J1705</f>
        <v>0</v>
      </c>
      <c r="K1704" s="391">
        <f>L1704-J1704</f>
        <v>950.94275549999998</v>
      </c>
      <c r="L1704" s="392">
        <f>Потребление!D100</f>
        <v>950.94275549999998</v>
      </c>
      <c r="M1704" s="390">
        <f>M1705</f>
        <v>1013.592</v>
      </c>
      <c r="N1704" s="391">
        <f>O1704-M1704</f>
        <v>-142.35242400000004</v>
      </c>
      <c r="O1704" s="392">
        <f>Потребление!E100</f>
        <v>871.23957599999994</v>
      </c>
      <c r="P1704" s="390">
        <f>P1705</f>
        <v>963</v>
      </c>
      <c r="Q1704" s="391">
        <f>R1704-P1704</f>
        <v>-123.96241550000002</v>
      </c>
      <c r="R1704" s="392">
        <f>Потребление!F100</f>
        <v>839.03758449999998</v>
      </c>
      <c r="S1704" s="390">
        <f>S1705</f>
        <v>737.12</v>
      </c>
      <c r="T1704" s="391">
        <f>U1704-S1704</f>
        <v>-33.788596999999982</v>
      </c>
      <c r="U1704" s="392">
        <f>Потребление!G100</f>
        <v>703.33140300000002</v>
      </c>
      <c r="V1704" s="390">
        <f>V1705</f>
        <v>613.92399999999998</v>
      </c>
      <c r="W1704" s="391">
        <f>X1704-V1704</f>
        <v>-3.3961060000000316</v>
      </c>
      <c r="X1704" s="392">
        <f>Потребление!H100</f>
        <v>610.52789399999995</v>
      </c>
      <c r="Y1704" s="390">
        <f>Y1705</f>
        <v>486.00799999999998</v>
      </c>
      <c r="Z1704" s="391">
        <f>AA1704-Y1704</f>
        <v>75.717606500000045</v>
      </c>
      <c r="AA1704" s="392">
        <f>Потребление!I100</f>
        <v>561.72560650000003</v>
      </c>
      <c r="AB1704" s="390">
        <f>AB1705</f>
        <v>602</v>
      </c>
      <c r="AC1704" s="275">
        <f>AD1704-AB1704</f>
        <v>-5.6727534999999989</v>
      </c>
      <c r="AD1704" s="392">
        <f>Потребление!J100</f>
        <v>596.3272465</v>
      </c>
      <c r="AE1704" s="390">
        <f>AE1705</f>
        <v>503.49900000000002</v>
      </c>
      <c r="AF1704" s="391">
        <f>AG1704-AE1704</f>
        <v>90.127868000000035</v>
      </c>
      <c r="AG1704" s="392">
        <f>Потребление!K100</f>
        <v>593.62686800000006</v>
      </c>
      <c r="AH1704" s="390">
        <f>AH1705</f>
        <v>407.50700000000001</v>
      </c>
      <c r="AI1704" s="391">
        <f>AJ1704-AH1704</f>
        <v>184.91960150000006</v>
      </c>
      <c r="AJ1704" s="392">
        <f>Потребление!L100</f>
        <v>592.42660150000006</v>
      </c>
      <c r="AK1704" s="390">
        <f>AK1705</f>
        <v>641</v>
      </c>
      <c r="AL1704" s="391">
        <f>AM1704-AK1704</f>
        <v>80.132850000000076</v>
      </c>
      <c r="AM1704" s="392">
        <f>Потребление!M100</f>
        <v>721.13285000000008</v>
      </c>
      <c r="AN1704" s="390">
        <f>AN1705</f>
        <v>961</v>
      </c>
      <c r="AO1704" s="391">
        <f>AP1704-AN1704</f>
        <v>-122.46215799999993</v>
      </c>
      <c r="AP1704" s="392">
        <f>Потребление!N100</f>
        <v>838.53784200000007</v>
      </c>
      <c r="AQ1704" s="390">
        <f>AQ1705</f>
        <v>1299</v>
      </c>
      <c r="AR1704" s="391">
        <f>AS1704-AQ1704</f>
        <v>-332.85622750000005</v>
      </c>
      <c r="AS1704" s="392">
        <f>Потребление!O100</f>
        <v>966.14377249999995</v>
      </c>
      <c r="AT1704" s="390">
        <f>AT1705</f>
        <v>8227.6500000000015</v>
      </c>
      <c r="AU1704" s="391">
        <f>AV1704-AT1704</f>
        <v>617.34999999999854</v>
      </c>
      <c r="AV1704" s="394">
        <f>L1704+O1704+R1704+U1704+X1704+AA1704+AD1704+AG1704+AJ1704+AM1704+AP1704+AS1704</f>
        <v>8845</v>
      </c>
      <c r="AW1704" s="395"/>
      <c r="AX1704" s="424">
        <v>8528.4852090000004</v>
      </c>
      <c r="AY1704" s="444">
        <f>AY1705</f>
        <v>8904.7074739999989</v>
      </c>
      <c r="AZ1704" s="261"/>
      <c r="BA1704" s="261"/>
      <c r="BB1704" s="261"/>
      <c r="BC1704" s="261"/>
    </row>
    <row r="1705" spans="1:55">
      <c r="B1705" s="179"/>
      <c r="C1705" s="179"/>
      <c r="D1705" s="181"/>
      <c r="E1705" s="181"/>
      <c r="F1705" s="181"/>
      <c r="G1705" s="181"/>
      <c r="H1705" s="10" t="s">
        <v>56</v>
      </c>
      <c r="I1705" s="10"/>
      <c r="J1705" s="223">
        <f>SUM(J1706:J1708)+SUM(J1711:J1714)</f>
        <v>0</v>
      </c>
      <c r="K1705" s="271"/>
      <c r="L1705" s="224"/>
      <c r="M1705" s="270">
        <f>SUM(M1706:M1708)+SUM(M1711:M1714)</f>
        <v>1013.592</v>
      </c>
      <c r="N1705" s="271"/>
      <c r="O1705" s="224"/>
      <c r="P1705" s="270">
        <f>SUM(P1706:P1708)+SUM(P1711:P1714)</f>
        <v>963</v>
      </c>
      <c r="Q1705" s="271"/>
      <c r="R1705" s="224"/>
      <c r="S1705" s="270">
        <f>SUM(S1706:S1708)+SUM(S1711:S1714)</f>
        <v>737.12</v>
      </c>
      <c r="T1705" s="271"/>
      <c r="U1705" s="224"/>
      <c r="V1705" s="270">
        <f>SUM(V1706:V1708)+SUM(V1711:V1714)</f>
        <v>613.92399999999998</v>
      </c>
      <c r="W1705" s="271"/>
      <c r="X1705" s="224"/>
      <c r="Y1705" s="270">
        <f>SUM(Y1706:Y1708)+SUM(Y1711:Y1714)</f>
        <v>486.00799999999998</v>
      </c>
      <c r="Z1705" s="271"/>
      <c r="AA1705" s="224"/>
      <c r="AB1705" s="270">
        <f>SUM(AB1706:AB1708)+SUM(AB1711:AB1714)</f>
        <v>602</v>
      </c>
      <c r="AC1705" s="271"/>
      <c r="AD1705" s="224"/>
      <c r="AE1705" s="270">
        <f>SUM(AE1706:AE1708)+SUM(AE1711:AE1714)</f>
        <v>503.49900000000002</v>
      </c>
      <c r="AF1705" s="271"/>
      <c r="AG1705" s="224"/>
      <c r="AH1705" s="270">
        <f>SUM(AH1706:AH1708)+SUM(AH1711:AH1714)</f>
        <v>407.50700000000001</v>
      </c>
      <c r="AI1705" s="271"/>
      <c r="AJ1705" s="224"/>
      <c r="AK1705" s="270">
        <f>SUM(AK1706:AK1708)+SUM(AK1711:AK1714)</f>
        <v>641</v>
      </c>
      <c r="AL1705" s="271"/>
      <c r="AM1705" s="224"/>
      <c r="AN1705" s="270">
        <f>SUM(AN1706:AN1708)+SUM(AN1711:AN1714)</f>
        <v>961</v>
      </c>
      <c r="AO1705" s="271"/>
      <c r="AP1705" s="224"/>
      <c r="AQ1705" s="270">
        <f>SUM(AQ1706:AQ1708)+SUM(AQ1711:AQ1714)</f>
        <v>1299</v>
      </c>
      <c r="AR1705" s="271"/>
      <c r="AS1705" s="224"/>
      <c r="AT1705" s="270">
        <f>SUM(AT1706:AT1708)+SUM(AT1711:AT1714)</f>
        <v>8227.6500000000015</v>
      </c>
      <c r="AU1705" s="271"/>
      <c r="AV1705" s="229"/>
      <c r="AW1705" s="226"/>
      <c r="AX1705" s="230"/>
      <c r="AY1705" s="231">
        <f>SUM(AY1706:AY1708)+SUM(AY1711:AY1714)</f>
        <v>8904.7074739999989</v>
      </c>
      <c r="AZ1705" s="261"/>
      <c r="BA1705" s="261"/>
      <c r="BB1705" s="261"/>
      <c r="BC1705" s="261"/>
    </row>
    <row r="1706" spans="1:55">
      <c r="B1706" s="179"/>
      <c r="C1706" s="179"/>
      <c r="D1706" s="181">
        <v>362210</v>
      </c>
      <c r="E1706" s="181"/>
      <c r="F1706" s="181"/>
      <c r="G1706" s="1110"/>
      <c r="H1706" s="127" t="s">
        <v>215</v>
      </c>
      <c r="I1706" s="516" t="s">
        <v>364</v>
      </c>
      <c r="J1706" s="1109">
        <v>0</v>
      </c>
      <c r="K1706" s="545"/>
      <c r="L1706" s="546"/>
      <c r="M1706" s="1108">
        <f>181+10.592</f>
        <v>191.59200000000001</v>
      </c>
      <c r="N1706" s="545"/>
      <c r="O1706" s="546"/>
      <c r="P1706" s="547">
        <v>180</v>
      </c>
      <c r="Q1706" s="545"/>
      <c r="R1706" s="546"/>
      <c r="S1706" s="547">
        <v>115</v>
      </c>
      <c r="T1706" s="545"/>
      <c r="U1706" s="546"/>
      <c r="V1706" s="548">
        <v>100</v>
      </c>
      <c r="W1706" s="545"/>
      <c r="X1706" s="546"/>
      <c r="Y1706" s="547">
        <v>96</v>
      </c>
      <c r="Z1706" s="545"/>
      <c r="AA1706" s="546"/>
      <c r="AB1706" s="548">
        <v>94</v>
      </c>
      <c r="AC1706" s="545"/>
      <c r="AD1706" s="546"/>
      <c r="AE1706" s="547">
        <v>94</v>
      </c>
      <c r="AF1706" s="545"/>
      <c r="AG1706" s="546"/>
      <c r="AH1706" s="547">
        <v>80</v>
      </c>
      <c r="AI1706" s="545"/>
      <c r="AJ1706" s="546"/>
      <c r="AK1706" s="547">
        <v>130</v>
      </c>
      <c r="AL1706" s="545"/>
      <c r="AM1706" s="546"/>
      <c r="AN1706" s="548">
        <v>190</v>
      </c>
      <c r="AO1706" s="545"/>
      <c r="AP1706" s="546"/>
      <c r="AQ1706" s="547">
        <v>220</v>
      </c>
      <c r="AR1706" s="425"/>
      <c r="AS1706" s="282"/>
      <c r="AT1706" s="244">
        <f t="shared" ref="AT1706:AT1714" si="71">J1706+M1706+P1706+S1706+V1706+Y1706+AB1706+AE1706+AH1706+AK1706+AN1706+AQ1706</f>
        <v>1490.5920000000001</v>
      </c>
      <c r="AU1706" s="246"/>
      <c r="AV1706" s="336"/>
      <c r="AW1706" s="285"/>
      <c r="AX1706" s="249"/>
      <c r="AY1706" s="438">
        <v>1626.1652329999999</v>
      </c>
      <c r="AZ1706" s="261"/>
      <c r="BA1706" s="415"/>
      <c r="BB1706" s="415"/>
      <c r="BC1706" s="415"/>
    </row>
    <row r="1707" spans="1:55" s="153" customFormat="1">
      <c r="A1707" s="179"/>
      <c r="B1707" s="179"/>
      <c r="C1707" s="179"/>
      <c r="D1707" s="181">
        <v>362217</v>
      </c>
      <c r="E1707" s="181"/>
      <c r="F1707" s="181"/>
      <c r="G1707" s="1110"/>
      <c r="H1707" s="127" t="s">
        <v>216</v>
      </c>
      <c r="I1707" s="516" t="s">
        <v>364</v>
      </c>
      <c r="J1707" s="1106">
        <v>0</v>
      </c>
      <c r="K1707" s="545"/>
      <c r="L1707" s="546"/>
      <c r="M1707" s="1107">
        <f>370+40</f>
        <v>410</v>
      </c>
      <c r="N1707" s="545"/>
      <c r="O1707" s="546"/>
      <c r="P1707" s="1107">
        <f>350+50</f>
        <v>400</v>
      </c>
      <c r="Q1707" s="545"/>
      <c r="R1707" s="546"/>
      <c r="S1707" s="1107">
        <f>300+20</f>
        <v>320</v>
      </c>
      <c r="T1707" s="545"/>
      <c r="U1707" s="546"/>
      <c r="V1707" s="1106">
        <f>200+50</f>
        <v>250</v>
      </c>
      <c r="W1707" s="545"/>
      <c r="X1707" s="546"/>
      <c r="Y1707" s="547">
        <f>190</f>
        <v>190</v>
      </c>
      <c r="Z1707" s="545"/>
      <c r="AA1707" s="546"/>
      <c r="AB1707" s="1106">
        <f>100+140</f>
        <v>240</v>
      </c>
      <c r="AC1707" s="545"/>
      <c r="AD1707" s="546"/>
      <c r="AE1707" s="1107">
        <f>100+100</f>
        <v>200</v>
      </c>
      <c r="AF1707" s="545"/>
      <c r="AG1707" s="546"/>
      <c r="AH1707" s="1107">
        <f>100+46</f>
        <v>146</v>
      </c>
      <c r="AI1707" s="545"/>
      <c r="AJ1707" s="546"/>
      <c r="AK1707" s="547">
        <f>250</f>
        <v>250</v>
      </c>
      <c r="AL1707" s="545"/>
      <c r="AM1707" s="546"/>
      <c r="AN1707" s="1106">
        <f>310+70</f>
        <v>380</v>
      </c>
      <c r="AO1707" s="545"/>
      <c r="AP1707" s="546"/>
      <c r="AQ1707" s="1107">
        <f>410+85</f>
        <v>495</v>
      </c>
      <c r="AR1707" s="425"/>
      <c r="AS1707" s="282"/>
      <c r="AT1707" s="244">
        <f t="shared" si="71"/>
        <v>3281</v>
      </c>
      <c r="AU1707" s="246"/>
      <c r="AV1707" s="336"/>
      <c r="AW1707" s="285"/>
      <c r="AX1707" s="249"/>
      <c r="AY1707" s="438">
        <v>3773.0810670000001</v>
      </c>
      <c r="AZ1707" s="426"/>
      <c r="BA1707" s="415"/>
      <c r="BB1707" s="415"/>
      <c r="BC1707" s="415"/>
    </row>
    <row r="1708" spans="1:55">
      <c r="B1708" s="179"/>
      <c r="C1708" s="179"/>
      <c r="D1708" s="181"/>
      <c r="E1708" s="181"/>
      <c r="F1708" s="181"/>
      <c r="G1708" s="1110"/>
      <c r="H1708" s="127" t="s">
        <v>212</v>
      </c>
      <c r="I1708" s="516" t="s">
        <v>364</v>
      </c>
      <c r="J1708" s="317">
        <f t="shared" ref="J1708:AQ1708" si="72">SUM(J1709:J1710)</f>
        <v>0</v>
      </c>
      <c r="K1708" s="425"/>
      <c r="L1708" s="421"/>
      <c r="M1708" s="317">
        <f t="shared" si="72"/>
        <v>120</v>
      </c>
      <c r="N1708" s="425"/>
      <c r="O1708" s="421"/>
      <c r="P1708" s="317">
        <f t="shared" si="72"/>
        <v>95</v>
      </c>
      <c r="Q1708" s="423"/>
      <c r="R1708" s="282"/>
      <c r="S1708" s="317">
        <f t="shared" si="72"/>
        <v>75</v>
      </c>
      <c r="T1708" s="423"/>
      <c r="U1708" s="282"/>
      <c r="V1708" s="317">
        <f t="shared" si="72"/>
        <v>38.299999999999997</v>
      </c>
      <c r="W1708" s="425"/>
      <c r="X1708" s="421"/>
      <c r="Y1708" s="317">
        <f t="shared" si="72"/>
        <v>37.008000000000003</v>
      </c>
      <c r="Z1708" s="425"/>
      <c r="AA1708" s="421"/>
      <c r="AB1708" s="317">
        <f t="shared" si="72"/>
        <v>47</v>
      </c>
      <c r="AC1708" s="425"/>
      <c r="AD1708" s="421"/>
      <c r="AE1708" s="317">
        <f t="shared" si="72"/>
        <v>37</v>
      </c>
      <c r="AF1708" s="425"/>
      <c r="AG1708" s="421"/>
      <c r="AH1708" s="317">
        <f t="shared" si="72"/>
        <v>37</v>
      </c>
      <c r="AI1708" s="425"/>
      <c r="AJ1708" s="421"/>
      <c r="AK1708" s="317">
        <f t="shared" si="72"/>
        <v>61</v>
      </c>
      <c r="AL1708" s="425"/>
      <c r="AM1708" s="421"/>
      <c r="AN1708" s="317">
        <f t="shared" si="72"/>
        <v>90</v>
      </c>
      <c r="AO1708" s="425"/>
      <c r="AP1708" s="421"/>
      <c r="AQ1708" s="317">
        <f t="shared" si="72"/>
        <v>155</v>
      </c>
      <c r="AR1708" s="425"/>
      <c r="AS1708" s="421"/>
      <c r="AT1708" s="317">
        <f>SUM(AT1709:AT1710)</f>
        <v>792.30800000000011</v>
      </c>
      <c r="AU1708" s="246"/>
      <c r="AV1708" s="336"/>
      <c r="AW1708" s="285"/>
      <c r="AX1708" s="249"/>
      <c r="AY1708" s="327">
        <f>SUM(AY1709:AY1710)</f>
        <v>878.25781399999994</v>
      </c>
      <c r="AZ1708" s="261"/>
      <c r="BA1708" s="415"/>
      <c r="BB1708" s="415"/>
      <c r="BC1708" s="415"/>
    </row>
    <row r="1709" spans="1:55">
      <c r="B1709" s="179"/>
      <c r="C1709" s="181"/>
      <c r="D1709" s="181">
        <v>362226</v>
      </c>
      <c r="E1709" s="181"/>
      <c r="F1709" s="181"/>
      <c r="G1709" s="1110"/>
      <c r="H1709" s="127" t="s">
        <v>239</v>
      </c>
      <c r="I1709" s="516"/>
      <c r="J1709" s="548">
        <v>0</v>
      </c>
      <c r="K1709" s="545"/>
      <c r="L1709" s="546"/>
      <c r="M1709" s="547">
        <v>10.37</v>
      </c>
      <c r="N1709" s="545"/>
      <c r="O1709" s="546"/>
      <c r="P1709" s="547">
        <v>7.2169999999999996</v>
      </c>
      <c r="Q1709" s="545"/>
      <c r="R1709" s="546"/>
      <c r="S1709" s="547">
        <v>5.3279999999999994</v>
      </c>
      <c r="T1709" s="545"/>
      <c r="U1709" s="546"/>
      <c r="V1709" s="548">
        <v>2.6042000000000001</v>
      </c>
      <c r="W1709" s="545"/>
      <c r="X1709" s="546"/>
      <c r="Y1709" s="547">
        <v>2.4480000000000004</v>
      </c>
      <c r="Z1709" s="545"/>
      <c r="AA1709" s="546"/>
      <c r="AB1709" s="548">
        <v>0</v>
      </c>
      <c r="AC1709" s="545"/>
      <c r="AD1709" s="546"/>
      <c r="AE1709" s="547">
        <v>0</v>
      </c>
      <c r="AF1709" s="545"/>
      <c r="AG1709" s="546"/>
      <c r="AH1709" s="548">
        <v>0</v>
      </c>
      <c r="AI1709" s="545"/>
      <c r="AJ1709" s="546"/>
      <c r="AK1709" s="547">
        <v>5.7291999999999996</v>
      </c>
      <c r="AL1709" s="545"/>
      <c r="AM1709" s="546"/>
      <c r="AN1709" s="548">
        <v>7.968</v>
      </c>
      <c r="AO1709" s="545"/>
      <c r="AP1709" s="546"/>
      <c r="AQ1709" s="548">
        <v>11.754999999999999</v>
      </c>
      <c r="AR1709" s="427"/>
      <c r="AS1709" s="428"/>
      <c r="AT1709" s="244">
        <f t="shared" si="71"/>
        <v>53.419399999999996</v>
      </c>
      <c r="AU1709" s="429"/>
      <c r="AV1709" s="430"/>
      <c r="AW1709" s="431"/>
      <c r="AX1709" s="432"/>
      <c r="AY1709" s="1074">
        <v>67.900591000000006</v>
      </c>
      <c r="AZ1709" s="261"/>
      <c r="BA1709" s="415"/>
      <c r="BB1709" s="415"/>
      <c r="BC1709" s="415"/>
    </row>
    <row r="1710" spans="1:55">
      <c r="B1710" s="179"/>
      <c r="C1710" s="181"/>
      <c r="D1710" s="181">
        <v>362211</v>
      </c>
      <c r="E1710" s="181"/>
      <c r="F1710" s="181"/>
      <c r="G1710" s="1110"/>
      <c r="H1710" s="127" t="s">
        <v>240</v>
      </c>
      <c r="I1710" s="516"/>
      <c r="J1710" s="548">
        <v>0</v>
      </c>
      <c r="K1710" s="545"/>
      <c r="L1710" s="546"/>
      <c r="M1710" s="547">
        <v>109.63</v>
      </c>
      <c r="N1710" s="545"/>
      <c r="O1710" s="546"/>
      <c r="P1710" s="547">
        <v>87.783000000000001</v>
      </c>
      <c r="Q1710" s="545"/>
      <c r="R1710" s="546"/>
      <c r="S1710" s="547">
        <v>69.671999999999997</v>
      </c>
      <c r="T1710" s="545"/>
      <c r="U1710" s="546"/>
      <c r="V1710" s="548">
        <v>35.695799999999998</v>
      </c>
      <c r="W1710" s="545"/>
      <c r="X1710" s="546"/>
      <c r="Y1710" s="548">
        <v>34.56</v>
      </c>
      <c r="Z1710" s="545"/>
      <c r="AA1710" s="546"/>
      <c r="AB1710" s="548">
        <v>47</v>
      </c>
      <c r="AC1710" s="545"/>
      <c r="AD1710" s="546"/>
      <c r="AE1710" s="548">
        <v>37</v>
      </c>
      <c r="AF1710" s="545"/>
      <c r="AG1710" s="546"/>
      <c r="AH1710" s="548">
        <v>37</v>
      </c>
      <c r="AI1710" s="545"/>
      <c r="AJ1710" s="546"/>
      <c r="AK1710" s="548">
        <v>55.270800000000001</v>
      </c>
      <c r="AL1710" s="545"/>
      <c r="AM1710" s="546"/>
      <c r="AN1710" s="548">
        <v>82.031999999999996</v>
      </c>
      <c r="AO1710" s="545"/>
      <c r="AP1710" s="546"/>
      <c r="AQ1710" s="548">
        <v>143.245</v>
      </c>
      <c r="AR1710" s="427"/>
      <c r="AS1710" s="428"/>
      <c r="AT1710" s="244">
        <f t="shared" si="71"/>
        <v>738.88860000000011</v>
      </c>
      <c r="AU1710" s="429"/>
      <c r="AV1710" s="430"/>
      <c r="AW1710" s="431"/>
      <c r="AX1710" s="432"/>
      <c r="AY1710" s="1074">
        <v>810.35722299999998</v>
      </c>
      <c r="AZ1710" s="261"/>
      <c r="BA1710" s="415"/>
      <c r="BB1710" s="415"/>
      <c r="BC1710" s="415"/>
    </row>
    <row r="1711" spans="1:55">
      <c r="B1711" s="179"/>
      <c r="C1711" s="179"/>
      <c r="D1711" s="181">
        <v>362216</v>
      </c>
      <c r="E1711" s="181"/>
      <c r="F1711" s="181"/>
      <c r="G1711" s="1110"/>
      <c r="H1711" s="127" t="s">
        <v>213</v>
      </c>
      <c r="I1711" s="516" t="s">
        <v>364</v>
      </c>
      <c r="J1711" s="1106">
        <v>0</v>
      </c>
      <c r="K1711" s="545"/>
      <c r="L1711" s="546"/>
      <c r="M1711" s="1107">
        <f>113+40</f>
        <v>153</v>
      </c>
      <c r="N1711" s="545"/>
      <c r="O1711" s="546"/>
      <c r="P1711" s="1107">
        <f>121+40</f>
        <v>161</v>
      </c>
      <c r="Q1711" s="545"/>
      <c r="R1711" s="546"/>
      <c r="S1711" s="1107">
        <f>97+40</f>
        <v>137</v>
      </c>
      <c r="T1711" s="545"/>
      <c r="U1711" s="546"/>
      <c r="V1711" s="1106">
        <f>70+70</f>
        <v>140</v>
      </c>
      <c r="W1711" s="545"/>
      <c r="X1711" s="546"/>
      <c r="Y1711" s="547">
        <f>70</f>
        <v>70</v>
      </c>
      <c r="Z1711" s="545"/>
      <c r="AA1711" s="546"/>
      <c r="AB1711" s="1106">
        <f>71+39</f>
        <v>110</v>
      </c>
      <c r="AC1711" s="545"/>
      <c r="AD1711" s="546"/>
      <c r="AE1711" s="1107">
        <f>39+40</f>
        <v>79</v>
      </c>
      <c r="AF1711" s="545"/>
      <c r="AG1711" s="546"/>
      <c r="AH1711" s="547">
        <v>70</v>
      </c>
      <c r="AI1711" s="545"/>
      <c r="AJ1711" s="546"/>
      <c r="AK1711" s="547">
        <f>100</f>
        <v>100</v>
      </c>
      <c r="AL1711" s="545"/>
      <c r="AM1711" s="546"/>
      <c r="AN1711" s="1106">
        <f>101+55</f>
        <v>156</v>
      </c>
      <c r="AO1711" s="545"/>
      <c r="AP1711" s="546"/>
      <c r="AQ1711" s="1107">
        <f>174+6</f>
        <v>180</v>
      </c>
      <c r="AR1711" s="425"/>
      <c r="AS1711" s="421"/>
      <c r="AT1711" s="244">
        <f t="shared" si="71"/>
        <v>1356</v>
      </c>
      <c r="AU1711" s="246"/>
      <c r="AV1711" s="336"/>
      <c r="AW1711" s="285"/>
      <c r="AX1711" s="249"/>
      <c r="AY1711" s="441">
        <v>1618.231016</v>
      </c>
      <c r="AZ1711" s="261"/>
      <c r="BA1711" s="415"/>
      <c r="BB1711" s="415"/>
      <c r="BC1711" s="415"/>
    </row>
    <row r="1712" spans="1:55">
      <c r="B1712" s="179"/>
      <c r="C1712" s="179"/>
      <c r="D1712" s="181">
        <v>362212</v>
      </c>
      <c r="E1712" s="181"/>
      <c r="F1712" s="181"/>
      <c r="G1712" s="1110"/>
      <c r="H1712" s="127" t="s">
        <v>211</v>
      </c>
      <c r="I1712" s="516" t="s">
        <v>364</v>
      </c>
      <c r="J1712" s="548">
        <v>0</v>
      </c>
      <c r="K1712" s="545"/>
      <c r="L1712" s="546"/>
      <c r="M1712" s="547">
        <v>85</v>
      </c>
      <c r="N1712" s="545"/>
      <c r="O1712" s="546"/>
      <c r="P1712" s="547">
        <v>70</v>
      </c>
      <c r="Q1712" s="545"/>
      <c r="R1712" s="546"/>
      <c r="S1712" s="547">
        <f>45</f>
        <v>45</v>
      </c>
      <c r="T1712" s="545"/>
      <c r="U1712" s="546"/>
      <c r="V1712" s="548">
        <f>40</f>
        <v>40</v>
      </c>
      <c r="W1712" s="545"/>
      <c r="X1712" s="546"/>
      <c r="Y1712" s="547">
        <v>40</v>
      </c>
      <c r="Z1712" s="545"/>
      <c r="AA1712" s="546"/>
      <c r="AB1712" s="1106">
        <f>40+20</f>
        <v>60</v>
      </c>
      <c r="AC1712" s="545"/>
      <c r="AD1712" s="546"/>
      <c r="AE1712" s="1107">
        <f>40+20</f>
        <v>60</v>
      </c>
      <c r="AF1712" s="545"/>
      <c r="AG1712" s="546"/>
      <c r="AH1712" s="547">
        <v>40</v>
      </c>
      <c r="AI1712" s="545"/>
      <c r="AJ1712" s="546"/>
      <c r="AK1712" s="547">
        <v>55</v>
      </c>
      <c r="AL1712" s="545"/>
      <c r="AM1712" s="546"/>
      <c r="AN1712" s="548">
        <v>75</v>
      </c>
      <c r="AO1712" s="545"/>
      <c r="AP1712" s="546"/>
      <c r="AQ1712" s="1107">
        <f>110+25</f>
        <v>135</v>
      </c>
      <c r="AR1712" s="425"/>
      <c r="AS1712" s="421"/>
      <c r="AT1712" s="244">
        <f t="shared" si="71"/>
        <v>705</v>
      </c>
      <c r="AU1712" s="246"/>
      <c r="AV1712" s="336"/>
      <c r="AW1712" s="285"/>
      <c r="AX1712" s="249"/>
      <c r="AY1712" s="441">
        <v>804.05162600000006</v>
      </c>
      <c r="AZ1712" s="261"/>
      <c r="BA1712" s="415"/>
      <c r="BB1712" s="415"/>
      <c r="BC1712" s="415"/>
    </row>
    <row r="1713" spans="1:55">
      <c r="B1713" s="179"/>
      <c r="C1713" s="179"/>
      <c r="D1713" s="181">
        <v>362227</v>
      </c>
      <c r="E1713" s="181"/>
      <c r="F1713" s="181"/>
      <c r="G1713" s="1110"/>
      <c r="H1713" s="127" t="s">
        <v>214</v>
      </c>
      <c r="I1713" s="516" t="s">
        <v>364</v>
      </c>
      <c r="J1713" s="548">
        <v>0</v>
      </c>
      <c r="K1713" s="545"/>
      <c r="L1713" s="546"/>
      <c r="M1713" s="547">
        <v>19</v>
      </c>
      <c r="N1713" s="545"/>
      <c r="O1713" s="546"/>
      <c r="P1713" s="547">
        <v>17</v>
      </c>
      <c r="Q1713" s="545"/>
      <c r="R1713" s="546"/>
      <c r="S1713" s="1108">
        <f>15+0.12</f>
        <v>15.12</v>
      </c>
      <c r="T1713" s="545"/>
      <c r="U1713" s="546"/>
      <c r="V1713" s="1109">
        <f>14+1.624</f>
        <v>15.624000000000001</v>
      </c>
      <c r="W1713" s="545"/>
      <c r="X1713" s="546"/>
      <c r="Y1713" s="547">
        <f>23</f>
        <v>23</v>
      </c>
      <c r="Z1713" s="545"/>
      <c r="AA1713" s="546"/>
      <c r="AB1713" s="548">
        <v>30</v>
      </c>
      <c r="AC1713" s="545"/>
      <c r="AD1713" s="546"/>
      <c r="AE1713" s="1108">
        <f>10+2.499</f>
        <v>12.499000000000001</v>
      </c>
      <c r="AF1713" s="545"/>
      <c r="AG1713" s="546"/>
      <c r="AH1713" s="1108">
        <f>13+0.507</f>
        <v>13.507</v>
      </c>
      <c r="AI1713" s="545"/>
      <c r="AJ1713" s="546"/>
      <c r="AK1713" s="547">
        <v>20</v>
      </c>
      <c r="AL1713" s="545"/>
      <c r="AM1713" s="546"/>
      <c r="AN1713" s="548">
        <v>20</v>
      </c>
      <c r="AO1713" s="545"/>
      <c r="AP1713" s="546"/>
      <c r="AQ1713" s="547">
        <v>22</v>
      </c>
      <c r="AR1713" s="425"/>
      <c r="AS1713" s="421"/>
      <c r="AT1713" s="244">
        <f t="shared" si="71"/>
        <v>207.75</v>
      </c>
      <c r="AU1713" s="246"/>
      <c r="AV1713" s="336"/>
      <c r="AW1713" s="285"/>
      <c r="AX1713" s="249"/>
      <c r="AY1713" s="438">
        <v>204.92071799999999</v>
      </c>
      <c r="AZ1713" s="261"/>
      <c r="BA1713" s="415"/>
      <c r="BB1713" s="415"/>
      <c r="BC1713" s="415"/>
    </row>
    <row r="1714" spans="1:55">
      <c r="B1714" s="179"/>
      <c r="C1714" s="179"/>
      <c r="D1714" s="181"/>
      <c r="E1714" s="181"/>
      <c r="F1714" s="181"/>
      <c r="G1714" s="1110"/>
      <c r="H1714" s="127" t="s">
        <v>1062</v>
      </c>
      <c r="I1714" s="516" t="s">
        <v>364</v>
      </c>
      <c r="J1714" s="548">
        <v>0</v>
      </c>
      <c r="K1714" s="545"/>
      <c r="L1714" s="546"/>
      <c r="M1714" s="547">
        <v>35</v>
      </c>
      <c r="N1714" s="545"/>
      <c r="O1714" s="546"/>
      <c r="P1714" s="547">
        <v>40</v>
      </c>
      <c r="Q1714" s="545"/>
      <c r="R1714" s="546"/>
      <c r="S1714" s="547">
        <v>30</v>
      </c>
      <c r="T1714" s="545"/>
      <c r="U1714" s="546"/>
      <c r="V1714" s="548">
        <v>30</v>
      </c>
      <c r="W1714" s="545"/>
      <c r="X1714" s="546"/>
      <c r="Y1714" s="547">
        <v>30</v>
      </c>
      <c r="Z1714" s="545"/>
      <c r="AA1714" s="546"/>
      <c r="AB1714" s="548">
        <v>21</v>
      </c>
      <c r="AC1714" s="545"/>
      <c r="AD1714" s="546"/>
      <c r="AE1714" s="547">
        <v>21</v>
      </c>
      <c r="AF1714" s="545"/>
      <c r="AG1714" s="546"/>
      <c r="AH1714" s="547">
        <v>21</v>
      </c>
      <c r="AI1714" s="545"/>
      <c r="AJ1714" s="546"/>
      <c r="AK1714" s="547">
        <v>25</v>
      </c>
      <c r="AL1714" s="545"/>
      <c r="AM1714" s="546"/>
      <c r="AN1714" s="548">
        <v>50</v>
      </c>
      <c r="AO1714" s="545"/>
      <c r="AP1714" s="546"/>
      <c r="AQ1714" s="547">
        <v>92</v>
      </c>
      <c r="AR1714" s="425"/>
      <c r="AS1714" s="421"/>
      <c r="AT1714" s="244">
        <f t="shared" si="71"/>
        <v>395</v>
      </c>
      <c r="AU1714" s="246"/>
      <c r="AV1714" s="336"/>
      <c r="AW1714" s="285"/>
      <c r="AX1714" s="249"/>
      <c r="AY1714" s="438">
        <v>0</v>
      </c>
      <c r="AZ1714" s="261"/>
      <c r="BA1714" s="415"/>
      <c r="BB1714" s="415"/>
      <c r="BC1714" s="415"/>
    </row>
    <row r="1715" spans="1:55" ht="18.75">
      <c r="B1715" s="179"/>
      <c r="C1715" s="179"/>
      <c r="D1715" s="181">
        <v>362202</v>
      </c>
      <c r="E1715" s="181"/>
      <c r="F1715" s="181"/>
      <c r="G1715" s="181"/>
      <c r="H1715" s="473" t="s">
        <v>1651</v>
      </c>
      <c r="I1715" s="7"/>
      <c r="J1715" s="277">
        <v>0</v>
      </c>
      <c r="K1715" s="275">
        <f>L1715-J1715</f>
        <v>173.86069599999999</v>
      </c>
      <c r="L1715" s="392">
        <f>Потребление!D101</f>
        <v>173.86069599999999</v>
      </c>
      <c r="M1715" s="274">
        <v>0</v>
      </c>
      <c r="N1715" s="275">
        <f>O1715-M1715</f>
        <v>159.355592</v>
      </c>
      <c r="O1715" s="392">
        <f>Потребление!E101</f>
        <v>159.355592</v>
      </c>
      <c r="P1715" s="274">
        <v>0</v>
      </c>
      <c r="Q1715" s="275">
        <f>R1715-P1715</f>
        <v>163.25689599999998</v>
      </c>
      <c r="R1715" s="392">
        <f>Потребление!F101</f>
        <v>163.25689599999998</v>
      </c>
      <c r="S1715" s="274">
        <v>0</v>
      </c>
      <c r="T1715" s="275">
        <f>U1715-S1715</f>
        <v>139.24862000000002</v>
      </c>
      <c r="U1715" s="392">
        <f>Потребление!G101</f>
        <v>139.24862000000002</v>
      </c>
      <c r="V1715" s="274">
        <v>0</v>
      </c>
      <c r="W1715" s="275">
        <f>X1715-V1715</f>
        <v>129.645172</v>
      </c>
      <c r="X1715" s="392">
        <f>Потребление!H101</f>
        <v>129.645172</v>
      </c>
      <c r="Y1715" s="274">
        <v>0</v>
      </c>
      <c r="Z1715" s="275">
        <f>AA1715-Y1715</f>
        <v>120.04189599999999</v>
      </c>
      <c r="AA1715" s="392">
        <f>Потребление!I101</f>
        <v>120.04189599999999</v>
      </c>
      <c r="AB1715" s="274">
        <v>0</v>
      </c>
      <c r="AC1715" s="275">
        <f>AD1715-AB1715</f>
        <v>121.54242399999998</v>
      </c>
      <c r="AD1715" s="392">
        <f>Потребление!J101</f>
        <v>121.54242399999998</v>
      </c>
      <c r="AE1715" s="274">
        <v>0</v>
      </c>
      <c r="AF1715" s="275">
        <f>AG1715-AE1715</f>
        <v>124.04330399999999</v>
      </c>
      <c r="AG1715" s="392">
        <f>Потребление!K101</f>
        <v>124.04330399999999</v>
      </c>
      <c r="AH1715" s="274">
        <v>0</v>
      </c>
      <c r="AI1715" s="275">
        <f>AJ1715-AH1715</f>
        <v>119.84186000000001</v>
      </c>
      <c r="AJ1715" s="392">
        <f>Потребление!L101</f>
        <v>119.84186000000001</v>
      </c>
      <c r="AK1715" s="274">
        <v>0</v>
      </c>
      <c r="AL1715" s="275">
        <f>AM1715-AK1715</f>
        <v>137.247916</v>
      </c>
      <c r="AM1715" s="392">
        <f>Потребление!M101</f>
        <v>137.247916</v>
      </c>
      <c r="AN1715" s="274">
        <v>0</v>
      </c>
      <c r="AO1715" s="275">
        <f>AP1715-AN1715</f>
        <v>157.254784</v>
      </c>
      <c r="AP1715" s="392">
        <f>Потребление!N101</f>
        <v>157.254784</v>
      </c>
      <c r="AQ1715" s="274">
        <v>0</v>
      </c>
      <c r="AR1715" s="275">
        <f>AS1715-AQ1715</f>
        <v>174.661012</v>
      </c>
      <c r="AS1715" s="392">
        <f>Потребление!O101</f>
        <v>174.661012</v>
      </c>
      <c r="AT1715" s="274">
        <f>J1715+M1715+P1715+S1715+V1715+Y1715+AB1715+AE1715+AH1715+AK1715+AN1715+AQ1715</f>
        <v>0</v>
      </c>
      <c r="AU1715" s="275">
        <f>AV1715-AT1715</f>
        <v>1720.000172</v>
      </c>
      <c r="AV1715" s="394">
        <f>L1715+O1715+R1715+U1715+X1715+AA1715+AD1715+AG1715+AJ1715+AM1715+AP1715+AS1715</f>
        <v>1720.000172</v>
      </c>
      <c r="AW1715" s="395"/>
      <c r="AX1715" s="424">
        <v>1651.8321370000001</v>
      </c>
      <c r="AY1715" s="444">
        <v>0</v>
      </c>
      <c r="AZ1715" s="261"/>
      <c r="BA1715" s="261"/>
      <c r="BB1715" s="261"/>
      <c r="BC1715" s="261"/>
    </row>
    <row r="1716" spans="1:55" ht="18.75">
      <c r="A1716"/>
      <c r="B1716" s="179"/>
      <c r="C1716" s="179"/>
      <c r="D1716" s="181">
        <v>362400</v>
      </c>
      <c r="E1716" s="181"/>
      <c r="F1716" s="181"/>
      <c r="G1716" s="181"/>
      <c r="H1716" s="473" t="s">
        <v>1652</v>
      </c>
      <c r="I1716" s="7"/>
      <c r="J1716" s="393">
        <f>SUM(J1718:J1719)</f>
        <v>0</v>
      </c>
      <c r="K1716" s="391">
        <f>L1716-J1716</f>
        <v>249.1</v>
      </c>
      <c r="L1716" s="392">
        <f>Потребление!D102</f>
        <v>249.1</v>
      </c>
      <c r="M1716" s="390">
        <f>SUM(M1718:M1719)</f>
        <v>321.2</v>
      </c>
      <c r="N1716" s="391">
        <f>O1716-M1716</f>
        <v>-102.89999999999995</v>
      </c>
      <c r="O1716" s="392">
        <f>Потребление!E102</f>
        <v>218.30000000000004</v>
      </c>
      <c r="P1716" s="390">
        <f>SUM(P1718:P1719)</f>
        <v>314.96800000000002</v>
      </c>
      <c r="Q1716" s="391">
        <f>R1716-P1716</f>
        <v>-95.167999999999978</v>
      </c>
      <c r="R1716" s="392">
        <f>Потребление!F102</f>
        <v>219.80000000000004</v>
      </c>
      <c r="S1716" s="390">
        <f>SUM(S1718:S1719)</f>
        <v>258.64</v>
      </c>
      <c r="T1716" s="391">
        <f>U1716-S1716</f>
        <v>-50.139999999999986</v>
      </c>
      <c r="U1716" s="392">
        <f>Потребление!G102</f>
        <v>208.5</v>
      </c>
      <c r="V1716" s="390">
        <f>SUM(V1718:V1719)</f>
        <v>229.352</v>
      </c>
      <c r="W1716" s="391">
        <f>X1716-V1716</f>
        <v>-34.451999999999998</v>
      </c>
      <c r="X1716" s="392">
        <f>Потребление!H102</f>
        <v>194.9</v>
      </c>
      <c r="Y1716" s="390">
        <f>SUM(Y1718:Y1719)</f>
        <v>216.61599999999999</v>
      </c>
      <c r="Z1716" s="391">
        <f>AA1716-Y1716</f>
        <v>-41.515999999999991</v>
      </c>
      <c r="AA1716" s="392">
        <f>Потребление!I102</f>
        <v>175.1</v>
      </c>
      <c r="AB1716" s="390">
        <f>SUM(AB1718:AB1719)</f>
        <v>268.70600000000002</v>
      </c>
      <c r="AC1716" s="275">
        <f>AD1716-AB1716</f>
        <v>-82.806000000000012</v>
      </c>
      <c r="AD1716" s="392">
        <f>Потребление!J102</f>
        <v>185.9</v>
      </c>
      <c r="AE1716" s="390">
        <f>SUM(AE1718:AE1719)</f>
        <v>316.98</v>
      </c>
      <c r="AF1716" s="391">
        <f>AG1716-AE1716</f>
        <v>-119.18</v>
      </c>
      <c r="AG1716" s="392">
        <f>Потребление!K102</f>
        <v>197.8</v>
      </c>
      <c r="AH1716" s="390">
        <f>SUM(AH1718:AH1719)</f>
        <v>241.43799999999999</v>
      </c>
      <c r="AI1716" s="391">
        <f>AJ1716-AH1716</f>
        <v>-39.537999999999982</v>
      </c>
      <c r="AJ1716" s="392">
        <f>Потребление!L102</f>
        <v>201.9</v>
      </c>
      <c r="AK1716" s="390">
        <f>SUM(AK1718:AK1719)</f>
        <v>321.37999999999994</v>
      </c>
      <c r="AL1716" s="391">
        <f>AM1716-AK1716</f>
        <v>-88.679999999999978</v>
      </c>
      <c r="AM1716" s="392">
        <f>Потребление!M102</f>
        <v>232.69999999999996</v>
      </c>
      <c r="AN1716" s="390">
        <f>SUM(AN1718:AN1719)</f>
        <v>330.65</v>
      </c>
      <c r="AO1716" s="391">
        <f>AP1716-AN1716</f>
        <v>-68.149999999999977</v>
      </c>
      <c r="AP1716" s="392">
        <f>Потребление!N102</f>
        <v>262.5</v>
      </c>
      <c r="AQ1716" s="390">
        <f>SUM(AQ1718:AQ1719)</f>
        <v>340.1</v>
      </c>
      <c r="AR1716" s="391">
        <f>AS1716-AQ1716</f>
        <v>-61.300000000000011</v>
      </c>
      <c r="AS1716" s="392">
        <f>Потребление!O102</f>
        <v>278.8</v>
      </c>
      <c r="AT1716" s="390">
        <f>SUM(AT1718:AT1719)</f>
        <v>3160.0299999999997</v>
      </c>
      <c r="AU1716" s="391">
        <f>AV1716-AT1716</f>
        <v>-534.72999999999956</v>
      </c>
      <c r="AV1716" s="394">
        <f>L1716+O1716+R1716+U1716+X1716+AA1716+AD1716+AG1716+AJ1716+AM1716+AP1716+AS1716</f>
        <v>2625.3</v>
      </c>
      <c r="AW1716" s="395"/>
      <c r="AX1716" s="1067">
        <v>2193.8895560000001</v>
      </c>
      <c r="AY1716" s="444">
        <f>AY1717</f>
        <v>3305.0602610000001</v>
      </c>
      <c r="AZ1716" s="261"/>
      <c r="BA1716" s="261"/>
      <c r="BB1716" s="261"/>
      <c r="BC1716" s="261"/>
    </row>
    <row r="1717" spans="1:55">
      <c r="A1717"/>
      <c r="B1717" s="179"/>
      <c r="C1717" s="179"/>
      <c r="D1717" s="181"/>
      <c r="E1717" s="181"/>
      <c r="F1717" s="181"/>
      <c r="G1717" s="181"/>
      <c r="H1717" s="10" t="s">
        <v>56</v>
      </c>
      <c r="I1717" s="10"/>
      <c r="J1717" s="223">
        <f>SUM(J1718:J1719)</f>
        <v>0</v>
      </c>
      <c r="K1717" s="271"/>
      <c r="L1717" s="224"/>
      <c r="M1717" s="270">
        <f>SUM(M1718:M1719)</f>
        <v>321.2</v>
      </c>
      <c r="N1717" s="271"/>
      <c r="O1717" s="224"/>
      <c r="P1717" s="270">
        <f>SUM(P1718:P1719)</f>
        <v>314.96800000000002</v>
      </c>
      <c r="Q1717" s="271"/>
      <c r="R1717" s="224"/>
      <c r="S1717" s="270">
        <f>SUM(S1718:S1719)</f>
        <v>258.64</v>
      </c>
      <c r="T1717" s="271"/>
      <c r="U1717" s="224"/>
      <c r="V1717" s="270">
        <f>SUM(V1718:V1719)</f>
        <v>229.352</v>
      </c>
      <c r="W1717" s="271"/>
      <c r="X1717" s="224"/>
      <c r="Y1717" s="270">
        <f>SUM(Y1718:Y1719)</f>
        <v>216.61599999999999</v>
      </c>
      <c r="Z1717" s="271"/>
      <c r="AA1717" s="224"/>
      <c r="AB1717" s="270">
        <f>SUM(AB1718:AB1719)</f>
        <v>268.70600000000002</v>
      </c>
      <c r="AC1717" s="271"/>
      <c r="AD1717" s="224"/>
      <c r="AE1717" s="270">
        <f>SUM(AE1718:AE1719)</f>
        <v>316.98</v>
      </c>
      <c r="AF1717" s="271"/>
      <c r="AG1717" s="224"/>
      <c r="AH1717" s="270">
        <f>SUM(AH1718:AH1719)</f>
        <v>241.43799999999999</v>
      </c>
      <c r="AI1717" s="271"/>
      <c r="AJ1717" s="224"/>
      <c r="AK1717" s="270">
        <f>SUM(AK1718:AK1719)</f>
        <v>321.37999999999994</v>
      </c>
      <c r="AL1717" s="271"/>
      <c r="AM1717" s="224"/>
      <c r="AN1717" s="270">
        <f>SUM(AN1718:AN1719)</f>
        <v>330.65</v>
      </c>
      <c r="AO1717" s="271"/>
      <c r="AP1717" s="224"/>
      <c r="AQ1717" s="223">
        <f>SUM(AQ1718:AQ1719)</f>
        <v>340.1</v>
      </c>
      <c r="AR1717" s="271"/>
      <c r="AS1717" s="224"/>
      <c r="AT1717" s="270">
        <f>SUM(AT1718:AT1719)</f>
        <v>3160.0299999999997</v>
      </c>
      <c r="AU1717" s="271"/>
      <c r="AV1717" s="229"/>
      <c r="AW1717" s="226"/>
      <c r="AX1717" s="230"/>
      <c r="AY1717" s="231">
        <f>AY1718+AY1719</f>
        <v>3305.0602610000001</v>
      </c>
      <c r="AZ1717" s="261"/>
      <c r="BA1717" s="261"/>
      <c r="BB1717" s="261"/>
      <c r="BC1717" s="261"/>
    </row>
    <row r="1718" spans="1:55">
      <c r="A1718"/>
      <c r="B1718" s="179"/>
      <c r="C1718" s="179"/>
      <c r="D1718" s="181">
        <v>362404</v>
      </c>
      <c r="E1718" s="181"/>
      <c r="F1718" s="181"/>
      <c r="G1718" s="1110"/>
      <c r="H1718" s="122" t="s">
        <v>205</v>
      </c>
      <c r="I1718" s="516" t="s">
        <v>364</v>
      </c>
      <c r="J1718" s="1106">
        <v>0</v>
      </c>
      <c r="K1718" s="545"/>
      <c r="L1718" s="546"/>
      <c r="M1718" s="1107">
        <f>282.4+30</f>
        <v>312.39999999999998</v>
      </c>
      <c r="N1718" s="545"/>
      <c r="O1718" s="546"/>
      <c r="P1718" s="1107">
        <f>265.68+40</f>
        <v>305.68</v>
      </c>
      <c r="Q1718" s="545"/>
      <c r="R1718" s="546"/>
      <c r="S1718" s="1107">
        <f>220.48+30</f>
        <v>250.48</v>
      </c>
      <c r="T1718" s="545"/>
      <c r="U1718" s="546"/>
      <c r="V1718" s="1106">
        <f>215.76+5</f>
        <v>220.76</v>
      </c>
      <c r="W1718" s="545"/>
      <c r="X1718" s="546"/>
      <c r="Y1718" s="547">
        <f>207.16</f>
        <v>207.16</v>
      </c>
      <c r="Z1718" s="545"/>
      <c r="AA1718" s="546"/>
      <c r="AB1718" s="1108">
        <f>212.09+35+21.472</f>
        <v>268.56200000000001</v>
      </c>
      <c r="AC1718" s="545"/>
      <c r="AD1718" s="546"/>
      <c r="AE1718" s="1108">
        <f>210.6+101.88</f>
        <v>312.48</v>
      </c>
      <c r="AF1718" s="545"/>
      <c r="AG1718" s="546"/>
      <c r="AH1718" s="1105">
        <f>201.4+10+24.278</f>
        <v>235.678</v>
      </c>
      <c r="AI1718" s="545"/>
      <c r="AJ1718" s="546"/>
      <c r="AK1718" s="1108">
        <f>267.78+44.7</f>
        <v>312.47999999999996</v>
      </c>
      <c r="AL1718" s="545"/>
      <c r="AM1718" s="546"/>
      <c r="AN1718" s="1112">
        <f>296.65+25</f>
        <v>321.64999999999998</v>
      </c>
      <c r="AO1718" s="545"/>
      <c r="AP1718" s="546"/>
      <c r="AQ1718" s="1107">
        <f>310+20</f>
        <v>330</v>
      </c>
      <c r="AR1718" s="545"/>
      <c r="AS1718" s="546"/>
      <c r="AT1718" s="244">
        <f>J1718+M1718+P1718+S1718+V1718+Y1718+AB1718+AE1718+AH1718+AK1718+AN1718+AQ1718</f>
        <v>3077.33</v>
      </c>
      <c r="AU1718" s="416"/>
      <c r="AV1718" s="417"/>
      <c r="AW1718" s="418"/>
      <c r="AX1718" s="337"/>
      <c r="AY1718" s="438">
        <v>3218.6653160000001</v>
      </c>
      <c r="AZ1718" s="261"/>
      <c r="BA1718" s="261"/>
      <c r="BB1718" s="261"/>
      <c r="BC1718" s="261"/>
    </row>
    <row r="1719" spans="1:55">
      <c r="A1719"/>
      <c r="B1719" s="179"/>
      <c r="C1719" s="179"/>
      <c r="D1719" s="181">
        <v>362426</v>
      </c>
      <c r="E1719" s="181"/>
      <c r="F1719" s="181"/>
      <c r="G1719" s="1110"/>
      <c r="H1719" s="122" t="s">
        <v>206</v>
      </c>
      <c r="I1719" s="516" t="s">
        <v>364</v>
      </c>
      <c r="J1719" s="548">
        <v>0</v>
      </c>
      <c r="K1719" s="545"/>
      <c r="L1719" s="546"/>
      <c r="M1719" s="547">
        <v>8.8000000000000007</v>
      </c>
      <c r="N1719" s="545"/>
      <c r="O1719" s="546"/>
      <c r="P1719" s="1108">
        <f>8.9+0.388</f>
        <v>9.2880000000000003</v>
      </c>
      <c r="Q1719" s="545"/>
      <c r="R1719" s="546"/>
      <c r="S1719" s="1108">
        <f>7.9+0.26</f>
        <v>8.16</v>
      </c>
      <c r="T1719" s="545"/>
      <c r="U1719" s="546"/>
      <c r="V1719" s="1109">
        <f>7.4+1.192</f>
        <v>8.5920000000000005</v>
      </c>
      <c r="W1719" s="545"/>
      <c r="X1719" s="546"/>
      <c r="Y1719" s="1108">
        <f>4.26+5.196</f>
        <v>9.4559999999999995</v>
      </c>
      <c r="Z1719" s="545"/>
      <c r="AA1719" s="546"/>
      <c r="AB1719" s="1108">
        <f>0.14+0.004</f>
        <v>0.14400000000000002</v>
      </c>
      <c r="AC1719" s="545"/>
      <c r="AD1719" s="546"/>
      <c r="AE1719" s="547">
        <f>4.5</f>
        <v>4.5</v>
      </c>
      <c r="AF1719" s="545"/>
      <c r="AG1719" s="546"/>
      <c r="AH1719" s="1105">
        <f>5+0.76</f>
        <v>5.76</v>
      </c>
      <c r="AI1719" s="545"/>
      <c r="AJ1719" s="546"/>
      <c r="AK1719" s="547">
        <f>8.9</f>
        <v>8.9</v>
      </c>
      <c r="AL1719" s="545"/>
      <c r="AM1719" s="546"/>
      <c r="AN1719" s="244">
        <v>9</v>
      </c>
      <c r="AO1719" s="545"/>
      <c r="AP1719" s="546"/>
      <c r="AQ1719" s="547">
        <v>10.1</v>
      </c>
      <c r="AR1719" s="545"/>
      <c r="AS1719" s="546"/>
      <c r="AT1719" s="244">
        <f>J1719+M1719+P1719+S1719+V1719+Y1719+AB1719+AE1719+AH1719+AK1719+AN1719+AQ1719</f>
        <v>82.699999999999989</v>
      </c>
      <c r="AU1719" s="419"/>
      <c r="AV1719" s="420"/>
      <c r="AW1719" s="418"/>
      <c r="AX1719" s="321"/>
      <c r="AY1719" s="435">
        <v>86.394945000000007</v>
      </c>
      <c r="AZ1719" s="261"/>
      <c r="BA1719" s="261"/>
      <c r="BB1719" s="261"/>
      <c r="BC1719" s="261"/>
    </row>
    <row r="1720" spans="1:55" ht="18.75">
      <c r="A1720"/>
      <c r="B1720" s="179"/>
      <c r="C1720" s="179"/>
      <c r="D1720" s="181"/>
      <c r="E1720" s="181"/>
      <c r="F1720" s="181"/>
      <c r="G1720" s="181"/>
      <c r="H1720" s="473" t="s">
        <v>1653</v>
      </c>
      <c r="I1720" s="7"/>
      <c r="J1720" s="393">
        <f>SUM(J1721:J1721)</f>
        <v>0</v>
      </c>
      <c r="K1720" s="391">
        <f>L1720-J1720</f>
        <v>190.743954</v>
      </c>
      <c r="L1720" s="392">
        <f>Потребление!D103</f>
        <v>190.743954</v>
      </c>
      <c r="M1720" s="390">
        <f>SUM(M1721:M1721)</f>
        <v>171.04</v>
      </c>
      <c r="N1720" s="391">
        <f>O1720-M1720</f>
        <v>-6.5499999999474312E-4</v>
      </c>
      <c r="O1720" s="392">
        <f>Потребление!E103</f>
        <v>171.039345</v>
      </c>
      <c r="P1720" s="390">
        <f>SUM(P1721:P1721)</f>
        <v>163.1</v>
      </c>
      <c r="Q1720" s="391">
        <f>R1720-P1720</f>
        <v>0.33765430000002539</v>
      </c>
      <c r="R1720" s="392">
        <f>Потребление!F103</f>
        <v>163.43765430000002</v>
      </c>
      <c r="S1720" s="390">
        <f>SUM(S1721:S1721)</f>
        <v>134.97</v>
      </c>
      <c r="T1720" s="391">
        <f>U1720-S1720</f>
        <v>0.56122569999999428</v>
      </c>
      <c r="U1720" s="392">
        <f>Потребление!G103</f>
        <v>135.53122569999999</v>
      </c>
      <c r="V1720" s="390">
        <f>SUM(V1721:V1721)</f>
        <v>121.91</v>
      </c>
      <c r="W1720" s="391">
        <f>X1720-V1720</f>
        <v>-0.18208680000000754</v>
      </c>
      <c r="X1720" s="392">
        <f>Потребление!H103</f>
        <v>121.72791319999999</v>
      </c>
      <c r="Y1720" s="390">
        <f>SUM(Y1721:Y1721)</f>
        <v>99.990000000000009</v>
      </c>
      <c r="Z1720" s="391">
        <f>AA1720-Y1720</f>
        <v>-0.36703750000000923</v>
      </c>
      <c r="AA1720" s="392">
        <f>Потребление!I103</f>
        <v>99.6229625</v>
      </c>
      <c r="AB1720" s="390">
        <f>SUM(AB1721:AB1721)</f>
        <v>101.04</v>
      </c>
      <c r="AC1720" s="391">
        <f>AD1720-AB1720</f>
        <v>0.18336419999998554</v>
      </c>
      <c r="AD1720" s="392">
        <f>Потребление!J103</f>
        <v>101.22336419999999</v>
      </c>
      <c r="AE1720" s="390">
        <f>SUM(AE1721:AE1721)</f>
        <v>104.54</v>
      </c>
      <c r="AF1720" s="391">
        <f>AG1720-AE1720</f>
        <v>-1.6013800000010292E-2</v>
      </c>
      <c r="AG1720" s="392">
        <f>Потребление!K103</f>
        <v>104.5239862</v>
      </c>
      <c r="AH1720" s="390">
        <f>SUM(AH1721:AH1721)</f>
        <v>128.29</v>
      </c>
      <c r="AI1720" s="391">
        <f>AJ1720-AH1720</f>
        <v>-0.56062390000001017</v>
      </c>
      <c r="AJ1720" s="392">
        <f>Потребление!L103</f>
        <v>127.72937609999998</v>
      </c>
      <c r="AK1720" s="390">
        <f>SUM(AK1721:AK1721)</f>
        <v>154.04</v>
      </c>
      <c r="AL1720" s="391">
        <f>AM1720-AK1720</f>
        <v>9.5395500000023503E-2</v>
      </c>
      <c r="AM1720" s="392">
        <f>Потребление!M103</f>
        <v>154.13539550000002</v>
      </c>
      <c r="AN1720" s="390">
        <f>SUM(AN1721:AN1721)</f>
        <v>172.64</v>
      </c>
      <c r="AO1720" s="391">
        <f>AP1720-AN1720</f>
        <v>9.9739200000016126E-2</v>
      </c>
      <c r="AP1720" s="392">
        <f>Потребление!N103</f>
        <v>172.7397392</v>
      </c>
      <c r="AQ1720" s="393">
        <f>SUM(AQ1721:AQ1721)</f>
        <v>200.69</v>
      </c>
      <c r="AR1720" s="391">
        <f>AS1720-AQ1720</f>
        <v>-4.1447420000000079</v>
      </c>
      <c r="AS1720" s="392">
        <f>Потребление!O103</f>
        <v>196.54525799999999</v>
      </c>
      <c r="AT1720" s="390">
        <f>SUM(AT1721:AT1721)</f>
        <v>1552.25</v>
      </c>
      <c r="AU1720" s="391">
        <f>AV1720-AT1720</f>
        <v>186.75017389999994</v>
      </c>
      <c r="AV1720" s="394">
        <f>L1720+O1720+R1720+U1720+X1720+AA1720+AD1720+AG1720+AJ1720+AM1720+AP1720+AS1720</f>
        <v>1739.0001738999999</v>
      </c>
      <c r="AW1720" s="395"/>
      <c r="AX1720" s="1067">
        <v>1692.271113</v>
      </c>
      <c r="AY1720" s="444">
        <f>SUM(AY1721:AY1721)</f>
        <v>1627.2529999999999</v>
      </c>
      <c r="AZ1720" s="261"/>
      <c r="BA1720" s="261"/>
      <c r="BB1720" s="261"/>
      <c r="BC1720" s="261"/>
    </row>
    <row r="1721" spans="1:55">
      <c r="A1721"/>
      <c r="B1721" s="179"/>
      <c r="C1721" s="179"/>
      <c r="D1721" s="181"/>
      <c r="E1721" s="181"/>
      <c r="F1721" s="181"/>
      <c r="G1721" s="181"/>
      <c r="H1721" s="10" t="s">
        <v>56</v>
      </c>
      <c r="I1721" s="10"/>
      <c r="J1721" s="223">
        <f>SUM(J1722:J1725)</f>
        <v>0</v>
      </c>
      <c r="K1721" s="271"/>
      <c r="L1721" s="224"/>
      <c r="M1721" s="270">
        <f>SUM(M1722:M1725)</f>
        <v>171.04</v>
      </c>
      <c r="N1721" s="271"/>
      <c r="O1721" s="224"/>
      <c r="P1721" s="270">
        <f>SUM(P1722:P1725)</f>
        <v>163.1</v>
      </c>
      <c r="Q1721" s="271"/>
      <c r="R1721" s="224"/>
      <c r="S1721" s="270">
        <f>SUM(S1722:S1725)</f>
        <v>134.97</v>
      </c>
      <c r="T1721" s="271"/>
      <c r="U1721" s="224"/>
      <c r="V1721" s="270">
        <f>SUM(V1722:V1725)</f>
        <v>121.91</v>
      </c>
      <c r="W1721" s="271"/>
      <c r="X1721" s="224"/>
      <c r="Y1721" s="270">
        <f>SUM(Y1722:Y1725)</f>
        <v>99.990000000000009</v>
      </c>
      <c r="Z1721" s="271"/>
      <c r="AA1721" s="224"/>
      <c r="AB1721" s="270">
        <f>SUM(AB1722:AB1725)</f>
        <v>101.04</v>
      </c>
      <c r="AC1721" s="271"/>
      <c r="AD1721" s="224"/>
      <c r="AE1721" s="270">
        <f>SUM(AE1722:AE1725)</f>
        <v>104.54</v>
      </c>
      <c r="AF1721" s="271"/>
      <c r="AG1721" s="224"/>
      <c r="AH1721" s="270">
        <f>SUM(AH1722:AH1725)</f>
        <v>128.29</v>
      </c>
      <c r="AI1721" s="271"/>
      <c r="AJ1721" s="224"/>
      <c r="AK1721" s="270">
        <f>SUM(AK1722:AK1725)</f>
        <v>154.04</v>
      </c>
      <c r="AL1721" s="271"/>
      <c r="AM1721" s="224"/>
      <c r="AN1721" s="270">
        <f>SUM(AN1722:AN1725)</f>
        <v>172.64</v>
      </c>
      <c r="AO1721" s="271"/>
      <c r="AP1721" s="224"/>
      <c r="AQ1721" s="223">
        <f>SUM(AQ1722:AQ1725)</f>
        <v>200.69</v>
      </c>
      <c r="AR1721" s="271"/>
      <c r="AS1721" s="224"/>
      <c r="AT1721" s="270">
        <f>SUM(AT1722:AT1725)</f>
        <v>1552.25</v>
      </c>
      <c r="AU1721" s="271"/>
      <c r="AV1721" s="229"/>
      <c r="AW1721" s="226"/>
      <c r="AX1721" s="230"/>
      <c r="AY1721" s="231">
        <f>SUM(AY1722:AY1725)</f>
        <v>1627.2529999999999</v>
      </c>
      <c r="AZ1721" s="261"/>
      <c r="BA1721" s="261"/>
      <c r="BB1721" s="261"/>
      <c r="BC1721" s="261"/>
    </row>
    <row r="1722" spans="1:55">
      <c r="A1722"/>
      <c r="B1722" s="179"/>
      <c r="C1722" s="179"/>
      <c r="D1722" s="181">
        <v>362427</v>
      </c>
      <c r="E1722" s="181"/>
      <c r="F1722" s="181"/>
      <c r="G1722" s="1110"/>
      <c r="H1722" s="149" t="s">
        <v>235</v>
      </c>
      <c r="I1722" s="533" t="s">
        <v>365</v>
      </c>
      <c r="J1722" s="548">
        <v>0</v>
      </c>
      <c r="K1722" s="545"/>
      <c r="L1722" s="546"/>
      <c r="M1722" s="547">
        <v>4.18</v>
      </c>
      <c r="N1722" s="545"/>
      <c r="O1722" s="546"/>
      <c r="P1722" s="547">
        <v>4.46</v>
      </c>
      <c r="Q1722" s="545"/>
      <c r="R1722" s="546"/>
      <c r="S1722" s="547">
        <v>4.32</v>
      </c>
      <c r="T1722" s="545"/>
      <c r="U1722" s="546"/>
      <c r="V1722" s="548">
        <v>4.46</v>
      </c>
      <c r="W1722" s="545"/>
      <c r="X1722" s="546"/>
      <c r="Y1722" s="547">
        <v>4.32</v>
      </c>
      <c r="Z1722" s="545"/>
      <c r="AA1722" s="546"/>
      <c r="AB1722" s="548">
        <v>4.46</v>
      </c>
      <c r="AC1722" s="545"/>
      <c r="AD1722" s="546"/>
      <c r="AE1722" s="547">
        <v>2.7</v>
      </c>
      <c r="AF1722" s="545"/>
      <c r="AG1722" s="546"/>
      <c r="AH1722" s="547">
        <v>4.32</v>
      </c>
      <c r="AI1722" s="545"/>
      <c r="AJ1722" s="546"/>
      <c r="AK1722" s="547">
        <v>4.46</v>
      </c>
      <c r="AL1722" s="545"/>
      <c r="AM1722" s="546"/>
      <c r="AN1722" s="548">
        <v>4.32</v>
      </c>
      <c r="AO1722" s="545"/>
      <c r="AP1722" s="546"/>
      <c r="AQ1722" s="547">
        <v>4.46</v>
      </c>
      <c r="AR1722" s="323"/>
      <c r="AS1722" s="324"/>
      <c r="AT1722" s="244">
        <f>J1722+M1722+P1722+S1722+V1722+Y1722+AB1722+AE1722+AH1722+AK1722+AN1722+AQ1722</f>
        <v>46.46</v>
      </c>
      <c r="AU1722" s="323"/>
      <c r="AV1722" s="325"/>
      <c r="AW1722" s="226"/>
      <c r="AX1722" s="328"/>
      <c r="AY1722" s="438">
        <v>51.377000000000002</v>
      </c>
      <c r="AZ1722" s="261"/>
      <c r="BA1722" s="261"/>
      <c r="BB1722" s="261"/>
      <c r="BC1722" s="261"/>
    </row>
    <row r="1723" spans="1:55">
      <c r="A1723"/>
      <c r="B1723" s="179"/>
      <c r="C1723" s="179"/>
      <c r="D1723" s="181">
        <v>362401</v>
      </c>
      <c r="E1723" s="181"/>
      <c r="F1723" s="181"/>
      <c r="G1723" s="1110"/>
      <c r="H1723" s="149" t="s">
        <v>236</v>
      </c>
      <c r="I1723" s="533" t="s">
        <v>365</v>
      </c>
      <c r="J1723" s="1106">
        <v>0</v>
      </c>
      <c r="K1723" s="545"/>
      <c r="L1723" s="546"/>
      <c r="M1723" s="1107">
        <f>80.82+8</f>
        <v>88.82</v>
      </c>
      <c r="N1723" s="545"/>
      <c r="O1723" s="546"/>
      <c r="P1723" s="1107">
        <f>88.54+9</f>
        <v>97.54</v>
      </c>
      <c r="Q1723" s="545"/>
      <c r="R1723" s="546"/>
      <c r="S1723" s="547">
        <v>73.680000000000007</v>
      </c>
      <c r="T1723" s="545"/>
      <c r="U1723" s="546"/>
      <c r="V1723" s="1106">
        <f>61.54+2</f>
        <v>63.54</v>
      </c>
      <c r="W1723" s="545"/>
      <c r="X1723" s="546"/>
      <c r="Y1723" s="547">
        <f>77.68</f>
        <v>77.680000000000007</v>
      </c>
      <c r="Z1723" s="545"/>
      <c r="AA1723" s="546"/>
      <c r="AB1723" s="548">
        <v>55.54</v>
      </c>
      <c r="AC1723" s="545"/>
      <c r="AD1723" s="546"/>
      <c r="AE1723" s="1107">
        <f>22.3+29</f>
        <v>51.3</v>
      </c>
      <c r="AF1723" s="545"/>
      <c r="AG1723" s="546"/>
      <c r="AH1723" s="547">
        <v>70.680000000000007</v>
      </c>
      <c r="AI1723" s="545"/>
      <c r="AJ1723" s="546"/>
      <c r="AK1723" s="1107">
        <f>88.54+6</f>
        <v>94.54</v>
      </c>
      <c r="AL1723" s="545"/>
      <c r="AM1723" s="546"/>
      <c r="AN1723" s="1106">
        <f>80.68+11</f>
        <v>91.68</v>
      </c>
      <c r="AO1723" s="545"/>
      <c r="AP1723" s="546"/>
      <c r="AQ1723" s="1108">
        <f>90.54+13+4.34</f>
        <v>107.88000000000001</v>
      </c>
      <c r="AR1723" s="323"/>
      <c r="AS1723" s="324"/>
      <c r="AT1723" s="244">
        <f>J1723+M1723+P1723+S1723+V1723+Y1723+AB1723+AE1723+AH1723+AK1723+AN1723+AQ1723</f>
        <v>872.88</v>
      </c>
      <c r="AU1723" s="323"/>
      <c r="AV1723" s="325"/>
      <c r="AW1723" s="226"/>
      <c r="AX1723" s="328"/>
      <c r="AY1723" s="438">
        <v>1031.8599999999999</v>
      </c>
      <c r="AZ1723" s="261"/>
      <c r="BA1723" s="261"/>
      <c r="BB1723" s="261"/>
      <c r="BC1723" s="261"/>
    </row>
    <row r="1724" spans="1:55">
      <c r="A1724"/>
      <c r="B1724" s="179"/>
      <c r="C1724" s="179"/>
      <c r="D1724" s="181">
        <v>362407</v>
      </c>
      <c r="E1724" s="181"/>
      <c r="F1724" s="181"/>
      <c r="G1724" s="1110"/>
      <c r="H1724" s="149" t="s">
        <v>335</v>
      </c>
      <c r="I1724" s="533" t="s">
        <v>365</v>
      </c>
      <c r="J1724" s="548">
        <v>0</v>
      </c>
      <c r="K1724" s="545"/>
      <c r="L1724" s="546"/>
      <c r="M1724" s="547">
        <v>78</v>
      </c>
      <c r="N1724" s="545"/>
      <c r="O1724" s="546"/>
      <c r="P1724" s="547">
        <v>59.2</v>
      </c>
      <c r="Q1724" s="545"/>
      <c r="R1724" s="546"/>
      <c r="S1724" s="547">
        <v>50.7</v>
      </c>
      <c r="T1724" s="545"/>
      <c r="U1724" s="546"/>
      <c r="V1724" s="548">
        <v>52.7</v>
      </c>
      <c r="W1724" s="545"/>
      <c r="X1724" s="546"/>
      <c r="Y1724" s="1108">
        <f>12.8+3.76</f>
        <v>16.560000000000002</v>
      </c>
      <c r="Z1724" s="545"/>
      <c r="AA1724" s="546"/>
      <c r="AB1724" s="548">
        <v>40</v>
      </c>
      <c r="AC1724" s="545"/>
      <c r="AD1724" s="546"/>
      <c r="AE1724" s="547">
        <v>50</v>
      </c>
      <c r="AF1724" s="545"/>
      <c r="AG1724" s="546"/>
      <c r="AH1724" s="547">
        <v>52.7</v>
      </c>
      <c r="AI1724" s="545"/>
      <c r="AJ1724" s="546"/>
      <c r="AK1724" s="547">
        <v>54.5</v>
      </c>
      <c r="AL1724" s="545"/>
      <c r="AM1724" s="546"/>
      <c r="AN1724" s="548">
        <v>76.599999999999994</v>
      </c>
      <c r="AO1724" s="545"/>
      <c r="AP1724" s="546"/>
      <c r="AQ1724" s="547">
        <v>88.3</v>
      </c>
      <c r="AR1724" s="323"/>
      <c r="AS1724" s="324"/>
      <c r="AT1724" s="244">
        <f>J1724+M1724+P1724+S1724+V1724+Y1724+AB1724+AE1724+AH1724+AK1724+AN1724+AQ1724</f>
        <v>619.25999999999988</v>
      </c>
      <c r="AU1724" s="323"/>
      <c r="AV1724" s="325"/>
      <c r="AW1724" s="226"/>
      <c r="AX1724" s="328"/>
      <c r="AY1724" s="438">
        <v>536.077</v>
      </c>
      <c r="AZ1724" s="261"/>
      <c r="BA1724" s="261"/>
      <c r="BB1724" s="261"/>
      <c r="BC1724" s="261"/>
    </row>
    <row r="1725" spans="1:55">
      <c r="A1725"/>
      <c r="B1725" s="179"/>
      <c r="C1725" s="179"/>
      <c r="D1725" s="181">
        <v>570</v>
      </c>
      <c r="E1725" s="181"/>
      <c r="F1725" s="181"/>
      <c r="G1725" s="1110"/>
      <c r="H1725" s="123" t="s">
        <v>885</v>
      </c>
      <c r="I1725" s="519" t="s">
        <v>365</v>
      </c>
      <c r="J1725" s="548">
        <v>0</v>
      </c>
      <c r="K1725" s="545"/>
      <c r="L1725" s="546"/>
      <c r="M1725" s="547">
        <v>0.04</v>
      </c>
      <c r="N1725" s="545"/>
      <c r="O1725" s="546"/>
      <c r="P1725" s="547">
        <v>1.9</v>
      </c>
      <c r="Q1725" s="545"/>
      <c r="R1725" s="546"/>
      <c r="S1725" s="547">
        <v>6.27</v>
      </c>
      <c r="T1725" s="545"/>
      <c r="U1725" s="546"/>
      <c r="V1725" s="548">
        <v>1.21</v>
      </c>
      <c r="W1725" s="545"/>
      <c r="X1725" s="546"/>
      <c r="Y1725" s="547">
        <v>1.43</v>
      </c>
      <c r="Z1725" s="545"/>
      <c r="AA1725" s="546"/>
      <c r="AB1725" s="548">
        <v>1.04</v>
      </c>
      <c r="AC1725" s="545"/>
      <c r="AD1725" s="546"/>
      <c r="AE1725" s="547">
        <v>0.54</v>
      </c>
      <c r="AF1725" s="545"/>
      <c r="AG1725" s="546"/>
      <c r="AH1725" s="547">
        <v>0.59</v>
      </c>
      <c r="AI1725" s="545"/>
      <c r="AJ1725" s="546"/>
      <c r="AK1725" s="547">
        <v>0.54</v>
      </c>
      <c r="AL1725" s="545"/>
      <c r="AM1725" s="546"/>
      <c r="AN1725" s="548">
        <v>0.04</v>
      </c>
      <c r="AO1725" s="545"/>
      <c r="AP1725" s="546"/>
      <c r="AQ1725" s="547">
        <v>0.05</v>
      </c>
      <c r="AR1725" s="416"/>
      <c r="AS1725" s="421"/>
      <c r="AT1725" s="244">
        <f>J1725+M1725+P1725+S1725+V1725+Y1725+AB1725+AE1725+AH1725+AK1725+AN1725+AQ1725</f>
        <v>13.649999999999995</v>
      </c>
      <c r="AU1725" s="246"/>
      <c r="AV1725" s="336"/>
      <c r="AW1725" s="285"/>
      <c r="AX1725" s="249"/>
      <c r="AY1725" s="438">
        <v>7.9390000000000001</v>
      </c>
      <c r="AZ1725" s="261"/>
      <c r="BA1725" s="261"/>
      <c r="BB1725" s="261"/>
      <c r="BC1725" s="261"/>
    </row>
    <row r="1726" spans="1:55" ht="18.75">
      <c r="A1726"/>
      <c r="B1726" s="179"/>
      <c r="C1726" s="179"/>
      <c r="D1726" s="181"/>
      <c r="E1726" s="181"/>
      <c r="F1726" s="181"/>
      <c r="G1726" s="181"/>
      <c r="H1726" s="473" t="s">
        <v>1654</v>
      </c>
      <c r="I1726" s="7"/>
      <c r="J1726" s="393">
        <f>SUM(J1727:J1728)</f>
        <v>0</v>
      </c>
      <c r="K1726" s="391">
        <f>L1726-J1726</f>
        <v>410.6</v>
      </c>
      <c r="L1726" s="392">
        <f>Потребление!D104</f>
        <v>410.6</v>
      </c>
      <c r="M1726" s="390">
        <f>SUM(M1727:M1728)</f>
        <v>388.08999999999992</v>
      </c>
      <c r="N1726" s="391">
        <f>O1726-M1726</f>
        <v>-35.38999999999993</v>
      </c>
      <c r="O1726" s="392">
        <f>Потребление!E104</f>
        <v>352.7</v>
      </c>
      <c r="P1726" s="390">
        <f>SUM(P1727:P1728)</f>
        <v>359.65</v>
      </c>
      <c r="Q1726" s="391">
        <f>R1726-P1726</f>
        <v>-17.75</v>
      </c>
      <c r="R1726" s="392">
        <f>Потребление!F104</f>
        <v>341.9</v>
      </c>
      <c r="S1726" s="390">
        <f>SUM(S1727:S1728)</f>
        <v>292.85000000000002</v>
      </c>
      <c r="T1726" s="391">
        <f>U1726-S1726</f>
        <v>-12.550000000000011</v>
      </c>
      <c r="U1726" s="392">
        <f>Потребление!G104</f>
        <v>280.3</v>
      </c>
      <c r="V1726" s="390">
        <f>SUM(V1727:V1728)</f>
        <v>257.18</v>
      </c>
      <c r="W1726" s="391">
        <f>X1726-V1726</f>
        <v>-17.78000000000003</v>
      </c>
      <c r="X1726" s="392">
        <f>Потребление!H104</f>
        <v>239.39999999999998</v>
      </c>
      <c r="Y1726" s="390">
        <f>SUM(Y1727:Y1728)</f>
        <v>185.39</v>
      </c>
      <c r="Z1726" s="391">
        <f>AA1726-Y1726</f>
        <v>-11.489999999999981</v>
      </c>
      <c r="AA1726" s="392">
        <f>Потребление!I104</f>
        <v>173.9</v>
      </c>
      <c r="AB1726" s="390">
        <f>SUM(AB1727:AB1728)</f>
        <v>176.89</v>
      </c>
      <c r="AC1726" s="391">
        <f>AD1726-AB1726</f>
        <v>-0.48999999999998067</v>
      </c>
      <c r="AD1726" s="392">
        <f>Потребление!J104</f>
        <v>176.4</v>
      </c>
      <c r="AE1726" s="390">
        <f>SUM(AE1727:AE1728)</f>
        <v>185.72999999999996</v>
      </c>
      <c r="AF1726" s="391">
        <f>AG1726-AE1726</f>
        <v>-7.129999999999967</v>
      </c>
      <c r="AG1726" s="392">
        <f>Потребление!K104</f>
        <v>178.6</v>
      </c>
      <c r="AH1726" s="390">
        <f>SUM(AH1727:AH1728)</f>
        <v>222.06</v>
      </c>
      <c r="AI1726" s="391">
        <f>AJ1726-AH1726</f>
        <v>-7.460000000000008</v>
      </c>
      <c r="AJ1726" s="392">
        <f>Потребление!L104</f>
        <v>214.6</v>
      </c>
      <c r="AK1726" s="390">
        <f>SUM(AK1727:AK1728)</f>
        <v>301.29000000000002</v>
      </c>
      <c r="AL1726" s="391">
        <f>AM1726-AK1726</f>
        <v>-16.29000000000002</v>
      </c>
      <c r="AM1726" s="392">
        <f>Потребление!M104</f>
        <v>285</v>
      </c>
      <c r="AN1726" s="390">
        <f>SUM(AN1727:AN1728)</f>
        <v>383.28999999999996</v>
      </c>
      <c r="AO1726" s="391">
        <f>AP1726-AN1726</f>
        <v>-13.889999999999986</v>
      </c>
      <c r="AP1726" s="392">
        <f>Потребление!N104</f>
        <v>369.4</v>
      </c>
      <c r="AQ1726" s="390">
        <f>SUM(AQ1727:AQ1728)</f>
        <v>422.39</v>
      </c>
      <c r="AR1726" s="391">
        <f>AS1726-AQ1726</f>
        <v>-2.6899999999999977</v>
      </c>
      <c r="AS1726" s="392">
        <f>Потребление!O104</f>
        <v>419.7</v>
      </c>
      <c r="AT1726" s="390">
        <f>SUM(AT1727:AT1728)</f>
        <v>3174.81</v>
      </c>
      <c r="AU1726" s="391">
        <f>AV1726-AT1726</f>
        <v>267.6899999999996</v>
      </c>
      <c r="AV1726" s="394">
        <f>L1726+O1726+R1726+U1726+X1726+AA1726+AD1726+AG1726+AJ1726+AM1726+AP1726+AS1726</f>
        <v>3442.4999999999995</v>
      </c>
      <c r="AW1726" s="395"/>
      <c r="AX1726" s="1067">
        <v>3225.5030729999999</v>
      </c>
      <c r="AY1726" s="444">
        <f>SUM(AY1727:AY1728)</f>
        <v>3453.2435140000002</v>
      </c>
      <c r="AZ1726" s="261"/>
      <c r="BA1726" s="261">
        <f>AX1726-AY1726</f>
        <v>-227.74044100000037</v>
      </c>
      <c r="BB1726" s="261" t="s">
        <v>1260</v>
      </c>
      <c r="BC1726" s="261"/>
    </row>
    <row r="1727" spans="1:55">
      <c r="A1727"/>
      <c r="B1727" s="179"/>
      <c r="C1727" s="179"/>
      <c r="D1727" s="181"/>
      <c r="E1727" s="181"/>
      <c r="F1727" s="181"/>
      <c r="G1727" s="181"/>
      <c r="H1727" s="10" t="s">
        <v>56</v>
      </c>
      <c r="I1727" s="10"/>
      <c r="J1727" s="223">
        <f>J1731</f>
        <v>0</v>
      </c>
      <c r="K1727" s="271"/>
      <c r="L1727" s="224"/>
      <c r="M1727" s="223">
        <f>M1731</f>
        <v>0.03</v>
      </c>
      <c r="N1727" s="271"/>
      <c r="O1727" s="224"/>
      <c r="P1727" s="223">
        <f>P1731</f>
        <v>1.39</v>
      </c>
      <c r="Q1727" s="271"/>
      <c r="R1727" s="224"/>
      <c r="S1727" s="223">
        <f>S1731</f>
        <v>1.38</v>
      </c>
      <c r="T1727" s="271"/>
      <c r="U1727" s="224"/>
      <c r="V1727" s="223">
        <f>V1731</f>
        <v>0</v>
      </c>
      <c r="W1727" s="271"/>
      <c r="X1727" s="224"/>
      <c r="Y1727" s="223">
        <f>Y1731</f>
        <v>0.01</v>
      </c>
      <c r="Z1727" s="271"/>
      <c r="AA1727" s="224"/>
      <c r="AB1727" s="223">
        <f>AB1731</f>
        <v>0.01</v>
      </c>
      <c r="AC1727" s="271"/>
      <c r="AD1727" s="224"/>
      <c r="AE1727" s="223">
        <f>AE1731</f>
        <v>0.45</v>
      </c>
      <c r="AF1727" s="271"/>
      <c r="AG1727" s="224"/>
      <c r="AH1727" s="223">
        <f>AH1731</f>
        <v>0.18</v>
      </c>
      <c r="AI1727" s="271"/>
      <c r="AJ1727" s="224"/>
      <c r="AK1727" s="223">
        <f>AK1731</f>
        <v>0.42</v>
      </c>
      <c r="AL1727" s="271"/>
      <c r="AM1727" s="224"/>
      <c r="AN1727" s="223">
        <f>AN1731</f>
        <v>0.03</v>
      </c>
      <c r="AO1727" s="271"/>
      <c r="AP1727" s="224"/>
      <c r="AQ1727" s="223">
        <f>AQ1731</f>
        <v>0.04</v>
      </c>
      <c r="AR1727" s="271"/>
      <c r="AS1727" s="224"/>
      <c r="AT1727" s="223">
        <f>AT1731</f>
        <v>3.9399999999999995</v>
      </c>
      <c r="AU1727" s="271"/>
      <c r="AV1727" s="229"/>
      <c r="AW1727" s="418"/>
      <c r="AX1727" s="230"/>
      <c r="AY1727" s="231">
        <f>SUM(AY1731:AY1731)</f>
        <v>1.7589999999999999</v>
      </c>
      <c r="AZ1727" s="261"/>
      <c r="BA1727" s="261"/>
      <c r="BB1727" s="261"/>
      <c r="BC1727" s="261"/>
    </row>
    <row r="1728" spans="1:55">
      <c r="A1728"/>
      <c r="B1728" s="179"/>
      <c r="C1728" s="179"/>
      <c r="D1728" s="181"/>
      <c r="E1728" s="181"/>
      <c r="F1728" s="181"/>
      <c r="G1728" s="181"/>
      <c r="H1728" s="10" t="s">
        <v>55</v>
      </c>
      <c r="I1728" s="10"/>
      <c r="J1728" s="223">
        <f>SUM(J1729:J1730)</f>
        <v>0</v>
      </c>
      <c r="K1728" s="271"/>
      <c r="L1728" s="224"/>
      <c r="M1728" s="270">
        <f>SUM(M1729:M1730)</f>
        <v>388.05999999999995</v>
      </c>
      <c r="N1728" s="271"/>
      <c r="O1728" s="224"/>
      <c r="P1728" s="270">
        <f>SUM(P1729:P1730)</f>
        <v>358.26</v>
      </c>
      <c r="Q1728" s="271"/>
      <c r="R1728" s="224"/>
      <c r="S1728" s="270">
        <f>SUM(S1729:S1730)</f>
        <v>291.47000000000003</v>
      </c>
      <c r="T1728" s="271"/>
      <c r="U1728" s="224"/>
      <c r="V1728" s="270">
        <f>SUM(V1729:V1730)</f>
        <v>257.18</v>
      </c>
      <c r="W1728" s="271"/>
      <c r="X1728" s="224"/>
      <c r="Y1728" s="270">
        <f>SUM(Y1729:Y1730)</f>
        <v>185.38</v>
      </c>
      <c r="Z1728" s="271"/>
      <c r="AA1728" s="224"/>
      <c r="AB1728" s="270">
        <f>SUM(AB1729:AB1730)</f>
        <v>176.88</v>
      </c>
      <c r="AC1728" s="271"/>
      <c r="AD1728" s="224"/>
      <c r="AE1728" s="270">
        <f>SUM(AE1729:AE1730)</f>
        <v>185.27999999999997</v>
      </c>
      <c r="AF1728" s="271"/>
      <c r="AG1728" s="224"/>
      <c r="AH1728" s="270">
        <f>SUM(AH1729:AH1730)</f>
        <v>221.88</v>
      </c>
      <c r="AI1728" s="271"/>
      <c r="AJ1728" s="224"/>
      <c r="AK1728" s="270">
        <f>SUM(AK1729:AK1730)</f>
        <v>300.87</v>
      </c>
      <c r="AL1728" s="271"/>
      <c r="AM1728" s="224"/>
      <c r="AN1728" s="270">
        <f>SUM(AN1729:AN1730)</f>
        <v>383.26</v>
      </c>
      <c r="AO1728" s="271"/>
      <c r="AP1728" s="224"/>
      <c r="AQ1728" s="270">
        <f>SUM(AQ1729:AQ1730)</f>
        <v>422.34999999999997</v>
      </c>
      <c r="AR1728" s="271"/>
      <c r="AS1728" s="224"/>
      <c r="AT1728" s="270">
        <f>SUM(AT1729:AT1730)</f>
        <v>3170.87</v>
      </c>
      <c r="AU1728" s="271"/>
      <c r="AV1728" s="229"/>
      <c r="AW1728" s="418"/>
      <c r="AX1728" s="230"/>
      <c r="AY1728" s="231">
        <f>SUM(AY1729:AY1730)</f>
        <v>3451.4845140000002</v>
      </c>
      <c r="AZ1728" s="261"/>
      <c r="BA1728" s="261"/>
      <c r="BB1728" s="261"/>
      <c r="BC1728" s="261"/>
    </row>
    <row r="1729" spans="1:55">
      <c r="A1729"/>
      <c r="B1729" s="179"/>
      <c r="C1729" s="179"/>
      <c r="D1729" s="181">
        <v>362430</v>
      </c>
      <c r="E1729" s="181"/>
      <c r="F1729" s="181"/>
      <c r="G1729" s="1110"/>
      <c r="H1729" s="122" t="s">
        <v>502</v>
      </c>
      <c r="I1729" s="533" t="s">
        <v>365</v>
      </c>
      <c r="J1729" s="824">
        <v>0</v>
      </c>
      <c r="K1729" s="283"/>
      <c r="L1729" s="299"/>
      <c r="M1729" s="685">
        <f>ГЭС!D200</f>
        <v>286.20999999999998</v>
      </c>
      <c r="N1729" s="283"/>
      <c r="O1729" s="299"/>
      <c r="P1729" s="685">
        <f>ГЭС!E200</f>
        <v>262.01</v>
      </c>
      <c r="Q1729" s="283"/>
      <c r="R1729" s="299"/>
      <c r="S1729" s="685">
        <f>ГЭС!G200</f>
        <v>212.69</v>
      </c>
      <c r="T1729" s="283"/>
      <c r="U1729" s="299"/>
      <c r="V1729" s="685">
        <f>ГЭС!H200</f>
        <v>187.67</v>
      </c>
      <c r="W1729" s="283"/>
      <c r="X1729" s="299"/>
      <c r="Y1729" s="685">
        <f>ГЭС!I200</f>
        <v>135.28</v>
      </c>
      <c r="Z1729" s="283"/>
      <c r="AA1729" s="299"/>
      <c r="AB1729" s="685">
        <f>ГЭС!K200</f>
        <v>129.07</v>
      </c>
      <c r="AC1729" s="283"/>
      <c r="AD1729" s="299"/>
      <c r="AE1729" s="685">
        <f>ГЭС!L200</f>
        <v>135.19999999999999</v>
      </c>
      <c r="AF1729" s="283"/>
      <c r="AG1729" s="299"/>
      <c r="AH1729" s="685">
        <f>ГЭС!M200</f>
        <v>158.28</v>
      </c>
      <c r="AI1729" s="283"/>
      <c r="AJ1729" s="299"/>
      <c r="AK1729" s="685">
        <f>ГЭС!O200</f>
        <v>219.55</v>
      </c>
      <c r="AL1729" s="283"/>
      <c r="AM1729" s="299"/>
      <c r="AN1729" s="685">
        <f>ГЭС!P200</f>
        <v>281.77</v>
      </c>
      <c r="AO1729" s="283"/>
      <c r="AP1729" s="299"/>
      <c r="AQ1729" s="685">
        <f>ГЭС!Q200</f>
        <v>314.64999999999998</v>
      </c>
      <c r="AR1729" s="283"/>
      <c r="AS1729" s="299"/>
      <c r="AT1729" s="685">
        <f>J1729+M1729+P1729+S1729+V1729+Y1729+AB1729+AE1729+AH1729+AK1729+AN1729+AQ1729</f>
        <v>2322.38</v>
      </c>
      <c r="AU1729" s="419"/>
      <c r="AV1729" s="420"/>
      <c r="AW1729" s="418"/>
      <c r="AX1729" s="321"/>
      <c r="AY1729" s="435">
        <v>2708.11</v>
      </c>
      <c r="AZ1729" s="261"/>
      <c r="BA1729" s="261"/>
      <c r="BB1729" s="261"/>
      <c r="BC1729" s="261"/>
    </row>
    <row r="1730" spans="1:55">
      <c r="B1730" s="179"/>
      <c r="C1730" s="179"/>
      <c r="D1730" s="181">
        <v>362840</v>
      </c>
      <c r="E1730" s="181"/>
      <c r="F1730" s="181"/>
      <c r="G1730" s="1110"/>
      <c r="H1730" s="123" t="s">
        <v>282</v>
      </c>
      <c r="I1730" s="519" t="s">
        <v>365</v>
      </c>
      <c r="J1730" s="824">
        <v>0</v>
      </c>
      <c r="K1730" s="416"/>
      <c r="L1730" s="421"/>
      <c r="M1730" s="685">
        <f>ГЭС!D201</f>
        <v>101.85</v>
      </c>
      <c r="N1730" s="416"/>
      <c r="O1730" s="421"/>
      <c r="P1730" s="685">
        <f>ГЭС!E201</f>
        <v>96.25</v>
      </c>
      <c r="Q1730" s="246"/>
      <c r="R1730" s="282"/>
      <c r="S1730" s="685">
        <f>ГЭС!G201</f>
        <v>78.78</v>
      </c>
      <c r="T1730" s="246"/>
      <c r="U1730" s="282"/>
      <c r="V1730" s="685">
        <f>ГЭС!H201</f>
        <v>69.510000000000005</v>
      </c>
      <c r="W1730" s="416"/>
      <c r="X1730" s="421"/>
      <c r="Y1730" s="685">
        <f>ГЭС!I201</f>
        <v>50.1</v>
      </c>
      <c r="Z1730" s="416"/>
      <c r="AA1730" s="421"/>
      <c r="AB1730" s="685">
        <f>ГЭС!K201</f>
        <v>47.81</v>
      </c>
      <c r="AC1730" s="416"/>
      <c r="AD1730" s="421"/>
      <c r="AE1730" s="685">
        <f>ГЭС!L201</f>
        <v>50.08</v>
      </c>
      <c r="AF1730" s="416"/>
      <c r="AG1730" s="421"/>
      <c r="AH1730" s="685">
        <f>ГЭС!M201</f>
        <v>63.6</v>
      </c>
      <c r="AI1730" s="416"/>
      <c r="AJ1730" s="421"/>
      <c r="AK1730" s="685">
        <f>ГЭС!O201</f>
        <v>81.319999999999993</v>
      </c>
      <c r="AL1730" s="416"/>
      <c r="AM1730" s="421"/>
      <c r="AN1730" s="685">
        <f>ГЭС!P201</f>
        <v>101.49</v>
      </c>
      <c r="AO1730" s="416"/>
      <c r="AP1730" s="421"/>
      <c r="AQ1730" s="685">
        <f>ГЭС!Q201</f>
        <v>107.7</v>
      </c>
      <c r="AR1730" s="416"/>
      <c r="AS1730" s="421"/>
      <c r="AT1730" s="685">
        <f>J1730+M1730+P1730+S1730+V1730+Y1730+AB1730+AE1730+AH1730+AK1730+AN1730+AQ1730</f>
        <v>848.49</v>
      </c>
      <c r="AU1730" s="246"/>
      <c r="AV1730" s="336"/>
      <c r="AW1730" s="285"/>
      <c r="AX1730" s="249"/>
      <c r="AY1730" s="438">
        <v>743.37451399999998</v>
      </c>
      <c r="AZ1730" s="261"/>
      <c r="BA1730" s="261"/>
      <c r="BB1730" s="261"/>
      <c r="BC1730" s="261"/>
    </row>
    <row r="1731" spans="1:55">
      <c r="B1731" s="179"/>
      <c r="C1731" s="179"/>
      <c r="D1731" s="181">
        <v>571</v>
      </c>
      <c r="E1731" s="181"/>
      <c r="F1731" s="181"/>
      <c r="G1731" s="1110"/>
      <c r="H1731" s="123" t="s">
        <v>1664</v>
      </c>
      <c r="I1731" s="519" t="s">
        <v>365</v>
      </c>
      <c r="J1731" s="281">
        <v>0</v>
      </c>
      <c r="K1731" s="416"/>
      <c r="L1731" s="421"/>
      <c r="M1731" s="244">
        <v>0.03</v>
      </c>
      <c r="N1731" s="416"/>
      <c r="O1731" s="421"/>
      <c r="P1731" s="244">
        <v>1.39</v>
      </c>
      <c r="Q1731" s="246"/>
      <c r="R1731" s="282"/>
      <c r="S1731" s="244">
        <v>1.38</v>
      </c>
      <c r="T1731" s="246"/>
      <c r="U1731" s="282"/>
      <c r="V1731" s="244">
        <v>0</v>
      </c>
      <c r="W1731" s="416"/>
      <c r="X1731" s="421"/>
      <c r="Y1731" s="244">
        <v>0.01</v>
      </c>
      <c r="Z1731" s="416"/>
      <c r="AA1731" s="421"/>
      <c r="AB1731" s="244">
        <v>0.01</v>
      </c>
      <c r="AC1731" s="416"/>
      <c r="AD1731" s="421"/>
      <c r="AE1731" s="244">
        <v>0.45</v>
      </c>
      <c r="AF1731" s="416"/>
      <c r="AG1731" s="421"/>
      <c r="AH1731" s="244">
        <v>0.18</v>
      </c>
      <c r="AI1731" s="416"/>
      <c r="AJ1731" s="421"/>
      <c r="AK1731" s="244">
        <v>0.42</v>
      </c>
      <c r="AL1731" s="416"/>
      <c r="AM1731" s="421"/>
      <c r="AN1731" s="244">
        <v>0.03</v>
      </c>
      <c r="AO1731" s="416"/>
      <c r="AP1731" s="421"/>
      <c r="AQ1731" s="244">
        <v>0.04</v>
      </c>
      <c r="AR1731" s="416"/>
      <c r="AS1731" s="421"/>
      <c r="AT1731" s="244">
        <f>J1731+M1731+P1731+S1731+V1731+Y1731+AB1731+AE1731+AH1731+AK1731+AN1731+AQ1731</f>
        <v>3.9399999999999995</v>
      </c>
      <c r="AU1731" s="246"/>
      <c r="AV1731" s="336"/>
      <c r="AW1731" s="285"/>
      <c r="AX1731" s="249"/>
      <c r="AY1731" s="438">
        <v>1.7589999999999999</v>
      </c>
      <c r="AZ1731" s="261"/>
      <c r="BA1731" s="261"/>
      <c r="BB1731" s="261"/>
      <c r="BC1731" s="261"/>
    </row>
    <row r="1732" spans="1:55" ht="16.5" thickBot="1">
      <c r="H1732" s="967"/>
      <c r="I1732" s="842"/>
      <c r="J1732" s="846"/>
      <c r="K1732" s="968"/>
      <c r="L1732" s="969"/>
      <c r="M1732" s="846"/>
      <c r="N1732" s="968"/>
      <c r="O1732" s="969"/>
      <c r="P1732" s="846"/>
      <c r="Q1732" s="844"/>
      <c r="R1732" s="845"/>
      <c r="S1732" s="846"/>
      <c r="T1732" s="844"/>
      <c r="U1732" s="845"/>
      <c r="V1732" s="846"/>
      <c r="W1732" s="968"/>
      <c r="X1732" s="969"/>
      <c r="Y1732" s="846"/>
      <c r="Z1732" s="968"/>
      <c r="AA1732" s="969"/>
      <c r="AB1732" s="846"/>
      <c r="AC1732" s="968"/>
      <c r="AD1732" s="969"/>
      <c r="AE1732" s="846"/>
      <c r="AF1732" s="968"/>
      <c r="AG1732" s="969"/>
      <c r="AH1732" s="846"/>
      <c r="AI1732" s="968"/>
      <c r="AJ1732" s="969"/>
      <c r="AK1732" s="846"/>
      <c r="AL1732" s="968"/>
      <c r="AM1732" s="969"/>
      <c r="AN1732" s="846"/>
      <c r="AO1732" s="968"/>
      <c r="AP1732" s="969"/>
      <c r="AQ1732" s="846"/>
      <c r="AR1732" s="968"/>
      <c r="AS1732" s="969"/>
      <c r="AT1732" s="846"/>
      <c r="AU1732" s="844"/>
      <c r="AV1732" s="970"/>
      <c r="AW1732" s="971"/>
      <c r="AX1732" s="972"/>
      <c r="AY1732" s="973"/>
    </row>
    <row r="1734" spans="1:55">
      <c r="A1734"/>
      <c r="B1734"/>
      <c r="H1734" s="150" t="s">
        <v>1650</v>
      </c>
      <c r="I1734" s="150"/>
      <c r="J1734" s="118"/>
      <c r="K1734" s="118"/>
      <c r="L1734" s="118"/>
      <c r="M1734" s="118"/>
      <c r="N1734" s="118"/>
      <c r="O1734" s="118"/>
      <c r="P1734" s="118"/>
      <c r="Q1734" s="118"/>
      <c r="R1734" s="118"/>
      <c r="S1734" s="118"/>
      <c r="T1734" s="118"/>
      <c r="U1734" s="118"/>
      <c r="V1734" s="118"/>
      <c r="W1734" s="118"/>
      <c r="X1734" s="118"/>
      <c r="Y1734" s="118"/>
      <c r="Z1734" s="118"/>
      <c r="AA1734" s="118"/>
      <c r="AB1734" s="118"/>
      <c r="AC1734" s="118"/>
      <c r="AD1734" s="118"/>
      <c r="AE1734" s="118"/>
      <c r="AF1734" s="118"/>
      <c r="AG1734" s="118"/>
      <c r="AH1734" s="118"/>
      <c r="AI1734" s="118"/>
      <c r="AJ1734" s="118"/>
      <c r="AK1734" s="118"/>
      <c r="AL1734" s="118"/>
      <c r="AM1734" s="118"/>
      <c r="AN1734" s="118"/>
      <c r="AO1734" s="118"/>
      <c r="AP1734" s="118"/>
      <c r="AQ1734" s="118"/>
      <c r="AR1734" s="118"/>
      <c r="AS1734" s="118"/>
      <c r="AT1734" s="118"/>
      <c r="AU1734" s="118"/>
      <c r="AV1734" s="118"/>
      <c r="AW1734" s="118"/>
      <c r="AX1734" s="118"/>
      <c r="AY1734" s="118"/>
    </row>
    <row r="1735" spans="1:55">
      <c r="A1735"/>
      <c r="B1735"/>
      <c r="H1735" s="150"/>
      <c r="I1735" s="150"/>
      <c r="J1735" s="118"/>
      <c r="K1735" s="118"/>
      <c r="L1735" s="118"/>
      <c r="M1735" s="118"/>
      <c r="N1735" s="118"/>
      <c r="O1735" s="118"/>
      <c r="P1735" s="118"/>
      <c r="Q1735" s="118"/>
      <c r="R1735" s="118"/>
      <c r="S1735" s="118"/>
      <c r="T1735" s="118"/>
      <c r="U1735" s="118"/>
      <c r="V1735" s="118"/>
      <c r="W1735" s="118"/>
      <c r="X1735" s="118"/>
      <c r="Y1735" s="118"/>
      <c r="Z1735" s="118"/>
      <c r="AA1735" s="118"/>
      <c r="AB1735" s="118"/>
      <c r="AC1735" s="118"/>
      <c r="AD1735" s="118"/>
      <c r="AE1735" s="118"/>
      <c r="AF1735" s="118"/>
      <c r="AG1735" s="118"/>
      <c r="AH1735" s="118"/>
      <c r="AI1735" s="118"/>
      <c r="AJ1735" s="118"/>
      <c r="AK1735" s="118"/>
      <c r="AL1735" s="118"/>
      <c r="AM1735" s="118"/>
      <c r="AN1735" s="118"/>
      <c r="AO1735" s="118"/>
      <c r="AP1735" s="118"/>
      <c r="AQ1735" s="118"/>
      <c r="AR1735" s="118"/>
      <c r="AS1735" s="118"/>
      <c r="AT1735" s="118"/>
      <c r="AU1735" s="118"/>
      <c r="AV1735" s="118"/>
      <c r="AW1735" s="118"/>
      <c r="AX1735" s="118"/>
      <c r="AY1735" s="118"/>
    </row>
    <row r="1736" spans="1:55">
      <c r="A1736"/>
      <c r="B1736"/>
      <c r="H1736" s="150"/>
      <c r="I1736" s="150"/>
      <c r="J1736" s="118"/>
      <c r="K1736" s="118"/>
      <c r="L1736" s="118"/>
      <c r="M1736" s="118"/>
      <c r="N1736" s="118"/>
      <c r="O1736" s="118"/>
      <c r="P1736" s="118"/>
      <c r="Q1736" s="118"/>
      <c r="R1736" s="118"/>
      <c r="S1736" s="118"/>
      <c r="T1736" s="118"/>
      <c r="U1736" s="118"/>
      <c r="V1736" s="118"/>
      <c r="W1736" s="118"/>
      <c r="X1736" s="118"/>
      <c r="Y1736" s="118"/>
      <c r="Z1736" s="118"/>
      <c r="AA1736" s="118"/>
      <c r="AB1736" s="118"/>
      <c r="AC1736" s="118"/>
      <c r="AD1736" s="118"/>
      <c r="AE1736" s="118"/>
      <c r="AF1736" s="118"/>
      <c r="AG1736" s="118"/>
      <c r="AH1736" s="118"/>
      <c r="AI1736" s="118"/>
      <c r="AJ1736" s="118"/>
      <c r="AK1736" s="118"/>
      <c r="AL1736" s="118"/>
      <c r="AM1736" s="118"/>
      <c r="AN1736" s="118"/>
      <c r="AO1736" s="118"/>
      <c r="AP1736" s="118"/>
      <c r="AQ1736" s="118"/>
      <c r="AR1736" s="118"/>
      <c r="AS1736" s="118"/>
      <c r="AT1736" s="118"/>
      <c r="AU1736" s="118"/>
      <c r="AV1736" s="118"/>
      <c r="AW1736" s="118"/>
      <c r="AX1736" s="118"/>
      <c r="AY1736" s="118"/>
    </row>
    <row r="1737" spans="1:55">
      <c r="A1737"/>
      <c r="B1737"/>
      <c r="H1737" s="150"/>
      <c r="I1737" s="150"/>
      <c r="J1737" s="118"/>
      <c r="K1737" s="118"/>
      <c r="L1737" s="118"/>
      <c r="M1737" s="118"/>
      <c r="N1737" s="118"/>
      <c r="O1737" s="118"/>
      <c r="P1737" s="118"/>
      <c r="Q1737" s="118"/>
      <c r="R1737" s="118"/>
      <c r="S1737" s="118"/>
      <c r="T1737" s="118"/>
      <c r="U1737" s="118"/>
      <c r="V1737" s="118"/>
      <c r="W1737" s="118"/>
      <c r="X1737" s="118"/>
      <c r="Y1737" s="118"/>
      <c r="Z1737" s="118"/>
      <c r="AA1737" s="118"/>
      <c r="AB1737" s="118"/>
      <c r="AC1737" s="118"/>
      <c r="AD1737" s="118"/>
      <c r="AE1737" s="118"/>
      <c r="AF1737" s="118"/>
      <c r="AG1737" s="118"/>
      <c r="AH1737" s="118"/>
      <c r="AI1737" s="118"/>
      <c r="AJ1737" s="118"/>
      <c r="AK1737" s="118"/>
      <c r="AL1737" s="118"/>
      <c r="AM1737" s="118"/>
      <c r="AN1737" s="118"/>
      <c r="AO1737" s="118"/>
      <c r="AP1737" s="118"/>
      <c r="AQ1737" s="118"/>
      <c r="AR1737" s="118"/>
      <c r="AS1737" s="118"/>
      <c r="AT1737" s="118"/>
      <c r="AU1737" s="118"/>
      <c r="AV1737" s="118"/>
      <c r="AW1737" s="118"/>
      <c r="AX1737" s="118"/>
      <c r="AY1737" s="118"/>
    </row>
    <row r="1738" spans="1:55">
      <c r="A1738"/>
      <c r="B1738"/>
      <c r="H1738" s="150"/>
      <c r="I1738" s="150"/>
      <c r="J1738" s="118"/>
      <c r="K1738" s="118"/>
      <c r="L1738" s="118"/>
      <c r="M1738" s="118"/>
      <c r="N1738" s="118"/>
      <c r="O1738" s="118"/>
      <c r="P1738" s="118"/>
      <c r="Q1738" s="118"/>
      <c r="R1738" s="118"/>
      <c r="S1738" s="118"/>
      <c r="T1738" s="118"/>
      <c r="U1738" s="118"/>
      <c r="V1738" s="118"/>
      <c r="W1738" s="118"/>
      <c r="X1738" s="118"/>
      <c r="Y1738" s="118"/>
      <c r="Z1738" s="118"/>
      <c r="AA1738" s="118"/>
      <c r="AB1738" s="118"/>
      <c r="AC1738" s="118"/>
      <c r="AD1738" s="118"/>
      <c r="AE1738" s="118"/>
      <c r="AF1738" s="118"/>
      <c r="AG1738" s="118"/>
      <c r="AH1738" s="118"/>
      <c r="AI1738" s="118"/>
      <c r="AJ1738" s="118"/>
      <c r="AK1738" s="118"/>
      <c r="AL1738" s="118"/>
      <c r="AM1738" s="118"/>
      <c r="AN1738" s="118"/>
      <c r="AO1738" s="118"/>
      <c r="AP1738" s="118"/>
      <c r="AQ1738" s="118"/>
      <c r="AR1738" s="118"/>
      <c r="AS1738" s="118"/>
      <c r="AT1738" s="118"/>
      <c r="AU1738" s="118"/>
      <c r="AV1738" s="118"/>
      <c r="AW1738" s="118"/>
      <c r="AX1738" s="118"/>
      <c r="AY1738" s="118"/>
    </row>
    <row r="1739" spans="1:55">
      <c r="A1739"/>
      <c r="B1739"/>
      <c r="H1739" s="150"/>
      <c r="I1739" s="150"/>
      <c r="J1739" s="118"/>
      <c r="K1739" s="118"/>
      <c r="L1739" s="118"/>
      <c r="M1739" s="118"/>
      <c r="N1739" s="118"/>
      <c r="O1739" s="118"/>
      <c r="P1739" s="118"/>
      <c r="Q1739" s="118"/>
      <c r="R1739" s="118"/>
      <c r="S1739" s="118"/>
      <c r="T1739" s="118"/>
      <c r="U1739" s="118"/>
      <c r="V1739" s="118"/>
      <c r="W1739" s="118"/>
      <c r="X1739" s="118"/>
      <c r="Y1739" s="118"/>
      <c r="Z1739" s="118"/>
      <c r="AA1739" s="118"/>
      <c r="AB1739" s="118"/>
      <c r="AC1739" s="118"/>
      <c r="AD1739" s="118"/>
      <c r="AE1739" s="118"/>
      <c r="AF1739" s="118"/>
      <c r="AG1739" s="118"/>
      <c r="AH1739" s="118"/>
      <c r="AI1739" s="118"/>
      <c r="AJ1739" s="118"/>
      <c r="AK1739" s="118"/>
      <c r="AL1739" s="118"/>
      <c r="AM1739" s="118"/>
      <c r="AN1739" s="118"/>
      <c r="AO1739" s="118"/>
      <c r="AP1739" s="118"/>
      <c r="AQ1739" s="118"/>
      <c r="AR1739" s="118"/>
      <c r="AS1739" s="118"/>
      <c r="AT1739" s="118"/>
      <c r="AU1739" s="118"/>
      <c r="AV1739" s="118"/>
      <c r="AW1739" s="118"/>
      <c r="AX1739" s="118"/>
      <c r="AY1739" s="118"/>
    </row>
    <row r="1740" spans="1:55">
      <c r="A1740"/>
      <c r="B1740"/>
      <c r="D1740" s="115"/>
      <c r="E1740" s="115"/>
      <c r="F1740" s="115"/>
      <c r="G1740" s="115"/>
      <c r="H1740" s="151"/>
      <c r="I1740" s="151"/>
      <c r="J1740" s="152"/>
      <c r="K1740" s="92"/>
      <c r="L1740" s="92"/>
      <c r="M1740" s="92"/>
      <c r="N1740" s="92"/>
      <c r="O1740" s="92"/>
      <c r="P1740" s="92"/>
      <c r="Q1740" s="92"/>
      <c r="R1740" s="92"/>
      <c r="S1740" s="92"/>
      <c r="T1740" s="92"/>
      <c r="U1740" s="92"/>
      <c r="V1740" s="92"/>
      <c r="W1740" s="92"/>
      <c r="X1740" s="92"/>
      <c r="Y1740" s="92"/>
      <c r="Z1740" s="92"/>
      <c r="AA1740" s="92"/>
      <c r="AB1740" s="92"/>
      <c r="AC1740" s="92"/>
      <c r="AD1740" s="92"/>
      <c r="AE1740" s="92"/>
      <c r="AF1740" s="92"/>
      <c r="AG1740" s="92"/>
      <c r="AH1740" s="92"/>
      <c r="AI1740" s="92"/>
      <c r="AJ1740" s="92"/>
      <c r="AK1740" s="92"/>
      <c r="AL1740" s="92"/>
      <c r="AM1740" s="92"/>
      <c r="AN1740" s="92"/>
      <c r="AO1740" s="92"/>
      <c r="AP1740" s="92"/>
      <c r="AQ1740" s="92"/>
      <c r="AR1740" s="92"/>
      <c r="AS1740" s="92"/>
      <c r="AT1740" s="92"/>
      <c r="AU1740" s="92"/>
      <c r="AV1740" s="92"/>
      <c r="AW1740" s="92"/>
      <c r="AX1740" s="92"/>
      <c r="AY1740" s="92"/>
    </row>
  </sheetData>
  <mergeCells count="18">
    <mergeCell ref="AY1436:AY1443"/>
    <mergeCell ref="AY1444:AY1445"/>
    <mergeCell ref="V11:X11"/>
    <mergeCell ref="Y11:AA11"/>
    <mergeCell ref="AB11:AD11"/>
    <mergeCell ref="AE11:AG11"/>
    <mergeCell ref="AT11:AV11"/>
    <mergeCell ref="AH11:AJ11"/>
    <mergeCell ref="AY1407:AY1429"/>
    <mergeCell ref="AK11:AM11"/>
    <mergeCell ref="AN11:AP11"/>
    <mergeCell ref="AQ11:AS11"/>
    <mergeCell ref="AY333:AY334"/>
    <mergeCell ref="H11:H12"/>
    <mergeCell ref="J11:L11"/>
    <mergeCell ref="M11:O11"/>
    <mergeCell ref="P11:R11"/>
    <mergeCell ref="S11:U11"/>
  </mergeCells>
  <phoneticPr fontId="0" type="noConversion"/>
  <conditionalFormatting sqref="L692:L693">
    <cfRule type="cellIs" dxfId="89" priority="66" stopIfTrue="1" operator="equal">
      <formula>0</formula>
    </cfRule>
  </conditionalFormatting>
  <conditionalFormatting sqref="O692:O693">
    <cfRule type="cellIs" dxfId="88" priority="65" stopIfTrue="1" operator="equal">
      <formula>0</formula>
    </cfRule>
  </conditionalFormatting>
  <conditionalFormatting sqref="R692:R693">
    <cfRule type="cellIs" dxfId="87" priority="64" stopIfTrue="1" operator="equal">
      <formula>0</formula>
    </cfRule>
  </conditionalFormatting>
  <conditionalFormatting sqref="U692:U693">
    <cfRule type="cellIs" dxfId="86" priority="63" stopIfTrue="1" operator="equal">
      <formula>0</formula>
    </cfRule>
  </conditionalFormatting>
  <conditionalFormatting sqref="X693">
    <cfRule type="cellIs" dxfId="85" priority="62" stopIfTrue="1" operator="equal">
      <formula>0</formula>
    </cfRule>
  </conditionalFormatting>
  <conditionalFormatting sqref="AA692:AA693">
    <cfRule type="cellIs" dxfId="84" priority="61" stopIfTrue="1" operator="equal">
      <formula>0</formula>
    </cfRule>
  </conditionalFormatting>
  <conditionalFormatting sqref="AD692:AD693">
    <cfRule type="cellIs" dxfId="83" priority="60" stopIfTrue="1" operator="equal">
      <formula>0</formula>
    </cfRule>
  </conditionalFormatting>
  <conditionalFormatting sqref="AG692:AG693">
    <cfRule type="cellIs" dxfId="82" priority="59" stopIfTrue="1" operator="equal">
      <formula>0</formula>
    </cfRule>
  </conditionalFormatting>
  <conditionalFormatting sqref="AJ693">
    <cfRule type="cellIs" dxfId="81" priority="58" stopIfTrue="1" operator="equal">
      <formula>0</formula>
    </cfRule>
  </conditionalFormatting>
  <conditionalFormatting sqref="U687 X687">
    <cfRule type="cellIs" dxfId="80" priority="67" stopIfTrue="1" operator="equal">
      <formula>0</formula>
    </cfRule>
  </conditionalFormatting>
  <conditionalFormatting sqref="AM692:AM693">
    <cfRule type="cellIs" dxfId="79" priority="57" stopIfTrue="1" operator="equal">
      <formula>0</formula>
    </cfRule>
  </conditionalFormatting>
  <conditionalFormatting sqref="AP692:AP693">
    <cfRule type="cellIs" dxfId="78" priority="56" stopIfTrue="1" operator="equal">
      <formula>0</formula>
    </cfRule>
  </conditionalFormatting>
  <conditionalFormatting sqref="L695">
    <cfRule type="cellIs" dxfId="77" priority="55" stopIfTrue="1" operator="equal">
      <formula>0</formula>
    </cfRule>
  </conditionalFormatting>
  <conditionalFormatting sqref="O696">
    <cfRule type="cellIs" dxfId="76" priority="54" stopIfTrue="1" operator="equal">
      <formula>0</formula>
    </cfRule>
  </conditionalFormatting>
  <conditionalFormatting sqref="X695">
    <cfRule type="cellIs" dxfId="75" priority="53" stopIfTrue="1" operator="equal">
      <formula>0</formula>
    </cfRule>
  </conditionalFormatting>
  <conditionalFormatting sqref="AA696">
    <cfRule type="cellIs" dxfId="74" priority="52" stopIfTrue="1" operator="equal">
      <formula>0</formula>
    </cfRule>
  </conditionalFormatting>
  <conditionalFormatting sqref="AD695:AD696">
    <cfRule type="cellIs" dxfId="73" priority="51" stopIfTrue="1" operator="equal">
      <formula>0</formula>
    </cfRule>
  </conditionalFormatting>
  <conditionalFormatting sqref="AG696">
    <cfRule type="cellIs" dxfId="72" priority="50" stopIfTrue="1" operator="equal">
      <formula>0</formula>
    </cfRule>
  </conditionalFormatting>
  <conditionalFormatting sqref="AJ695:AJ696">
    <cfRule type="cellIs" dxfId="71" priority="49" stopIfTrue="1" operator="equal">
      <formula>0</formula>
    </cfRule>
  </conditionalFormatting>
  <conditionalFormatting sqref="AM695">
    <cfRule type="cellIs" dxfId="70" priority="48" stopIfTrue="1" operator="equal">
      <formula>0</formula>
    </cfRule>
  </conditionalFormatting>
  <conditionalFormatting sqref="R695:R696 U695:U696">
    <cfRule type="cellIs" dxfId="69" priority="47" stopIfTrue="1" operator="equal">
      <formula>0</formula>
    </cfRule>
  </conditionalFormatting>
  <conditionalFormatting sqref="L697">
    <cfRule type="cellIs" dxfId="68" priority="46" stopIfTrue="1" operator="equal">
      <formula>0</formula>
    </cfRule>
  </conditionalFormatting>
  <conditionalFormatting sqref="O697">
    <cfRule type="cellIs" dxfId="67" priority="45" stopIfTrue="1" operator="equal">
      <formula>0</formula>
    </cfRule>
  </conditionalFormatting>
  <conditionalFormatting sqref="R697">
    <cfRule type="cellIs" dxfId="66" priority="44" stopIfTrue="1" operator="equal">
      <formula>0</formula>
    </cfRule>
  </conditionalFormatting>
  <conditionalFormatting sqref="U697">
    <cfRule type="cellIs" dxfId="65" priority="43" stopIfTrue="1" operator="equal">
      <formula>0</formula>
    </cfRule>
  </conditionalFormatting>
  <conditionalFormatting sqref="X697">
    <cfRule type="cellIs" dxfId="64" priority="42" stopIfTrue="1" operator="equal">
      <formula>0</formula>
    </cfRule>
  </conditionalFormatting>
  <conditionalFormatting sqref="AD697">
    <cfRule type="cellIs" dxfId="63" priority="41" stopIfTrue="1" operator="equal">
      <formula>0</formula>
    </cfRule>
  </conditionalFormatting>
  <conditionalFormatting sqref="AG697">
    <cfRule type="cellIs" dxfId="62" priority="40" stopIfTrue="1" operator="equal">
      <formula>0</formula>
    </cfRule>
  </conditionalFormatting>
  <conditionalFormatting sqref="AJ697">
    <cfRule type="cellIs" dxfId="61" priority="39" stopIfTrue="1" operator="equal">
      <formula>0</formula>
    </cfRule>
  </conditionalFormatting>
  <conditionalFormatting sqref="AM697">
    <cfRule type="cellIs" dxfId="60" priority="38" stopIfTrue="1" operator="equal">
      <formula>0</formula>
    </cfRule>
  </conditionalFormatting>
  <conditionalFormatting sqref="AP697">
    <cfRule type="cellIs" dxfId="59" priority="37" stopIfTrue="1" operator="equal">
      <formula>0</formula>
    </cfRule>
  </conditionalFormatting>
  <conditionalFormatting sqref="L699">
    <cfRule type="cellIs" dxfId="58" priority="36" stopIfTrue="1" operator="equal">
      <formula>0</formula>
    </cfRule>
  </conditionalFormatting>
  <conditionalFormatting sqref="O699">
    <cfRule type="cellIs" dxfId="57" priority="35" stopIfTrue="1" operator="equal">
      <formula>0</formula>
    </cfRule>
  </conditionalFormatting>
  <conditionalFormatting sqref="O687:O688">
    <cfRule type="cellIs" dxfId="56" priority="76" stopIfTrue="1" operator="equal">
      <formula>0</formula>
    </cfRule>
  </conditionalFormatting>
  <conditionalFormatting sqref="R687:R688">
    <cfRule type="cellIs" dxfId="55" priority="75" stopIfTrue="1" operator="equal">
      <formula>0</formula>
    </cfRule>
  </conditionalFormatting>
  <conditionalFormatting sqref="U688">
    <cfRule type="cellIs" dxfId="54" priority="74" stopIfTrue="1" operator="equal">
      <formula>0</formula>
    </cfRule>
  </conditionalFormatting>
  <conditionalFormatting sqref="X688">
    <cfRule type="cellIs" dxfId="53" priority="73" stopIfTrue="1" operator="equal">
      <formula>0</formula>
    </cfRule>
  </conditionalFormatting>
  <conditionalFormatting sqref="AA687:AA688">
    <cfRule type="cellIs" dxfId="52" priority="72" stopIfTrue="1" operator="equal">
      <formula>0</formula>
    </cfRule>
  </conditionalFormatting>
  <conditionalFormatting sqref="AD687:AD688">
    <cfRule type="cellIs" dxfId="51" priority="71" stopIfTrue="1" operator="equal">
      <formula>0</formula>
    </cfRule>
  </conditionalFormatting>
  <conditionalFormatting sqref="AG687">
    <cfRule type="cellIs" dxfId="50" priority="70" stopIfTrue="1" operator="equal">
      <formula>0</formula>
    </cfRule>
  </conditionalFormatting>
  <conditionalFormatting sqref="AJ688">
    <cfRule type="cellIs" dxfId="49" priority="69" stopIfTrue="1" operator="equal">
      <formula>0</formula>
    </cfRule>
  </conditionalFormatting>
  <conditionalFormatting sqref="AP687:AP688">
    <cfRule type="cellIs" dxfId="48" priority="68" stopIfTrue="1" operator="equal">
      <formula>0</formula>
    </cfRule>
  </conditionalFormatting>
  <conditionalFormatting sqref="AD698:AD699">
    <cfRule type="cellIs" dxfId="47" priority="30" stopIfTrue="1" operator="equal">
      <formula>0</formula>
    </cfRule>
  </conditionalFormatting>
  <conditionalFormatting sqref="R698:R699">
    <cfRule type="cellIs" dxfId="46" priority="34" stopIfTrue="1" operator="equal">
      <formula>0</formula>
    </cfRule>
  </conditionalFormatting>
  <conditionalFormatting sqref="U698:U699">
    <cfRule type="cellIs" dxfId="45" priority="33" stopIfTrue="1" operator="equal">
      <formula>0</formula>
    </cfRule>
  </conditionalFormatting>
  <conditionalFormatting sqref="X698:X699">
    <cfRule type="cellIs" dxfId="44" priority="32" stopIfTrue="1" operator="equal">
      <formula>0</formula>
    </cfRule>
  </conditionalFormatting>
  <conditionalFormatting sqref="AA698:AA699">
    <cfRule type="cellIs" dxfId="43" priority="31" stopIfTrue="1" operator="equal">
      <formula>0</formula>
    </cfRule>
  </conditionalFormatting>
  <conditionalFormatting sqref="AG699">
    <cfRule type="cellIs" dxfId="42" priority="29" stopIfTrue="1" operator="equal">
      <formula>0</formula>
    </cfRule>
  </conditionalFormatting>
  <conditionalFormatting sqref="AJ698:AJ699">
    <cfRule type="cellIs" dxfId="41" priority="28" stopIfTrue="1" operator="equal">
      <formula>0</formula>
    </cfRule>
  </conditionalFormatting>
  <conditionalFormatting sqref="AM699">
    <cfRule type="cellIs" dxfId="40" priority="27" stopIfTrue="1" operator="equal">
      <formula>0</formula>
    </cfRule>
  </conditionalFormatting>
  <conditionalFormatting sqref="AP699">
    <cfRule type="cellIs" dxfId="39" priority="26" stopIfTrue="1" operator="equal">
      <formula>0</formula>
    </cfRule>
  </conditionalFormatting>
  <conditionalFormatting sqref="L701">
    <cfRule type="cellIs" dxfId="38" priority="25" stopIfTrue="1" operator="equal">
      <formula>0</formula>
    </cfRule>
  </conditionalFormatting>
  <conditionalFormatting sqref="O701">
    <cfRule type="cellIs" dxfId="37" priority="24" stopIfTrue="1" operator="equal">
      <formula>0</formula>
    </cfRule>
  </conditionalFormatting>
  <conditionalFormatting sqref="R701:R702">
    <cfRule type="cellIs" dxfId="36" priority="23" stopIfTrue="1" operator="equal">
      <formula>0</formula>
    </cfRule>
  </conditionalFormatting>
  <conditionalFormatting sqref="U701">
    <cfRule type="cellIs" dxfId="35" priority="22" stopIfTrue="1" operator="equal">
      <formula>0</formula>
    </cfRule>
  </conditionalFormatting>
  <conditionalFormatting sqref="X702">
    <cfRule type="cellIs" dxfId="34" priority="21" stopIfTrue="1" operator="equal">
      <formula>0</formula>
    </cfRule>
  </conditionalFormatting>
  <conditionalFormatting sqref="AD701:AD702">
    <cfRule type="cellIs" dxfId="33" priority="20" stopIfTrue="1" operator="equal">
      <formula>0</formula>
    </cfRule>
  </conditionalFormatting>
  <conditionalFormatting sqref="AG702">
    <cfRule type="cellIs" dxfId="32" priority="19" stopIfTrue="1" operator="equal">
      <formula>0</formula>
    </cfRule>
  </conditionalFormatting>
  <conditionalFormatting sqref="L702 O702">
    <cfRule type="cellIs" dxfId="31" priority="13" stopIfTrue="1" operator="equal">
      <formula>0</formula>
    </cfRule>
  </conditionalFormatting>
  <conditionalFormatting sqref="AM701">
    <cfRule type="cellIs" dxfId="30" priority="18" stopIfTrue="1" operator="equal">
      <formula>0</formula>
    </cfRule>
  </conditionalFormatting>
  <conditionalFormatting sqref="AP701">
    <cfRule type="cellIs" dxfId="29" priority="17" stopIfTrue="1" operator="equal">
      <formula>0</formula>
    </cfRule>
  </conditionalFormatting>
  <conditionalFormatting sqref="AA697">
    <cfRule type="cellIs" dxfId="28" priority="16" stopIfTrue="1" operator="equal">
      <formula>0</formula>
    </cfRule>
  </conditionalFormatting>
  <conditionalFormatting sqref="R700 U700 X700 AA700 AD700 AG700 AJ700 AM700 AP700">
    <cfRule type="cellIs" dxfId="27" priority="15" stopIfTrue="1" operator="equal">
      <formula>0</formula>
    </cfRule>
  </conditionalFormatting>
  <conditionalFormatting sqref="L700 O700">
    <cfRule type="cellIs" dxfId="26" priority="14" stopIfTrue="1" operator="equal">
      <formula>0</formula>
    </cfRule>
  </conditionalFormatting>
  <conditionalFormatting sqref="AJ702 AM702 AP702">
    <cfRule type="cellIs" dxfId="25" priority="12" stopIfTrue="1" operator="equal">
      <formula>0</formula>
    </cfRule>
  </conditionalFormatting>
  <conditionalFormatting sqref="AJ703 AM703 AP703">
    <cfRule type="cellIs" dxfId="24" priority="11" stopIfTrue="1" operator="equal">
      <formula>0</formula>
    </cfRule>
  </conditionalFormatting>
  <conditionalFormatting sqref="L703 O703 R703 U703">
    <cfRule type="cellIs" dxfId="23" priority="10" stopIfTrue="1" operator="equal">
      <formula>0</formula>
    </cfRule>
  </conditionalFormatting>
  <conditionalFormatting sqref="AA703">
    <cfRule type="cellIs" dxfId="22" priority="9" stopIfTrue="1" operator="equal">
      <formula>0</formula>
    </cfRule>
  </conditionalFormatting>
  <conditionalFormatting sqref="AP704">
    <cfRule type="cellIs" dxfId="21" priority="8" stopIfTrue="1" operator="equal">
      <formula>0</formula>
    </cfRule>
  </conditionalFormatting>
  <conditionalFormatting sqref="AJ704">
    <cfRule type="cellIs" dxfId="20" priority="7" stopIfTrue="1" operator="equal">
      <formula>0</formula>
    </cfRule>
  </conditionalFormatting>
  <conditionalFormatting sqref="L704 O704">
    <cfRule type="cellIs" dxfId="19" priority="6" stopIfTrue="1" operator="equal">
      <formula>0</formula>
    </cfRule>
  </conditionalFormatting>
  <conditionalFormatting sqref="L705 O705">
    <cfRule type="cellIs" dxfId="18" priority="5" stopIfTrue="1" operator="equal">
      <formula>0</formula>
    </cfRule>
  </conditionalFormatting>
  <conditionalFormatting sqref="L735 O735">
    <cfRule type="cellIs" dxfId="17" priority="1" stopIfTrue="1" operator="equal">
      <formula>0</formula>
    </cfRule>
  </conditionalFormatting>
  <conditionalFormatting sqref="L733">
    <cfRule type="cellIs" dxfId="16" priority="4" stopIfTrue="1" operator="equal">
      <formula>0</formula>
    </cfRule>
  </conditionalFormatting>
  <conditionalFormatting sqref="R733 U733 X733 AA733 AD733 AG733 AJ733">
    <cfRule type="cellIs" dxfId="15" priority="3" stopIfTrue="1" operator="equal">
      <formula>0</formula>
    </cfRule>
  </conditionalFormatting>
  <conditionalFormatting sqref="AP733">
    <cfRule type="cellIs" dxfId="14" priority="2" stopIfTrue="1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22" fitToHeight="20" orientation="landscape" r:id="rId1"/>
  <rowBreaks count="8" manualBreakCount="8">
    <brk id="150" min="5" max="51" man="1"/>
    <brk id="286" min="5" max="51" man="1"/>
    <brk id="425" min="5" max="51" man="1"/>
    <brk id="565" min="5" max="51" man="1"/>
    <brk id="837" min="5" max="51" man="1"/>
    <brk id="973" min="5" max="51" man="1"/>
    <brk id="1246" min="5" max="51" man="1"/>
    <brk id="1653" min="5" max="51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61"/>
  <sheetViews>
    <sheetView zoomScale="80" zoomScaleNormal="80" workbookViewId="0">
      <pane xSplit="2" ySplit="12" topLeftCell="C1006" activePane="bottomRight" state="frozen"/>
      <selection pane="topRight" activeCell="C1" sqref="C1"/>
      <selection pane="bottomLeft" activeCell="A13" sqref="A13"/>
      <selection pane="bottomRight" activeCell="P3" sqref="P3:R3"/>
    </sheetView>
  </sheetViews>
  <sheetFormatPr defaultRowHeight="15.75"/>
  <cols>
    <col min="1" max="1" width="5.33203125" customWidth="1"/>
    <col min="2" max="2" width="132.1640625" style="120" customWidth="1"/>
    <col min="3" max="3" width="7.1640625" style="120" customWidth="1"/>
    <col min="4" max="4" width="15.1640625" style="2" customWidth="1"/>
    <col min="5" max="5" width="12.33203125" customWidth="1"/>
    <col min="6" max="6" width="12.6640625" customWidth="1"/>
    <col min="7" max="7" width="14.5" customWidth="1"/>
    <col min="8" max="8" width="12.1640625" customWidth="1"/>
    <col min="9" max="9" width="13.1640625" customWidth="1"/>
    <col min="10" max="10" width="14.83203125" customWidth="1"/>
    <col min="11" max="11" width="12" customWidth="1"/>
    <col min="12" max="12" width="13.83203125" customWidth="1"/>
    <col min="13" max="13" width="14.6640625" customWidth="1"/>
    <col min="14" max="14" width="11.83203125" customWidth="1"/>
    <col min="15" max="15" width="13" customWidth="1"/>
    <col min="16" max="16" width="14.33203125" customWidth="1"/>
    <col min="17" max="17" width="14" customWidth="1"/>
    <col min="18" max="18" width="14.1640625" customWidth="1"/>
    <col min="19" max="19" width="12.6640625" customWidth="1"/>
    <col min="20" max="20" width="14.1640625" customWidth="1"/>
    <col min="21" max="21" width="13.5" customWidth="1"/>
  </cols>
  <sheetData>
    <row r="1" spans="2:20" ht="20.25">
      <c r="B1" s="1250" t="s">
        <v>1663</v>
      </c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</row>
    <row r="2" spans="2:20" ht="16.5" thickBot="1">
      <c r="G2" s="2"/>
      <c r="J2" s="2"/>
      <c r="M2" s="2"/>
      <c r="R2" s="1" t="s">
        <v>28</v>
      </c>
    </row>
    <row r="3" spans="2:20" ht="19.5" thickBot="1">
      <c r="B3" s="1239" t="s">
        <v>344</v>
      </c>
      <c r="C3" s="480"/>
      <c r="D3" s="1241" t="s">
        <v>767</v>
      </c>
      <c r="E3" s="1241"/>
      <c r="F3" s="1242"/>
      <c r="G3" s="1241" t="s">
        <v>833</v>
      </c>
      <c r="H3" s="1241"/>
      <c r="I3" s="1242"/>
      <c r="J3" s="1241" t="s">
        <v>834</v>
      </c>
      <c r="K3" s="1241"/>
      <c r="L3" s="1242"/>
      <c r="M3" s="1241" t="s">
        <v>836</v>
      </c>
      <c r="N3" s="1243"/>
      <c r="O3" s="1244"/>
      <c r="P3" s="1248">
        <v>2021</v>
      </c>
      <c r="Q3" s="1243"/>
      <c r="R3" s="1244"/>
    </row>
    <row r="4" spans="2:20" s="4" customFormat="1" ht="15" customHeight="1" thickBot="1">
      <c r="B4" s="1240"/>
      <c r="C4" s="481"/>
      <c r="D4" s="93" t="s">
        <v>29</v>
      </c>
      <c r="E4" s="93" t="s">
        <v>30</v>
      </c>
      <c r="F4" s="94" t="s">
        <v>31</v>
      </c>
      <c r="G4" s="93" t="s">
        <v>29</v>
      </c>
      <c r="H4" s="93" t="s">
        <v>30</v>
      </c>
      <c r="I4" s="94" t="s">
        <v>31</v>
      </c>
      <c r="J4" s="93" t="s">
        <v>29</v>
      </c>
      <c r="K4" s="93" t="s">
        <v>30</v>
      </c>
      <c r="L4" s="94" t="s">
        <v>31</v>
      </c>
      <c r="M4" s="93" t="s">
        <v>29</v>
      </c>
      <c r="N4" s="93" t="s">
        <v>30</v>
      </c>
      <c r="O4" s="94" t="s">
        <v>31</v>
      </c>
      <c r="P4" s="93" t="s">
        <v>29</v>
      </c>
      <c r="Q4" s="93" t="s">
        <v>30</v>
      </c>
      <c r="R4" s="94" t="s">
        <v>31</v>
      </c>
    </row>
    <row r="5" spans="2:20" s="4" customFormat="1" ht="15" customHeight="1">
      <c r="B5" s="466" t="s">
        <v>32</v>
      </c>
      <c r="C5" s="466"/>
      <c r="D5" s="263">
        <f>D74+D361+D529+D840+D1073+D1445+D1665</f>
        <v>296419.50949393958</v>
      </c>
      <c r="E5" s="223">
        <f>F5-D5</f>
        <v>1465.0901512262644</v>
      </c>
      <c r="F5" s="224">
        <f>F74+F361+F529+F840+F1073+F1445+F1665</f>
        <v>297884.59964516584</v>
      </c>
      <c r="G5" s="263">
        <f>G74+G361+G529+G840+G1073+G1445+G1665</f>
        <v>248932.61988885686</v>
      </c>
      <c r="H5" s="223">
        <f>I5-G5</f>
        <v>-2288.5127788244281</v>
      </c>
      <c r="I5" s="224">
        <f>I74+I361+I529+I840+I1073+I1445+I1665</f>
        <v>246644.10711003243</v>
      </c>
      <c r="J5" s="263">
        <f>J74+J361+J529+J840+J1073+J1445+J1665</f>
        <v>248255.64356916174</v>
      </c>
      <c r="K5" s="223">
        <f>L5-J5</f>
        <v>-5140.5093873619626</v>
      </c>
      <c r="L5" s="224">
        <f>L74+L361+L529+L840+L1073+L1445+L1665</f>
        <v>243115.13418179977</v>
      </c>
      <c r="M5" s="263">
        <f>M74+M361+M529+M840+M1073+M1445+M1665</f>
        <v>300974.4506526356</v>
      </c>
      <c r="N5" s="223">
        <f>O5-M5</f>
        <v>-5504.5155714806169</v>
      </c>
      <c r="O5" s="224">
        <f>O74+O361+O529+O840+O1073+O1445+O1665</f>
        <v>295469.93508115498</v>
      </c>
      <c r="P5" s="263">
        <f>P74+P361+P529+P840+P1073+P1445+P1665</f>
        <v>1094582.2236045937</v>
      </c>
      <c r="Q5" s="223">
        <f>R5-P5</f>
        <v>-11468.447586440714</v>
      </c>
      <c r="R5" s="224">
        <f>R74+R361+R529+R840+R1073+R1445+R1665</f>
        <v>1083113.7760181529</v>
      </c>
      <c r="S5" s="228"/>
      <c r="T5" s="228"/>
    </row>
    <row r="6" spans="2:20" s="4" customFormat="1" ht="15" customHeight="1">
      <c r="B6" s="467" t="s">
        <v>56</v>
      </c>
      <c r="C6" s="467"/>
      <c r="D6" s="223">
        <f>D75+D362+D530+D841+D1074+D1446+D1670</f>
        <v>186631.01501519443</v>
      </c>
      <c r="E6" s="223"/>
      <c r="F6" s="224"/>
      <c r="G6" s="223">
        <f>G75+G362+G530+G841+G1074+G1446+G1670</f>
        <v>133904.05605294486</v>
      </c>
      <c r="H6" s="223"/>
      <c r="I6" s="224"/>
      <c r="J6" s="223">
        <f>J75+J362+J530+J841+J1074+J1446+J1670</f>
        <v>134787.38332324443</v>
      </c>
      <c r="K6" s="223"/>
      <c r="L6" s="224"/>
      <c r="M6" s="223">
        <f>M75+M362+M530+M841+M1074+M1446+M1670</f>
        <v>181533.83076358991</v>
      </c>
      <c r="N6" s="223"/>
      <c r="O6" s="224"/>
      <c r="P6" s="223">
        <f>P75+P362+P530+P841+P1074+P1446+P1670</f>
        <v>636856.28515497362</v>
      </c>
      <c r="Q6" s="223"/>
      <c r="R6" s="224"/>
      <c r="S6" s="228"/>
      <c r="T6" s="228"/>
    </row>
    <row r="7" spans="2:20" s="4" customFormat="1" ht="15" customHeight="1">
      <c r="B7" s="467" t="s">
        <v>55</v>
      </c>
      <c r="C7" s="467"/>
      <c r="D7" s="223">
        <f>D76+D363+D531+D842+D1075+D1447+D1671</f>
        <v>38164.232282094861</v>
      </c>
      <c r="E7" s="223"/>
      <c r="F7" s="224"/>
      <c r="G7" s="223">
        <f>G76+G363+G531+G842+G1075+G1447+G1671</f>
        <v>48997.141997122744</v>
      </c>
      <c r="H7" s="223"/>
      <c r="I7" s="224"/>
      <c r="J7" s="223">
        <f>J76+J363+J531+J842+J1075+J1447+J1671</f>
        <v>48962.220680298647</v>
      </c>
      <c r="K7" s="223"/>
      <c r="L7" s="224"/>
      <c r="M7" s="223">
        <f>M76+M363+M531+M842+M1075+M1447+M1671</f>
        <v>43595.793772347206</v>
      </c>
      <c r="N7" s="223"/>
      <c r="O7" s="224"/>
      <c r="P7" s="223">
        <f>P76+P363+P531+P842+P1075+P1447+P1671</f>
        <v>179719.38873186347</v>
      </c>
      <c r="Q7" s="223"/>
      <c r="R7" s="224"/>
      <c r="S7" s="228"/>
      <c r="T7" s="228"/>
    </row>
    <row r="8" spans="2:20" s="4" customFormat="1" ht="15" customHeight="1">
      <c r="B8" s="467" t="s">
        <v>98</v>
      </c>
      <c r="C8" s="467"/>
      <c r="D8" s="223">
        <f>D77+D364+D532+D843+D1076</f>
        <v>52989.93</v>
      </c>
      <c r="E8" s="223"/>
      <c r="F8" s="224"/>
      <c r="G8" s="223">
        <f>G77+G364+G532+G843+G1076</f>
        <v>49312.84</v>
      </c>
      <c r="H8" s="223"/>
      <c r="I8" s="224"/>
      <c r="J8" s="223">
        <f>J77+J364+J532+J843+J1076</f>
        <v>47940.4</v>
      </c>
      <c r="K8" s="223"/>
      <c r="L8" s="224"/>
      <c r="M8" s="223">
        <f>M77+M364+M532+M843+M1076</f>
        <v>56575.83</v>
      </c>
      <c r="N8" s="223"/>
      <c r="O8" s="224"/>
      <c r="P8" s="223">
        <f>P77+P364+P532+P843+P1076</f>
        <v>206819</v>
      </c>
      <c r="Q8" s="223"/>
      <c r="R8" s="224"/>
      <c r="S8" s="228"/>
      <c r="T8" s="228"/>
    </row>
    <row r="9" spans="2:20" s="4" customFormat="1" ht="15" customHeight="1">
      <c r="B9" s="467" t="s">
        <v>346</v>
      </c>
      <c r="C9" s="467"/>
      <c r="D9" s="223">
        <f>D365+D533+D844+D1077</f>
        <v>471.50296966666667</v>
      </c>
      <c r="E9" s="223"/>
      <c r="F9" s="224"/>
      <c r="G9" s="223">
        <f>G365+G533+G844+G1077</f>
        <v>538.49092999999993</v>
      </c>
      <c r="H9" s="223"/>
      <c r="I9" s="224"/>
      <c r="J9" s="223">
        <f>J365+J533+J844+J1077</f>
        <v>417.85476266666672</v>
      </c>
      <c r="K9" s="223"/>
      <c r="L9" s="224"/>
      <c r="M9" s="223">
        <f>M365+M533+M844+M1077</f>
        <v>550.98052533333339</v>
      </c>
      <c r="N9" s="223"/>
      <c r="O9" s="224"/>
      <c r="P9" s="223">
        <f>P365+P533+P844+P1077</f>
        <v>1978.8291876666663</v>
      </c>
      <c r="Q9" s="223"/>
      <c r="R9" s="224"/>
      <c r="S9" s="228"/>
      <c r="T9" s="228"/>
    </row>
    <row r="10" spans="2:20" s="4" customFormat="1" ht="15" customHeight="1">
      <c r="B10" s="467" t="s">
        <v>347</v>
      </c>
      <c r="C10" s="467"/>
      <c r="D10" s="223">
        <f>D366+D534+D1078+D1448</f>
        <v>329.28946110833334</v>
      </c>
      <c r="E10" s="223"/>
      <c r="F10" s="224"/>
      <c r="G10" s="223">
        <f>G366+G534+G1078+G1448</f>
        <v>711.95241813209998</v>
      </c>
      <c r="H10" s="223"/>
      <c r="I10" s="224"/>
      <c r="J10" s="223">
        <f>J366+J534+J1078+J1448</f>
        <v>716.06082534036659</v>
      </c>
      <c r="K10" s="223"/>
      <c r="L10" s="224"/>
      <c r="M10" s="223">
        <f>M366+M534+M1078+M1448</f>
        <v>246.68169189704506</v>
      </c>
      <c r="N10" s="223"/>
      <c r="O10" s="224"/>
      <c r="P10" s="223">
        <f>P366+P534+P1078+P1448</f>
        <v>2003.9843964778452</v>
      </c>
      <c r="Q10" s="223"/>
      <c r="R10" s="224"/>
      <c r="S10" s="228"/>
      <c r="T10" s="228"/>
    </row>
    <row r="11" spans="2:20" s="4" customFormat="1" ht="15" customHeight="1" thickBot="1">
      <c r="B11" s="468" t="s">
        <v>99</v>
      </c>
      <c r="C11" s="468"/>
      <c r="D11" s="232">
        <f>D78+D367+D535+D845+D1079+D1449</f>
        <v>17833.539765875328</v>
      </c>
      <c r="E11" s="232"/>
      <c r="F11" s="233"/>
      <c r="G11" s="232">
        <f>G78+G367+G535+G845+G1079+G1449</f>
        <v>15468.138490657175</v>
      </c>
      <c r="H11" s="232"/>
      <c r="I11" s="233"/>
      <c r="J11" s="232">
        <f>J78+J367+J535+J845+J1079+J1449</f>
        <v>15431.723977611628</v>
      </c>
      <c r="K11" s="232"/>
      <c r="L11" s="233"/>
      <c r="M11" s="232">
        <f>M78+M367+M535+M845+M1079+M1449</f>
        <v>18471.33389946806</v>
      </c>
      <c r="N11" s="399"/>
      <c r="O11" s="233"/>
      <c r="P11" s="232">
        <f>P78+P367+P535+P845+P1079+P1449</f>
        <v>67204.736133612198</v>
      </c>
      <c r="Q11" s="232"/>
      <c r="R11" s="233"/>
      <c r="S11" s="228"/>
      <c r="T11" s="228"/>
    </row>
    <row r="12" spans="2:20" s="4" customFormat="1" ht="15" customHeight="1">
      <c r="B12" s="8" t="s">
        <v>36</v>
      </c>
      <c r="C12" s="8"/>
      <c r="D12" s="238"/>
      <c r="E12" s="238">
        <f>E5-E13</f>
        <v>4698.5901512262644</v>
      </c>
      <c r="F12" s="239"/>
      <c r="G12" s="238"/>
      <c r="H12" s="238">
        <f>H5-H13</f>
        <v>-1.2778824428096414E-2</v>
      </c>
      <c r="I12" s="239"/>
      <c r="J12" s="238"/>
      <c r="K12" s="238">
        <f>K5-K13</f>
        <v>-9.3873619625810534E-3</v>
      </c>
      <c r="L12" s="239"/>
      <c r="M12" s="238"/>
      <c r="N12" s="238">
        <f>N5-N13</f>
        <v>-1.5571480616927147E-2</v>
      </c>
      <c r="O12" s="239"/>
      <c r="P12" s="238"/>
      <c r="Q12" s="238">
        <f>Q5-Q13</f>
        <v>4698.5524135592859</v>
      </c>
      <c r="R12" s="239"/>
      <c r="S12" s="228"/>
      <c r="T12" s="228"/>
    </row>
    <row r="13" spans="2:20" s="4" customFormat="1" ht="15" customHeight="1">
      <c r="B13" s="459" t="s">
        <v>33</v>
      </c>
      <c r="C13" s="459"/>
      <c r="D13" s="238"/>
      <c r="E13" s="238">
        <f>E14+E50</f>
        <v>-3233.5</v>
      </c>
      <c r="F13" s="239"/>
      <c r="G13" s="238"/>
      <c r="H13" s="238">
        <f>H14+H50</f>
        <v>-2288.5</v>
      </c>
      <c r="I13" s="239"/>
      <c r="J13" s="238"/>
      <c r="K13" s="238">
        <f>K14+K50</f>
        <v>-5140.5</v>
      </c>
      <c r="L13" s="239"/>
      <c r="M13" s="238"/>
      <c r="N13" s="238">
        <f>N14+N50</f>
        <v>-5504.5</v>
      </c>
      <c r="O13" s="239"/>
      <c r="P13" s="238"/>
      <c r="Q13" s="238">
        <f>Q14+Q50</f>
        <v>-16167</v>
      </c>
      <c r="R13" s="239"/>
      <c r="S13" s="228"/>
      <c r="T13" s="228"/>
    </row>
    <row r="14" spans="2:20" s="4" customFormat="1" ht="15" customHeight="1">
      <c r="B14" s="460" t="s">
        <v>34</v>
      </c>
      <c r="C14" s="460"/>
      <c r="D14" s="238"/>
      <c r="E14" s="238">
        <f>SUM(E15:E48)</f>
        <v>-6985.5</v>
      </c>
      <c r="F14" s="239"/>
      <c r="G14" s="238"/>
      <c r="H14" s="238">
        <f>SUM(H15:H48)</f>
        <v>-5596.5</v>
      </c>
      <c r="I14" s="239"/>
      <c r="J14" s="238"/>
      <c r="K14" s="238">
        <f>SUM(K15:K48)</f>
        <v>-7748.5</v>
      </c>
      <c r="L14" s="239"/>
      <c r="M14" s="238"/>
      <c r="N14" s="238">
        <f>SUM(N15:N48)</f>
        <v>-8081.5</v>
      </c>
      <c r="O14" s="239"/>
      <c r="P14" s="238"/>
      <c r="Q14" s="238">
        <f>SUM(Q15:Q48)</f>
        <v>-28412</v>
      </c>
      <c r="R14" s="239"/>
      <c r="S14" s="228"/>
      <c r="T14" s="228"/>
    </row>
    <row r="15" spans="2:20" s="4" customFormat="1" ht="15" customHeight="1">
      <c r="B15" s="458" t="str">
        <f>'корпоративный баланс энергии'!H23</f>
        <v>Финляндия (из энергосистемы г.Санкт-Петербург и Ленинградской области)</v>
      </c>
      <c r="C15" s="458"/>
      <c r="D15" s="244"/>
      <c r="E15" s="244">
        <f>'корпоративный баланс энергии'!K23+'корпоративный баланс энергии'!N23+'корпоративный баланс энергии'!Q23</f>
        <v>-2000</v>
      </c>
      <c r="F15" s="245"/>
      <c r="G15" s="244"/>
      <c r="H15" s="244">
        <f>'корпоративный баланс энергии'!T23+'корпоративный баланс энергии'!W23+'корпоративный баланс энергии'!Z23</f>
        <v>-1250</v>
      </c>
      <c r="I15" s="245"/>
      <c r="J15" s="244"/>
      <c r="K15" s="244">
        <f>'корпоративный баланс энергии'!AC23+'корпоративный баланс энергии'!AF23+'корпоративный баланс энергии'!AI23</f>
        <v>-1585</v>
      </c>
      <c r="L15" s="245"/>
      <c r="M15" s="244"/>
      <c r="N15" s="244">
        <f>'корпоративный баланс энергии'!AL23+'корпоративный баланс энергии'!AO23+'корпоративный баланс энергии'!AR23</f>
        <v>-2070</v>
      </c>
      <c r="O15" s="245"/>
      <c r="P15" s="244"/>
      <c r="Q15" s="244">
        <f>E15+H15+K15+N15</f>
        <v>-6905</v>
      </c>
      <c r="R15" s="245"/>
      <c r="S15" s="228"/>
      <c r="T15" s="228"/>
    </row>
    <row r="16" spans="2:20" s="4" customFormat="1" ht="15" customHeight="1">
      <c r="B16" s="461" t="str">
        <f>'корпоративный баланс энергии'!H24</f>
        <v>Финляндия (приграничная поставка из энергосистемы г.Санкт-Петербург и Ленинградской области)</v>
      </c>
      <c r="C16" s="461"/>
      <c r="D16" s="250"/>
      <c r="E16" s="250">
        <f>'корпоративный баланс энергии'!K24+'корпоративный баланс энергии'!N24+'корпоративный баланс энергии'!Q24</f>
        <v>-120</v>
      </c>
      <c r="F16" s="251"/>
      <c r="G16" s="250"/>
      <c r="H16" s="250">
        <f>'корпоративный баланс энергии'!T24+'корпоративный баланс энергии'!W24+'корпоративный баланс энергии'!Z24</f>
        <v>-70</v>
      </c>
      <c r="I16" s="251"/>
      <c r="J16" s="250"/>
      <c r="K16" s="250">
        <f>'корпоративный баланс энергии'!AC24+'корпоративный баланс энергии'!AF24+'корпоративный баланс энергии'!AI24</f>
        <v>-100</v>
      </c>
      <c r="L16" s="251"/>
      <c r="M16" s="250"/>
      <c r="N16" s="250">
        <f>'корпоративный баланс энергии'!AL24+'корпоративный баланс энергии'!AO24+'корпоративный баланс энергии'!AR24</f>
        <v>-125</v>
      </c>
      <c r="O16" s="251"/>
      <c r="P16" s="250"/>
      <c r="Q16" s="250">
        <f>E16+H16+K16+N16</f>
        <v>-415</v>
      </c>
      <c r="R16" s="251"/>
      <c r="S16" s="228"/>
      <c r="T16" s="228"/>
    </row>
    <row r="17" spans="2:20" s="4" customFormat="1" ht="15" customHeight="1">
      <c r="B17" s="461" t="str">
        <f>'корпоративный баланс энергии'!H25</f>
        <v>Финляндия (приграничная поставка из энергосистемы Мурманской области)</v>
      </c>
      <c r="C17" s="461"/>
      <c r="D17" s="250"/>
      <c r="E17" s="250">
        <f>'корпоративный баланс энергии'!K25+'корпоративный баланс энергии'!N25+'корпоративный баланс энергии'!Q25</f>
        <v>-160</v>
      </c>
      <c r="F17" s="251"/>
      <c r="G17" s="250"/>
      <c r="H17" s="250">
        <f>'корпоративный баланс энергии'!T25+'корпоративный баланс энергии'!W25+'корпоративный баланс энергии'!Z25</f>
        <v>-120</v>
      </c>
      <c r="I17" s="251"/>
      <c r="J17" s="250"/>
      <c r="K17" s="250">
        <f>'корпоративный баланс энергии'!AC25+'корпоративный баланс энергии'!AF25+'корпоративный баланс энергии'!AI25</f>
        <v>-135</v>
      </c>
      <c r="L17" s="251"/>
      <c r="M17" s="250"/>
      <c r="N17" s="250">
        <f>'корпоративный баланс энергии'!AL25+'корпоративный баланс энергии'!AO25+'корпоративный баланс энергии'!AR25</f>
        <v>-145</v>
      </c>
      <c r="O17" s="251"/>
      <c r="P17" s="250"/>
      <c r="Q17" s="250">
        <f t="shared" ref="Q17:Q33" si="0">E17+H17+K17+N17</f>
        <v>-560</v>
      </c>
      <c r="R17" s="251"/>
      <c r="S17" s="228"/>
      <c r="T17" s="228"/>
    </row>
    <row r="18" spans="2:20" s="4" customFormat="1" ht="15" customHeight="1">
      <c r="B18" s="461" t="str">
        <f>'корпоративный баланс энергии'!H26</f>
        <v>Норвегия (приграничная поставка из энергосистемы Мурманской области)</v>
      </c>
      <c r="C18" s="461"/>
      <c r="D18" s="250"/>
      <c r="E18" s="250">
        <f>'корпоративный баланс энергии'!K26+'корпоративный баланс энергии'!N26+'корпоративный баланс энергии'!Q26</f>
        <v>-5.5</v>
      </c>
      <c r="F18" s="251"/>
      <c r="G18" s="250"/>
      <c r="H18" s="250">
        <f>'корпоративный баланс энергии'!T26+'корпоративный баланс энергии'!W26+'корпоративный баланс энергии'!Z26</f>
        <v>-4.5</v>
      </c>
      <c r="I18" s="251"/>
      <c r="J18" s="250"/>
      <c r="K18" s="250">
        <f>'корпоративный баланс энергии'!AC26+'корпоративный баланс энергии'!AF26+'корпоративный баланс энергии'!AI26</f>
        <v>-4.5</v>
      </c>
      <c r="L18" s="251"/>
      <c r="M18" s="250"/>
      <c r="N18" s="250">
        <f>'корпоративный баланс энергии'!AL26+'корпоративный баланс энергии'!AO26+'корпоративный баланс энергии'!AR26</f>
        <v>-5.5</v>
      </c>
      <c r="O18" s="251"/>
      <c r="P18" s="250"/>
      <c r="Q18" s="250">
        <f t="shared" si="0"/>
        <v>-20</v>
      </c>
      <c r="R18" s="251"/>
      <c r="S18" s="228"/>
      <c r="T18" s="228"/>
    </row>
    <row r="19" spans="2:20" s="4" customFormat="1" ht="15" customHeight="1">
      <c r="B19" s="465" t="str">
        <f>'корпоративный баланс энергии'!H27</f>
        <v>Монголия (из энергосистемы Республики Бурятия)</v>
      </c>
      <c r="C19" s="458"/>
      <c r="D19" s="244"/>
      <c r="E19" s="244">
        <f>'корпоративный баланс энергии'!K27+'корпоративный баланс энергии'!N27+'корпоративный баланс энергии'!Q27</f>
        <v>-45</v>
      </c>
      <c r="F19" s="245"/>
      <c r="G19" s="244"/>
      <c r="H19" s="244">
        <f>'корпоративный баланс энергии'!T27+'корпоративный баланс энергии'!W27+'корпоративный баланс энергии'!Z27</f>
        <v>-75</v>
      </c>
      <c r="I19" s="245"/>
      <c r="J19" s="244"/>
      <c r="K19" s="244">
        <f>'корпоративный баланс энергии'!AC27+'корпоративный баланс энергии'!AF27+'корпоративный баланс энергии'!AI27</f>
        <v>-100</v>
      </c>
      <c r="L19" s="245"/>
      <c r="M19" s="244"/>
      <c r="N19" s="244">
        <f>'корпоративный баланс энергии'!AL27+'корпоративный баланс энергии'!AO27+'корпоративный баланс энергии'!AR27</f>
        <v>-60</v>
      </c>
      <c r="O19" s="245"/>
      <c r="P19" s="244"/>
      <c r="Q19" s="244">
        <f t="shared" si="0"/>
        <v>-280</v>
      </c>
      <c r="R19" s="245"/>
      <c r="S19" s="228"/>
      <c r="T19" s="228"/>
    </row>
    <row r="20" spans="2:20" s="4" customFormat="1" ht="15" customHeight="1">
      <c r="B20" s="465" t="str">
        <f>'корпоративный баланс энергии'!H28</f>
        <v>Монголия (из энергосистемы Красноярского края и Республики Тыва (в границах Республики Тыва)</v>
      </c>
      <c r="C20" s="458"/>
      <c r="D20" s="244"/>
      <c r="E20" s="244">
        <f>'корпоративный баланс энергии'!K28+'корпоративный баланс энергии'!N28+'корпоративный баланс энергии'!Q28</f>
        <v>-28</v>
      </c>
      <c r="F20" s="245"/>
      <c r="G20" s="244"/>
      <c r="H20" s="244">
        <f>'корпоративный баланс энергии'!T28+'корпоративный баланс энергии'!W28+'корпоративный баланс энергии'!Z28</f>
        <v>-26</v>
      </c>
      <c r="I20" s="245"/>
      <c r="J20" s="244"/>
      <c r="K20" s="244">
        <f>'корпоративный баланс энергии'!AC28+'корпоративный баланс энергии'!AF28+'корпоративный баланс энергии'!AI28</f>
        <v>-26</v>
      </c>
      <c r="L20" s="245"/>
      <c r="M20" s="244"/>
      <c r="N20" s="244">
        <f>'корпоративный баланс энергии'!AL28+'корпоративный баланс энергии'!AO28+'корпоративный баланс энергии'!AR28</f>
        <v>-30</v>
      </c>
      <c r="O20" s="245"/>
      <c r="P20" s="244"/>
      <c r="Q20" s="244">
        <f t="shared" ref="Q20" si="1">E20+H20+K20+N20</f>
        <v>-110</v>
      </c>
      <c r="R20" s="245"/>
      <c r="S20" s="228"/>
      <c r="T20" s="228"/>
    </row>
    <row r="21" spans="2:20" s="4" customFormat="1" ht="15" customHeight="1">
      <c r="B21" s="465" t="str">
        <f>'корпоративный баланс энергии'!H29</f>
        <v>Китай (из энергосистемы Амурской области)</v>
      </c>
      <c r="C21" s="458"/>
      <c r="D21" s="244"/>
      <c r="E21" s="244">
        <f>'корпоративный баланс энергии'!K29+'корпоративный баланс энергии'!N29+'корпоративный баланс энергии'!Q29</f>
        <v>-550</v>
      </c>
      <c r="F21" s="245"/>
      <c r="G21" s="244"/>
      <c r="H21" s="244">
        <f>'корпоративный баланс энергии'!T29+'корпоративный баланс энергии'!W29+'корпоративный баланс энергии'!Z29</f>
        <v>-790</v>
      </c>
      <c r="I21" s="245"/>
      <c r="J21" s="244"/>
      <c r="K21" s="244">
        <f>'корпоративный баланс энергии'!AC29+'корпоративный баланс энергии'!AF29+'корпоративный баланс энергии'!AI29</f>
        <v>-1070</v>
      </c>
      <c r="L21" s="245"/>
      <c r="M21" s="244"/>
      <c r="N21" s="244">
        <f>'корпоративный баланс энергии'!AL29+'корпоративный баланс энергии'!AO29+'корпоративный баланс энергии'!AR29</f>
        <v>-890</v>
      </c>
      <c r="O21" s="245"/>
      <c r="P21" s="244"/>
      <c r="Q21" s="244">
        <f t="shared" si="0"/>
        <v>-3300</v>
      </c>
      <c r="R21" s="245"/>
      <c r="S21" s="228"/>
      <c r="T21" s="228"/>
    </row>
    <row r="22" spans="2:20" s="4" customFormat="1" ht="15" customHeight="1">
      <c r="B22" s="465" t="str">
        <f>'корпоративный баланс энергии'!H30</f>
        <v>Латвия (из энергосистемы Псковской области)</v>
      </c>
      <c r="C22" s="458"/>
      <c r="D22" s="244"/>
      <c r="E22" s="244">
        <f>'корпоративный баланс энергии'!K30+'корпоративный баланс энергии'!N30+'корпоративный баланс энергии'!Q30</f>
        <v>-240</v>
      </c>
      <c r="F22" s="245"/>
      <c r="G22" s="244"/>
      <c r="H22" s="244">
        <f>'корпоративный баланс энергии'!T30+'корпоративный баланс энергии'!W30+'корпоративный баланс энергии'!Z30</f>
        <v>-260</v>
      </c>
      <c r="I22" s="245"/>
      <c r="J22" s="244"/>
      <c r="K22" s="244">
        <f>'корпоративный баланс энергии'!AC30+'корпоративный баланс энергии'!AF30+'корпоративный баланс энергии'!AI30</f>
        <v>-330</v>
      </c>
      <c r="L22" s="245"/>
      <c r="M22" s="244"/>
      <c r="N22" s="244">
        <f>'корпоративный баланс энергии'!AL30+'корпоративный баланс энергии'!AO30+'корпоративный баланс энергии'!AR30</f>
        <v>-370</v>
      </c>
      <c r="O22" s="245"/>
      <c r="P22" s="244"/>
      <c r="Q22" s="244">
        <f t="shared" si="0"/>
        <v>-1200</v>
      </c>
      <c r="R22" s="245"/>
      <c r="S22" s="228"/>
      <c r="T22" s="228"/>
    </row>
    <row r="23" spans="2:20" s="4" customFormat="1" ht="15" customHeight="1">
      <c r="B23" s="465" t="str">
        <f>'корпоративный баланс энергии'!H31</f>
        <v>Эстония (из энергосистемы Псковской области)</v>
      </c>
      <c r="C23" s="458"/>
      <c r="D23" s="244"/>
      <c r="E23" s="244">
        <f>'корпоративный баланс энергии'!K31+'корпоративный баланс энергии'!N31+'корпоративный баланс энергии'!Q31</f>
        <v>0</v>
      </c>
      <c r="F23" s="245"/>
      <c r="G23" s="244"/>
      <c r="H23" s="244">
        <f>'корпоративный баланс энергии'!T31+'корпоративный баланс энергии'!W31+'корпоративный баланс энергии'!Z31</f>
        <v>0</v>
      </c>
      <c r="I23" s="245"/>
      <c r="J23" s="244"/>
      <c r="K23" s="244">
        <f>'корпоративный баланс энергии'!AC31+'корпоративный баланс энергии'!AF31+'корпоративный баланс энергии'!AI31</f>
        <v>0</v>
      </c>
      <c r="L23" s="245"/>
      <c r="M23" s="244"/>
      <c r="N23" s="244">
        <f>'корпоративный баланс энергии'!AL31+'корпоративный баланс энергии'!AO31+'корпоративный баланс энергии'!AR31</f>
        <v>0</v>
      </c>
      <c r="O23" s="245"/>
      <c r="P23" s="244"/>
      <c r="Q23" s="244">
        <f t="shared" si="0"/>
        <v>0</v>
      </c>
      <c r="R23" s="245"/>
      <c r="S23" s="228"/>
      <c r="T23" s="228"/>
    </row>
    <row r="24" spans="2:20" s="4" customFormat="1" ht="15" customHeight="1">
      <c r="B24" s="465" t="str">
        <f>'корпоративный баланс энергии'!H32</f>
        <v>Эстония (из энергосистемы г.Санкт-Петербург и Ленинградской области)</v>
      </c>
      <c r="C24" s="458"/>
      <c r="D24" s="244"/>
      <c r="E24" s="244">
        <f>'корпоративный баланс энергии'!K32+'корпоративный баланс энергии'!N32+'корпоративный баланс энергии'!Q32</f>
        <v>-190</v>
      </c>
      <c r="F24" s="245"/>
      <c r="G24" s="244"/>
      <c r="H24" s="244">
        <f>'корпоративный баланс энергии'!T32+'корпоративный баланс энергии'!W32+'корпоративный баланс энергии'!Z32</f>
        <v>-30</v>
      </c>
      <c r="I24" s="245"/>
      <c r="J24" s="244"/>
      <c r="K24" s="244">
        <f>'корпоративный баланс энергии'!AC32+'корпоративный баланс энергии'!AF32+'корпоративный баланс энергии'!AI32</f>
        <v>-115</v>
      </c>
      <c r="L24" s="245"/>
      <c r="M24" s="244"/>
      <c r="N24" s="244">
        <f>'корпоративный баланс энергии'!AL32+'корпоративный баланс энергии'!AO32+'корпоративный баланс энергии'!AR32</f>
        <v>-105</v>
      </c>
      <c r="O24" s="245"/>
      <c r="P24" s="244"/>
      <c r="Q24" s="244">
        <f t="shared" si="0"/>
        <v>-440</v>
      </c>
      <c r="R24" s="245"/>
      <c r="S24" s="228"/>
      <c r="T24" s="228"/>
    </row>
    <row r="25" spans="2:20" s="4" customFormat="1" ht="15" customHeight="1">
      <c r="B25" s="465" t="str">
        <f>'корпоративный баланс энергии'!H33</f>
        <v>Литва (из энергосистемы Калининградской области)</v>
      </c>
      <c r="C25" s="458"/>
      <c r="D25" s="244"/>
      <c r="E25" s="244">
        <f>'корпоративный баланс энергии'!K33+'корпоративный баланс энергии'!N33+'корпоративный баланс энергии'!Q33</f>
        <v>-650</v>
      </c>
      <c r="F25" s="245"/>
      <c r="G25" s="244"/>
      <c r="H25" s="244">
        <f>'корпоративный баланс энергии'!T33+'корпоративный баланс энергии'!W33+'корпоративный баланс энергии'!Z33</f>
        <v>-600</v>
      </c>
      <c r="I25" s="245"/>
      <c r="J25" s="244"/>
      <c r="K25" s="244">
        <f>'корпоративный баланс энергии'!AC33+'корпоративный баланс энергии'!AF33+'корпоративный баланс энергии'!AI33</f>
        <v>-900</v>
      </c>
      <c r="L25" s="245"/>
      <c r="M25" s="244"/>
      <c r="N25" s="244">
        <f>'корпоративный баланс энергии'!AL33+'корпоративный баланс энергии'!AO33+'корпоративный баланс энергии'!AR33</f>
        <v>-790</v>
      </c>
      <c r="O25" s="245"/>
      <c r="P25" s="244"/>
      <c r="Q25" s="244">
        <f t="shared" si="0"/>
        <v>-2940</v>
      </c>
      <c r="R25" s="245"/>
      <c r="S25" s="228"/>
      <c r="T25" s="228"/>
    </row>
    <row r="26" spans="2:20" s="4" customFormat="1" ht="15" customHeight="1">
      <c r="B26" s="465" t="str">
        <f>'корпоративный баланс энергии'!H34</f>
        <v>Беларусь (из энергосистемы Псковской области)</v>
      </c>
      <c r="C26" s="458"/>
      <c r="D26" s="244"/>
      <c r="E26" s="244">
        <f>'корпоративный баланс энергии'!K34+'корпоративный баланс энергии'!N34+'корпоративный баланс энергии'!Q34</f>
        <v>-50</v>
      </c>
      <c r="F26" s="245"/>
      <c r="G26" s="244"/>
      <c r="H26" s="244">
        <f>'корпоративный баланс энергии'!T34+'корпоративный баланс энергии'!W34+'корпоративный баланс энергии'!Z34</f>
        <v>0</v>
      </c>
      <c r="I26" s="245"/>
      <c r="J26" s="244"/>
      <c r="K26" s="244">
        <f>'корпоративный баланс энергии'!AC34+'корпоративный баланс энергии'!AF34+'корпоративный баланс энергии'!AI34</f>
        <v>-20</v>
      </c>
      <c r="L26" s="245"/>
      <c r="M26" s="244"/>
      <c r="N26" s="244">
        <f>'корпоративный баланс энергии'!AL34+'корпоративный баланс энергии'!AO34+'корпоративный баланс энергии'!AR34</f>
        <v>-105</v>
      </c>
      <c r="O26" s="245"/>
      <c r="P26" s="244"/>
      <c r="Q26" s="244">
        <f t="shared" si="0"/>
        <v>-175</v>
      </c>
      <c r="R26" s="245"/>
      <c r="S26" s="228"/>
      <c r="T26" s="228"/>
    </row>
    <row r="27" spans="2:20" s="4" customFormat="1" ht="15" customHeight="1">
      <c r="B27" s="465" t="str">
        <f>'корпоративный баланс энергии'!H35</f>
        <v>Беларусь (из энергосистемы Брянской области)</v>
      </c>
      <c r="C27" s="458"/>
      <c r="D27" s="244"/>
      <c r="E27" s="244">
        <f>'корпоративный баланс энергии'!K35+'корпоративный баланс энергии'!N35+'корпоративный баланс энергии'!Q35</f>
        <v>0</v>
      </c>
      <c r="F27" s="245"/>
      <c r="G27" s="244"/>
      <c r="H27" s="244">
        <f>'корпоративный баланс энергии'!T35+'корпоративный баланс энергии'!W35+'корпоративный баланс энергии'!Z35</f>
        <v>0</v>
      </c>
      <c r="I27" s="245"/>
      <c r="J27" s="244"/>
      <c r="K27" s="244">
        <f>'корпоративный баланс энергии'!AC35+'корпоративный баланс энергии'!AF35+'корпоративный баланс энергии'!AI35</f>
        <v>0</v>
      </c>
      <c r="L27" s="245"/>
      <c r="M27" s="244"/>
      <c r="N27" s="244">
        <f>'корпоративный баланс энергии'!AL35+'корпоративный баланс энергии'!AO35+'корпоративный баланс энергии'!AR35</f>
        <v>0</v>
      </c>
      <c r="O27" s="245"/>
      <c r="P27" s="244"/>
      <c r="Q27" s="244">
        <f t="shared" si="0"/>
        <v>0</v>
      </c>
      <c r="R27" s="245"/>
      <c r="S27" s="228"/>
      <c r="T27" s="228"/>
    </row>
    <row r="28" spans="2:20" s="4" customFormat="1" ht="15" customHeight="1" thickBot="1">
      <c r="B28" s="465" t="str">
        <f>'корпоративный баланс энергии'!H36</f>
        <v>Беларусь (из энергосистемы Смоленской области)</v>
      </c>
      <c r="C28" s="458"/>
      <c r="D28" s="244"/>
      <c r="E28" s="244">
        <f>'корпоративный баланс энергии'!K36+'корпоративный баланс энергии'!N36+'корпоративный баланс энергии'!Q36</f>
        <v>-420</v>
      </c>
      <c r="F28" s="245"/>
      <c r="G28" s="244"/>
      <c r="H28" s="244">
        <f>'корпоративный баланс энергии'!T36+'корпоративный баланс энергии'!W36+'корпоративный баланс энергии'!Z36</f>
        <v>-160</v>
      </c>
      <c r="I28" s="245"/>
      <c r="J28" s="244"/>
      <c r="K28" s="244">
        <f>'корпоративный баланс энергии'!AC36+'корпоративный баланс энергии'!AF36+'корпоративный баланс энергии'!AI36</f>
        <v>-70</v>
      </c>
      <c r="L28" s="245"/>
      <c r="M28" s="244"/>
      <c r="N28" s="244">
        <f>'корпоративный баланс энергии'!AL36+'корпоративный баланс энергии'!AO36+'корпоративный баланс энергии'!AR36</f>
        <v>-140</v>
      </c>
      <c r="O28" s="245"/>
      <c r="P28" s="244"/>
      <c r="Q28" s="244">
        <f t="shared" si="0"/>
        <v>-790</v>
      </c>
      <c r="R28" s="245"/>
      <c r="S28" s="228"/>
      <c r="T28" s="228"/>
    </row>
    <row r="29" spans="2:20" s="4" customFormat="1" ht="15" customHeight="1">
      <c r="B29" s="578" t="str">
        <f>'корпоративный баланс энергии'!H37</f>
        <v>Украина (Харьков) (из энергосистемы Белгородской области)</v>
      </c>
      <c r="C29" s="458"/>
      <c r="D29" s="253"/>
      <c r="E29" s="1053">
        <f>'корпоративный баланс энергии'!K37+'корпоративный баланс энергии'!N37+'корпоративный баланс энергии'!Q37</f>
        <v>0</v>
      </c>
      <c r="F29" s="446"/>
      <c r="G29" s="253"/>
      <c r="H29" s="1053">
        <f>'корпоративный баланс энергии'!T37+'корпоративный баланс энергии'!W37+'корпоративный баланс энергии'!Z37</f>
        <v>0</v>
      </c>
      <c r="I29" s="446"/>
      <c r="J29" s="253"/>
      <c r="K29" s="1053">
        <f>'корпоративный баланс энергии'!AC37+'корпоративный баланс энергии'!AF37+'корпоративный баланс энергии'!AI37</f>
        <v>0</v>
      </c>
      <c r="L29" s="446"/>
      <c r="M29" s="253"/>
      <c r="N29" s="1053">
        <f>'корпоративный баланс энергии'!AL37+'корпоративный баланс энергии'!AO37+'корпоративный баланс энергии'!AR37</f>
        <v>0</v>
      </c>
      <c r="O29" s="446"/>
      <c r="P29" s="253"/>
      <c r="Q29" s="1053">
        <f t="shared" si="0"/>
        <v>0</v>
      </c>
      <c r="R29" s="446"/>
      <c r="S29" s="228"/>
      <c r="T29" s="228"/>
    </row>
    <row r="30" spans="2:20" s="4" customFormat="1" ht="15" customHeight="1" thickBot="1">
      <c r="B30" s="458" t="str">
        <f>'корпоративный баланс энергии'!H38</f>
        <v>Украина (Донбасс) (из энергосистемы Воронежской области)</v>
      </c>
      <c r="C30" s="458"/>
      <c r="D30" s="253"/>
      <c r="E30" s="1054">
        <f>'корпоративный баланс энергии'!K38+'корпоративный баланс энергии'!N38+'корпоративный баланс энергии'!Q38</f>
        <v>0</v>
      </c>
      <c r="F30" s="446"/>
      <c r="G30" s="253"/>
      <c r="H30" s="1054">
        <f>'корпоративный баланс энергии'!T38+'корпоративный баланс энергии'!W38+'корпоративный баланс энергии'!Z38</f>
        <v>0</v>
      </c>
      <c r="I30" s="446"/>
      <c r="J30" s="253"/>
      <c r="K30" s="1054">
        <f>'корпоративный баланс энергии'!AC38+'корпоративный баланс энергии'!AF38+'корпоративный баланс энергии'!AI38</f>
        <v>0</v>
      </c>
      <c r="L30" s="446"/>
      <c r="M30" s="253"/>
      <c r="N30" s="1054">
        <f>'корпоративный баланс энергии'!AL38+'корпоративный баланс энергии'!AO38+'корпоративный баланс энергии'!AR38</f>
        <v>0</v>
      </c>
      <c r="O30" s="446"/>
      <c r="P30" s="253"/>
      <c r="Q30" s="1054">
        <f t="shared" si="0"/>
        <v>0</v>
      </c>
      <c r="R30" s="446"/>
      <c r="S30" s="228"/>
      <c r="T30" s="228"/>
    </row>
    <row r="31" spans="2:20" s="4" customFormat="1" ht="15" customHeight="1" thickBot="1">
      <c r="B31" s="578" t="str">
        <f>'корпоративный баланс энергии'!H39</f>
        <v>Украина (Харьков) (из энергосистемы Курской области)</v>
      </c>
      <c r="C31" s="458"/>
      <c r="D31" s="253"/>
      <c r="E31" s="1054">
        <f>'корпоративный баланс энергии'!K39+'корпоративный баланс энергии'!N39+'корпоративный баланс энергии'!Q39</f>
        <v>-1130</v>
      </c>
      <c r="F31" s="1055">
        <f>SUM(E29:E33)</f>
        <v>-1910</v>
      </c>
      <c r="G31" s="253"/>
      <c r="H31" s="1054">
        <f>'корпоративный баланс энергии'!T39+'корпоративный баланс энергии'!W39+'корпоративный баланс энергии'!Z39</f>
        <v>-1060</v>
      </c>
      <c r="I31" s="1055">
        <f>SUM(H29:H33)</f>
        <v>-1670</v>
      </c>
      <c r="J31" s="253"/>
      <c r="K31" s="1054">
        <f>'корпоративный баланс энергии'!AC39+'корпоративный баланс энергии'!AF39+'корпоративный баланс энергии'!AI39</f>
        <v>-1170</v>
      </c>
      <c r="L31" s="1055">
        <f>SUM(K29:K33)</f>
        <v>-1870</v>
      </c>
      <c r="M31" s="253"/>
      <c r="N31" s="1054">
        <f>'корпоративный баланс энергии'!AL39+'корпоративный баланс энергии'!AO39+'корпоративный баланс энергии'!AR39</f>
        <v>-1310</v>
      </c>
      <c r="O31" s="1055">
        <f>SUM(N29:N33)</f>
        <v>-2160</v>
      </c>
      <c r="P31" s="253"/>
      <c r="Q31" s="1054">
        <f t="shared" si="0"/>
        <v>-4670</v>
      </c>
      <c r="R31" s="1055">
        <f>SUM(Q29:Q33)</f>
        <v>-7610</v>
      </c>
      <c r="S31" s="228"/>
      <c r="T31" s="228"/>
    </row>
    <row r="32" spans="2:20" s="4" customFormat="1" ht="15" customHeight="1">
      <c r="B32" s="458" t="str">
        <f>'корпоративный баланс энергии'!H40</f>
        <v>Украина (Донбасс) (из энергосистемы Волгоградской области)</v>
      </c>
      <c r="C32" s="458"/>
      <c r="D32" s="253"/>
      <c r="E32" s="1054">
        <f>'корпоративный баланс энергии'!K40+'корпоративный баланс энергии'!N40+'корпоративный баланс энергии'!Q40</f>
        <v>0</v>
      </c>
      <c r="F32" s="446"/>
      <c r="G32" s="253"/>
      <c r="H32" s="1054">
        <f>'корпоративный баланс энергии'!T40+'корпоративный баланс энергии'!W40+'корпоративный баланс энергии'!Z40</f>
        <v>0</v>
      </c>
      <c r="I32" s="446"/>
      <c r="J32" s="253"/>
      <c r="K32" s="1054">
        <f>'корпоративный баланс энергии'!AC40+'корпоративный баланс энергии'!AF40+'корпоративный баланс энергии'!AI40</f>
        <v>0</v>
      </c>
      <c r="L32" s="446"/>
      <c r="M32" s="253"/>
      <c r="N32" s="1054">
        <f>'корпоративный баланс энергии'!AL40+'корпоративный баланс энергии'!AO40+'корпоративный баланс энергии'!AR40</f>
        <v>0</v>
      </c>
      <c r="O32" s="446"/>
      <c r="P32" s="253"/>
      <c r="Q32" s="1054">
        <f t="shared" si="0"/>
        <v>0</v>
      </c>
      <c r="R32" s="446"/>
      <c r="S32" s="228"/>
      <c r="T32" s="228"/>
    </row>
    <row r="33" spans="2:20" s="4" customFormat="1" ht="15" customHeight="1" thickBot="1">
      <c r="B33" s="577" t="str">
        <f>'корпоративный баланс энергии'!H41</f>
        <v>Украина (Донбасс) (из энергосистемы Ростовской области)</v>
      </c>
      <c r="C33" s="458"/>
      <c r="D33" s="253"/>
      <c r="E33" s="1056">
        <f>'корпоративный баланс энергии'!K41+'корпоративный баланс энергии'!N41+'корпоративный баланс энергии'!Q41</f>
        <v>-780</v>
      </c>
      <c r="F33" s="446"/>
      <c r="G33" s="253"/>
      <c r="H33" s="1056">
        <f>'корпоративный баланс энергии'!T41+'корпоративный баланс энергии'!W41+'корпоративный баланс энергии'!Z41</f>
        <v>-610</v>
      </c>
      <c r="I33" s="446"/>
      <c r="J33" s="253"/>
      <c r="K33" s="1056">
        <f>'корпоративный баланс энергии'!AC41+'корпоративный баланс энергии'!AF41+'корпоративный баланс энергии'!AI41</f>
        <v>-700</v>
      </c>
      <c r="L33" s="446"/>
      <c r="M33" s="253"/>
      <c r="N33" s="1056">
        <f>'корпоративный баланс энергии'!AL41+'корпоративный баланс энергии'!AO41+'корпоративный баланс энергии'!AR41</f>
        <v>-850</v>
      </c>
      <c r="O33" s="446"/>
      <c r="P33" s="253"/>
      <c r="Q33" s="1056">
        <f t="shared" si="0"/>
        <v>-2940</v>
      </c>
      <c r="R33" s="446"/>
      <c r="S33" s="228"/>
      <c r="T33" s="228"/>
    </row>
    <row r="34" spans="2:20" s="4" customFormat="1" ht="15" customHeight="1">
      <c r="B34" s="458" t="str">
        <f>'корпоративный баланс энергии'!H42</f>
        <v>Южная Осетия (из энергосистемы Республики Северная Осетия-Алания)</v>
      </c>
      <c r="C34" s="458"/>
      <c r="D34" s="244"/>
      <c r="E34" s="244">
        <f>'корпоративный баланс энергии'!K42+'корпоративный баланс энергии'!N42+'корпоративный баланс энергии'!Q42</f>
        <v>-48</v>
      </c>
      <c r="F34" s="245"/>
      <c r="G34" s="244"/>
      <c r="H34" s="244">
        <f>'корпоративный баланс энергии'!T42+'корпоративный баланс энергии'!W42+'корпоративный баланс энергии'!Z42</f>
        <v>-30</v>
      </c>
      <c r="I34" s="245"/>
      <c r="J34" s="244"/>
      <c r="K34" s="244">
        <f>'корпоративный баланс энергии'!AC42+'корпоративный баланс энергии'!AF42+'корпоративный баланс энергии'!AI42</f>
        <v>-24</v>
      </c>
      <c r="L34" s="245"/>
      <c r="M34" s="244"/>
      <c r="N34" s="244">
        <f>'корпоративный баланс энергии'!AL42+'корпоративный баланс энергии'!AO42+'корпоративный баланс энергии'!AR42</f>
        <v>-43</v>
      </c>
      <c r="O34" s="245"/>
      <c r="P34" s="244"/>
      <c r="Q34" s="244">
        <f t="shared" ref="Q34:Q48" si="2">E34+H34+K34+N34</f>
        <v>-145</v>
      </c>
      <c r="R34" s="245"/>
      <c r="S34" s="228"/>
      <c r="T34" s="228"/>
    </row>
    <row r="35" spans="2:20" s="4" customFormat="1" ht="15" customHeight="1">
      <c r="B35" s="458" t="str">
        <f>'корпоративный баланс энергии'!H43</f>
        <v>Азербайджан (из энергосистемы Республики Дагестан)</v>
      </c>
      <c r="C35" s="458"/>
      <c r="D35" s="244"/>
      <c r="E35" s="244">
        <f>'корпоративный баланс энергии'!K43+'корпоративный баланс энергии'!N43+'корпоративный баланс энергии'!Q43</f>
        <v>0</v>
      </c>
      <c r="F35" s="245"/>
      <c r="G35" s="244"/>
      <c r="H35" s="244">
        <f>'корпоративный баланс энергии'!T43+'корпоративный баланс энергии'!W43+'корпоративный баланс энергии'!Z43</f>
        <v>0</v>
      </c>
      <c r="I35" s="245"/>
      <c r="J35" s="244"/>
      <c r="K35" s="244">
        <f>'корпоративный баланс энергии'!AC43+'корпоративный баланс энергии'!AF43+'корпоративный баланс энергии'!AI43</f>
        <v>0</v>
      </c>
      <c r="L35" s="245"/>
      <c r="M35" s="244"/>
      <c r="N35" s="244">
        <f>'корпоративный баланс энергии'!AL43+'корпоративный баланс энергии'!AO43+'корпоративный баланс энергии'!AR43</f>
        <v>0</v>
      </c>
      <c r="O35" s="245"/>
      <c r="P35" s="244"/>
      <c r="Q35" s="244">
        <f t="shared" si="2"/>
        <v>0</v>
      </c>
      <c r="R35" s="245"/>
      <c r="S35" s="228"/>
      <c r="T35" s="228"/>
    </row>
    <row r="36" spans="2:20" s="4" customFormat="1" ht="15" customHeight="1">
      <c r="B36" s="458" t="str">
        <f>'корпоративный баланс энергии'!H44</f>
        <v>Грузия (из энергосистемы Республики Адыгея и Краснодарского края)</v>
      </c>
      <c r="C36" s="458"/>
      <c r="D36" s="244"/>
      <c r="E36" s="244">
        <f>'корпоративный баланс энергии'!K44+'корпоративный баланс энергии'!N44+'корпоративный баланс энергии'!Q44</f>
        <v>0</v>
      </c>
      <c r="F36" s="245"/>
      <c r="G36" s="244"/>
      <c r="H36" s="244">
        <f>'корпоративный баланс энергии'!T44+'корпоративный баланс энергии'!W44+'корпоративный баланс энергии'!Z44</f>
        <v>0</v>
      </c>
      <c r="I36" s="245"/>
      <c r="J36" s="244"/>
      <c r="K36" s="244">
        <f>'корпоративный баланс энергии'!AC44+'корпоративный баланс энергии'!AF44+'корпоративный баланс энергии'!AI44</f>
        <v>-170</v>
      </c>
      <c r="L36" s="245"/>
      <c r="M36" s="244"/>
      <c r="N36" s="244">
        <f>'корпоративный баланс энергии'!AL44+'корпоративный баланс энергии'!AO44+'корпоративный баланс энергии'!AR44</f>
        <v>0</v>
      </c>
      <c r="O36" s="245"/>
      <c r="P36" s="244"/>
      <c r="Q36" s="244">
        <f t="shared" si="2"/>
        <v>-170</v>
      </c>
      <c r="R36" s="245"/>
      <c r="S36" s="228"/>
      <c r="T36" s="228"/>
    </row>
    <row r="37" spans="2:20" s="4" customFormat="1" ht="15" customHeight="1" thickBot="1">
      <c r="B37" s="458" t="str">
        <f>'корпоративный баланс энергии'!H45</f>
        <v>Абхазия (из энергосистемы Республики Адыгея и Краснодарского края)</v>
      </c>
      <c r="C37" s="458"/>
      <c r="D37" s="244"/>
      <c r="E37" s="244">
        <f>'корпоративный баланс энергии'!K45+'корпоративный баланс энергии'!N45+'корпоративный баланс энергии'!Q45</f>
        <v>-8</v>
      </c>
      <c r="F37" s="245"/>
      <c r="G37" s="244"/>
      <c r="H37" s="244">
        <f>'корпоративный баланс энергии'!T45+'корпоративный баланс энергии'!W45+'корпоративный баланс энергии'!Z45</f>
        <v>-13</v>
      </c>
      <c r="I37" s="245"/>
      <c r="J37" s="244"/>
      <c r="K37" s="244">
        <f>'корпоративный баланс энергии'!AC45+'корпоративный баланс энергии'!AF45+'корпоративный баланс энергии'!AI45</f>
        <v>-1</v>
      </c>
      <c r="L37" s="245"/>
      <c r="M37" s="244"/>
      <c r="N37" s="244">
        <f>'корпоративный баланс энергии'!AL45+'корпоративный баланс энергии'!AO45+'корпоративный баланс энергии'!AR45</f>
        <v>-6</v>
      </c>
      <c r="O37" s="245"/>
      <c r="P37" s="244"/>
      <c r="Q37" s="244">
        <f t="shared" si="2"/>
        <v>-28</v>
      </c>
      <c r="R37" s="245"/>
      <c r="S37" s="228"/>
      <c r="T37" s="228"/>
    </row>
    <row r="38" spans="2:20" s="4" customFormat="1" ht="15" customHeight="1">
      <c r="B38" s="458" t="str">
        <f>'корпоративный баланс энергии'!H46</f>
        <v>Западный Казахстан (из энергосистемы Самарской области)</v>
      </c>
      <c r="C38" s="458"/>
      <c r="D38" s="253"/>
      <c r="E38" s="1057">
        <f>'корпоративный баланс энергии'!K46+'корпоративный баланс энергии'!N46+'корпоративный баланс энергии'!Q46</f>
        <v>0</v>
      </c>
      <c r="F38" s="446"/>
      <c r="G38" s="253"/>
      <c r="H38" s="1057">
        <f>'корпоративный баланс энергии'!T46+'корпоративный баланс энергии'!W46+'корпоративный баланс энергии'!Z46</f>
        <v>0</v>
      </c>
      <c r="I38" s="446"/>
      <c r="J38" s="253"/>
      <c r="K38" s="1057">
        <f>'корпоративный баланс энергии'!AC46+'корпоративный баланс энергии'!AF46+'корпоративный баланс энергии'!AI46</f>
        <v>0</v>
      </c>
      <c r="L38" s="446"/>
      <c r="M38" s="253"/>
      <c r="N38" s="1057">
        <f>'корпоративный баланс энергии'!AL46+'корпоративный баланс энергии'!AO46+'корпоративный баланс энергии'!AR46</f>
        <v>0</v>
      </c>
      <c r="O38" s="446"/>
      <c r="P38" s="253"/>
      <c r="Q38" s="1057">
        <f t="shared" si="2"/>
        <v>0</v>
      </c>
      <c r="R38" s="446"/>
      <c r="S38" s="228"/>
      <c r="T38" s="228"/>
    </row>
    <row r="39" spans="2:20" s="4" customFormat="1" ht="15" customHeight="1">
      <c r="B39" s="458" t="str">
        <f>'корпоративный баланс энергии'!H47</f>
        <v>Западный Казахстан (из энергосистемы Саратовской области)</v>
      </c>
      <c r="C39" s="458"/>
      <c r="D39" s="253"/>
      <c r="E39" s="1058">
        <f>'корпоративный баланс энергии'!K47+'корпоративный баланс энергии'!N47+'корпоративный баланс энергии'!Q47</f>
        <v>-243</v>
      </c>
      <c r="F39" s="446"/>
      <c r="G39" s="253"/>
      <c r="H39" s="1058">
        <f>'корпоративный баланс энергии'!T47+'корпоративный баланс энергии'!W47+'корпоративный баланс энергии'!Z47</f>
        <v>-252</v>
      </c>
      <c r="I39" s="446"/>
      <c r="J39" s="253"/>
      <c r="K39" s="1058">
        <f>'корпоративный баланс энергии'!AC47+'корпоративный баланс энергии'!AF47+'корпоративный баланс энергии'!AI47</f>
        <v>-222</v>
      </c>
      <c r="L39" s="446"/>
      <c r="M39" s="253"/>
      <c r="N39" s="1058">
        <f>'корпоративный баланс энергии'!AL47+'корпоративный баланс энергии'!AO47+'корпоративный баланс энергии'!AR47</f>
        <v>-243</v>
      </c>
      <c r="O39" s="446"/>
      <c r="P39" s="253"/>
      <c r="Q39" s="1058">
        <f t="shared" si="2"/>
        <v>-960</v>
      </c>
      <c r="R39" s="446"/>
      <c r="S39" s="228"/>
      <c r="T39" s="228"/>
    </row>
    <row r="40" spans="2:20" s="4" customFormat="1" ht="15" customHeight="1">
      <c r="B40" s="458" t="str">
        <f>'корпоративный баланс энергии'!H48</f>
        <v>Западный Казахстан (из энергосистемы Оренбургской области)</v>
      </c>
      <c r="C40" s="458"/>
      <c r="D40" s="253"/>
      <c r="E40" s="1058">
        <f>'корпоративный баланс энергии'!K48+'корпоративный баланс энергии'!N48+'корпоративный баланс энергии'!Q48</f>
        <v>0</v>
      </c>
      <c r="F40" s="446"/>
      <c r="G40" s="253"/>
      <c r="H40" s="1058">
        <f>'корпоративный баланс энергии'!T48+'корпоративный баланс энергии'!W48+'корпоративный баланс энергии'!Z48</f>
        <v>0</v>
      </c>
      <c r="I40" s="446"/>
      <c r="J40" s="253"/>
      <c r="K40" s="1058">
        <f>'корпоративный баланс энергии'!AC48+'корпоративный баланс энергии'!AF48+'корпоративный баланс энергии'!AI48</f>
        <v>-80</v>
      </c>
      <c r="L40" s="446"/>
      <c r="M40" s="253"/>
      <c r="N40" s="1058">
        <f>'корпоративный баланс энергии'!AL48+'корпоративный баланс энергии'!AO48+'корпоративный баланс энергии'!AR48</f>
        <v>0</v>
      </c>
      <c r="O40" s="446"/>
      <c r="P40" s="253"/>
      <c r="Q40" s="1058">
        <f>E40+H40+K40+N40</f>
        <v>-80</v>
      </c>
      <c r="R40" s="446"/>
      <c r="S40" s="228"/>
      <c r="T40" s="228"/>
    </row>
    <row r="41" spans="2:20" s="4" customFormat="1" ht="15" customHeight="1">
      <c r="B41" s="458" t="str">
        <f>'корпоративный баланс энергии'!H49</f>
        <v>Западный Казахстан (из энергосистемы Астраханской области)</v>
      </c>
      <c r="C41" s="458"/>
      <c r="D41" s="695"/>
      <c r="E41" s="1058">
        <f>'корпоративный баланс энергии'!K49+'корпоративный баланс энергии'!N49+'корпоративный баланс энергии'!Q49</f>
        <v>-18</v>
      </c>
      <c r="F41" s="446"/>
      <c r="G41" s="695"/>
      <c r="H41" s="1058">
        <f>'корпоративный баланс энергии'!T49+'корпоративный баланс энергии'!W49+'корпоративный баланс энергии'!Z49</f>
        <v>-18</v>
      </c>
      <c r="I41" s="446"/>
      <c r="J41" s="695"/>
      <c r="K41" s="1058">
        <f>'корпоративный баланс энергии'!AC49+'корпоративный баланс энергии'!AF49+'корпоративный баланс энергии'!AI49</f>
        <v>-25</v>
      </c>
      <c r="L41" s="446"/>
      <c r="M41" s="695"/>
      <c r="N41" s="1058">
        <f>'корпоративный баланс энергии'!AL49+'корпоративный баланс энергии'!AO49+'корпоративный баланс энергии'!AR49</f>
        <v>-16</v>
      </c>
      <c r="O41" s="446"/>
      <c r="P41" s="695"/>
      <c r="Q41" s="1058">
        <f>E41+H41+K41+N41</f>
        <v>-77</v>
      </c>
      <c r="R41" s="446"/>
      <c r="S41" s="228"/>
      <c r="T41" s="228"/>
    </row>
    <row r="42" spans="2:20" s="4" customFormat="1" ht="15" customHeight="1">
      <c r="B42" s="458" t="str">
        <f>'корпоративный баланс энергии'!H50</f>
        <v>Западный Казахстан (из энергосистемы Волгоградской области)</v>
      </c>
      <c r="C42" s="458"/>
      <c r="D42" s="695"/>
      <c r="E42" s="1058">
        <f>'корпоративный баланс энергии'!K50+'корпоративный баланс энергии'!N50+'корпоративный баланс энергии'!Q50</f>
        <v>-3</v>
      </c>
      <c r="F42" s="446"/>
      <c r="G42" s="695"/>
      <c r="H42" s="1058">
        <f>'корпоративный баланс энергии'!T50+'корпоративный баланс энергии'!W50+'корпоративный баланс энергии'!Z50</f>
        <v>-3</v>
      </c>
      <c r="I42" s="446"/>
      <c r="J42" s="695"/>
      <c r="K42" s="1058">
        <f>'корпоративный баланс энергии'!AC50+'корпоративный баланс энергии'!AF50+'корпоративный баланс энергии'!AI50</f>
        <v>-3</v>
      </c>
      <c r="L42" s="446"/>
      <c r="M42" s="695"/>
      <c r="N42" s="1058">
        <f>'корпоративный баланс энергии'!AL50+'корпоративный баланс энергии'!AO50+'корпоративный баланс энергии'!AR50</f>
        <v>-3</v>
      </c>
      <c r="O42" s="446"/>
      <c r="P42" s="695"/>
      <c r="Q42" s="1058">
        <f>E42+H42+K42+N42</f>
        <v>-12</v>
      </c>
      <c r="R42" s="446"/>
      <c r="S42" s="228"/>
      <c r="T42" s="228"/>
    </row>
    <row r="43" spans="2:20" s="4" customFormat="1" ht="15" customHeight="1" thickBot="1">
      <c r="B43" s="458" t="str">
        <f>'корпоративный баланс энергии'!H51</f>
        <v>Северный Казахстан (из энергосистемы Курганской области)</v>
      </c>
      <c r="C43" s="458"/>
      <c r="D43" s="253"/>
      <c r="E43" s="1058">
        <f>'корпоративный баланс энергии'!K51+'корпоративный баланс энергии'!N51+'корпоративный баланс энергии'!Q51</f>
        <v>-7</v>
      </c>
      <c r="F43" s="446"/>
      <c r="G43" s="253"/>
      <c r="H43" s="1058">
        <f>'корпоративный баланс энергии'!T51+'корпоративный баланс энергии'!W51+'корпоративный баланс энергии'!Z51</f>
        <v>0</v>
      </c>
      <c r="I43" s="446"/>
      <c r="J43" s="253"/>
      <c r="K43" s="1058">
        <f>'корпоративный баланс энергии'!AC51+'корпоративный баланс энергии'!AF51+'корпоративный баланс энергии'!AI51</f>
        <v>-8</v>
      </c>
      <c r="L43" s="446"/>
      <c r="M43" s="253"/>
      <c r="N43" s="1058">
        <f>'корпоративный баланс энергии'!AL51+'корпоративный баланс энергии'!AO51+'корпоративный баланс энергии'!AR51</f>
        <v>-60</v>
      </c>
      <c r="O43" s="446"/>
      <c r="P43" s="253"/>
      <c r="Q43" s="1058">
        <f t="shared" si="2"/>
        <v>-75</v>
      </c>
      <c r="R43" s="446"/>
      <c r="S43" s="228"/>
      <c r="T43" s="228"/>
    </row>
    <row r="44" spans="2:20" s="4" customFormat="1" ht="15" customHeight="1" thickBot="1">
      <c r="B44" s="458" t="str">
        <f>'корпоративный баланс энергии'!H52</f>
        <v>Северный Казахстан (из энергосистемы Челябинской области)</v>
      </c>
      <c r="C44" s="458"/>
      <c r="D44" s="1059">
        <f>SUM(E38:E48)</f>
        <v>-561</v>
      </c>
      <c r="E44" s="1058">
        <f>'корпоративный баланс энергии'!K52+'корпоративный баланс энергии'!N52+'корпоративный баланс энергии'!Q52</f>
        <v>-130</v>
      </c>
      <c r="F44" s="446"/>
      <c r="G44" s="1060">
        <f>SUM(H38:H48)</f>
        <v>-498</v>
      </c>
      <c r="H44" s="1058">
        <f>'корпоративный баланс энергии'!T52+'корпоративный баланс энергии'!W52+'корпоративный баланс энергии'!Z52</f>
        <v>-100</v>
      </c>
      <c r="I44" s="446"/>
      <c r="J44" s="1060">
        <f>SUM(K38:K48)</f>
        <v>-1228</v>
      </c>
      <c r="K44" s="1058">
        <f>'корпоративный баланс энергии'!AC52+'корпоративный баланс энергии'!AF52+'корпоративный баланс энергии'!AI52</f>
        <v>-360</v>
      </c>
      <c r="L44" s="446"/>
      <c r="M44" s="1060">
        <f>SUM(N38:N48)</f>
        <v>-1037</v>
      </c>
      <c r="N44" s="1058">
        <f>'корпоративный баланс энергии'!AL52+'корпоративный баланс энергии'!AO52+'корпоративный баланс энергии'!AR52</f>
        <v>-320</v>
      </c>
      <c r="O44" s="446"/>
      <c r="P44" s="1060">
        <f>SUM(Q38:Q48)</f>
        <v>-3324</v>
      </c>
      <c r="Q44" s="1058">
        <f t="shared" si="2"/>
        <v>-910</v>
      </c>
      <c r="R44" s="446"/>
      <c r="S44" s="228"/>
      <c r="T44" s="228"/>
    </row>
    <row r="45" spans="2:20" s="4" customFormat="1" ht="15" customHeight="1">
      <c r="B45" s="458" t="str">
        <f>'корпоративный баланс энергии'!H53</f>
        <v>Северный Казахстан (Мынкуль, Валиханово) (из энергосистемы Омской области)</v>
      </c>
      <c r="C45" s="458"/>
      <c r="D45" s="253"/>
      <c r="E45" s="1058">
        <f>'корпоративный баланс энергии'!K53+'корпоративный баланс энергии'!N53+'корпоративный баланс энергии'!Q53</f>
        <v>-160</v>
      </c>
      <c r="F45" s="446"/>
      <c r="G45" s="253"/>
      <c r="H45" s="1058">
        <f>'корпоративный баланс энергии'!T53+'корпоративный баланс энергии'!W53+'корпоративный баланс энергии'!Z53</f>
        <v>-75</v>
      </c>
      <c r="I45" s="446"/>
      <c r="J45" s="253"/>
      <c r="K45" s="1058">
        <f>'корпоративный баланс энергии'!AC53+'корпоративный баланс энергии'!AF53+'корпоративный баланс энергии'!AI53</f>
        <v>-90</v>
      </c>
      <c r="L45" s="446"/>
      <c r="M45" s="253"/>
      <c r="N45" s="1058">
        <f>'корпоративный баланс энергии'!AL53+'корпоративный баланс энергии'!AO53+'корпоративный баланс энергии'!AR53</f>
        <v>-95</v>
      </c>
      <c r="O45" s="446"/>
      <c r="P45" s="253"/>
      <c r="Q45" s="1058">
        <f>E45+H45+K45+N45</f>
        <v>-420</v>
      </c>
      <c r="R45" s="446"/>
      <c r="S45" s="228"/>
      <c r="T45" s="228"/>
    </row>
    <row r="46" spans="2:20" s="4" customFormat="1" ht="15" customHeight="1">
      <c r="B46" s="458" t="str">
        <f>'корпоративный баланс энергии'!H54</f>
        <v>Северный Казахстан (из энергосистемы Алтайского края и Республики Алтай)</v>
      </c>
      <c r="C46" s="458"/>
      <c r="D46" s="695"/>
      <c r="E46" s="1058">
        <f>'корпоративный баланс энергии'!K54+'корпоративный баланс энергии'!N54+'корпоративный баланс энергии'!Q54</f>
        <v>0</v>
      </c>
      <c r="F46" s="446"/>
      <c r="G46" s="695"/>
      <c r="H46" s="1058">
        <f>'корпоративный баланс энергии'!T54+'корпоративный баланс энергии'!W54+'корпоративный баланс энергии'!Z54</f>
        <v>-50</v>
      </c>
      <c r="I46" s="446"/>
      <c r="J46" s="695"/>
      <c r="K46" s="1058">
        <f>'корпоративный баланс энергии'!AC54+'корпоративный баланс энергии'!AF54+'корпоративный баланс энергии'!AI54</f>
        <v>-440</v>
      </c>
      <c r="L46" s="446"/>
      <c r="M46" s="695"/>
      <c r="N46" s="1058">
        <f>'корпоративный баланс энергии'!AL54+'корпоративный баланс энергии'!AO54+'корпоративный баланс энергии'!AR54</f>
        <v>-300</v>
      </c>
      <c r="O46" s="446"/>
      <c r="P46" s="695"/>
      <c r="Q46" s="1058">
        <f t="shared" si="2"/>
        <v>-790</v>
      </c>
      <c r="R46" s="446"/>
      <c r="S46" s="228"/>
      <c r="T46" s="228"/>
    </row>
    <row r="47" spans="2:20" s="4" customFormat="1" ht="15" customHeight="1">
      <c r="B47" s="458" t="str">
        <f>'корпоративный баланс энергии'!H55</f>
        <v>Северный Казахстан (из энергосистемы Новосибирской области)</v>
      </c>
      <c r="C47" s="458"/>
      <c r="D47" s="253"/>
      <c r="E47" s="1058">
        <f>'корпоративный баланс энергии'!K55+'корпоративный баланс энергии'!N55+'корпоративный баланс энергии'!Q55</f>
        <v>0</v>
      </c>
      <c r="F47" s="446"/>
      <c r="G47" s="253"/>
      <c r="H47" s="1058">
        <f>'корпоративный баланс энергии'!T55+'корпоративный баланс энергии'!W55+'корпоративный баланс энергии'!Z55</f>
        <v>0</v>
      </c>
      <c r="I47" s="446"/>
      <c r="J47" s="253"/>
      <c r="K47" s="1058">
        <f>'корпоративный баланс энергии'!AC55+'корпоративный баланс энергии'!AF55+'корпоративный баланс энергии'!AI55</f>
        <v>0</v>
      </c>
      <c r="L47" s="446"/>
      <c r="M47" s="253"/>
      <c r="N47" s="1058">
        <f>'корпоративный баланс энергии'!AL55+'корпоративный баланс энергии'!AO55+'корпоративный баланс энергии'!AR55</f>
        <v>0</v>
      </c>
      <c r="O47" s="446"/>
      <c r="P47" s="253"/>
      <c r="Q47" s="1058">
        <f t="shared" si="2"/>
        <v>0</v>
      </c>
      <c r="R47" s="446"/>
      <c r="S47" s="228"/>
      <c r="T47" s="228"/>
    </row>
    <row r="48" spans="2:20" s="4" customFormat="1" ht="15" customHeight="1" thickBot="1">
      <c r="B48" s="458" t="str">
        <f>'корпоративный баланс энергии'!H56</f>
        <v>Северный Казахстан (из энергосистемы Омской области)</v>
      </c>
      <c r="C48" s="458"/>
      <c r="D48" s="695"/>
      <c r="E48" s="1061">
        <f>'корпоративный баланс энергии'!K56+'корпоративный баланс энергии'!N56+'корпоративный баланс энергии'!Q56</f>
        <v>0</v>
      </c>
      <c r="F48" s="446"/>
      <c r="G48" s="695"/>
      <c r="H48" s="1061">
        <f>'корпоративный баланс энергии'!T56+'корпоративный баланс энергии'!W56+'корпоративный баланс энергии'!Z56</f>
        <v>0</v>
      </c>
      <c r="I48" s="446"/>
      <c r="J48" s="695"/>
      <c r="K48" s="1061">
        <f>'корпоративный баланс энергии'!AC56+'корпоративный баланс энергии'!AF56+'корпоративный баланс энергии'!AI56</f>
        <v>0</v>
      </c>
      <c r="L48" s="446"/>
      <c r="M48" s="695"/>
      <c r="N48" s="1061">
        <f>'корпоративный баланс энергии'!AL56+'корпоративный баланс энергии'!AO56+'корпоративный баланс энергии'!AR56</f>
        <v>0</v>
      </c>
      <c r="O48" s="446"/>
      <c r="P48" s="695"/>
      <c r="Q48" s="1061">
        <f t="shared" si="2"/>
        <v>0</v>
      </c>
      <c r="R48" s="446"/>
      <c r="S48" s="228"/>
      <c r="T48" s="228"/>
    </row>
    <row r="49" spans="2:20" s="4" customFormat="1" ht="15" customHeight="1" thickBot="1">
      <c r="B49" s="458"/>
      <c r="C49" s="458"/>
      <c r="D49" s="854">
        <f>D44+D69</f>
        <v>1406</v>
      </c>
      <c r="E49" s="253"/>
      <c r="F49" s="853">
        <f>F31+F59</f>
        <v>-420</v>
      </c>
      <c r="G49" s="855">
        <f>G44+G69</f>
        <v>1345</v>
      </c>
      <c r="H49" s="244"/>
      <c r="I49" s="853">
        <f>I31+I59</f>
        <v>-590</v>
      </c>
      <c r="J49" s="855">
        <f>J44+J69</f>
        <v>55</v>
      </c>
      <c r="K49" s="244"/>
      <c r="L49" s="853">
        <f>L31+L59</f>
        <v>-760</v>
      </c>
      <c r="M49" s="855">
        <f>M44+M69</f>
        <v>220</v>
      </c>
      <c r="N49" s="244"/>
      <c r="O49" s="853">
        <f>O31+O59</f>
        <v>-1110</v>
      </c>
      <c r="P49" s="855">
        <f>P44+P69</f>
        <v>3026</v>
      </c>
      <c r="Q49" s="262"/>
      <c r="R49" s="853">
        <f>R31+R59</f>
        <v>-2880</v>
      </c>
      <c r="S49" s="228"/>
      <c r="T49" s="228"/>
    </row>
    <row r="50" spans="2:20" s="4" customFormat="1" ht="15" customHeight="1">
      <c r="B50" s="462" t="s">
        <v>35</v>
      </c>
      <c r="C50" s="462"/>
      <c r="D50" s="255"/>
      <c r="E50" s="256">
        <f>SUM(E51:E72)</f>
        <v>3752</v>
      </c>
      <c r="F50" s="257"/>
      <c r="G50" s="255"/>
      <c r="H50" s="256">
        <f>SUM(H51:H72)</f>
        <v>3308</v>
      </c>
      <c r="I50" s="257"/>
      <c r="J50" s="255"/>
      <c r="K50" s="256">
        <f>SUM(K51:K72)</f>
        <v>2608</v>
      </c>
      <c r="L50" s="257"/>
      <c r="M50" s="255"/>
      <c r="N50" s="256">
        <f>SUM(N51:N72)</f>
        <v>2577</v>
      </c>
      <c r="O50" s="257"/>
      <c r="P50" s="255"/>
      <c r="Q50" s="238">
        <f>SUM(Q51:Q72)</f>
        <v>12245</v>
      </c>
      <c r="R50" s="257"/>
      <c r="S50" s="228"/>
      <c r="T50" s="228"/>
    </row>
    <row r="51" spans="2:20" s="4" customFormat="1" ht="15" customHeight="1">
      <c r="B51" s="463" t="str">
        <f>'корпоративный баланс энергии'!H59</f>
        <v>Финляндия (в энергосистему г.Санкт-Петербург и Ленинградской области)</v>
      </c>
      <c r="C51" s="463"/>
      <c r="D51" s="258"/>
      <c r="E51" s="244">
        <f>'корпоративный баланс энергии'!K59+'корпоративный баланс энергии'!N59+'корпоративный баланс энергии'!Q59</f>
        <v>0</v>
      </c>
      <c r="F51" s="259"/>
      <c r="G51" s="258"/>
      <c r="H51" s="244">
        <f>'корпоративный баланс энергии'!T59+'корпоративный баланс энергии'!W59+'корпоративный баланс энергии'!Z59</f>
        <v>0</v>
      </c>
      <c r="I51" s="259"/>
      <c r="J51" s="258"/>
      <c r="K51" s="244">
        <f>'корпоративный баланс энергии'!AC59+'корпоративный баланс энергии'!AF59+'корпоративный баланс энергии'!AI59</f>
        <v>0</v>
      </c>
      <c r="L51" s="259"/>
      <c r="M51" s="258"/>
      <c r="N51" s="244">
        <f>'корпоративный баланс энергии'!AL59+'корпоративный баланс энергии'!AO59+'корпоративный баланс энергии'!AR59</f>
        <v>0</v>
      </c>
      <c r="O51" s="259"/>
      <c r="P51" s="258"/>
      <c r="Q51" s="244">
        <f t="shared" ref="Q51:Q72" si="3">E51+H51+K51+N51</f>
        <v>0</v>
      </c>
      <c r="R51" s="259"/>
      <c r="S51" s="228"/>
      <c r="T51" s="228"/>
    </row>
    <row r="52" spans="2:20" s="4" customFormat="1" ht="15" customHeight="1">
      <c r="B52" s="463" t="str">
        <f>'корпоративный баланс энергии'!H60</f>
        <v>Монголия (в энергосистему Республики Бурятия)</v>
      </c>
      <c r="C52" s="463"/>
      <c r="D52" s="258"/>
      <c r="E52" s="244">
        <f>'корпоративный баланс энергии'!K60+'корпоративный баланс энергии'!N60+'корпоративный баланс энергии'!Q60</f>
        <v>0</v>
      </c>
      <c r="F52" s="259"/>
      <c r="G52" s="258"/>
      <c r="H52" s="244">
        <f>'корпоративный баланс энергии'!T60+'корпоративный баланс энергии'!W60+'корпоративный баланс энергии'!Z60</f>
        <v>0</v>
      </c>
      <c r="I52" s="259"/>
      <c r="J52" s="258"/>
      <c r="K52" s="244">
        <f>'корпоративный баланс энергии'!AC60+'корпоративный баланс энергии'!AF60+'корпоративный баланс энергии'!AI60</f>
        <v>0</v>
      </c>
      <c r="L52" s="259"/>
      <c r="M52" s="258"/>
      <c r="N52" s="244">
        <f>'корпоративный баланс энергии'!AL60+'корпоративный баланс энергии'!AO60+'корпоративный баланс энергии'!AR60</f>
        <v>0</v>
      </c>
      <c r="O52" s="259"/>
      <c r="P52" s="258"/>
      <c r="Q52" s="244">
        <f t="shared" si="3"/>
        <v>0</v>
      </c>
      <c r="R52" s="259"/>
      <c r="S52" s="228"/>
      <c r="T52" s="228"/>
    </row>
    <row r="53" spans="2:20" s="4" customFormat="1" ht="15" customHeight="1">
      <c r="B53" s="463" t="str">
        <f>'корпоративный баланс энергии'!H61</f>
        <v>Литва (в энергосистему Калининградской области)</v>
      </c>
      <c r="C53" s="463"/>
      <c r="D53" s="258"/>
      <c r="E53" s="244">
        <f>'корпоративный баланс энергии'!K61+'корпоративный баланс энергии'!N61+'корпоративный баланс энергии'!Q61</f>
        <v>0</v>
      </c>
      <c r="F53" s="259"/>
      <c r="G53" s="258"/>
      <c r="H53" s="244">
        <f>'корпоративный баланс энергии'!T61+'корпоративный баланс энергии'!W61+'корпоративный баланс энергии'!Z61</f>
        <v>0</v>
      </c>
      <c r="I53" s="259"/>
      <c r="J53" s="258"/>
      <c r="K53" s="244">
        <f>'корпоративный баланс энергии'!AC61+'корпоративный баланс энергии'!AF61+'корпоративный баланс энергии'!AI61</f>
        <v>0</v>
      </c>
      <c r="L53" s="259"/>
      <c r="M53" s="258"/>
      <c r="N53" s="244">
        <f>'корпоративный баланс энергии'!AL61+'корпоративный баланс энергии'!AO61+'корпоративный баланс энергии'!AR61</f>
        <v>0</v>
      </c>
      <c r="O53" s="259"/>
      <c r="P53" s="258"/>
      <c r="Q53" s="244">
        <f t="shared" si="3"/>
        <v>0</v>
      </c>
      <c r="R53" s="259"/>
      <c r="S53" s="228"/>
      <c r="T53" s="228"/>
    </row>
    <row r="54" spans="2:20" s="4" customFormat="1" ht="15" customHeight="1">
      <c r="B54" s="463" t="str">
        <f>'корпоративный баланс энергии'!H62</f>
        <v>Эстония (в энергосистему г.Санкт-Петербург и Ленинградской области)</v>
      </c>
      <c r="C54" s="463"/>
      <c r="D54" s="258"/>
      <c r="E54" s="244">
        <f>'корпоративный баланс энергии'!K62+'корпоративный баланс энергии'!N62+'корпоративный баланс энергии'!Q62</f>
        <v>0</v>
      </c>
      <c r="F54" s="259"/>
      <c r="G54" s="258"/>
      <c r="H54" s="244">
        <f>'корпоративный баланс энергии'!T62+'корпоративный баланс энергии'!W62+'корпоративный баланс энергии'!Z62</f>
        <v>80</v>
      </c>
      <c r="I54" s="259"/>
      <c r="J54" s="258"/>
      <c r="K54" s="244">
        <f>'корпоративный баланс энергии'!AC62+'корпоративный баланс энергии'!AF62+'корпоративный баланс энергии'!AI62</f>
        <v>25</v>
      </c>
      <c r="L54" s="259"/>
      <c r="M54" s="258"/>
      <c r="N54" s="244">
        <f>'корпоративный баланс энергии'!AL62+'корпоративный баланс энергии'!AO62+'корпоративный баланс энергии'!AR62</f>
        <v>65</v>
      </c>
      <c r="O54" s="259"/>
      <c r="P54" s="258"/>
      <c r="Q54" s="244">
        <f t="shared" si="3"/>
        <v>170</v>
      </c>
      <c r="R54" s="259"/>
      <c r="S54" s="228"/>
      <c r="T54" s="228"/>
    </row>
    <row r="55" spans="2:20" s="4" customFormat="1" ht="15" customHeight="1">
      <c r="B55" s="463" t="str">
        <f>'корпоративный баланс энергии'!H63</f>
        <v>Эстония (в энергосистему Псковской области)</v>
      </c>
      <c r="C55" s="463"/>
      <c r="D55" s="258"/>
      <c r="E55" s="244">
        <f>'корпоративный баланс энергии'!K63+'корпоративный баланс энергии'!N63+'корпоративный баланс энергии'!Q63</f>
        <v>180</v>
      </c>
      <c r="F55" s="259"/>
      <c r="G55" s="258"/>
      <c r="H55" s="244">
        <f>'корпоративный баланс энергии'!T63+'корпоративный баланс энергии'!W63+'корпоративный баланс энергии'!Z63</f>
        <v>110</v>
      </c>
      <c r="I55" s="259"/>
      <c r="J55" s="258"/>
      <c r="K55" s="244">
        <f>'корпоративный баланс энергии'!AC63+'корпоративный баланс энергии'!AF63+'корпоративный баланс энергии'!AI63</f>
        <v>40</v>
      </c>
      <c r="L55" s="259"/>
      <c r="M55" s="258"/>
      <c r="N55" s="244">
        <f>'корпоративный баланс энергии'!AL63+'корпоративный баланс энергии'!AO63+'корпоративный баланс энергии'!AR63</f>
        <v>120</v>
      </c>
      <c r="O55" s="259"/>
      <c r="P55" s="258"/>
      <c r="Q55" s="244">
        <f t="shared" si="3"/>
        <v>450</v>
      </c>
      <c r="R55" s="259"/>
      <c r="S55" s="228"/>
      <c r="T55" s="228"/>
    </row>
    <row r="56" spans="2:20" s="4" customFormat="1" ht="15" customHeight="1">
      <c r="B56" s="463" t="str">
        <f>'корпоративный баланс энергии'!H64</f>
        <v>Беларусь (в энергосистему Псковской области)</v>
      </c>
      <c r="C56" s="463"/>
      <c r="D56" s="258"/>
      <c r="E56" s="244">
        <f>'корпоративный баланс энергии'!K64+'корпоративный баланс энергии'!N64+'корпоративный баланс энергии'!Q64</f>
        <v>20</v>
      </c>
      <c r="F56" s="259"/>
      <c r="G56" s="258"/>
      <c r="H56" s="244">
        <f>'корпоративный баланс энергии'!T64+'корпоративный баланс энергии'!W64+'корпоративный баланс энергии'!Z64</f>
        <v>65</v>
      </c>
      <c r="I56" s="259"/>
      <c r="J56" s="258"/>
      <c r="K56" s="244">
        <f>'корпоративный баланс энергии'!AC64+'корпоративный баланс энергии'!AF64+'корпоративный баланс энергии'!AI64</f>
        <v>30</v>
      </c>
      <c r="L56" s="259"/>
      <c r="M56" s="258"/>
      <c r="N56" s="244">
        <f>'корпоративный баланс энергии'!AL64+'корпоративный баланс энергии'!AO64+'корпоративный баланс энергии'!AR64</f>
        <v>0</v>
      </c>
      <c r="O56" s="259"/>
      <c r="P56" s="258"/>
      <c r="Q56" s="244">
        <f t="shared" ref="Q56" si="4">E56+H56+K56+N56</f>
        <v>115</v>
      </c>
      <c r="R56" s="259"/>
      <c r="S56" s="228"/>
      <c r="T56" s="228"/>
    </row>
    <row r="57" spans="2:20" s="4" customFormat="1" ht="15" customHeight="1" thickBot="1">
      <c r="B57" s="463" t="str">
        <f>'корпоративный баланс энергии'!H65</f>
        <v>Беларусь (в энергосистему Брянской области)</v>
      </c>
      <c r="C57" s="463"/>
      <c r="D57" s="258"/>
      <c r="E57" s="244">
        <f>'корпоративный баланс энергии'!K65+'корпоративный баланс энергии'!N65+'корпоративный баланс энергии'!Q65</f>
        <v>80</v>
      </c>
      <c r="F57" s="259"/>
      <c r="G57" s="258"/>
      <c r="H57" s="244">
        <f>'корпоративный баланс энергии'!T65+'корпоративный баланс энергии'!W65+'корпоративный баланс энергии'!Z65</f>
        <v>70</v>
      </c>
      <c r="I57" s="259"/>
      <c r="J57" s="258"/>
      <c r="K57" s="244">
        <f>'корпоративный баланс энергии'!AC65+'корпоративный баланс энергии'!AF65+'корпоративный баланс энергии'!AI65</f>
        <v>65</v>
      </c>
      <c r="L57" s="259"/>
      <c r="M57" s="258"/>
      <c r="N57" s="244">
        <f>'корпоративный баланс энергии'!AL65+'корпоративный баланс энергии'!AO65+'корпоративный баланс энергии'!AR65</f>
        <v>70</v>
      </c>
      <c r="O57" s="259"/>
      <c r="P57" s="258"/>
      <c r="Q57" s="244">
        <f t="shared" si="3"/>
        <v>285</v>
      </c>
      <c r="R57" s="259"/>
      <c r="S57" s="228"/>
      <c r="T57" s="228"/>
    </row>
    <row r="58" spans="2:20" s="4" customFormat="1" ht="15" customHeight="1" thickBot="1">
      <c r="B58" s="463" t="str">
        <f>'корпоративный баланс энергии'!H66</f>
        <v>Украина (Харьков) (в энергосистему Белгородской области)</v>
      </c>
      <c r="C58" s="463"/>
      <c r="D58" s="304"/>
      <c r="E58" s="1053">
        <f>'корпоративный баланс энергии'!K66+'корпоративный баланс энергии'!N66+'корпоративный баланс энергии'!Q66</f>
        <v>490</v>
      </c>
      <c r="F58" s="448"/>
      <c r="G58" s="304"/>
      <c r="H58" s="1053">
        <f>'корпоративный баланс энергии'!T66+'корпоративный баланс энергии'!W66+'корпоративный баланс энергии'!Z66</f>
        <v>250</v>
      </c>
      <c r="I58" s="448"/>
      <c r="J58" s="304"/>
      <c r="K58" s="1053">
        <f>'корпоративный баланс энергии'!AC66+'корпоративный баланс энергии'!AF66+'корпоративный баланс энергии'!AI66</f>
        <v>180</v>
      </c>
      <c r="L58" s="448"/>
      <c r="M58" s="304"/>
      <c r="N58" s="1053">
        <f>'корпоративный баланс энергии'!AL66+'корпоративный баланс энергии'!AO66+'корпоративный баланс энергии'!AR66</f>
        <v>110</v>
      </c>
      <c r="O58" s="448"/>
      <c r="P58" s="304"/>
      <c r="Q58" s="1053">
        <f t="shared" si="3"/>
        <v>1030</v>
      </c>
      <c r="R58" s="448"/>
      <c r="S58" s="228"/>
      <c r="T58" s="228"/>
    </row>
    <row r="59" spans="2:20" s="4" customFormat="1" ht="15" customHeight="1" thickBot="1">
      <c r="B59" s="463" t="str">
        <f>'корпоративный баланс энергии'!H67</f>
        <v>Украина (Донбасс) (в энергосистему Воронежской области)</v>
      </c>
      <c r="C59" s="463"/>
      <c r="D59" s="304"/>
      <c r="E59" s="1054">
        <f>'корпоративный баланс энергии'!K67+'корпоративный баланс энергии'!N67+'корпоративный баланс энергии'!Q67</f>
        <v>1000</v>
      </c>
      <c r="F59" s="1055">
        <f>SUM(E58:E61)</f>
        <v>1490</v>
      </c>
      <c r="G59" s="304"/>
      <c r="H59" s="1054">
        <f>'корпоративный баланс энергии'!T67+'корпоративный баланс энергии'!W67+'корпоративный баланс энергии'!Z67</f>
        <v>830</v>
      </c>
      <c r="I59" s="1055">
        <f>SUM(H58:H61)</f>
        <v>1080</v>
      </c>
      <c r="J59" s="304"/>
      <c r="K59" s="1054">
        <f>'корпоративный баланс энергии'!AC67+'корпоративный баланс энергии'!AF67+'корпоративный баланс энергии'!AI67</f>
        <v>930</v>
      </c>
      <c r="L59" s="1055">
        <f>SUM(K58:K61)</f>
        <v>1110</v>
      </c>
      <c r="M59" s="304"/>
      <c r="N59" s="1054">
        <f>'корпоративный баланс энергии'!AL67+'корпоративный баланс энергии'!AO67+'корпоративный баланс энергии'!AR67</f>
        <v>940</v>
      </c>
      <c r="O59" s="1055">
        <f>SUM(N58:N61)</f>
        <v>1050</v>
      </c>
      <c r="P59" s="304"/>
      <c r="Q59" s="1054">
        <f t="shared" si="3"/>
        <v>3700</v>
      </c>
      <c r="R59" s="1055">
        <f>SUM(Q58:Q61)</f>
        <v>4730</v>
      </c>
      <c r="S59" s="228"/>
      <c r="T59" s="228"/>
    </row>
    <row r="60" spans="2:20" s="4" customFormat="1" ht="15" customHeight="1">
      <c r="B60" s="463" t="str">
        <f>'корпоративный баланс энергии'!H68</f>
        <v>Украина (Харьков) (в энергосистему Курской области)</v>
      </c>
      <c r="C60" s="463"/>
      <c r="D60" s="304"/>
      <c r="E60" s="1054">
        <f>'корпоративный баланс энергии'!K68+'корпоративный баланс энергии'!N68+'корпоративный баланс энергии'!Q68</f>
        <v>0</v>
      </c>
      <c r="F60" s="448"/>
      <c r="G60" s="304"/>
      <c r="H60" s="1054">
        <f>'корпоративный баланс энергии'!T68+'корпоративный баланс энергии'!W68+'корпоративный баланс энергии'!Z68</f>
        <v>0</v>
      </c>
      <c r="I60" s="448"/>
      <c r="J60" s="304"/>
      <c r="K60" s="1054">
        <f>'корпоративный баланс энергии'!AC68+'корпоративный баланс энергии'!AF68+'корпоративный баланс энергии'!AI68</f>
        <v>0</v>
      </c>
      <c r="L60" s="448"/>
      <c r="M60" s="304"/>
      <c r="N60" s="1054">
        <f>'корпоративный баланс энергии'!AL68+'корпоративный баланс энергии'!AO68+'корпоративный баланс энергии'!AR68</f>
        <v>0</v>
      </c>
      <c r="O60" s="448"/>
      <c r="P60" s="304"/>
      <c r="Q60" s="1054">
        <f t="shared" si="3"/>
        <v>0</v>
      </c>
      <c r="R60" s="448"/>
      <c r="S60" s="228"/>
      <c r="T60" s="228"/>
    </row>
    <row r="61" spans="2:20" s="4" customFormat="1" ht="15" customHeight="1" thickBot="1">
      <c r="B61" s="463" t="str">
        <f>'корпоративный баланс энергии'!H69</f>
        <v>Украина (Донбасс) (в энергосистему Ростовской области)</v>
      </c>
      <c r="C61" s="463"/>
      <c r="D61" s="304"/>
      <c r="E61" s="1056">
        <f>'корпоративный баланс энергии'!K69+'корпоративный баланс энергии'!N69+'корпоративный баланс энергии'!Q69</f>
        <v>0</v>
      </c>
      <c r="F61" s="448"/>
      <c r="G61" s="304"/>
      <c r="H61" s="1056">
        <f>'корпоративный баланс энергии'!T69+'корпоративный баланс энергии'!W69+'корпоративный баланс энергии'!Z69</f>
        <v>0</v>
      </c>
      <c r="I61" s="448"/>
      <c r="J61" s="304"/>
      <c r="K61" s="1056">
        <f>'корпоративный баланс энергии'!AC69+'корпоративный баланс энергии'!AF69+'корпоративный баланс энергии'!AI69</f>
        <v>0</v>
      </c>
      <c r="L61" s="448"/>
      <c r="M61" s="304"/>
      <c r="N61" s="1056">
        <f>'корпоративный баланс энергии'!AL69+'корпоративный баланс энергии'!AO69+'корпоративный баланс энергии'!AR69</f>
        <v>0</v>
      </c>
      <c r="O61" s="448"/>
      <c r="P61" s="304"/>
      <c r="Q61" s="1056">
        <f t="shared" si="3"/>
        <v>0</v>
      </c>
      <c r="R61" s="448"/>
      <c r="S61" s="228"/>
      <c r="T61" s="228"/>
    </row>
    <row r="62" spans="2:20" s="4" customFormat="1" ht="15" customHeight="1" thickBot="1">
      <c r="B62" s="463" t="str">
        <f>'корпоративный баланс энергии'!H70</f>
        <v>Украина (в энергосистему Республики Крым и г. Севастополь)</v>
      </c>
      <c r="C62" s="463"/>
      <c r="D62" s="304"/>
      <c r="E62" s="1062">
        <f>'корпоративный баланс энергии'!K70+'корпоративный баланс энергии'!N70+'корпоративный баланс энергии'!Q70</f>
        <v>0</v>
      </c>
      <c r="F62" s="448"/>
      <c r="G62" s="304"/>
      <c r="H62" s="1062">
        <f>'корпоративный баланс энергии'!T70+'корпоративный баланс энергии'!W70+'корпоративный баланс энергии'!Z70</f>
        <v>0</v>
      </c>
      <c r="I62" s="448"/>
      <c r="J62" s="304"/>
      <c r="K62" s="1062">
        <f>'корпоративный баланс энергии'!AC70+'корпоративный баланс энергии'!AF70+'корпоративный баланс энергии'!AI70</f>
        <v>0</v>
      </c>
      <c r="L62" s="448"/>
      <c r="M62" s="304"/>
      <c r="N62" s="1062">
        <f>'корпоративный баланс энергии'!AL70+'корпоративный баланс энергии'!AO70+'корпоративный баланс энергии'!AR70</f>
        <v>0</v>
      </c>
      <c r="O62" s="448"/>
      <c r="P62" s="304"/>
      <c r="Q62" s="1062">
        <f t="shared" si="3"/>
        <v>0</v>
      </c>
      <c r="R62" s="448"/>
      <c r="S62" s="228"/>
      <c r="T62" s="228"/>
    </row>
    <row r="63" spans="2:20" s="4" customFormat="1" ht="15" customHeight="1">
      <c r="B63" s="463" t="str">
        <f>'корпоративный баланс энергии'!H71</f>
        <v>Азербайджан (в энергосистему Республики Дагестан)</v>
      </c>
      <c r="C63" s="464"/>
      <c r="D63" s="244"/>
      <c r="E63" s="244">
        <f>'корпоративный баланс энергии'!K71+'корпоративный баланс энергии'!N71+'корпоративный баланс энергии'!Q71</f>
        <v>15</v>
      </c>
      <c r="F63" s="245"/>
      <c r="G63" s="244"/>
      <c r="H63" s="244">
        <f>'корпоративный баланс энергии'!T71+'корпоративный баланс энергии'!W71+'корпоративный баланс энергии'!Z71</f>
        <v>15</v>
      </c>
      <c r="I63" s="245"/>
      <c r="J63" s="244"/>
      <c r="K63" s="244">
        <f>'корпоративный баланс энергии'!AC71+'корпоративный баланс энергии'!AF71+'корпоративный баланс энергии'!AI71</f>
        <v>15</v>
      </c>
      <c r="L63" s="245"/>
      <c r="M63" s="244"/>
      <c r="N63" s="244">
        <f>'корпоративный баланс энергии'!AL71+'корпоративный баланс энергии'!AO71+'корпоративный баланс энергии'!AR71</f>
        <v>15</v>
      </c>
      <c r="O63" s="245"/>
      <c r="P63" s="244"/>
      <c r="Q63" s="244">
        <f t="shared" si="3"/>
        <v>60</v>
      </c>
      <c r="R63" s="245"/>
      <c r="S63" s="228"/>
      <c r="T63" s="228"/>
    </row>
    <row r="64" spans="2:20" s="4" customFormat="1" ht="15" customHeight="1">
      <c r="B64" s="463" t="str">
        <f>'корпоративный баланс энергии'!H72</f>
        <v>Грузия (в энергосистему Республики Адыгея и Краснодарского края)</v>
      </c>
      <c r="C64" s="464"/>
      <c r="D64" s="244"/>
      <c r="E64" s="244">
        <f>'корпоративный баланс энергии'!K72+'корпоративный баланс энергии'!N72+'корпоративный баланс энергии'!Q72</f>
        <v>0</v>
      </c>
      <c r="F64" s="245"/>
      <c r="G64" s="244"/>
      <c r="H64" s="244">
        <f>'корпоративный баланс энергии'!T72+'корпоративный баланс энергии'!W72+'корпоративный баланс энергии'!Z72</f>
        <v>45</v>
      </c>
      <c r="I64" s="245"/>
      <c r="J64" s="244"/>
      <c r="K64" s="244">
        <f>'корпоративный баланс энергии'!AC72+'корпоративный баланс энергии'!AF72+'корпоративный баланс энергии'!AI72</f>
        <v>40</v>
      </c>
      <c r="L64" s="245"/>
      <c r="M64" s="244"/>
      <c r="N64" s="244">
        <f>'корпоративный баланс энергии'!AL72+'корпоративный баланс энергии'!AO72+'корпоративный баланс энергии'!AR72</f>
        <v>0</v>
      </c>
      <c r="O64" s="245"/>
      <c r="P64" s="244"/>
      <c r="Q64" s="244">
        <f t="shared" si="3"/>
        <v>85</v>
      </c>
      <c r="R64" s="245"/>
      <c r="S64" s="228"/>
      <c r="T64" s="228"/>
    </row>
    <row r="65" spans="2:20" s="4" customFormat="1" ht="15" customHeight="1" thickBot="1">
      <c r="B65" s="463" t="str">
        <f>'корпоративный баланс энергии'!H73</f>
        <v>Абхазия (в энергосистему Республики Адыгея и Краснодарского края)</v>
      </c>
      <c r="C65" s="464"/>
      <c r="D65" s="244"/>
      <c r="E65" s="244">
        <f>'корпоративный баланс энергии'!K73+'корпоративный баланс энергии'!N73+'корпоративный баланс энергии'!Q73</f>
        <v>0</v>
      </c>
      <c r="F65" s="245"/>
      <c r="G65" s="244"/>
      <c r="H65" s="244">
        <f>'корпоративный баланс энергии'!T73+'корпоративный баланс энергии'!W73+'корпоративный баланс энергии'!Z73</f>
        <v>0</v>
      </c>
      <c r="I65" s="245"/>
      <c r="J65" s="244"/>
      <c r="K65" s="244">
        <f>'корпоративный баланс энергии'!AC73+'корпоративный баланс энергии'!AF73+'корпоративный баланс энергии'!AI73</f>
        <v>0</v>
      </c>
      <c r="L65" s="245"/>
      <c r="M65" s="244"/>
      <c r="N65" s="244">
        <f>'корпоративный баланс энергии'!AL73+'корпоративный баланс энергии'!AO73+'корпоративный баланс энергии'!AR73</f>
        <v>0</v>
      </c>
      <c r="O65" s="245"/>
      <c r="P65" s="244"/>
      <c r="Q65" s="244">
        <f t="shared" si="3"/>
        <v>0</v>
      </c>
      <c r="R65" s="245"/>
      <c r="S65" s="228"/>
      <c r="T65" s="228"/>
    </row>
    <row r="66" spans="2:20" s="4" customFormat="1" ht="15" customHeight="1">
      <c r="B66" s="463" t="str">
        <f>'корпоративный баланс энергии'!H74</f>
        <v>Западный Казахстан (в энергосистему Самарской области)</v>
      </c>
      <c r="C66" s="464"/>
      <c r="D66" s="253"/>
      <c r="E66" s="1057">
        <f>'корпоративный баланс энергии'!K74+'корпоративный баланс энергии'!N74+'корпоративный баланс энергии'!Q74</f>
        <v>230</v>
      </c>
      <c r="F66" s="446"/>
      <c r="G66" s="253"/>
      <c r="H66" s="1057">
        <f>'корпоративный баланс энергии'!T74+'корпоративный баланс энергии'!W74+'корпоративный баланс энергии'!Z74</f>
        <v>240</v>
      </c>
      <c r="I66" s="446"/>
      <c r="J66" s="253"/>
      <c r="K66" s="1057">
        <f>'корпоративный баланс энергии'!AC74+'корпоративный баланс энергии'!AF74+'корпоративный баланс энергии'!AI74</f>
        <v>210</v>
      </c>
      <c r="L66" s="446"/>
      <c r="M66" s="253"/>
      <c r="N66" s="1057">
        <f>'корпоративный баланс энергии'!AL74+'корпоративный баланс энергии'!AO74+'корпоративный баланс энергии'!AR74</f>
        <v>230</v>
      </c>
      <c r="O66" s="446"/>
      <c r="P66" s="253"/>
      <c r="Q66" s="1057">
        <f t="shared" si="3"/>
        <v>910</v>
      </c>
      <c r="R66" s="446"/>
      <c r="S66" s="228"/>
      <c r="T66" s="228"/>
    </row>
    <row r="67" spans="2:20" s="4" customFormat="1" ht="15" customHeight="1">
      <c r="B67" s="463" t="str">
        <f>'корпоративный баланс энергии'!H75</f>
        <v>Западный Казахстан (в энергосистему Оренбургской области)</v>
      </c>
      <c r="C67" s="464"/>
      <c r="D67" s="253"/>
      <c r="E67" s="1058">
        <f>'корпоративный баланс энергии'!K75+'корпоративный баланс энергии'!N75+'корпоративный баланс энергии'!Q75</f>
        <v>190</v>
      </c>
      <c r="F67" s="446"/>
      <c r="G67" s="253"/>
      <c r="H67" s="1058">
        <f>'корпоративный баланс энергии'!T75+'корпоративный баланс энергии'!W75+'корпоративный баланс энергии'!Z75</f>
        <v>260</v>
      </c>
      <c r="I67" s="446"/>
      <c r="J67" s="253"/>
      <c r="K67" s="1058">
        <f>'корпоративный баланс энергии'!AC75+'корпоративный баланс энергии'!AF75+'корпоративный баланс энергии'!AI75</f>
        <v>120</v>
      </c>
      <c r="L67" s="446"/>
      <c r="M67" s="253"/>
      <c r="N67" s="1058">
        <f>'корпоративный баланс энергии'!AL75+'корпоративный баланс энергии'!AO75+'корпоративный баланс энергии'!AR75</f>
        <v>130</v>
      </c>
      <c r="O67" s="446"/>
      <c r="P67" s="253"/>
      <c r="Q67" s="1058">
        <f t="shared" ref="Q67" si="5">E67+H67+K67+N67</f>
        <v>700</v>
      </c>
      <c r="R67" s="446"/>
      <c r="S67" s="228"/>
      <c r="T67" s="228"/>
    </row>
    <row r="68" spans="2:20" s="4" customFormat="1" ht="15" customHeight="1" thickBot="1">
      <c r="B68" s="463" t="str">
        <f>'корпоративный баланс энергии'!H76</f>
        <v>Северный Казахстан (в энергосистему Курганской области)</v>
      </c>
      <c r="C68" s="464"/>
      <c r="D68" s="253"/>
      <c r="E68" s="1058">
        <f>'корпоративный баланс энергии'!K76+'корпоративный баланс энергии'!N76+'корпоративный баланс энергии'!Q76</f>
        <v>20</v>
      </c>
      <c r="F68" s="446"/>
      <c r="G68" s="253"/>
      <c r="H68" s="1058">
        <f>'корпоративный баланс энергии'!T76+'корпоративный баланс энергии'!W76+'корпоративный баланс энергии'!Z76</f>
        <v>180</v>
      </c>
      <c r="I68" s="446"/>
      <c r="J68" s="253"/>
      <c r="K68" s="1058">
        <f>'корпоративный баланс энергии'!AC76+'корпоративный баланс энергии'!AF76+'корпоративный баланс энергии'!AI76</f>
        <v>5</v>
      </c>
      <c r="L68" s="446"/>
      <c r="M68" s="253"/>
      <c r="N68" s="1058">
        <f>'корпоративный баланс энергии'!AL76+'корпоративный баланс энергии'!AO76+'корпоративный баланс энергии'!AR76</f>
        <v>15</v>
      </c>
      <c r="O68" s="446"/>
      <c r="P68" s="253"/>
      <c r="Q68" s="1058">
        <f t="shared" si="3"/>
        <v>220</v>
      </c>
      <c r="R68" s="446"/>
      <c r="S68" s="228"/>
      <c r="T68" s="228"/>
    </row>
    <row r="69" spans="2:20" s="4" customFormat="1" ht="15" customHeight="1" thickBot="1">
      <c r="B69" s="463" t="str">
        <f>'корпоративный баланс энергии'!H77</f>
        <v>Северный Казахстан (в энергосистему Челябинской области)</v>
      </c>
      <c r="C69" s="465"/>
      <c r="D69" s="1059">
        <f>SUM(E66:E72)</f>
        <v>1967</v>
      </c>
      <c r="E69" s="1058">
        <f>'корпоративный баланс энергии'!K77+'корпоративный баланс энергии'!N77+'корпоративный баланс энергии'!Q77</f>
        <v>0</v>
      </c>
      <c r="F69" s="446"/>
      <c r="G69" s="1060">
        <f>SUM(H66:H72)</f>
        <v>1843</v>
      </c>
      <c r="H69" s="1058">
        <f>'корпоративный баланс энергии'!T77+'корпоративный баланс энергии'!W77+'корпоративный баланс энергии'!Z77</f>
        <v>50</v>
      </c>
      <c r="I69" s="446"/>
      <c r="J69" s="1060">
        <f>SUM(K66:K72)</f>
        <v>1283</v>
      </c>
      <c r="K69" s="1058">
        <f>'корпоративный баланс энергии'!AC77+'корпоративный баланс энергии'!AF77+'корпоративный баланс энергии'!AI77</f>
        <v>0</v>
      </c>
      <c r="L69" s="446"/>
      <c r="M69" s="1060">
        <f>SUM(N66:N72)</f>
        <v>1257</v>
      </c>
      <c r="N69" s="1058">
        <f>'корпоративный баланс энергии'!AL77+'корпоративный баланс энергии'!AO77+'корпоративный баланс энергии'!AR77</f>
        <v>0</v>
      </c>
      <c r="O69" s="446"/>
      <c r="P69" s="1060">
        <f>SUM(Q66:Q72)</f>
        <v>6350</v>
      </c>
      <c r="Q69" s="1058">
        <f t="shared" si="3"/>
        <v>50</v>
      </c>
      <c r="R69" s="446"/>
      <c r="S69" s="228"/>
      <c r="T69" s="228"/>
    </row>
    <row r="70" spans="2:20" s="4" customFormat="1" ht="15" customHeight="1">
      <c r="B70" s="463" t="str">
        <f>'корпоративный баланс энергии'!H78</f>
        <v>Северный Казахстан (в энергосистему Алтайского края и Республики Алтай)</v>
      </c>
      <c r="C70" s="465"/>
      <c r="D70" s="253"/>
      <c r="E70" s="1058">
        <f>'корпоративный баланс энергии'!K78+'корпоративный баланс энергии'!N78+'корпоративный баланс энергии'!Q78</f>
        <v>340</v>
      </c>
      <c r="F70" s="446"/>
      <c r="G70" s="253"/>
      <c r="H70" s="1058">
        <f>'корпоративный баланс энергии'!T78+'корпоративный баланс энергии'!W78+'корпоративный баланс энергии'!Z78</f>
        <v>150</v>
      </c>
      <c r="I70" s="446"/>
      <c r="J70" s="253"/>
      <c r="K70" s="1058">
        <f>'корпоративный баланс энергии'!AC78+'корпоративный баланс энергии'!AF78+'корпоративный баланс энергии'!AI78</f>
        <v>0</v>
      </c>
      <c r="L70" s="446"/>
      <c r="M70" s="253"/>
      <c r="N70" s="1058">
        <f>'корпоративный баланс энергии'!AL78+'корпоративный баланс энергии'!AO78+'корпоративный баланс энергии'!AR78</f>
        <v>0</v>
      </c>
      <c r="O70" s="446"/>
      <c r="P70" s="253"/>
      <c r="Q70" s="1058">
        <f t="shared" si="3"/>
        <v>490</v>
      </c>
      <c r="R70" s="446"/>
      <c r="S70" s="228"/>
      <c r="T70" s="228"/>
    </row>
    <row r="71" spans="2:20" s="4" customFormat="1" ht="15" customHeight="1">
      <c r="B71" s="463" t="str">
        <f>'корпоративный баланс энергии'!H79</f>
        <v>Северный Казахстан (в энергосистему Новосибирской области)</v>
      </c>
      <c r="C71" s="465"/>
      <c r="D71" s="253"/>
      <c r="E71" s="1058">
        <f>'корпоративный баланс энергии'!K79+'корпоративный баланс энергии'!N79+'корпоративный баланс энергии'!Q79</f>
        <v>117</v>
      </c>
      <c r="F71" s="446"/>
      <c r="G71" s="253"/>
      <c r="H71" s="1058">
        <f>'корпоративный баланс энергии'!T79+'корпоративный баланс энергии'!W79+'корпоративный баланс энергии'!Z79</f>
        <v>33</v>
      </c>
      <c r="I71" s="446"/>
      <c r="J71" s="253"/>
      <c r="K71" s="1058">
        <f>'корпоративный баланс энергии'!AC79+'корпоративный баланс энергии'!AF79+'корпоративный баланс энергии'!AI79</f>
        <v>48</v>
      </c>
      <c r="L71" s="446"/>
      <c r="M71" s="253"/>
      <c r="N71" s="1058">
        <f>'корпоративный баланс энергии'!AL79+'корпоративный баланс энергии'!AO79+'корпоративный баланс энергии'!AR79</f>
        <v>52</v>
      </c>
      <c r="O71" s="446"/>
      <c r="P71" s="695"/>
      <c r="Q71" s="1058">
        <f t="shared" si="3"/>
        <v>250</v>
      </c>
      <c r="R71" s="696"/>
      <c r="S71" s="228"/>
      <c r="T71" s="228"/>
    </row>
    <row r="72" spans="2:20" ht="16.5" thickBot="1">
      <c r="B72" s="463" t="str">
        <f>'корпоративный баланс энергии'!H80</f>
        <v>Северный Казахстан (в энергосистему Омской области)</v>
      </c>
      <c r="C72" s="465"/>
      <c r="D72" s="253"/>
      <c r="E72" s="1063">
        <f>'корпоративный баланс энергии'!K80+'корпоративный баланс энергии'!N80+'корпоративный баланс энергии'!Q80</f>
        <v>1070</v>
      </c>
      <c r="F72" s="446"/>
      <c r="G72" s="253"/>
      <c r="H72" s="1063">
        <f>'корпоративный баланс энергии'!T80+'корпоративный баланс энергии'!W80+'корпоративный баланс энергии'!Z80</f>
        <v>930</v>
      </c>
      <c r="I72" s="446"/>
      <c r="J72" s="253"/>
      <c r="K72" s="1063">
        <f>'корпоративный баланс энергии'!AC80+'корпоративный баланс энергии'!AF80+'корпоративный баланс энергии'!AI80</f>
        <v>900</v>
      </c>
      <c r="L72" s="446"/>
      <c r="M72" s="253"/>
      <c r="N72" s="1063">
        <f>'корпоративный баланс энергии'!AL80+'корпоративный баланс энергии'!AO80+'корпоративный баланс энергии'!AR80</f>
        <v>830</v>
      </c>
      <c r="O72" s="446"/>
      <c r="P72" s="253"/>
      <c r="Q72" s="1063">
        <f t="shared" si="3"/>
        <v>3730</v>
      </c>
      <c r="R72" s="446"/>
      <c r="S72" s="261"/>
      <c r="T72" s="261"/>
    </row>
    <row r="73" spans="2:20" ht="16.5" thickBot="1">
      <c r="B73" s="459"/>
      <c r="C73" s="459"/>
      <c r="D73" s="238"/>
      <c r="E73" s="238"/>
      <c r="F73" s="239"/>
      <c r="G73" s="238"/>
      <c r="H73" s="238"/>
      <c r="I73" s="239"/>
      <c r="J73" s="238"/>
      <c r="K73" s="238"/>
      <c r="L73" s="239"/>
      <c r="M73" s="238"/>
      <c r="N73" s="238"/>
      <c r="O73" s="239"/>
      <c r="P73" s="238"/>
      <c r="Q73" s="238"/>
      <c r="R73" s="239"/>
      <c r="S73" s="261"/>
      <c r="T73" s="261"/>
    </row>
    <row r="74" spans="2:20" ht="18.75">
      <c r="B74" s="469" t="s">
        <v>345</v>
      </c>
      <c r="C74" s="469"/>
      <c r="D74" s="266">
        <f t="shared" ref="D74:Q74" si="6">D79+D93+D96+D105+D129+D142+D149+D161+D167+D178+D276+D287+D299+D306+D312+D326+D345+D195</f>
        <v>69304.339723617231</v>
      </c>
      <c r="E74" s="264">
        <f t="shared" si="6"/>
        <v>-1495.0109927764206</v>
      </c>
      <c r="F74" s="265">
        <f t="shared" si="6"/>
        <v>67809.328730840818</v>
      </c>
      <c r="G74" s="266">
        <f t="shared" si="6"/>
        <v>52073.730792544149</v>
      </c>
      <c r="H74" s="264">
        <f t="shared" si="6"/>
        <v>3364.9916180129403</v>
      </c>
      <c r="I74" s="265">
        <f t="shared" si="6"/>
        <v>55438.722410557093</v>
      </c>
      <c r="J74" s="266">
        <f t="shared" si="6"/>
        <v>52031.843256723805</v>
      </c>
      <c r="K74" s="264">
        <f t="shared" si="6"/>
        <v>2644.9921682070417</v>
      </c>
      <c r="L74" s="265">
        <f t="shared" si="6"/>
        <v>54676.835424930847</v>
      </c>
      <c r="M74" s="266">
        <f t="shared" si="6"/>
        <v>69979.493353396407</v>
      </c>
      <c r="N74" s="264">
        <f t="shared" si="6"/>
        <v>-1780.0018564480815</v>
      </c>
      <c r="O74" s="265">
        <f t="shared" si="6"/>
        <v>68199.491496948322</v>
      </c>
      <c r="P74" s="266">
        <f t="shared" si="6"/>
        <v>243389.40712628156</v>
      </c>
      <c r="Q74" s="264">
        <f t="shared" si="6"/>
        <v>2734.9709369954944</v>
      </c>
      <c r="R74" s="414">
        <f>F74+I74+L74+O74</f>
        <v>246124.37806327708</v>
      </c>
      <c r="S74" s="261"/>
      <c r="T74" s="261"/>
    </row>
    <row r="75" spans="2:20">
      <c r="B75" s="10" t="s">
        <v>173</v>
      </c>
      <c r="C75" s="10"/>
      <c r="D75" s="223">
        <f>D80+D94+D97+D106+D130+D143+D150+D162+D168+D179+D277+D288+D300+D307+D313+D327+D346+D196</f>
        <v>39119.324749735868</v>
      </c>
      <c r="E75" s="271"/>
      <c r="F75" s="224"/>
      <c r="G75" s="223">
        <f>G80+G94+G97+G106+G130+G143+G150+G162+G168+G179+G277+G288+G300+G307+G313+G327+G346+G196</f>
        <v>26120.986178398914</v>
      </c>
      <c r="H75" s="271"/>
      <c r="I75" s="224"/>
      <c r="J75" s="223">
        <f>J80+J94+J97+J106+J130+J143+J150+J162+J168+J179+J277+J288+J300+J307+J313+J327+J346+J196</f>
        <v>27973.584014719178</v>
      </c>
      <c r="K75" s="271"/>
      <c r="L75" s="224"/>
      <c r="M75" s="223">
        <f>M80+M94+M97+M106+M130+M143+M150+M162+M168+M179+M277+M288+M300+M307+M313+M327+M346+M196</f>
        <v>36078.489666253881</v>
      </c>
      <c r="N75" s="271"/>
      <c r="O75" s="224"/>
      <c r="P75" s="223">
        <f>P80+P94+P97+P106+P130+P143+P150+P162+P168+P179+P277+P288+P300+P307+P313+P327+P346+P196</f>
        <v>129292.38460910786</v>
      </c>
      <c r="Q75" s="271"/>
      <c r="R75" s="364"/>
      <c r="S75" s="261"/>
      <c r="T75" s="261"/>
    </row>
    <row r="76" spans="2:20" ht="15" customHeight="1">
      <c r="B76" s="10" t="s">
        <v>55</v>
      </c>
      <c r="C76" s="10"/>
      <c r="D76" s="223">
        <f>D107+D278+D314+D347+D197</f>
        <v>852.86006415136717</v>
      </c>
      <c r="E76" s="271"/>
      <c r="F76" s="224"/>
      <c r="G76" s="223">
        <f>G107+G278+G314+G347+G197</f>
        <v>850.35888661523438</v>
      </c>
      <c r="H76" s="271"/>
      <c r="I76" s="224"/>
      <c r="J76" s="223">
        <f>J107+J278+J314+J347+J197</f>
        <v>795.2742418696289</v>
      </c>
      <c r="K76" s="271"/>
      <c r="L76" s="224"/>
      <c r="M76" s="223">
        <f>M107+M278+M314+M347+M197</f>
        <v>852.81113195751959</v>
      </c>
      <c r="N76" s="271"/>
      <c r="O76" s="224"/>
      <c r="P76" s="223">
        <f>P107+P278+P314+P347+P197</f>
        <v>3351.3043245937497</v>
      </c>
      <c r="Q76" s="271"/>
      <c r="R76" s="364"/>
      <c r="S76" s="261"/>
      <c r="T76" s="261"/>
    </row>
    <row r="77" spans="2:20">
      <c r="B77" s="10" t="s">
        <v>98</v>
      </c>
      <c r="C77" s="10"/>
      <c r="D77" s="223">
        <f>D131+D169+D301+D315</f>
        <v>26248</v>
      </c>
      <c r="E77" s="271"/>
      <c r="F77" s="224"/>
      <c r="G77" s="223">
        <f>G131+G169+G301+G315</f>
        <v>22386</v>
      </c>
      <c r="H77" s="271"/>
      <c r="I77" s="224"/>
      <c r="J77" s="223">
        <f>J131+J169+J301+J315</f>
        <v>20500</v>
      </c>
      <c r="K77" s="271"/>
      <c r="L77" s="224"/>
      <c r="M77" s="223">
        <f>M131+M169+M301+M315</f>
        <v>29826</v>
      </c>
      <c r="N77" s="271"/>
      <c r="O77" s="224"/>
      <c r="P77" s="223">
        <f>P131+P169+P301+P315</f>
        <v>98960</v>
      </c>
      <c r="Q77" s="271"/>
      <c r="R77" s="364"/>
      <c r="S77" s="261"/>
      <c r="T77" s="261"/>
    </row>
    <row r="78" spans="2:20" ht="16.5" thickBot="1">
      <c r="B78" s="121" t="s">
        <v>99</v>
      </c>
      <c r="C78" s="484"/>
      <c r="D78" s="272">
        <f>D81+D98+D108+D151+D170+D180+D279+D308+D328+D348+D198</f>
        <v>3084.1549097299994</v>
      </c>
      <c r="E78" s="273"/>
      <c r="F78" s="233"/>
      <c r="G78" s="272">
        <f>G81+G98+G108+G151+G170+G180+G279+G308+G328+G348+G198</f>
        <v>2716.3857275299997</v>
      </c>
      <c r="H78" s="273"/>
      <c r="I78" s="233"/>
      <c r="J78" s="272">
        <f>J81+J98+J108+J151+J170+J180+J279+J308+J328+J348+J198</f>
        <v>2762.9850001350001</v>
      </c>
      <c r="K78" s="273"/>
      <c r="L78" s="233"/>
      <c r="M78" s="272">
        <f>M81+M98+M108+M151+M170+M180+M279+M308+M328+M348+M198</f>
        <v>3222.1925551849999</v>
      </c>
      <c r="N78" s="273"/>
      <c r="O78" s="233"/>
      <c r="P78" s="272">
        <f>P81+P98+P108+P151+P170+P180+P279+P308+P328+P348+P198</f>
        <v>11785.71819258</v>
      </c>
      <c r="Q78" s="273"/>
      <c r="R78" s="233"/>
      <c r="S78" s="261"/>
      <c r="T78" s="261"/>
    </row>
    <row r="79" spans="2:20" ht="18.75">
      <c r="B79" s="470" t="str">
        <f>'корпоративный баланс энергии'!H87</f>
        <v>Энергосистема Белгородской области</v>
      </c>
      <c r="C79" s="485"/>
      <c r="D79" s="274">
        <f>D80+D81</f>
        <v>307.34494100000001</v>
      </c>
      <c r="E79" s="275">
        <f>F79-D79</f>
        <v>3912.6634167223942</v>
      </c>
      <c r="F79" s="276">
        <f>'корпоративный баланс энергии'!L87+'корпоративный баланс энергии'!O87+'корпоративный баланс энергии'!R87</f>
        <v>4220.0083577223941</v>
      </c>
      <c r="G79" s="274">
        <f>G80+G81</f>
        <v>142.65618800000001</v>
      </c>
      <c r="H79" s="275">
        <f>I79-G79</f>
        <v>3653.4520242525077</v>
      </c>
      <c r="I79" s="276">
        <f>'корпоративный баланс энергии'!U87+'корпоративный баланс энергии'!X87+'корпоративный баланс энергии'!AA87</f>
        <v>3796.1082122525077</v>
      </c>
      <c r="J79" s="274">
        <f>J80+J81</f>
        <v>120.79756200000001</v>
      </c>
      <c r="K79" s="275">
        <f>L79-J79</f>
        <v>3713.3884082058976</v>
      </c>
      <c r="L79" s="276">
        <f>'корпоративный баланс энергии'!AD87+'корпоративный баланс энергии'!AG87+'корпоративный баланс энергии'!AJ87</f>
        <v>3834.1859702058978</v>
      </c>
      <c r="M79" s="274">
        <f>M80+M81</f>
        <v>359.81671299999999</v>
      </c>
      <c r="N79" s="275">
        <f>O79-M79</f>
        <v>3972.9107468191996</v>
      </c>
      <c r="O79" s="276">
        <f>'корпоративный баланс энергии'!AM87+'корпоративный баланс энергии'!AP87+'корпоративный баланс энергии'!AS87</f>
        <v>4332.7274598191998</v>
      </c>
      <c r="P79" s="277">
        <f>P80+P81</f>
        <v>930.61540400000013</v>
      </c>
      <c r="Q79" s="275">
        <f>R79-P79</f>
        <v>15252.414595999999</v>
      </c>
      <c r="R79" s="276">
        <f>F79+I79+L79+O79</f>
        <v>16183.029999999999</v>
      </c>
      <c r="S79" s="261"/>
      <c r="T79" s="261"/>
    </row>
    <row r="80" spans="2:20">
      <c r="B80" s="10" t="s">
        <v>173</v>
      </c>
      <c r="C80" s="483"/>
      <c r="D80" s="270">
        <f>SUM(D82:D85)</f>
        <v>304.99747200000002</v>
      </c>
      <c r="E80" s="271"/>
      <c r="F80" s="224"/>
      <c r="G80" s="223">
        <f>SUM(G82:G85)</f>
        <v>141.64268800000002</v>
      </c>
      <c r="H80" s="271"/>
      <c r="I80" s="224"/>
      <c r="J80" s="223">
        <f>SUM(J82:J85)</f>
        <v>94.850196000000011</v>
      </c>
      <c r="K80" s="271"/>
      <c r="L80" s="224"/>
      <c r="M80" s="223">
        <f>SUM(M82:M85)</f>
        <v>305.509524</v>
      </c>
      <c r="N80" s="271"/>
      <c r="O80" s="224"/>
      <c r="P80" s="223">
        <f>SUM(P82:P85)</f>
        <v>846.99988000000008</v>
      </c>
      <c r="Q80" s="271"/>
      <c r="R80" s="364"/>
      <c r="S80" s="261"/>
      <c r="T80" s="261"/>
    </row>
    <row r="81" spans="2:20">
      <c r="B81" s="10" t="s">
        <v>99</v>
      </c>
      <c r="C81" s="483"/>
      <c r="D81" s="270">
        <f>D86</f>
        <v>2.3474690000000002</v>
      </c>
      <c r="E81" s="271"/>
      <c r="F81" s="224"/>
      <c r="G81" s="223">
        <f>G86</f>
        <v>1.0135000000000001</v>
      </c>
      <c r="H81" s="271"/>
      <c r="I81" s="224"/>
      <c r="J81" s="223">
        <f>J86</f>
        <v>25.947365999999999</v>
      </c>
      <c r="K81" s="271"/>
      <c r="L81" s="224"/>
      <c r="M81" s="223">
        <f>M86</f>
        <v>54.307189000000001</v>
      </c>
      <c r="N81" s="271"/>
      <c r="O81" s="224"/>
      <c r="P81" s="223">
        <f>P86</f>
        <v>83.615524000000022</v>
      </c>
      <c r="Q81" s="271"/>
      <c r="R81" s="364"/>
      <c r="S81" s="261"/>
      <c r="T81" s="261"/>
    </row>
    <row r="82" spans="2:20" ht="15" customHeight="1">
      <c r="B82" s="122" t="str">
        <f>'корпоративный баланс энергии'!H90</f>
        <v>Белгородская ТЭЦ (ГТУ-1, ГТУ-2) (Белгородский филиал ПАО "Квадра")</v>
      </c>
      <c r="C82" s="516" t="s">
        <v>364</v>
      </c>
      <c r="D82" s="281">
        <f>'корпоративный баланс энергии'!J90+'корпоративный баланс энергии'!M90+'корпоративный баланс энергии'!P90</f>
        <v>119.07254399999999</v>
      </c>
      <c r="E82" s="246"/>
      <c r="F82" s="282"/>
      <c r="G82" s="244">
        <f>'корпоративный баланс энергии'!S90+'корпоративный баланс энергии'!V90+'корпоративный баланс энергии'!Y90</f>
        <v>52.588979999999992</v>
      </c>
      <c r="H82" s="246"/>
      <c r="I82" s="282"/>
      <c r="J82" s="244">
        <f>'корпоративный баланс энергии'!AB90+'корпоративный баланс энергии'!AE90+'корпоративный баланс энергии'!AH90</f>
        <v>36.238216000000001</v>
      </c>
      <c r="K82" s="246"/>
      <c r="L82" s="282"/>
      <c r="M82" s="244">
        <f>'корпоративный баланс энергии'!AK90+'корпоративный баланс энергии'!AN90+'корпоративный баланс энергии'!AQ90</f>
        <v>121.67973599999999</v>
      </c>
      <c r="N82" s="246"/>
      <c r="O82" s="282"/>
      <c r="P82" s="244">
        <f>D82+G82+J82+M82</f>
        <v>329.579476</v>
      </c>
      <c r="Q82" s="283"/>
      <c r="R82" s="299"/>
      <c r="S82" s="261"/>
      <c r="T82" s="261"/>
    </row>
    <row r="83" spans="2:20">
      <c r="B83" s="122" t="str">
        <f>'корпоративный баланс энергии'!H91</f>
        <v>Губкинская ТЭЦ (Белгородский филиал ПАО "Квадра")</v>
      </c>
      <c r="C83" s="516" t="s">
        <v>364</v>
      </c>
      <c r="D83" s="281">
        <f>'корпоративный баланс энергии'!J91+'корпоративный баланс энергии'!M91+'корпоративный баланс энергии'!P91</f>
        <v>38.313600000000001</v>
      </c>
      <c r="E83" s="246"/>
      <c r="F83" s="282"/>
      <c r="G83" s="244">
        <f>'корпоративный баланс энергии'!S91+'корпоративный баланс энергии'!V91+'корпоративный баланс энергии'!Y91</f>
        <v>13.118400000000003</v>
      </c>
      <c r="H83" s="246"/>
      <c r="I83" s="282"/>
      <c r="J83" s="244">
        <f>'корпоративный баланс энергии'!AB91+'корпоративный баланс энергии'!AE91+'корпоративный баланс энергии'!AH91</f>
        <v>12.559200000000001</v>
      </c>
      <c r="K83" s="246"/>
      <c r="L83" s="282"/>
      <c r="M83" s="244">
        <f>'корпоративный баланс энергии'!AK91+'корпоративный баланс энергии'!AN91+'корпоративный баланс энергии'!AQ91</f>
        <v>31.831056</v>
      </c>
      <c r="N83" s="246"/>
      <c r="O83" s="282"/>
      <c r="P83" s="244">
        <f>D83+G83+J83+M83</f>
        <v>95.82225600000001</v>
      </c>
      <c r="Q83" s="283"/>
      <c r="R83" s="299"/>
      <c r="S83" s="261"/>
      <c r="T83" s="261"/>
    </row>
    <row r="84" spans="2:20">
      <c r="B84" s="122" t="str">
        <f>'корпоративный баланс энергии'!H92</f>
        <v>ГТУ -ТЭЦ "Луч" (Белгородский филиал ПАО "Квадра")</v>
      </c>
      <c r="C84" s="516" t="s">
        <v>364</v>
      </c>
      <c r="D84" s="281">
        <f>'корпоративный баланс энергии'!J92+'корпоративный баланс энергии'!M92+'корпоративный баланс энергии'!P92</f>
        <v>112.369128</v>
      </c>
      <c r="E84" s="246"/>
      <c r="F84" s="282"/>
      <c r="G84" s="244">
        <f>'корпоративный баланс энергии'!S92+'корпоративный баланс энергии'!V92+'корпоративный баланс энергии'!Y92</f>
        <v>72.81340800000001</v>
      </c>
      <c r="H84" s="246"/>
      <c r="I84" s="282"/>
      <c r="J84" s="244">
        <f>'корпоративный баланс энергии'!AB92+'корпоративный баланс энергии'!AE92+'корпоративный баланс энергии'!AH92</f>
        <v>45.871080000000006</v>
      </c>
      <c r="K84" s="246"/>
      <c r="L84" s="282"/>
      <c r="M84" s="244">
        <f>'корпоративный баланс энергии'!AK92+'корпоративный баланс энергии'!AN92+'корпоративный баланс энергии'!AQ92</f>
        <v>124.55923199999998</v>
      </c>
      <c r="N84" s="246"/>
      <c r="O84" s="282"/>
      <c r="P84" s="244">
        <f>D84+G84+J84+M84</f>
        <v>355.61284799999999</v>
      </c>
      <c r="Q84" s="283"/>
      <c r="R84" s="299"/>
      <c r="S84" s="261"/>
      <c r="T84" s="261"/>
    </row>
    <row r="85" spans="2:20">
      <c r="B85" s="122" t="str">
        <f>'корпоративный баланс энергии'!H93</f>
        <v>ГТ-ТЭЦ "Мичуринская" (АО "ГТ Энерго"")</v>
      </c>
      <c r="C85" s="516" t="s">
        <v>364</v>
      </c>
      <c r="D85" s="281">
        <f>'корпоративный баланс энергии'!J93+'корпоративный баланс энергии'!M93+'корпоративный баланс энергии'!P93</f>
        <v>35.242199999999997</v>
      </c>
      <c r="E85" s="246"/>
      <c r="F85" s="282"/>
      <c r="G85" s="244">
        <f>'корпоративный баланс энергии'!S93+'корпоративный баланс энергии'!V93+'корпоративный баланс энергии'!Y93</f>
        <v>3.1219000000000001</v>
      </c>
      <c r="H85" s="246"/>
      <c r="I85" s="282"/>
      <c r="J85" s="244">
        <f>'корпоративный баланс энергии'!AB93+'корпоративный баланс энергии'!AE93+'корпоративный баланс энергии'!AH93</f>
        <v>0.1817</v>
      </c>
      <c r="K85" s="246"/>
      <c r="L85" s="282"/>
      <c r="M85" s="244">
        <f>'корпоративный баланс энергии'!AK93+'корпоративный баланс энергии'!AN93+'корпоративный баланс энергии'!AQ93</f>
        <v>27.439500000000002</v>
      </c>
      <c r="N85" s="246"/>
      <c r="O85" s="282"/>
      <c r="P85" s="244">
        <f>D85+G85+J85+M85</f>
        <v>65.985299999999995</v>
      </c>
      <c r="Q85" s="283"/>
      <c r="R85" s="299"/>
      <c r="S85" s="261"/>
      <c r="T85" s="261"/>
    </row>
    <row r="86" spans="2:20">
      <c r="B86" s="138" t="s">
        <v>174</v>
      </c>
      <c r="C86" s="515"/>
      <c r="D86" s="287">
        <f>SUM(D87:D92)</f>
        <v>2.3474690000000002</v>
      </c>
      <c r="E86" s="288"/>
      <c r="F86" s="289"/>
      <c r="G86" s="287">
        <f>SUM(G87:G92)</f>
        <v>1.0135000000000001</v>
      </c>
      <c r="H86" s="288"/>
      <c r="I86" s="289"/>
      <c r="J86" s="287">
        <f>SUM(J87:J92)</f>
        <v>25.947365999999999</v>
      </c>
      <c r="K86" s="288"/>
      <c r="L86" s="289"/>
      <c r="M86" s="287">
        <f>SUM(M87:M92)</f>
        <v>54.307189000000001</v>
      </c>
      <c r="N86" s="288"/>
      <c r="O86" s="289"/>
      <c r="P86" s="287">
        <f>SUM(P87:P92)</f>
        <v>83.615524000000022</v>
      </c>
      <c r="Q86" s="288"/>
      <c r="R86" s="289"/>
      <c r="S86" s="261"/>
      <c r="T86" s="261"/>
    </row>
    <row r="87" spans="2:20">
      <c r="B87" s="136" t="str">
        <f>'корпоративный баланс энергии'!H95</f>
        <v xml:space="preserve">ТЭЦ ОАО "Валуйкисахар"                                                                                                   </v>
      </c>
      <c r="C87" s="515" t="s">
        <v>365</v>
      </c>
      <c r="D87" s="293">
        <f>'корпоративный баланс энергии'!J95+'корпоративный баланс энергии'!M95+'корпоративный баланс энергии'!P95</f>
        <v>0</v>
      </c>
      <c r="E87" s="288"/>
      <c r="F87" s="289"/>
      <c r="G87" s="294">
        <f>'корпоративный баланс энергии'!S95+'корпоративный баланс энергии'!V95+'корпоративный баланс энергии'!Y95</f>
        <v>0</v>
      </c>
      <c r="H87" s="288"/>
      <c r="I87" s="289"/>
      <c r="J87" s="294">
        <f>'корпоративный баланс энергии'!AB95+'корпоративный баланс энергии'!AE95+'корпоративный баланс энергии'!AH95</f>
        <v>4.6403530000000002</v>
      </c>
      <c r="K87" s="288"/>
      <c r="L87" s="289"/>
      <c r="M87" s="294">
        <f>'корпоративный баланс энергии'!AK95+'корпоративный баланс энергии'!AN95+'корпоративный баланс энергии'!AQ95</f>
        <v>9.3994619999999998</v>
      </c>
      <c r="N87" s="288"/>
      <c r="O87" s="289"/>
      <c r="P87" s="294">
        <f t="shared" ref="P87:P92" si="7">D87+G87+J87+M87</f>
        <v>14.039815000000001</v>
      </c>
      <c r="Q87" s="288"/>
      <c r="R87" s="289"/>
      <c r="S87" s="261"/>
      <c r="T87" s="261"/>
    </row>
    <row r="88" spans="2:20">
      <c r="B88" s="136" t="str">
        <f>'корпоративный баланс энергии'!H96</f>
        <v xml:space="preserve">ТЭЦ ООО "Дмитротарановский сахарный завод"                                                                     </v>
      </c>
      <c r="C88" s="515" t="s">
        <v>365</v>
      </c>
      <c r="D88" s="293">
        <f>'корпоративный баланс энергии'!J96+'корпоративный баланс энергии'!M96+'корпоративный баланс энергии'!P96</f>
        <v>1.2798689999999999</v>
      </c>
      <c r="E88" s="288"/>
      <c r="F88" s="289"/>
      <c r="G88" s="294">
        <f>'корпоративный баланс энергии'!S96+'корпоративный баланс энергии'!V96+'корпоративный баланс энергии'!Y96</f>
        <v>0</v>
      </c>
      <c r="H88" s="288"/>
      <c r="I88" s="289"/>
      <c r="J88" s="294">
        <f>'корпоративный баланс энергии'!AB96+'корпоративный баланс энергии'!AE96+'корпоративный баланс энергии'!AH96</f>
        <v>6.3061530000000001</v>
      </c>
      <c r="K88" s="288"/>
      <c r="L88" s="289"/>
      <c r="M88" s="294">
        <f>'корпоративный баланс энергии'!AK96+'корпоративный баланс энергии'!AN96+'корпоративный баланс энергии'!AQ96</f>
        <v>13.272969999999999</v>
      </c>
      <c r="N88" s="288"/>
      <c r="O88" s="289"/>
      <c r="P88" s="294">
        <f t="shared" si="7"/>
        <v>20.858992000000001</v>
      </c>
      <c r="Q88" s="288"/>
      <c r="R88" s="289"/>
      <c r="S88" s="261"/>
      <c r="T88" s="261"/>
    </row>
    <row r="89" spans="2:20">
      <c r="B89" s="136" t="str">
        <f>'корпоративный баланс энергии'!H97</f>
        <v xml:space="preserve">ТЭЦ АО "Сахарный комбинат "Большевик"                                                                                                                                    </v>
      </c>
      <c r="C89" s="515" t="s">
        <v>365</v>
      </c>
      <c r="D89" s="293">
        <f>'корпоративный баланс энергии'!J97+'корпоративный баланс энергии'!M97+'корпоративный баланс энергии'!P97</f>
        <v>0</v>
      </c>
      <c r="E89" s="288"/>
      <c r="F89" s="289"/>
      <c r="G89" s="294">
        <f>'корпоративный баланс энергии'!S97+'корпоративный баланс энергии'!V97+'корпоративный баланс энергии'!Y97</f>
        <v>0</v>
      </c>
      <c r="H89" s="288"/>
      <c r="I89" s="289"/>
      <c r="J89" s="294">
        <f>'корпоративный баланс энергии'!AB97+'корпоративный баланс энергии'!AE97+'корпоративный баланс энергии'!AH97</f>
        <v>4.78064</v>
      </c>
      <c r="K89" s="288"/>
      <c r="L89" s="289"/>
      <c r="M89" s="294">
        <f>'корпоративный баланс энергии'!AK97+'корпоративный баланс энергии'!AN97+'корпоративный баланс энергии'!AQ97</f>
        <v>9.4871739999999996</v>
      </c>
      <c r="N89" s="288"/>
      <c r="O89" s="289"/>
      <c r="P89" s="294">
        <f t="shared" si="7"/>
        <v>14.267814</v>
      </c>
      <c r="Q89" s="288"/>
      <c r="R89" s="289"/>
      <c r="S89" s="261"/>
      <c r="T89" s="261"/>
    </row>
    <row r="90" spans="2:20" s="154" customFormat="1">
      <c r="B90" s="136" t="str">
        <f>'корпоративный баланс энергии'!H98</f>
        <v xml:space="preserve">ТЭЦ ООО "Краснояружский сахарник"                                                                  </v>
      </c>
      <c r="C90" s="515" t="s">
        <v>365</v>
      </c>
      <c r="D90" s="293">
        <f>'корпоративный баланс энергии'!J98+'корпоративный баланс энергии'!M98+'корпоративный баланс энергии'!P98</f>
        <v>0</v>
      </c>
      <c r="E90" s="288"/>
      <c r="F90" s="289"/>
      <c r="G90" s="294">
        <f>'корпоративный баланс энергии'!S98+'корпоративный баланс энергии'!V98+'корпоративный баланс энергии'!Y98</f>
        <v>0</v>
      </c>
      <c r="H90" s="288"/>
      <c r="I90" s="289"/>
      <c r="J90" s="294">
        <f>'корпоративный баланс энергии'!AB98+'корпоративный баланс энергии'!AE98+'корпоративный баланс энергии'!AH98</f>
        <v>4.7155199999999997</v>
      </c>
      <c r="K90" s="288"/>
      <c r="L90" s="289"/>
      <c r="M90" s="294">
        <f>'корпоративный баланс энергии'!AK98+'корпоративный баланс энергии'!AN98+'корпоративный баланс энергии'!AQ98</f>
        <v>10.686720000000001</v>
      </c>
      <c r="N90" s="288"/>
      <c r="O90" s="289"/>
      <c r="P90" s="294">
        <f t="shared" si="7"/>
        <v>15.402240000000001</v>
      </c>
      <c r="Q90" s="288"/>
      <c r="R90" s="289"/>
      <c r="S90" s="297"/>
      <c r="T90" s="297"/>
    </row>
    <row r="91" spans="2:20">
      <c r="B91" s="136" t="str">
        <f>'корпоративный баланс энергии'!H99</f>
        <v>ТЭЦ Ника ООО "Группа Компаний "Русагро"</v>
      </c>
      <c r="C91" s="515" t="s">
        <v>365</v>
      </c>
      <c r="D91" s="293">
        <f>'корпоративный баланс энергии'!J99+'корпоративный баланс энергии'!M99+'корпоративный баланс энергии'!P99</f>
        <v>0</v>
      </c>
      <c r="E91" s="288"/>
      <c r="F91" s="289"/>
      <c r="G91" s="294">
        <f>'корпоративный баланс энергии'!S99+'корпоративный баланс энергии'!V99+'корпоративный баланс энергии'!Y99</f>
        <v>0</v>
      </c>
      <c r="H91" s="288"/>
      <c r="I91" s="289"/>
      <c r="J91" s="294">
        <f>'корпоративный баланс энергии'!AB99+'корпоративный баланс энергии'!AE99+'корпоративный баланс энергии'!AH99</f>
        <v>4.4400000000000004</v>
      </c>
      <c r="K91" s="288"/>
      <c r="L91" s="289"/>
      <c r="M91" s="294">
        <f>'корпоративный баланс энергии'!AK99+'корпоративный баланс энергии'!AN99+'корпоративный баланс энергии'!AQ99</f>
        <v>10.404063000000001</v>
      </c>
      <c r="N91" s="288"/>
      <c r="O91" s="289"/>
      <c r="P91" s="294">
        <f t="shared" si="7"/>
        <v>14.844063000000002</v>
      </c>
      <c r="Q91" s="288"/>
      <c r="R91" s="289"/>
      <c r="S91" s="261"/>
      <c r="T91" s="261"/>
    </row>
    <row r="92" spans="2:20">
      <c r="B92" s="136" t="str">
        <f>'корпоративный баланс энергии'!H100</f>
        <v xml:space="preserve">ООО "Альтэнерго"                                                                                                                                         </v>
      </c>
      <c r="C92" s="515" t="s">
        <v>365</v>
      </c>
      <c r="D92" s="293">
        <f>'корпоративный баланс энергии'!J100+'корпоративный баланс энергии'!M100+'корпоративный баланс энергии'!P100</f>
        <v>1.0676000000000001</v>
      </c>
      <c r="E92" s="288"/>
      <c r="F92" s="289"/>
      <c r="G92" s="294">
        <f>'корпоративный баланс энергии'!S100+'корпоративный баланс энергии'!V100+'корпоративный баланс энергии'!Y100</f>
        <v>1.0135000000000001</v>
      </c>
      <c r="H92" s="288"/>
      <c r="I92" s="289"/>
      <c r="J92" s="294">
        <f>'корпоративный баланс энергии'!AB100+'корпоративный баланс энергии'!AE100+'корпоративный баланс энергии'!AH100</f>
        <v>1.0647</v>
      </c>
      <c r="K92" s="288"/>
      <c r="L92" s="289"/>
      <c r="M92" s="294">
        <f>'корпоративный баланс энергии'!AK100+'корпоративный баланс энергии'!AN100+'корпоративный баланс энергии'!AQ100</f>
        <v>1.0568</v>
      </c>
      <c r="N92" s="288"/>
      <c r="O92" s="289"/>
      <c r="P92" s="294">
        <f t="shared" si="7"/>
        <v>4.2026000000000003</v>
      </c>
      <c r="Q92" s="288"/>
      <c r="R92" s="289"/>
      <c r="S92" s="261"/>
      <c r="T92" s="261"/>
    </row>
    <row r="93" spans="2:20" ht="18.75">
      <c r="B93" s="470" t="str">
        <f>'корпоративный баланс энергии'!H101</f>
        <v>Энергосистема Брянской области</v>
      </c>
      <c r="C93" s="485"/>
      <c r="D93" s="274">
        <f>D94</f>
        <v>7.2549999999999999</v>
      </c>
      <c r="E93" s="275">
        <f>F93-D93</f>
        <v>1227.7446091242596</v>
      </c>
      <c r="F93" s="276">
        <f>'корпоративный баланс энергии'!L101+'корпоративный баланс энергии'!O101+'корпоративный баланс энергии'!R101</f>
        <v>1234.9996091242597</v>
      </c>
      <c r="G93" s="274">
        <f>G94</f>
        <v>7.68</v>
      </c>
      <c r="H93" s="275">
        <f>I93-G93</f>
        <v>968.83111400048915</v>
      </c>
      <c r="I93" s="276">
        <f>'корпоративный баланс энергии'!U101+'корпоративный баланс энергии'!X101+'корпоративный баланс энергии'!AA101</f>
        <v>976.5111140004891</v>
      </c>
      <c r="J93" s="274">
        <f>J94</f>
        <v>8.3000000000000007</v>
      </c>
      <c r="K93" s="275">
        <f>L93-J93</f>
        <v>956.31238878362751</v>
      </c>
      <c r="L93" s="276">
        <f>'корпоративный баланс энергии'!AD101+'корпоративный баланс энергии'!AG101+'корпоративный баланс энергии'!AJ101</f>
        <v>964.61238878362747</v>
      </c>
      <c r="M93" s="274">
        <f>M94</f>
        <v>7.7550000000000008</v>
      </c>
      <c r="N93" s="275">
        <f>O93-M93</f>
        <v>1226.0378880916235</v>
      </c>
      <c r="O93" s="276">
        <f>'корпоративный баланс энергии'!AM101+'корпоративный баланс энергии'!AP101+'корпоративный баланс энергии'!AS101</f>
        <v>1233.7928880916236</v>
      </c>
      <c r="P93" s="274">
        <f>P94</f>
        <v>30.990000000000002</v>
      </c>
      <c r="Q93" s="275">
        <f>R93-P93</f>
        <v>4378.9260000000004</v>
      </c>
      <c r="R93" s="276">
        <f>F93+I93+L93+O93</f>
        <v>4409.9160000000002</v>
      </c>
      <c r="S93" s="261"/>
      <c r="T93" s="261"/>
    </row>
    <row r="94" spans="2:20" ht="15" customHeight="1">
      <c r="B94" s="10" t="s">
        <v>173</v>
      </c>
      <c r="C94" s="483"/>
      <c r="D94" s="270">
        <f>D95</f>
        <v>7.2549999999999999</v>
      </c>
      <c r="E94" s="271"/>
      <c r="F94" s="224"/>
      <c r="G94" s="270">
        <f>G95</f>
        <v>7.68</v>
      </c>
      <c r="H94" s="271"/>
      <c r="I94" s="224"/>
      <c r="J94" s="270">
        <f>J95</f>
        <v>8.3000000000000007</v>
      </c>
      <c r="K94" s="271"/>
      <c r="L94" s="224"/>
      <c r="M94" s="270">
        <f>M95</f>
        <v>7.7550000000000008</v>
      </c>
      <c r="N94" s="271"/>
      <c r="O94" s="224"/>
      <c r="P94" s="270">
        <f>P95</f>
        <v>30.990000000000002</v>
      </c>
      <c r="Q94" s="271"/>
      <c r="R94" s="364"/>
      <c r="S94" s="261"/>
      <c r="T94" s="261"/>
    </row>
    <row r="95" spans="2:20">
      <c r="B95" s="122" t="str">
        <f>'корпоративный баланс энергии'!H103</f>
        <v>Клинцовская ТЭЦ  (ООО "Клинцовская ТЭЦ")</v>
      </c>
      <c r="C95" s="516" t="s">
        <v>364</v>
      </c>
      <c r="D95" s="281">
        <f>'корпоративный баланс энергии'!J103+'корпоративный баланс энергии'!M103+'корпоративный баланс энергии'!P103</f>
        <v>7.2549999999999999</v>
      </c>
      <c r="E95" s="246"/>
      <c r="F95" s="282"/>
      <c r="G95" s="244">
        <f>'корпоративный баланс энергии'!S103+'корпоративный баланс энергии'!V103+'корпоративный баланс энергии'!Y103</f>
        <v>7.68</v>
      </c>
      <c r="H95" s="246"/>
      <c r="I95" s="282"/>
      <c r="J95" s="244">
        <f>'корпоративный баланс энергии'!AB103+'корпоративный баланс энергии'!AE103+'корпоративный баланс энергии'!AH103</f>
        <v>8.3000000000000007</v>
      </c>
      <c r="K95" s="246"/>
      <c r="L95" s="282"/>
      <c r="M95" s="244">
        <f>'корпоративный баланс энергии'!AK103+'корпоративный баланс энергии'!AN103+'корпоративный баланс энергии'!AQ103</f>
        <v>7.7550000000000008</v>
      </c>
      <c r="N95" s="246"/>
      <c r="O95" s="282"/>
      <c r="P95" s="244">
        <f>D95+G95+J95+M95</f>
        <v>30.990000000000002</v>
      </c>
      <c r="Q95" s="283"/>
      <c r="R95" s="299"/>
      <c r="S95" s="261"/>
      <c r="T95" s="261"/>
    </row>
    <row r="96" spans="2:20" ht="18.75">
      <c r="B96" s="470" t="str">
        <f>'корпоративный баланс энергии'!H104</f>
        <v>Энергосистема Владимирской области</v>
      </c>
      <c r="C96" s="485"/>
      <c r="D96" s="274">
        <f>D97+D98</f>
        <v>958.29744270000003</v>
      </c>
      <c r="E96" s="275">
        <f>F96-D96</f>
        <v>1031.4807775093345</v>
      </c>
      <c r="F96" s="276">
        <f>'корпоративный баланс энергии'!L104+'корпоративный баланс энергии'!O104+'корпоративный баланс энергии'!R104</f>
        <v>1989.7782202093347</v>
      </c>
      <c r="G96" s="274">
        <f>G97+G98</f>
        <v>446.46551200000005</v>
      </c>
      <c r="H96" s="275">
        <f>I96-G96</f>
        <v>1171.6791406290113</v>
      </c>
      <c r="I96" s="276">
        <f>'корпоративный баланс энергии'!U104+'корпоративный баланс энергии'!X104+'корпоративный баланс энергии'!AA104</f>
        <v>1618.1446526290113</v>
      </c>
      <c r="J96" s="274">
        <f>J97+J98</f>
        <v>455.45005350000002</v>
      </c>
      <c r="K96" s="275">
        <f>L96-J96</f>
        <v>1126.7196109407075</v>
      </c>
      <c r="L96" s="276">
        <f>'корпоративный баланс энергии'!AD104+'корпоративный баланс энергии'!AG104+'корпоративный баланс энергии'!AJ104</f>
        <v>1582.1696644407075</v>
      </c>
      <c r="M96" s="274">
        <f>M97+M98</f>
        <v>676.81647690000011</v>
      </c>
      <c r="N96" s="275">
        <f>O96-M96</f>
        <v>1327.0909858209461</v>
      </c>
      <c r="O96" s="276">
        <f>'корпоративный баланс энергии'!AM104+'корпоративный баланс энергии'!AP104+'корпоративный баланс энергии'!AS104</f>
        <v>2003.9074627209461</v>
      </c>
      <c r="P96" s="274">
        <f>P97+P98</f>
        <v>2537.0294850999999</v>
      </c>
      <c r="Q96" s="275">
        <f>R96-P96</f>
        <v>4656.9705149000001</v>
      </c>
      <c r="R96" s="276">
        <f>F96+I96+L96+O96</f>
        <v>7194</v>
      </c>
      <c r="S96" s="261"/>
      <c r="T96" s="261"/>
    </row>
    <row r="97" spans="2:20">
      <c r="B97" s="10" t="s">
        <v>173</v>
      </c>
      <c r="C97" s="483"/>
      <c r="D97" s="270">
        <f>D99</f>
        <v>952.60741600000006</v>
      </c>
      <c r="E97" s="271"/>
      <c r="F97" s="224"/>
      <c r="G97" s="270">
        <f>G99</f>
        <v>441.73800000000006</v>
      </c>
      <c r="H97" s="271"/>
      <c r="I97" s="224"/>
      <c r="J97" s="270">
        <f>J99</f>
        <v>451.94200000000001</v>
      </c>
      <c r="K97" s="271"/>
      <c r="L97" s="224"/>
      <c r="M97" s="270">
        <f>M99</f>
        <v>671.28735200000006</v>
      </c>
      <c r="N97" s="271"/>
      <c r="O97" s="224"/>
      <c r="P97" s="270">
        <f>P99</f>
        <v>2517.5747679999999</v>
      </c>
      <c r="Q97" s="271"/>
      <c r="R97" s="364"/>
      <c r="S97" s="261"/>
      <c r="T97" s="261"/>
    </row>
    <row r="98" spans="2:20">
      <c r="B98" s="10" t="s">
        <v>99</v>
      </c>
      <c r="C98" s="483"/>
      <c r="D98" s="270">
        <f>D102</f>
        <v>5.6900266999999998</v>
      </c>
      <c r="E98" s="271"/>
      <c r="F98" s="224"/>
      <c r="G98" s="223">
        <f>G102</f>
        <v>4.7275120000000008</v>
      </c>
      <c r="H98" s="271"/>
      <c r="I98" s="224"/>
      <c r="J98" s="223">
        <f>J102</f>
        <v>3.5080534999999999</v>
      </c>
      <c r="K98" s="271"/>
      <c r="L98" s="224"/>
      <c r="M98" s="223">
        <f>M102</f>
        <v>5.5291249000000002</v>
      </c>
      <c r="N98" s="271"/>
      <c r="O98" s="224"/>
      <c r="P98" s="223">
        <f>P102</f>
        <v>19.4547171</v>
      </c>
      <c r="Q98" s="271"/>
      <c r="R98" s="364"/>
      <c r="S98" s="261"/>
      <c r="T98" s="261"/>
    </row>
    <row r="99" spans="2:20">
      <c r="B99" s="140" t="str">
        <f>'корпоративный баланс энергии'!H107</f>
        <v>Владимирская ТЭЦ2 (Владимирский филиал ПАО  "Т Плюс")</v>
      </c>
      <c r="C99" s="516" t="s">
        <v>364</v>
      </c>
      <c r="D99" s="301">
        <f>D100+D101</f>
        <v>952.60741600000006</v>
      </c>
      <c r="E99" s="256"/>
      <c r="F99" s="238"/>
      <c r="G99" s="301">
        <f>G100+G101</f>
        <v>441.73800000000006</v>
      </c>
      <c r="H99" s="256"/>
      <c r="I99" s="238"/>
      <c r="J99" s="301">
        <f>J100+J101</f>
        <v>451.94200000000001</v>
      </c>
      <c r="K99" s="256"/>
      <c r="L99" s="302"/>
      <c r="M99" s="301">
        <f>M100+M101</f>
        <v>671.28735200000006</v>
      </c>
      <c r="N99" s="256"/>
      <c r="O99" s="238"/>
      <c r="P99" s="301">
        <f>P100+P101</f>
        <v>2517.5747679999999</v>
      </c>
      <c r="Q99" s="246"/>
      <c r="R99" s="242"/>
      <c r="S99" s="261"/>
      <c r="T99" s="261"/>
    </row>
    <row r="100" spans="2:20">
      <c r="B100" s="122" t="str">
        <f>'корпоративный баланс энергии'!H108</f>
        <v>Владимирская ТЭЦ2 без ДПМ/НВ/ВР (Владимирский филиал ПАО  "Т Плюс")</v>
      </c>
      <c r="C100" s="516"/>
      <c r="D100" s="281">
        <f>'корпоративный баланс энергии'!J108+'корпоративный баланс энергии'!M108+'корпоративный баланс энергии'!P108</f>
        <v>623.5992</v>
      </c>
      <c r="E100" s="246"/>
      <c r="F100" s="282"/>
      <c r="G100" s="244">
        <f>'корпоративный баланс энергии'!S108+'корпоративный баланс энергии'!V108+'корпоративный баланс энергии'!Y108</f>
        <v>276.52800000000002</v>
      </c>
      <c r="H100" s="246"/>
      <c r="I100" s="282"/>
      <c r="J100" s="244">
        <f>'корпоративный баланс энергии'!AB108+'корпоративный баланс энергии'!AE108+'корпоративный баланс энергии'!AH108</f>
        <v>312.66199999999998</v>
      </c>
      <c r="K100" s="246"/>
      <c r="L100" s="282"/>
      <c r="M100" s="244">
        <f>'корпоративный баланс энергии'!AK108+'корпоративный баланс энергии'!AN108+'корпоративный баланс энергии'!AQ108</f>
        <v>517.15679999999998</v>
      </c>
      <c r="N100" s="246"/>
      <c r="O100" s="282"/>
      <c r="P100" s="244">
        <f>D100+G100+J100+M100</f>
        <v>1729.9459999999999</v>
      </c>
      <c r="Q100" s="246"/>
      <c r="R100" s="260"/>
      <c r="S100" s="261"/>
      <c r="T100" s="261"/>
    </row>
    <row r="101" spans="2:20">
      <c r="B101" s="122" t="str">
        <f>'корпоративный баланс энергии'!H109</f>
        <v>Владимирская ТЭЦ-2 (Владимирский филиал ПАО  "Т Плюс") ПГУ-231 МВт ДПМ 01.01.2015</v>
      </c>
      <c r="C101" s="516"/>
      <c r="D101" s="281">
        <f>'корпоративный баланс энергии'!J109+'корпоративный баланс энергии'!M109+'корпоративный баланс энергии'!P109</f>
        <v>329.008216</v>
      </c>
      <c r="E101" s="246"/>
      <c r="F101" s="282"/>
      <c r="G101" s="244">
        <f>'корпоративный баланс энергии'!S109+'корпоративный баланс энергии'!V109+'корпоративный баланс энергии'!Y109</f>
        <v>165.21</v>
      </c>
      <c r="H101" s="246"/>
      <c r="I101" s="282"/>
      <c r="J101" s="244">
        <f>'корпоративный баланс энергии'!AB109+'корпоративный баланс энергии'!AE109+'корпоративный баланс энергии'!AH109</f>
        <v>139.28</v>
      </c>
      <c r="K101" s="246"/>
      <c r="L101" s="282"/>
      <c r="M101" s="244">
        <f>'корпоративный баланс энергии'!AK109+'корпоративный баланс энергии'!AN109+'корпоративный баланс энергии'!AQ109</f>
        <v>154.13055200000002</v>
      </c>
      <c r="N101" s="246"/>
      <c r="O101" s="282"/>
      <c r="P101" s="244">
        <f>D101+G101+J101+M101</f>
        <v>787.62876800000004</v>
      </c>
      <c r="Q101" s="246"/>
      <c r="R101" s="260"/>
      <c r="S101" s="261"/>
      <c r="T101" s="261"/>
    </row>
    <row r="102" spans="2:20">
      <c r="B102" s="138" t="s">
        <v>174</v>
      </c>
      <c r="C102" s="488"/>
      <c r="D102" s="287">
        <f>SUM(D103:D104)</f>
        <v>5.6900266999999998</v>
      </c>
      <c r="E102" s="307"/>
      <c r="F102" s="308"/>
      <c r="G102" s="287">
        <f>SUM(G103:G104)</f>
        <v>4.7275120000000008</v>
      </c>
      <c r="H102" s="307"/>
      <c r="I102" s="308"/>
      <c r="J102" s="287">
        <f>SUM(J103:J104)</f>
        <v>3.5080534999999999</v>
      </c>
      <c r="K102" s="307"/>
      <c r="L102" s="308"/>
      <c r="M102" s="287">
        <f>SUM(M103:M104)</f>
        <v>5.5291249000000002</v>
      </c>
      <c r="N102" s="307"/>
      <c r="O102" s="308"/>
      <c r="P102" s="287">
        <f>SUM(P103:P104)</f>
        <v>19.4547171</v>
      </c>
      <c r="Q102" s="307"/>
      <c r="R102" s="308"/>
      <c r="S102" s="261"/>
      <c r="T102" s="261"/>
    </row>
    <row r="103" spans="2:20">
      <c r="B103" s="135" t="str">
        <f>'корпоративный баланс энергии'!H111</f>
        <v>Кольчугинская ТЭЦ (АО "ЭКЗ" ("Электрокабель "Кольчугинский завод "))</v>
      </c>
      <c r="C103" s="515" t="s">
        <v>365</v>
      </c>
      <c r="D103" s="293">
        <f>'корпоративный баланс энергии'!J111+'корпоративный баланс энергии'!M111+'корпоративный баланс энергии'!P111</f>
        <v>0</v>
      </c>
      <c r="E103" s="288"/>
      <c r="F103" s="289"/>
      <c r="G103" s="294">
        <f>'корпоративный баланс энергии'!S111+'корпоративный баланс энергии'!V111+'корпоративный баланс энергии'!Y111</f>
        <v>0</v>
      </c>
      <c r="H103" s="288"/>
      <c r="I103" s="289"/>
      <c r="J103" s="294">
        <f>'корпоративный баланс энергии'!AB111+'корпоративный баланс энергии'!AE111+'корпоративный баланс энергии'!AH111</f>
        <v>0</v>
      </c>
      <c r="K103" s="288"/>
      <c r="L103" s="289"/>
      <c r="M103" s="294">
        <f>'корпоративный баланс энергии'!AK111+'корпоративный баланс энергии'!AN111+'корпоративный баланс энергии'!AQ111</f>
        <v>0</v>
      </c>
      <c r="N103" s="288"/>
      <c r="O103" s="289"/>
      <c r="P103" s="294">
        <f>D103+G103+J103+M103</f>
        <v>0</v>
      </c>
      <c r="Q103" s="288"/>
      <c r="R103" s="289"/>
      <c r="S103" s="261"/>
      <c r="T103" s="261"/>
    </row>
    <row r="104" spans="2:20">
      <c r="B104" s="135" t="str">
        <f>'корпоративный баланс энергии'!H112</f>
        <v>ГПЭС "КЭМЗ" ОАО "Ковровский электромеханический завод"</v>
      </c>
      <c r="C104" s="515" t="s">
        <v>365</v>
      </c>
      <c r="D104" s="293">
        <f>'корпоративный баланс энергии'!J112+'корпоративный баланс энергии'!M112+'корпоративный баланс энергии'!P112</f>
        <v>5.6900266999999998</v>
      </c>
      <c r="E104" s="288"/>
      <c r="F104" s="289"/>
      <c r="G104" s="294">
        <f>'корпоративный баланс энергии'!S112+'корпоративный баланс энергии'!V112+'корпоративный баланс энергии'!Y112</f>
        <v>4.7275120000000008</v>
      </c>
      <c r="H104" s="288"/>
      <c r="I104" s="289"/>
      <c r="J104" s="294">
        <f>'корпоративный баланс энергии'!AB112+'корпоративный баланс энергии'!AE112+'корпоративный баланс энергии'!AH112</f>
        <v>3.5080534999999999</v>
      </c>
      <c r="K104" s="288"/>
      <c r="L104" s="289"/>
      <c r="M104" s="294">
        <f>'корпоративный баланс энергии'!AK112+'корпоративный баланс энергии'!AN112+'корпоративный баланс энергии'!AQ112</f>
        <v>5.5291249000000002</v>
      </c>
      <c r="N104" s="288"/>
      <c r="O104" s="289"/>
      <c r="P104" s="294">
        <f>D104+G104+J104+M104</f>
        <v>19.4547171</v>
      </c>
      <c r="Q104" s="288"/>
      <c r="R104" s="289"/>
      <c r="S104" s="261"/>
      <c r="T104" s="261"/>
    </row>
    <row r="105" spans="2:20" ht="18.75">
      <c r="B105" s="470" t="str">
        <f>'корпоративный баланс энергии'!H113</f>
        <v>Энергосистема Вологодской области</v>
      </c>
      <c r="C105" s="485"/>
      <c r="D105" s="274">
        <f>D106+D107+D108</f>
        <v>2863.1216240000003</v>
      </c>
      <c r="E105" s="275">
        <f>F105-D105</f>
        <v>953.37837599999875</v>
      </c>
      <c r="F105" s="276">
        <f>'корпоративный баланс энергии'!L113+'корпоративный баланс энергии'!O113+'корпоративный баланс энергии'!R113</f>
        <v>3816.4999999999991</v>
      </c>
      <c r="G105" s="274">
        <f>G106+G107+G108</f>
        <v>2667.9986560000002</v>
      </c>
      <c r="H105" s="275">
        <f>I105-G105</f>
        <v>716.00134400000024</v>
      </c>
      <c r="I105" s="276">
        <f>'корпоративный баланс энергии'!U113+'корпоративный баланс энергии'!X113+'корпоративный баланс энергии'!AA113</f>
        <v>3384.0000000000005</v>
      </c>
      <c r="J105" s="274">
        <f>J106+J107+J108</f>
        <v>2439.3987179999999</v>
      </c>
      <c r="K105" s="275">
        <f>L105-J105</f>
        <v>922.50128200000017</v>
      </c>
      <c r="L105" s="276">
        <f>'корпоративный баланс энергии'!AD113+'корпоративный баланс энергии'!AG113+'корпоративный баланс энергии'!AJ113</f>
        <v>3361.9</v>
      </c>
      <c r="M105" s="274">
        <f>M106+M107+M108</f>
        <v>2973.4619269999998</v>
      </c>
      <c r="N105" s="275">
        <f>O105-M105</f>
        <v>813.13807299999962</v>
      </c>
      <c r="O105" s="276">
        <f>'корпоративный баланс энергии'!AM113+'корпоративный баланс энергии'!AP113+'корпоративный баланс энергии'!AS113</f>
        <v>3786.5999999999995</v>
      </c>
      <c r="P105" s="274">
        <f>P106+P107+P108</f>
        <v>10943.980925</v>
      </c>
      <c r="Q105" s="275">
        <f>R105-P105</f>
        <v>3405.0190750000002</v>
      </c>
      <c r="R105" s="276">
        <f>F105+I105+L105+O105</f>
        <v>14349</v>
      </c>
      <c r="S105" s="261"/>
      <c r="T105" s="261"/>
    </row>
    <row r="106" spans="2:20">
      <c r="B106" s="10" t="s">
        <v>173</v>
      </c>
      <c r="C106" s="483"/>
      <c r="D106" s="270">
        <f>D109+D112+D115+D116</f>
        <v>1306.6312</v>
      </c>
      <c r="E106" s="271"/>
      <c r="F106" s="224"/>
      <c r="G106" s="270">
        <f>G109+G112+G115+G116</f>
        <v>1249.9760000000001</v>
      </c>
      <c r="H106" s="271"/>
      <c r="I106" s="224"/>
      <c r="J106" s="270">
        <f>J109+J112+J115+J116</f>
        <v>1106.0165</v>
      </c>
      <c r="K106" s="271"/>
      <c r="L106" s="224"/>
      <c r="M106" s="270">
        <f>M109+M112+M115+M116</f>
        <v>1396.0311999999999</v>
      </c>
      <c r="N106" s="271"/>
      <c r="O106" s="224"/>
      <c r="P106" s="270">
        <f>P109+P112+P115+P116</f>
        <v>5058.6548999999995</v>
      </c>
      <c r="Q106" s="271"/>
      <c r="R106" s="364"/>
      <c r="S106" s="261"/>
      <c r="T106" s="261"/>
    </row>
    <row r="107" spans="2:20">
      <c r="B107" s="10" t="s">
        <v>55</v>
      </c>
      <c r="C107" s="483"/>
      <c r="D107" s="270">
        <f>SUM(D117:D118)</f>
        <v>26.5</v>
      </c>
      <c r="E107" s="271"/>
      <c r="F107" s="224"/>
      <c r="G107" s="270">
        <f>SUM(G117:G118)</f>
        <v>37</v>
      </c>
      <c r="H107" s="271"/>
      <c r="I107" s="224"/>
      <c r="J107" s="270">
        <f>SUM(J117:J118)</f>
        <v>7.4</v>
      </c>
      <c r="K107" s="271"/>
      <c r="L107" s="224"/>
      <c r="M107" s="270">
        <f>SUM(M117:M118)</f>
        <v>27.1</v>
      </c>
      <c r="N107" s="271"/>
      <c r="O107" s="224"/>
      <c r="P107" s="270">
        <f>SUM(P117:P118)</f>
        <v>98</v>
      </c>
      <c r="Q107" s="271"/>
      <c r="R107" s="364"/>
      <c r="S107" s="261"/>
      <c r="T107" s="261"/>
    </row>
    <row r="108" spans="2:20">
      <c r="B108" s="10" t="s">
        <v>99</v>
      </c>
      <c r="C108" s="483"/>
      <c r="D108" s="270">
        <f>D119</f>
        <v>1529.9904240000001</v>
      </c>
      <c r="E108" s="271"/>
      <c r="F108" s="224"/>
      <c r="G108" s="270">
        <f>G119</f>
        <v>1381.0226560000001</v>
      </c>
      <c r="H108" s="271"/>
      <c r="I108" s="224"/>
      <c r="J108" s="270">
        <f>J119</f>
        <v>1325.9822179999999</v>
      </c>
      <c r="K108" s="271"/>
      <c r="L108" s="224"/>
      <c r="M108" s="270">
        <f>M119</f>
        <v>1550.330727</v>
      </c>
      <c r="N108" s="271"/>
      <c r="O108" s="224"/>
      <c r="P108" s="270">
        <f>P119</f>
        <v>5787.3260250000003</v>
      </c>
      <c r="Q108" s="271"/>
      <c r="R108" s="364"/>
      <c r="S108" s="261"/>
      <c r="T108" s="261"/>
    </row>
    <row r="109" spans="2:20">
      <c r="B109" s="137" t="str">
        <f>'корпоративный баланс энергии'!H117</f>
        <v>Вологодская ТЭЦ  (Вологодский филиал ПАО "ТГК-2")</v>
      </c>
      <c r="C109" s="516" t="s">
        <v>364</v>
      </c>
      <c r="D109" s="314">
        <f>D110+D111</f>
        <v>230.62480000000002</v>
      </c>
      <c r="E109" s="256"/>
      <c r="F109" s="302"/>
      <c r="G109" s="262">
        <f>G110+G111</f>
        <v>200.5008</v>
      </c>
      <c r="H109" s="256"/>
      <c r="I109" s="302"/>
      <c r="J109" s="238">
        <f>J110+J111</f>
        <v>149.11969999999999</v>
      </c>
      <c r="K109" s="256"/>
      <c r="L109" s="302"/>
      <c r="M109" s="238">
        <f>M110+M111</f>
        <v>251.79360000000003</v>
      </c>
      <c r="N109" s="256"/>
      <c r="O109" s="302"/>
      <c r="P109" s="238">
        <f>P110+P111</f>
        <v>832.03890000000001</v>
      </c>
      <c r="Q109" s="256"/>
      <c r="R109" s="302"/>
      <c r="S109" s="261"/>
      <c r="T109" s="261"/>
    </row>
    <row r="110" spans="2:20" ht="15" customHeight="1">
      <c r="B110" s="123" t="str">
        <f>'корпоративный баланс энергии'!H118</f>
        <v>Вологодская ТЭЦ  (Вологодский филиал ПАО "ТГК-2")</v>
      </c>
      <c r="C110" s="490"/>
      <c r="D110" s="281">
        <f>'корпоративный баланс энергии'!J118+'корпоративный баланс энергии'!M118+'корпоративный баланс энергии'!P118</f>
        <v>50.352000000000004</v>
      </c>
      <c r="E110" s="246"/>
      <c r="F110" s="282"/>
      <c r="G110" s="244">
        <f>'корпоративный баланс энергии'!S118+'корпоративный баланс энергии'!V118+'корпоративный баланс энергии'!Y118</f>
        <v>11.231999999999999</v>
      </c>
      <c r="H110" s="246"/>
      <c r="I110" s="282"/>
      <c r="J110" s="244">
        <f>'корпоративный баланс энергии'!AB118+'корпоративный баланс энергии'!AE118+'корпоративный баланс энергии'!AH118</f>
        <v>9.948500000000001</v>
      </c>
      <c r="K110" s="246"/>
      <c r="L110" s="282"/>
      <c r="M110" s="244">
        <f>'корпоративный баланс энергии'!AK118+'корпоративный баланс энергии'!AN118+'корпоративный баланс энергии'!AQ118</f>
        <v>49.32</v>
      </c>
      <c r="N110" s="246"/>
      <c r="O110" s="282"/>
      <c r="P110" s="244">
        <f>D110+G110+J110+M110</f>
        <v>120.85249999999999</v>
      </c>
      <c r="Q110" s="283"/>
      <c r="R110" s="299"/>
      <c r="S110" s="261"/>
      <c r="T110" s="261"/>
    </row>
    <row r="111" spans="2:20">
      <c r="B111" s="123" t="str">
        <f>'корпоративный баланс энергии'!H119</f>
        <v>Вологодская ТЭЦ (Вологодский филиал ПАО "ТГК-2") ПГУ-102,1 НВ ДПМ 24.03.2014</v>
      </c>
      <c r="C111" s="490"/>
      <c r="D111" s="281">
        <f>'корпоративный баланс энергии'!J119+'корпоративный баланс энергии'!M119+'корпоративный баланс энергии'!P119</f>
        <v>180.27280000000002</v>
      </c>
      <c r="E111" s="246"/>
      <c r="F111" s="282"/>
      <c r="G111" s="244">
        <f>'корпоративный баланс энергии'!S119+'корпоративный баланс энергии'!V119+'корпоративный баланс энергии'!Y119</f>
        <v>189.2688</v>
      </c>
      <c r="H111" s="246"/>
      <c r="I111" s="282"/>
      <c r="J111" s="244">
        <f>'корпоративный баланс энергии'!AB119+'корпоративный баланс энергии'!AE119+'корпоративный баланс энергии'!AH119</f>
        <v>139.1712</v>
      </c>
      <c r="K111" s="246"/>
      <c r="L111" s="282"/>
      <c r="M111" s="244">
        <f>'корпоративный баланс энергии'!AK119+'корпоративный баланс энергии'!AN119+'корпоративный баланс энергии'!AQ119</f>
        <v>202.47360000000003</v>
      </c>
      <c r="N111" s="246"/>
      <c r="O111" s="282"/>
      <c r="P111" s="244">
        <f>D111+G111+J111+M111</f>
        <v>711.18640000000005</v>
      </c>
      <c r="Q111" s="283"/>
      <c r="R111" s="299"/>
      <c r="S111" s="261"/>
      <c r="T111" s="261"/>
    </row>
    <row r="112" spans="2:20">
      <c r="B112" s="137" t="str">
        <f>'корпоративный баланс энергии'!H120</f>
        <v>Череповецкая ГРЭС (филиал ПАО "ОГК-2" )</v>
      </c>
      <c r="C112" s="516" t="s">
        <v>364</v>
      </c>
      <c r="D112" s="317">
        <f>D113+D114</f>
        <v>966</v>
      </c>
      <c r="E112" s="246"/>
      <c r="F112" s="282"/>
      <c r="G112" s="317">
        <f>G113+G114</f>
        <v>935</v>
      </c>
      <c r="H112" s="246"/>
      <c r="I112" s="282"/>
      <c r="J112" s="317">
        <f>J113+J114</f>
        <v>863.36879999999996</v>
      </c>
      <c r="K112" s="246"/>
      <c r="L112" s="282"/>
      <c r="M112" s="317">
        <f>M113+M114</f>
        <v>1027</v>
      </c>
      <c r="N112" s="246"/>
      <c r="O112" s="282"/>
      <c r="P112" s="317">
        <f>P113+P114</f>
        <v>3791.3688000000002</v>
      </c>
      <c r="Q112" s="283"/>
      <c r="R112" s="299"/>
      <c r="S112" s="261"/>
      <c r="T112" s="261"/>
    </row>
    <row r="113" spans="2:20">
      <c r="B113" s="123" t="str">
        <f>'корпоративный баланс энергии'!H121</f>
        <v>Череповецкая ГРЭС без ДПМ/НВ/ВР (филиал ПАО "ОГК-2" )</v>
      </c>
      <c r="C113" s="490"/>
      <c r="D113" s="281">
        <f>'корпоративный баланс энергии'!J121+'корпоративный баланс энергии'!M121+'корпоративный баланс энергии'!P121</f>
        <v>331</v>
      </c>
      <c r="E113" s="246"/>
      <c r="F113" s="282"/>
      <c r="G113" s="244">
        <f>'корпоративный баланс энергии'!S121+'корпоративный баланс энергии'!V121+'корпоративный баланс энергии'!Y121</f>
        <v>330</v>
      </c>
      <c r="H113" s="246"/>
      <c r="I113" s="282"/>
      <c r="J113" s="244">
        <f>'корпоративный баланс энергии'!AB121+'корпоративный баланс энергии'!AE121+'корпоративный баланс энергии'!AH121</f>
        <v>335</v>
      </c>
      <c r="K113" s="246"/>
      <c r="L113" s="282"/>
      <c r="M113" s="244">
        <f>'корпоративный баланс энергии'!AK121+'корпоративный баланс энергии'!AN121+'корпоративный баланс энергии'!AQ121</f>
        <v>334</v>
      </c>
      <c r="N113" s="246"/>
      <c r="O113" s="282"/>
      <c r="P113" s="244">
        <f t="shared" ref="P113:P118" si="8">D113+G113+J113+M113</f>
        <v>1330</v>
      </c>
      <c r="Q113" s="283"/>
      <c r="R113" s="299"/>
      <c r="S113" s="261"/>
      <c r="T113" s="261"/>
    </row>
    <row r="114" spans="2:20">
      <c r="B114" s="123" t="str">
        <f>'корпоративный баланс энергии'!H122</f>
        <v>Череповецкая ГРЭС (филиал ПАО "ОГК-2" ) ПГУ-420 Мвт ДПМ 01.09.2014</v>
      </c>
      <c r="C114" s="490"/>
      <c r="D114" s="281">
        <f>'корпоративный баланс энергии'!J122+'корпоративный баланс энергии'!M122+'корпоративный баланс энергии'!P122</f>
        <v>635</v>
      </c>
      <c r="E114" s="246"/>
      <c r="F114" s="282"/>
      <c r="G114" s="244">
        <f>'корпоративный баланс энергии'!S122+'корпоративный баланс энергии'!V122+'корпоративный баланс энергии'!Y122</f>
        <v>605</v>
      </c>
      <c r="H114" s="246"/>
      <c r="I114" s="282"/>
      <c r="J114" s="244">
        <f>'корпоративный баланс энергии'!AB122+'корпоративный баланс энергии'!AE122+'корпоративный баланс энергии'!AH122</f>
        <v>528.36879999999996</v>
      </c>
      <c r="K114" s="246"/>
      <c r="L114" s="282"/>
      <c r="M114" s="244">
        <f>'корпоративный баланс энергии'!AK122+'корпоративный баланс энергии'!AN122+'корпоративный баланс энергии'!AQ122</f>
        <v>693</v>
      </c>
      <c r="N114" s="246"/>
      <c r="O114" s="282"/>
      <c r="P114" s="244">
        <f t="shared" si="8"/>
        <v>2461.3688000000002</v>
      </c>
      <c r="Q114" s="283"/>
      <c r="R114" s="299"/>
      <c r="S114" s="261"/>
      <c r="T114" s="261"/>
    </row>
    <row r="115" spans="2:20" hidden="1">
      <c r="B115" s="123" t="s">
        <v>218</v>
      </c>
      <c r="C115" s="490"/>
      <c r="D115" s="281">
        <f>'корпоративный баланс энергии'!J123+'корпоративный баланс энергии'!M123+'корпоративный баланс энергии'!P123</f>
        <v>0</v>
      </c>
      <c r="E115" s="246"/>
      <c r="F115" s="282"/>
      <c r="G115" s="244">
        <f>'корпоративный баланс энергии'!S123+'корпоративный баланс энергии'!V123+'корпоративный баланс энергии'!Y123</f>
        <v>0</v>
      </c>
      <c r="H115" s="246"/>
      <c r="I115" s="282"/>
      <c r="J115" s="244">
        <f>'корпоративный баланс энергии'!AB123+'корпоративный баланс энергии'!AE123+'корпоративный баланс энергии'!AH123</f>
        <v>0</v>
      </c>
      <c r="K115" s="246"/>
      <c r="L115" s="282"/>
      <c r="M115" s="244">
        <f>'корпоративный баланс энергии'!AK123+'корпоративный баланс энергии'!AN123+'корпоративный баланс энергии'!AQ123</f>
        <v>0</v>
      </c>
      <c r="N115" s="246"/>
      <c r="O115" s="282"/>
      <c r="P115" s="244">
        <f t="shared" si="8"/>
        <v>0</v>
      </c>
      <c r="Q115" s="283"/>
      <c r="R115" s="299"/>
      <c r="S115" s="261"/>
      <c r="T115" s="261"/>
    </row>
    <row r="116" spans="2:20">
      <c r="B116" s="123" t="str">
        <f>'корпоративный баланс энергии'!H124</f>
        <v>Красавинская ГТ ТЭЦ (ГЭП "Вологдаоблкоммунэнерго")</v>
      </c>
      <c r="C116" s="516" t="s">
        <v>364</v>
      </c>
      <c r="D116" s="281">
        <f>'корпоративный баланс энергии'!J124+'корпоративный баланс энергии'!M124+'корпоративный баланс энергии'!P124</f>
        <v>110.00640000000001</v>
      </c>
      <c r="E116" s="246"/>
      <c r="F116" s="282"/>
      <c r="G116" s="244">
        <f>'корпоративный баланс энергии'!S124+'корпоративный баланс энергии'!V124+'корпоративный баланс энергии'!Y124</f>
        <v>114.4752</v>
      </c>
      <c r="H116" s="246"/>
      <c r="I116" s="282"/>
      <c r="J116" s="244">
        <f>'корпоративный баланс энергии'!AB124+'корпоративный баланс энергии'!AE124+'корпоративный баланс энергии'!AH124</f>
        <v>93.527999999999992</v>
      </c>
      <c r="K116" s="246"/>
      <c r="L116" s="282"/>
      <c r="M116" s="244">
        <f>'корпоративный баланс энергии'!AK124+'корпоративный баланс энергии'!AN124+'корпоративный баланс энергии'!AQ124</f>
        <v>117.23760000000001</v>
      </c>
      <c r="N116" s="246"/>
      <c r="O116" s="282"/>
      <c r="P116" s="244">
        <f t="shared" si="8"/>
        <v>435.24720000000002</v>
      </c>
      <c r="Q116" s="283"/>
      <c r="R116" s="299"/>
      <c r="S116" s="261"/>
      <c r="T116" s="261"/>
    </row>
    <row r="117" spans="2:20">
      <c r="B117" s="123" t="str">
        <f>'корпоративный баланс энергии'!H125</f>
        <v>Вытегорская ГЭС (ФБУ "Администрация "Волго-Балт")</v>
      </c>
      <c r="C117" s="517" t="s">
        <v>365</v>
      </c>
      <c r="D117" s="281">
        <f>'корпоративный баланс энергии'!J125+'корпоративный баланс энергии'!M125+'корпоративный баланс энергии'!P125</f>
        <v>2.5</v>
      </c>
      <c r="E117" s="246"/>
      <c r="F117" s="282"/>
      <c r="G117" s="244">
        <f>'корпоративный баланс энергии'!S125+'корпоративный баланс энергии'!V125+'корпоративный баланс энергии'!Y125</f>
        <v>3</v>
      </c>
      <c r="H117" s="246"/>
      <c r="I117" s="282"/>
      <c r="J117" s="244">
        <f>'корпоративный баланс энергии'!AB125+'корпоративный баланс энергии'!AE125+'корпоративный баланс энергии'!AH125</f>
        <v>2.4000000000000004</v>
      </c>
      <c r="K117" s="246"/>
      <c r="L117" s="282"/>
      <c r="M117" s="244">
        <f>'корпоративный баланс энергии'!AK125+'корпоративный баланс энергии'!AN125+'корпоративный баланс энергии'!AQ125</f>
        <v>3.1</v>
      </c>
      <c r="N117" s="246"/>
      <c r="O117" s="282"/>
      <c r="P117" s="244">
        <f t="shared" si="8"/>
        <v>11</v>
      </c>
      <c r="Q117" s="283"/>
      <c r="R117" s="299"/>
      <c r="S117" s="261"/>
      <c r="T117" s="261"/>
    </row>
    <row r="118" spans="2:20" s="3" customFormat="1">
      <c r="B118" s="123" t="str">
        <f>'корпоративный баланс энергии'!H126</f>
        <v>Шекснинская ГЭС (ФБУ "Администрация "Волго-Балт")</v>
      </c>
      <c r="C118" s="517" t="s">
        <v>365</v>
      </c>
      <c r="D118" s="281">
        <f>'корпоративный баланс энергии'!J126+'корпоративный баланс энергии'!M126+'корпоративный баланс энергии'!P126</f>
        <v>24</v>
      </c>
      <c r="E118" s="246"/>
      <c r="F118" s="282"/>
      <c r="G118" s="244">
        <f>'корпоративный баланс энергии'!S126+'корпоративный баланс энергии'!V126+'корпоративный баланс энергии'!Y126</f>
        <v>34</v>
      </c>
      <c r="H118" s="246"/>
      <c r="I118" s="282"/>
      <c r="J118" s="244">
        <f>'корпоративный баланс энергии'!AB126+'корпоративный баланс энергии'!AE126+'корпоративный баланс энергии'!AH126</f>
        <v>5</v>
      </c>
      <c r="K118" s="246"/>
      <c r="L118" s="282"/>
      <c r="M118" s="244">
        <f>'корпоративный баланс энергии'!AK126+'корпоративный баланс энергии'!AN126+'корпоративный баланс энергии'!AQ126</f>
        <v>24</v>
      </c>
      <c r="N118" s="246"/>
      <c r="O118" s="282"/>
      <c r="P118" s="244">
        <f t="shared" si="8"/>
        <v>87</v>
      </c>
      <c r="Q118" s="283"/>
      <c r="R118" s="299"/>
      <c r="S118" s="318"/>
      <c r="T118" s="318"/>
    </row>
    <row r="119" spans="2:20">
      <c r="B119" s="138" t="s">
        <v>174</v>
      </c>
      <c r="C119" s="488"/>
      <c r="D119" s="287">
        <f>SUM(D120:D128)</f>
        <v>1529.9904240000001</v>
      </c>
      <c r="E119" s="307"/>
      <c r="F119" s="308"/>
      <c r="G119" s="287">
        <f>SUM(G120:G128)</f>
        <v>1381.0226560000001</v>
      </c>
      <c r="H119" s="307"/>
      <c r="I119" s="308"/>
      <c r="J119" s="287">
        <f>SUM(J120:J128)</f>
        <v>1325.9822179999999</v>
      </c>
      <c r="K119" s="307"/>
      <c r="L119" s="308"/>
      <c r="M119" s="287">
        <f>SUM(M120:M128)</f>
        <v>1550.330727</v>
      </c>
      <c r="N119" s="307"/>
      <c r="O119" s="308"/>
      <c r="P119" s="287">
        <f>SUM(P120:P128)</f>
        <v>5787.3260250000003</v>
      </c>
      <c r="Q119" s="307"/>
      <c r="R119" s="308"/>
      <c r="S119" s="261"/>
      <c r="T119" s="261"/>
    </row>
    <row r="120" spans="2:20">
      <c r="B120" s="135" t="str">
        <f>'корпоративный баланс энергии'!H128</f>
        <v>ГТЭС ФосАгро-Череповец (АО "Апатит")</v>
      </c>
      <c r="C120" s="515" t="s">
        <v>365</v>
      </c>
      <c r="D120" s="293">
        <f>'корпоративный баланс энергии'!J128+'корпоративный баланс энергии'!M128+'корпоративный баланс энергии'!P128</f>
        <v>116.4</v>
      </c>
      <c r="E120" s="288"/>
      <c r="F120" s="289"/>
      <c r="G120" s="294">
        <f>'корпоративный баланс энергии'!S128+'корпоративный баланс энергии'!V128+'корпоративный баланс энергии'!Y128</f>
        <v>96.048000000000002</v>
      </c>
      <c r="H120" s="288"/>
      <c r="I120" s="289"/>
      <c r="J120" s="294">
        <f>'корпоративный баланс энергии'!AB128+'корпоративный баланс энергии'!AE128+'корпоративный баланс энергии'!AH128</f>
        <v>106.92</v>
      </c>
      <c r="K120" s="288"/>
      <c r="L120" s="289"/>
      <c r="M120" s="294">
        <f>'корпоративный баланс энергии'!AK128+'корпоративный баланс энергии'!AN128+'корпоративный баланс энергии'!AQ128</f>
        <v>115.848</v>
      </c>
      <c r="N120" s="288"/>
      <c r="O120" s="289"/>
      <c r="P120" s="294">
        <f t="shared" ref="P120:P128" si="9">D120+G120+J120+M120</f>
        <v>435.21600000000001</v>
      </c>
      <c r="Q120" s="288"/>
      <c r="R120" s="289"/>
      <c r="S120" s="261"/>
      <c r="T120" s="261"/>
    </row>
    <row r="121" spans="2:20">
      <c r="B121" s="135" t="str">
        <f>'корпоративный баланс энергии'!H129</f>
        <v xml:space="preserve">ТЭЦ ФосАгро-Череповец (АО "Апатит")                                                           </v>
      </c>
      <c r="C121" s="515" t="s">
        <v>365</v>
      </c>
      <c r="D121" s="293">
        <f>'корпоративный баланс энергии'!J129+'корпоративный баланс энергии'!M129+'корпоративный баланс энергии'!P129</f>
        <v>187.37300000000002</v>
      </c>
      <c r="E121" s="288"/>
      <c r="F121" s="289"/>
      <c r="G121" s="294">
        <f>'корпоративный баланс энергии'!S129+'корпоративный баланс энергии'!V129+'корпоративный баланс энергии'!Y129</f>
        <v>184.96</v>
      </c>
      <c r="H121" s="288"/>
      <c r="I121" s="289"/>
      <c r="J121" s="294">
        <f>'корпоративный баланс энергии'!AB129+'корпоративный баланс энергии'!AE129+'корпоративный баланс энергии'!AH129</f>
        <v>156.898</v>
      </c>
      <c r="K121" s="288"/>
      <c r="L121" s="289"/>
      <c r="M121" s="294">
        <f>'корпоративный баланс энергии'!AK129+'корпоративный баланс энергии'!AN129+'корпоративный баланс энергии'!AQ129</f>
        <v>192.65800000000002</v>
      </c>
      <c r="N121" s="288"/>
      <c r="O121" s="289"/>
      <c r="P121" s="294">
        <f t="shared" si="9"/>
        <v>721.88900000000001</v>
      </c>
      <c r="Q121" s="288"/>
      <c r="R121" s="289"/>
      <c r="S121" s="261"/>
      <c r="T121" s="261"/>
    </row>
    <row r="122" spans="2:20">
      <c r="B122" s="135" t="str">
        <f>'корпоративный баланс энергии'!H130</f>
        <v xml:space="preserve">МТЭЦ Белый Ручей (ОАО «ПМТЭЦ «Белый Ручей»)                                                                                                                 </v>
      </c>
      <c r="C122" s="515" t="s">
        <v>365</v>
      </c>
      <c r="D122" s="293">
        <f>'корпоративный баланс энергии'!J130+'корпоративный баланс энергии'!M130+'корпоративный баланс энергии'!P130</f>
        <v>10.536649999999998</v>
      </c>
      <c r="E122" s="288"/>
      <c r="F122" s="289"/>
      <c r="G122" s="294">
        <f>'корпоративный баланс энергии'!S130+'корпоративный баланс энергии'!V130+'корпоративный баланс энергии'!Y130</f>
        <v>9.7208499999999987</v>
      </c>
      <c r="H122" s="288"/>
      <c r="I122" s="289"/>
      <c r="J122" s="294">
        <f>'корпоративный баланс энергии'!AB130+'корпоративный баланс энергии'!AE130+'корпоративный баланс энергии'!AH130</f>
        <v>9.3626499999999986</v>
      </c>
      <c r="K122" s="288"/>
      <c r="L122" s="289"/>
      <c r="M122" s="294">
        <f>'корпоративный баланс энергии'!AK130+'корпоративный баланс энергии'!AN130+'корпоративный баланс энергии'!AQ130</f>
        <v>10.879849999999999</v>
      </c>
      <c r="N122" s="288"/>
      <c r="O122" s="289"/>
      <c r="P122" s="294">
        <f t="shared" si="9"/>
        <v>40.499999999999993</v>
      </c>
      <c r="Q122" s="288"/>
      <c r="R122" s="289"/>
      <c r="S122" s="261"/>
      <c r="T122" s="261"/>
    </row>
    <row r="123" spans="2:20">
      <c r="B123" s="135" t="str">
        <f>'корпоративный баланс энергии'!H131</f>
        <v xml:space="preserve">ЭСН КС-15 Нюксенского ЛПУ МГ (ООО "Газпром трансгаз Ухта")                                                                               </v>
      </c>
      <c r="C123" s="515" t="s">
        <v>365</v>
      </c>
      <c r="D123" s="293">
        <f>'корпоративный баланс энергии'!J131+'корпоративный баланс энергии'!M131+'корпоративный баланс энергии'!P131</f>
        <v>6.489433</v>
      </c>
      <c r="E123" s="288"/>
      <c r="F123" s="289"/>
      <c r="G123" s="294">
        <f>'корпоративный баланс энергии'!S131+'корпоративный баланс энергии'!V131+'корпоративный баланс энергии'!Y131</f>
        <v>8.4463200000000001</v>
      </c>
      <c r="H123" s="288"/>
      <c r="I123" s="289"/>
      <c r="J123" s="294">
        <f>'корпоративный баланс энергии'!AB131+'корпоративный баланс энергии'!AE131+'корпоративный баланс энергии'!AH131</f>
        <v>7.4310879999999999</v>
      </c>
      <c r="K123" s="288"/>
      <c r="L123" s="289"/>
      <c r="M123" s="294">
        <f>'корпоративный баланс энергии'!AK131+'корпоративный баланс энергии'!AN131+'корпоративный баланс энергии'!AQ131</f>
        <v>4.7152069999999995</v>
      </c>
      <c r="N123" s="288"/>
      <c r="O123" s="289"/>
      <c r="P123" s="294">
        <f t="shared" si="9"/>
        <v>27.082048</v>
      </c>
      <c r="Q123" s="288"/>
      <c r="R123" s="289"/>
      <c r="S123" s="261"/>
      <c r="T123" s="261"/>
    </row>
    <row r="124" spans="2:20">
      <c r="B124" s="135" t="str">
        <f>'корпоративный баланс энергии'!H132</f>
        <v>ЭСН КС-16 Юбилейного ЛПУМГ (ООО "Газпром трансгаз Ухта")</v>
      </c>
      <c r="C124" s="840"/>
      <c r="D124" s="293">
        <f>'корпоративный баланс энергии'!J132+'корпоративный баланс энергии'!M132+'корпоративный баланс энергии'!P132</f>
        <v>5.0033409999999998</v>
      </c>
      <c r="E124" s="288"/>
      <c r="F124" s="289"/>
      <c r="G124" s="294">
        <f>'корпоративный баланс энергии'!S132+'корпоративный баланс энергии'!V132+'корпоративный баланс энергии'!Y132</f>
        <v>3.9674859999999996</v>
      </c>
      <c r="H124" s="288"/>
      <c r="I124" s="289"/>
      <c r="J124" s="294">
        <f>'корпоративный баланс энергии'!AB132+'корпоративный баланс энергии'!AE132+'корпоративный баланс энергии'!AH132</f>
        <v>4.83948</v>
      </c>
      <c r="K124" s="288"/>
      <c r="L124" s="289"/>
      <c r="M124" s="294">
        <f>'корпоративный баланс энергии'!AK132+'корпоративный баланс энергии'!AN132+'корпоративный баланс энергии'!AQ132</f>
        <v>5.1196699999999993</v>
      </c>
      <c r="N124" s="288"/>
      <c r="O124" s="289"/>
      <c r="P124" s="294">
        <f t="shared" si="9"/>
        <v>18.929977000000001</v>
      </c>
      <c r="Q124" s="288"/>
      <c r="R124" s="289"/>
      <c r="S124" s="261"/>
      <c r="T124" s="261"/>
    </row>
    <row r="125" spans="2:20">
      <c r="B125" s="135" t="str">
        <f>'корпоративный баланс энергии'!H133</f>
        <v>ТЭЦ ПВС Северсталь (ПАО "Северсталь")</v>
      </c>
      <c r="C125" s="515" t="s">
        <v>365</v>
      </c>
      <c r="D125" s="293">
        <f>'корпоративный баланс энергии'!J133+'корпоративный баланс энергии'!M133+'корпоративный баланс энергии'!P133</f>
        <v>701.80799999999999</v>
      </c>
      <c r="E125" s="288"/>
      <c r="F125" s="289"/>
      <c r="G125" s="294">
        <f>'корпоративный баланс энергии'!S133+'корпоративный баланс энергии'!V133+'корпоративный баланс энергии'!Y133</f>
        <v>617.66399999999999</v>
      </c>
      <c r="H125" s="288"/>
      <c r="I125" s="289"/>
      <c r="J125" s="294">
        <f>'корпоративный баланс энергии'!AB133+'корпоративный баланс энергии'!AE133+'корпоративный баланс энергии'!AH133</f>
        <v>577.72800000000007</v>
      </c>
      <c r="K125" s="288"/>
      <c r="L125" s="289"/>
      <c r="M125" s="294">
        <f>'корпоративный баланс энергии'!AK133+'корпоративный баланс энергии'!AN133+'корпоративный баланс энергии'!AQ133</f>
        <v>736.8</v>
      </c>
      <c r="N125" s="288"/>
      <c r="O125" s="289"/>
      <c r="P125" s="294">
        <f t="shared" si="9"/>
        <v>2634</v>
      </c>
      <c r="Q125" s="288"/>
      <c r="R125" s="289"/>
      <c r="S125" s="261"/>
      <c r="T125" s="261"/>
    </row>
    <row r="126" spans="2:20">
      <c r="B126" s="135" t="str">
        <f>'корпоративный баланс энергии'!H134</f>
        <v>ТЭЦ ЭВС-2 Северсталь (ПАО "Северсталь")</v>
      </c>
      <c r="C126" s="515" t="s">
        <v>365</v>
      </c>
      <c r="D126" s="293">
        <f>'корпоративный баланс энергии'!J134+'корпоративный баланс энергии'!M134+'корпоративный баланс энергии'!P134</f>
        <v>421.51200000000006</v>
      </c>
      <c r="E126" s="288"/>
      <c r="F126" s="289"/>
      <c r="G126" s="294">
        <f>'корпоративный баланс энергии'!S134+'корпоративный баланс энергии'!V134+'корпоративный баланс энергии'!Y134</f>
        <v>384.24</v>
      </c>
      <c r="H126" s="288"/>
      <c r="I126" s="289"/>
      <c r="J126" s="294">
        <f>'корпоративный баланс энергии'!AB134+'корпоративный баланс энергии'!AE134+'корпоративный баланс энергии'!AH134</f>
        <v>379.43999999999994</v>
      </c>
      <c r="K126" s="288"/>
      <c r="L126" s="289"/>
      <c r="M126" s="294">
        <f>'корпоративный баланс энергии'!AK134+'корпоративный баланс энергии'!AN134+'корпоративный баланс энергии'!AQ134</f>
        <v>411.024</v>
      </c>
      <c r="N126" s="288"/>
      <c r="O126" s="289"/>
      <c r="P126" s="294">
        <f t="shared" si="9"/>
        <v>1596.2159999999999</v>
      </c>
      <c r="Q126" s="288"/>
      <c r="R126" s="289"/>
      <c r="S126" s="261"/>
      <c r="T126" s="261"/>
    </row>
    <row r="127" spans="2:20">
      <c r="B127" s="135" t="str">
        <f>'корпоративный баланс энергии'!H135</f>
        <v>ТЭЦ ГУБТ Северсталь (ПАО "Северсталь")</v>
      </c>
      <c r="C127" s="515" t="s">
        <v>365</v>
      </c>
      <c r="D127" s="293">
        <f>'корпоративный баланс энергии'!J135+'корпоративный баланс энергии'!M135+'корпоративный баланс энергии'!P135</f>
        <v>49.2</v>
      </c>
      <c r="E127" s="288"/>
      <c r="F127" s="289"/>
      <c r="G127" s="294">
        <f>'корпоративный баланс энергии'!S135+'корпоративный баланс энергии'!V135+'корпоративный баланс энергии'!Y135</f>
        <v>46.048000000000002</v>
      </c>
      <c r="H127" s="288"/>
      <c r="I127" s="289"/>
      <c r="J127" s="294">
        <f>'корпоративный баланс энергии'!AB135+'корпоративный баланс энергии'!AE135+'корпоративный баланс энергии'!AH135</f>
        <v>51.347000000000001</v>
      </c>
      <c r="K127" s="288"/>
      <c r="L127" s="289"/>
      <c r="M127" s="294">
        <f>'корпоративный баланс энергии'!AK135+'корпоративный баланс энергии'!AN135+'корпоративный баланс энергии'!AQ135</f>
        <v>45.95</v>
      </c>
      <c r="N127" s="288"/>
      <c r="O127" s="289"/>
      <c r="P127" s="294">
        <f t="shared" si="9"/>
        <v>192.54500000000002</v>
      </c>
      <c r="Q127" s="288"/>
      <c r="R127" s="289"/>
      <c r="S127" s="261"/>
      <c r="T127" s="261"/>
    </row>
    <row r="128" spans="2:20">
      <c r="B128" s="135" t="str">
        <f>'корпоративный баланс энергии'!H136</f>
        <v>УЭС ТСЦ Северсталь (ПАО "Северсталь")</v>
      </c>
      <c r="C128" s="515" t="s">
        <v>365</v>
      </c>
      <c r="D128" s="293">
        <f>'корпоративный баланс энергии'!J136+'корпоративный баланс энергии'!M136+'корпоративный баланс энергии'!P136</f>
        <v>31.668000000000003</v>
      </c>
      <c r="E128" s="288"/>
      <c r="F128" s="289"/>
      <c r="G128" s="294">
        <f>'корпоративный баланс энергии'!S136+'корпоративный баланс энергии'!V136+'корпоративный баланс энергии'!Y136</f>
        <v>29.927999999999997</v>
      </c>
      <c r="H128" s="288"/>
      <c r="I128" s="289"/>
      <c r="J128" s="294">
        <f>'корпоративный баланс энергии'!AB136+'корпоративный баланс энергии'!AE136+'корпоративный баланс энергии'!AH136</f>
        <v>32.015999999999998</v>
      </c>
      <c r="K128" s="288"/>
      <c r="L128" s="289"/>
      <c r="M128" s="294">
        <f>'корпоративный баланс энергии'!AK136+'корпоративный баланс энергии'!AN136+'корпоративный баланс энергии'!AQ136</f>
        <v>27.336000000000002</v>
      </c>
      <c r="N128" s="288"/>
      <c r="O128" s="289"/>
      <c r="P128" s="294">
        <f t="shared" si="9"/>
        <v>120.94799999999999</v>
      </c>
      <c r="Q128" s="288"/>
      <c r="R128" s="289"/>
      <c r="S128" s="261"/>
      <c r="T128" s="261"/>
    </row>
    <row r="129" spans="2:20" ht="18.75">
      <c r="B129" s="470" t="str">
        <f>'корпоративный баланс энергии'!H137</f>
        <v>Энергосистема Воронежской области</v>
      </c>
      <c r="C129" s="485"/>
      <c r="D129" s="274">
        <f>SUM(D130:D131)</f>
        <v>8791.4969120000005</v>
      </c>
      <c r="E129" s="275">
        <f>F129-D129</f>
        <v>-5342.4478344168119</v>
      </c>
      <c r="F129" s="276">
        <f>'корпоративный баланс энергии'!L137+'корпоративный баланс энергии'!O137+'корпоративный баланс энергии'!R137</f>
        <v>3449.0490775831886</v>
      </c>
      <c r="G129" s="274">
        <f>SUM(G130:G131)</f>
        <v>7049.7358080000004</v>
      </c>
      <c r="H129" s="275">
        <f>I129-G129</f>
        <v>-4290.5763482423536</v>
      </c>
      <c r="I129" s="276">
        <f>'корпоративный баланс энергии'!U137+'корпоративный баланс энергии'!X137+'корпоративный баланс энергии'!AA137</f>
        <v>2759.1594597576468</v>
      </c>
      <c r="J129" s="274">
        <f>SUM(J130:J131)</f>
        <v>5213.0800079999999</v>
      </c>
      <c r="K129" s="275">
        <f>L129-J129</f>
        <v>-2524.517413370354</v>
      </c>
      <c r="L129" s="276">
        <f>'корпоративный баланс энергии'!AD137+'корпоративный баланс энергии'!AG137+'корпоративный баланс энергии'!AJ137</f>
        <v>2688.5625946296459</v>
      </c>
      <c r="M129" s="274">
        <f>SUM(M130:M131)</f>
        <v>8166.0215600000001</v>
      </c>
      <c r="N129" s="275">
        <f>O129-M129</f>
        <v>-4801.8301286933956</v>
      </c>
      <c r="O129" s="276">
        <f>'корпоративный баланс энергии'!AM137+'корпоративный баланс энергии'!AP137+'корпоративный баланс энергии'!AS137</f>
        <v>3364.1914313066045</v>
      </c>
      <c r="P129" s="274">
        <f>SUM(P130:P131)</f>
        <v>29220.334287999998</v>
      </c>
      <c r="Q129" s="275">
        <f>R129-P129</f>
        <v>-16959.371724722914</v>
      </c>
      <c r="R129" s="276">
        <f>F129+I129+L129+O129</f>
        <v>12260.962563277086</v>
      </c>
      <c r="S129" s="261"/>
      <c r="T129" s="261"/>
    </row>
    <row r="130" spans="2:20">
      <c r="B130" s="10" t="s">
        <v>173</v>
      </c>
      <c r="C130" s="483"/>
      <c r="D130" s="270">
        <f>SUM(D137:D139)</f>
        <v>777.49691200000007</v>
      </c>
      <c r="E130" s="271"/>
      <c r="F130" s="224"/>
      <c r="G130" s="270">
        <f>SUM(G137:G139)</f>
        <v>606.73580800000002</v>
      </c>
      <c r="H130" s="271"/>
      <c r="I130" s="224"/>
      <c r="J130" s="270">
        <f>SUM(J137:J139)</f>
        <v>632.08000800000002</v>
      </c>
      <c r="K130" s="271"/>
      <c r="L130" s="224"/>
      <c r="M130" s="270">
        <f>SUM(M137:M139)</f>
        <v>744.02156000000002</v>
      </c>
      <c r="N130" s="271"/>
      <c r="O130" s="224"/>
      <c r="P130" s="270">
        <f>SUM(P137:P139)</f>
        <v>2760.334288</v>
      </c>
      <c r="Q130" s="271"/>
      <c r="R130" s="364"/>
      <c r="S130" s="261"/>
      <c r="T130" s="261"/>
    </row>
    <row r="131" spans="2:20" ht="15" customHeight="1">
      <c r="B131" s="10" t="s">
        <v>98</v>
      </c>
      <c r="C131" s="483"/>
      <c r="D131" s="270">
        <f>D132+D133</f>
        <v>8014</v>
      </c>
      <c r="E131" s="271"/>
      <c r="F131" s="224"/>
      <c r="G131" s="270">
        <f>G132+G133</f>
        <v>6443</v>
      </c>
      <c r="H131" s="271"/>
      <c r="I131" s="224"/>
      <c r="J131" s="270">
        <f>J132+J133</f>
        <v>4581</v>
      </c>
      <c r="K131" s="271"/>
      <c r="L131" s="224"/>
      <c r="M131" s="270">
        <f>M132+M133</f>
        <v>7422</v>
      </c>
      <c r="N131" s="271"/>
      <c r="O131" s="224"/>
      <c r="P131" s="270">
        <f>P132+P133</f>
        <v>26460</v>
      </c>
      <c r="Q131" s="271"/>
      <c r="R131" s="364"/>
      <c r="S131" s="261"/>
      <c r="T131" s="261"/>
    </row>
    <row r="132" spans="2:20">
      <c r="B132" s="123" t="str">
        <f>'корпоративный баланс энергии'!H140</f>
        <v>Нововоронежская АЭС (филиал АО "Концерн Росэнергоатом")</v>
      </c>
      <c r="C132" s="516" t="s">
        <v>364</v>
      </c>
      <c r="D132" s="281">
        <f>'корпоративный баланс энергии'!J140+'корпоративный баланс энергии'!M140+'корпоративный баланс энергии'!P140</f>
        <v>3032</v>
      </c>
      <c r="E132" s="246"/>
      <c r="F132" s="282"/>
      <c r="G132" s="244">
        <f>'корпоративный баланс энергии'!S140+'корпоративный баланс энергии'!V140+'корпоративный баланс энергии'!Y140</f>
        <v>2993</v>
      </c>
      <c r="H132" s="246"/>
      <c r="I132" s="282"/>
      <c r="J132" s="244">
        <f>'корпоративный баланс энергии'!AB140+'корпоративный баланс энергии'!AE140+'корпоративный баланс энергии'!AH140</f>
        <v>1789</v>
      </c>
      <c r="K132" s="246"/>
      <c r="L132" s="282"/>
      <c r="M132" s="244">
        <f>'корпоративный баланс энергии'!AK140+'корпоративный баланс энергии'!AN140+'корпоративный баланс энергии'!AQ140</f>
        <v>3066</v>
      </c>
      <c r="N132" s="246"/>
      <c r="O132" s="282"/>
      <c r="P132" s="244">
        <f>D132+G132+J132+M132</f>
        <v>10880</v>
      </c>
      <c r="Q132" s="283"/>
      <c r="R132" s="299"/>
      <c r="S132" s="261"/>
      <c r="T132" s="261"/>
    </row>
    <row r="133" spans="2:20">
      <c r="B133" s="137" t="str">
        <f>'корпоративный баланс энергии'!H141</f>
        <v>Нововоронежская АЭС - 2 (АО "Концерн Росэнергоатом")</v>
      </c>
      <c r="C133" s="516" t="s">
        <v>364</v>
      </c>
      <c r="D133" s="317">
        <f>D134+D135</f>
        <v>4982</v>
      </c>
      <c r="E133" s="246"/>
      <c r="F133" s="282"/>
      <c r="G133" s="317">
        <f>G134+G135</f>
        <v>3450</v>
      </c>
      <c r="H133" s="246"/>
      <c r="I133" s="282"/>
      <c r="J133" s="317">
        <f>J134+J135</f>
        <v>2792</v>
      </c>
      <c r="K133" s="246"/>
      <c r="L133" s="282"/>
      <c r="M133" s="317">
        <f>M134+M135</f>
        <v>4356</v>
      </c>
      <c r="N133" s="246"/>
      <c r="O133" s="282"/>
      <c r="P133" s="262">
        <f>D133+G133+J133+M133</f>
        <v>15580</v>
      </c>
      <c r="Q133" s="283"/>
      <c r="R133" s="299"/>
      <c r="S133" s="261"/>
      <c r="T133" s="261"/>
    </row>
    <row r="134" spans="2:20">
      <c r="B134" s="123" t="str">
        <f>'корпоративный баланс энергии'!H142</f>
        <v>Нововоронежская АЭС - 2 Блок №1 (АО "Концерн Росэнергоатом")</v>
      </c>
      <c r="C134" s="516"/>
      <c r="D134" s="281">
        <f>'корпоративный баланс энергии'!J142+'корпоративный баланс энергии'!M142+'корпоративный баланс энергии'!P142</f>
        <v>2531</v>
      </c>
      <c r="E134" s="246"/>
      <c r="F134" s="282"/>
      <c r="G134" s="244">
        <f>'корпоративный баланс энергии'!S142+'корпоративный баланс энергии'!V142+'корпоративный баланс энергии'!Y142</f>
        <v>1091</v>
      </c>
      <c r="H134" s="246"/>
      <c r="I134" s="282"/>
      <c r="J134" s="244">
        <f>'корпоративный баланс энергии'!AB142+'корпоративный баланс энергии'!AE142+'корпоративный баланс энергии'!AH142</f>
        <v>2367</v>
      </c>
      <c r="K134" s="246"/>
      <c r="L134" s="282"/>
      <c r="M134" s="244">
        <f>'корпоративный баланс энергии'!AK142+'корпоративный баланс энергии'!AN142+'корпоративный баланс энергии'!AQ142</f>
        <v>2281</v>
      </c>
      <c r="N134" s="246"/>
      <c r="O134" s="282"/>
      <c r="P134" s="244">
        <f t="shared" ref="P134:P135" si="10">D134+G134+J134+M134</f>
        <v>8270</v>
      </c>
      <c r="Q134" s="283"/>
      <c r="R134" s="299"/>
      <c r="S134" s="261"/>
      <c r="T134" s="261"/>
    </row>
    <row r="135" spans="2:20">
      <c r="B135" s="123" t="str">
        <f>'корпоративный баланс энергии'!H143</f>
        <v>Нововоронежская АЭС - 2 Блок №2 (АО "Концерн Росэнергоатом")</v>
      </c>
      <c r="C135" s="516"/>
      <c r="D135" s="281">
        <f>'корпоративный баланс энергии'!J143+'корпоративный баланс энергии'!M143+'корпоративный баланс энергии'!P143</f>
        <v>2451</v>
      </c>
      <c r="E135" s="246"/>
      <c r="F135" s="282"/>
      <c r="G135" s="244">
        <f>'корпоративный баланс энергии'!S143+'корпоративный баланс энергии'!V143+'корпоративный баланс энергии'!Y143</f>
        <v>2359</v>
      </c>
      <c r="H135" s="246"/>
      <c r="I135" s="282"/>
      <c r="J135" s="244">
        <f>'корпоративный баланс энергии'!AB143+'корпоративный баланс энергии'!AE143+'корпоративный баланс энергии'!AH143</f>
        <v>425</v>
      </c>
      <c r="K135" s="246"/>
      <c r="L135" s="282"/>
      <c r="M135" s="244">
        <f>'корпоративный баланс энергии'!AK143+'корпоративный баланс энергии'!AN143+'корпоративный баланс энергии'!AQ143</f>
        <v>2075</v>
      </c>
      <c r="N135" s="246"/>
      <c r="O135" s="282"/>
      <c r="P135" s="244">
        <f t="shared" si="10"/>
        <v>7310</v>
      </c>
      <c r="Q135" s="283"/>
      <c r="R135" s="299"/>
      <c r="S135" s="261"/>
      <c r="T135" s="261"/>
    </row>
    <row r="136" spans="2:20">
      <c r="B136" s="137" t="str">
        <f>'корпоративный баланс энергии'!H144</f>
        <v>Воронежская ТЭЦ 1 (Воронежский филиал ПАО "Квадра")</v>
      </c>
      <c r="C136" s="516" t="s">
        <v>364</v>
      </c>
      <c r="D136" s="262">
        <f>SUM(D137:D138)</f>
        <v>550.18191200000001</v>
      </c>
      <c r="E136" s="246"/>
      <c r="F136" s="282"/>
      <c r="G136" s="262">
        <f>SUM(G137:G138)</f>
        <v>453.154</v>
      </c>
      <c r="H136" s="246"/>
      <c r="I136" s="282"/>
      <c r="J136" s="262">
        <f>SUM(J137:J138)</f>
        <v>429.57300000000004</v>
      </c>
      <c r="K136" s="246"/>
      <c r="L136" s="282"/>
      <c r="M136" s="262">
        <f>SUM(M137:M138)</f>
        <v>540.59320000000002</v>
      </c>
      <c r="N136" s="246"/>
      <c r="O136" s="282"/>
      <c r="P136" s="262">
        <f>SUM(P137:P138)</f>
        <v>1973.5021119999999</v>
      </c>
      <c r="Q136" s="283"/>
      <c r="R136" s="299"/>
      <c r="S136" s="261"/>
      <c r="T136" s="261"/>
    </row>
    <row r="137" spans="2:20" s="6" customFormat="1">
      <c r="B137" s="123" t="str">
        <f>'корпоративный баланс энергии'!H145</f>
        <v>Воронежская ТЭЦ 1 (Воронежский филиал ПАО "Квадра")</v>
      </c>
      <c r="C137" s="516"/>
      <c r="D137" s="281">
        <f>'корпоративный баланс энергии'!J145+'корпоративный баланс энергии'!M145+'корпоративный баланс энергии'!P145</f>
        <v>247.38391199999998</v>
      </c>
      <c r="E137" s="246"/>
      <c r="F137" s="282"/>
      <c r="G137" s="244">
        <f>'корпоративный баланс энергии'!S145+'корпоративный баланс энергии'!V145+'корпоративный баланс энергии'!Y145</f>
        <v>108.902</v>
      </c>
      <c r="H137" s="246"/>
      <c r="I137" s="282"/>
      <c r="J137" s="244">
        <f>'корпоративный баланс энергии'!AB145+'корпоративный баланс энергии'!AE145+'корпоративный баланс энергии'!AH145</f>
        <v>95.151999999999987</v>
      </c>
      <c r="K137" s="246"/>
      <c r="L137" s="282"/>
      <c r="M137" s="244">
        <f>'корпоративный баланс энергии'!AK145+'корпоративный баланс энергии'!AN145+'корпоративный баланс энергии'!AQ145</f>
        <v>210.87719999999999</v>
      </c>
      <c r="N137" s="246"/>
      <c r="O137" s="282"/>
      <c r="P137" s="244">
        <f>D137+G137+J137+M137</f>
        <v>662.315112</v>
      </c>
      <c r="Q137" s="283"/>
      <c r="R137" s="299"/>
      <c r="S137" s="322"/>
      <c r="T137" s="322"/>
    </row>
    <row r="138" spans="2:20" s="6" customFormat="1">
      <c r="B138" s="123" t="str">
        <f>'корпоративный баланс энергии'!H146</f>
        <v>Воронежская ТЭЦ 1 (Воронежский филиал ПАО "Квадра") ПГУ 223 МВт НВ, ДПМ 01.01.2016 (2018)</v>
      </c>
      <c r="C138" s="516"/>
      <c r="D138" s="281">
        <f>'корпоративный баланс энергии'!J146+'корпоративный баланс энергии'!M146+'корпоративный баланс энергии'!P146</f>
        <v>302.798</v>
      </c>
      <c r="E138" s="246"/>
      <c r="F138" s="282"/>
      <c r="G138" s="244">
        <f>'корпоративный баланс энергии'!S146+'корпоративный баланс энергии'!V146+'корпоративный баланс энергии'!Y146</f>
        <v>344.25200000000001</v>
      </c>
      <c r="H138" s="246"/>
      <c r="I138" s="282"/>
      <c r="J138" s="244">
        <f>'корпоративный баланс энергии'!AB146+'корпоративный баланс энергии'!AE146+'корпоративный баланс энергии'!AH146</f>
        <v>334.42100000000005</v>
      </c>
      <c r="K138" s="246"/>
      <c r="L138" s="282"/>
      <c r="M138" s="244">
        <f>'корпоративный баланс энергии'!AK146+'корпоративный баланс энергии'!AN146+'корпоративный баланс энергии'!AQ146</f>
        <v>329.71600000000001</v>
      </c>
      <c r="N138" s="246"/>
      <c r="O138" s="282"/>
      <c r="P138" s="244">
        <f>D138+G138+J138+M138</f>
        <v>1311.1869999999999</v>
      </c>
      <c r="Q138" s="283"/>
      <c r="R138" s="299"/>
      <c r="S138" s="322"/>
      <c r="T138" s="322"/>
    </row>
    <row r="139" spans="2:20">
      <c r="B139" s="137" t="str">
        <f>'корпоративный баланс энергии'!H147</f>
        <v>Воронежская ТЭЦ 2 (Воронежский филиал ПАО "Квадра")</v>
      </c>
      <c r="C139" s="516" t="s">
        <v>364</v>
      </c>
      <c r="D139" s="317">
        <f>D140+D141</f>
        <v>227.315</v>
      </c>
      <c r="E139" s="323"/>
      <c r="F139" s="324"/>
      <c r="G139" s="317">
        <f>G140+G141</f>
        <v>153.58180800000002</v>
      </c>
      <c r="H139" s="323"/>
      <c r="I139" s="324"/>
      <c r="J139" s="317">
        <f>J140+J141</f>
        <v>202.50700800000001</v>
      </c>
      <c r="K139" s="323"/>
      <c r="L139" s="324"/>
      <c r="M139" s="317">
        <f>M140+M141</f>
        <v>203.42836</v>
      </c>
      <c r="N139" s="323"/>
      <c r="O139" s="324"/>
      <c r="P139" s="317">
        <f>P140+P141</f>
        <v>786.832176</v>
      </c>
      <c r="Q139" s="323"/>
      <c r="R139" s="324"/>
      <c r="S139" s="261"/>
      <c r="T139" s="261"/>
    </row>
    <row r="140" spans="2:20">
      <c r="B140" s="127" t="str">
        <f>'корпоративный баланс энергии'!H148</f>
        <v>Воронежская ТЭЦ 2 (Воронежский филиал ПАО "Квадра")</v>
      </c>
      <c r="C140" s="487"/>
      <c r="D140" s="281">
        <f>'корпоративный баланс энергии'!J148+'корпоративный баланс энергии'!M148+'корпоративный баланс энергии'!P148</f>
        <v>16.200000000000003</v>
      </c>
      <c r="E140" s="246"/>
      <c r="F140" s="282"/>
      <c r="G140" s="244">
        <f>'корпоративный баланс энергии'!S148+'корпоративный баланс энергии'!V148+'корпоративный баланс энергии'!Y148</f>
        <v>2.8000799999999999</v>
      </c>
      <c r="H140" s="246"/>
      <c r="I140" s="282"/>
      <c r="J140" s="244">
        <f>'корпоративный баланс энергии'!AB148+'корпоративный баланс энергии'!AE148+'корпоративный баланс энергии'!AH148</f>
        <v>0</v>
      </c>
      <c r="K140" s="246"/>
      <c r="L140" s="282"/>
      <c r="M140" s="244">
        <f>'корпоративный баланс энергии'!AK148+'корпоративный баланс энергии'!AN148+'корпоративный баланс энергии'!AQ148</f>
        <v>14.74836</v>
      </c>
      <c r="N140" s="246"/>
      <c r="O140" s="282"/>
      <c r="P140" s="244">
        <f>D140+G140+J140+M140</f>
        <v>33.748440000000002</v>
      </c>
      <c r="Q140" s="283"/>
      <c r="R140" s="299"/>
      <c r="S140" s="261"/>
      <c r="T140" s="261"/>
    </row>
    <row r="141" spans="2:20">
      <c r="B141" s="127" t="str">
        <f>'корпоративный баланс энергии'!H149</f>
        <v>Воронежская ТЭЦ 2 ПГУ-115 (Воронежский филиал ПАО "Квадра") НВ, ДПМ 01.01.2011</v>
      </c>
      <c r="C141" s="486"/>
      <c r="D141" s="281">
        <f>'корпоративный баланс энергии'!J149+'корпоративный баланс энергии'!M149+'корпоративный баланс энергии'!P149</f>
        <v>211.11500000000001</v>
      </c>
      <c r="E141" s="246"/>
      <c r="F141" s="282"/>
      <c r="G141" s="244">
        <f>'корпоративный баланс энергии'!S149+'корпоративный баланс энергии'!V149+'корпоративный баланс энергии'!Y149</f>
        <v>150.78172800000002</v>
      </c>
      <c r="H141" s="246"/>
      <c r="I141" s="282"/>
      <c r="J141" s="244">
        <f>'корпоративный баланс энергии'!AB149+'корпоративный баланс энергии'!AE149+'корпоративный баланс энергии'!AH149</f>
        <v>202.50700800000001</v>
      </c>
      <c r="K141" s="246"/>
      <c r="L141" s="282"/>
      <c r="M141" s="244">
        <f>'корпоративный баланс энергии'!AK149+'корпоративный баланс энергии'!AN149+'корпоративный баланс энергии'!AQ149</f>
        <v>188.68</v>
      </c>
      <c r="N141" s="246"/>
      <c r="O141" s="282"/>
      <c r="P141" s="244">
        <f>D141+G141+J141+M141</f>
        <v>753.08373600000004</v>
      </c>
      <c r="Q141" s="283"/>
      <c r="R141" s="299"/>
      <c r="S141" s="261"/>
      <c r="T141" s="261"/>
    </row>
    <row r="142" spans="2:20" ht="18.75">
      <c r="B142" s="470" t="str">
        <f>'корпоративный баланс энергии'!H150</f>
        <v>Энергосистема Ивановской области</v>
      </c>
      <c r="C142" s="485"/>
      <c r="D142" s="274">
        <f>D143</f>
        <v>777.32823799999994</v>
      </c>
      <c r="E142" s="275">
        <f>F142-D142</f>
        <v>222.29953599648286</v>
      </c>
      <c r="F142" s="276">
        <f>'корпоративный баланс энергии'!L150+'корпоративный баланс энергии'!O150+'корпоративный баланс энергии'!R150</f>
        <v>999.6277739964828</v>
      </c>
      <c r="G142" s="274">
        <f>G143</f>
        <v>390.02212600000007</v>
      </c>
      <c r="H142" s="275">
        <f>I142-G142</f>
        <v>387.34770111976604</v>
      </c>
      <c r="I142" s="276">
        <f>'корпоративный баланс энергии'!U150+'корпоративный баланс энергии'!X150+'корпоративный баланс энергии'!AA150</f>
        <v>777.36982711976611</v>
      </c>
      <c r="J142" s="274">
        <f>J143</f>
        <v>348.52825899999999</v>
      </c>
      <c r="K142" s="275">
        <f>L142-J142</f>
        <v>396.25040242401968</v>
      </c>
      <c r="L142" s="276">
        <f>'корпоративный баланс энергии'!AD150+'корпоративный баланс энергии'!AG150+'корпоративный баланс энергии'!AJ150</f>
        <v>744.77866142401967</v>
      </c>
      <c r="M142" s="274">
        <f>M143</f>
        <v>688.21668999999997</v>
      </c>
      <c r="N142" s="275">
        <f>O142-M142</f>
        <v>308.00704745973121</v>
      </c>
      <c r="O142" s="276">
        <f>'корпоративный баланс энергии'!AM150+'корпоративный баланс энергии'!AP150+'корпоративный баланс энергии'!AS150</f>
        <v>996.22373745973118</v>
      </c>
      <c r="P142" s="274">
        <f>P143</f>
        <v>2204.0953130000003</v>
      </c>
      <c r="Q142" s="275">
        <f>R142-P142</f>
        <v>1313.9046869999993</v>
      </c>
      <c r="R142" s="276">
        <f>F142+I142+L142+O142</f>
        <v>3517.9999999999995</v>
      </c>
      <c r="S142" s="261"/>
      <c r="T142" s="261"/>
    </row>
    <row r="143" spans="2:20">
      <c r="B143" s="10" t="s">
        <v>173</v>
      </c>
      <c r="C143" s="483"/>
      <c r="D143" s="270">
        <f>SUM(D144:D148)</f>
        <v>777.32823799999994</v>
      </c>
      <c r="E143" s="271"/>
      <c r="F143" s="224"/>
      <c r="G143" s="270">
        <f>SUM(G144:G148)</f>
        <v>390.02212600000007</v>
      </c>
      <c r="H143" s="271"/>
      <c r="I143" s="224"/>
      <c r="J143" s="270">
        <f>SUM(J144:J148)</f>
        <v>348.52825899999999</v>
      </c>
      <c r="K143" s="271"/>
      <c r="L143" s="224"/>
      <c r="M143" s="270">
        <f>SUM(M144:M148)</f>
        <v>688.21668999999997</v>
      </c>
      <c r="N143" s="271"/>
      <c r="O143" s="224"/>
      <c r="P143" s="270">
        <f>SUM(P144:P148)</f>
        <v>2204.0953130000003</v>
      </c>
      <c r="Q143" s="271"/>
      <c r="R143" s="364"/>
      <c r="S143" s="261"/>
      <c r="T143" s="261"/>
    </row>
    <row r="144" spans="2:20">
      <c r="B144" s="123" t="str">
        <f>'корпоративный баланс энергии'!H152</f>
        <v>Ивановская ГРЭС (ОАО "Стенд")</v>
      </c>
      <c r="C144" s="517" t="s">
        <v>365</v>
      </c>
      <c r="D144" s="281">
        <f>'корпоративный баланс энергии'!J152+'корпоративный баланс энергии'!M152+'корпоративный баланс энергии'!P152</f>
        <v>0</v>
      </c>
      <c r="E144" s="246"/>
      <c r="F144" s="282"/>
      <c r="G144" s="281">
        <f>'корпоративный баланс энергии'!S152+'корпоративный баланс энергии'!V152+'корпоративный баланс энергии'!Y152</f>
        <v>0</v>
      </c>
      <c r="H144" s="246"/>
      <c r="I144" s="282"/>
      <c r="J144" s="281">
        <f>'корпоративный баланс энергии'!AB152+'корпоративный баланс энергии'!AE152+'корпоративный баланс энергии'!AH152</f>
        <v>0</v>
      </c>
      <c r="K144" s="246"/>
      <c r="L144" s="282"/>
      <c r="M144" s="281">
        <f>'корпоративный баланс энергии'!AK152+'корпоративный баланс энергии'!AN152+'корпоративный баланс энергии'!AQ152</f>
        <v>0</v>
      </c>
      <c r="N144" s="246"/>
      <c r="O144" s="282"/>
      <c r="P144" s="244">
        <f t="shared" ref="P144:P148" si="11">D144+G144+J144+M144</f>
        <v>0</v>
      </c>
      <c r="Q144" s="283"/>
      <c r="R144" s="299"/>
      <c r="S144" s="261"/>
      <c r="T144" s="261"/>
    </row>
    <row r="145" spans="2:20">
      <c r="B145" s="123" t="str">
        <f>'корпоративный баланс энергии'!H153</f>
        <v>Ивановские ПГУ (филиал АО "Интер РАО-электрогенерация") энергоблок № 2 ПГУ 325  ДПМ</v>
      </c>
      <c r="C145" s="516" t="s">
        <v>364</v>
      </c>
      <c r="D145" s="281">
        <f>'корпоративный баланс энергии'!J153+'корпоративный баланс энергии'!M153+'корпоративный баланс энергии'!P153</f>
        <v>215.92127999999997</v>
      </c>
      <c r="E145" s="246"/>
      <c r="F145" s="282"/>
      <c r="G145" s="244">
        <f>'корпоративный баланс энергии'!S153+'корпоративный баланс энергии'!V153+'корпоративный баланс энергии'!Y153</f>
        <v>199.37472000000002</v>
      </c>
      <c r="H145" s="246"/>
      <c r="I145" s="282"/>
      <c r="J145" s="244">
        <f>'корпоративный баланс энергии'!AB153+'корпоративный баланс энергии'!AE153+'корпоративный баланс энергии'!AH153</f>
        <v>250.52864</v>
      </c>
      <c r="K145" s="246"/>
      <c r="L145" s="282"/>
      <c r="M145" s="244">
        <f>'корпоративный баланс энергии'!AK153+'корпоративный баланс энергии'!AN153+'корпоративный баланс энергии'!AQ153</f>
        <v>233.64431999999999</v>
      </c>
      <c r="N145" s="246"/>
      <c r="O145" s="282"/>
      <c r="P145" s="244">
        <f t="shared" si="11"/>
        <v>899.46896000000004</v>
      </c>
      <c r="Q145" s="283"/>
      <c r="R145" s="299"/>
      <c r="S145" s="261"/>
      <c r="T145" s="261"/>
    </row>
    <row r="146" spans="2:20">
      <c r="B146" s="123" t="str">
        <f>'корпоративный баланс энергии'!H154</f>
        <v>Ивановская ТЭЦ 2 (Ивановский филиал ПАО  "Т Плюс")</v>
      </c>
      <c r="C146" s="516" t="s">
        <v>364</v>
      </c>
      <c r="D146" s="281">
        <f>'корпоративный баланс энергии'!J154+'корпоративный баланс энергии'!M154+'корпоративный баланс энергии'!P154</f>
        <v>193.65600000000001</v>
      </c>
      <c r="E146" s="246"/>
      <c r="F146" s="282"/>
      <c r="G146" s="244">
        <f>'корпоративный баланс энергии'!S154+'корпоративный баланс энергии'!V154+'корпоративный баланс энергии'!Y154</f>
        <v>78.36</v>
      </c>
      <c r="H146" s="246"/>
      <c r="I146" s="282"/>
      <c r="J146" s="244">
        <f>'корпоративный баланс энергии'!AB154+'корпоративный баланс энергии'!AE154+'корпоративный баланс энергии'!AH154</f>
        <v>55.2</v>
      </c>
      <c r="K146" s="246"/>
      <c r="L146" s="282"/>
      <c r="M146" s="244">
        <f>'корпоративный баланс энергии'!AK154+'корпоративный баланс энергии'!AN154+'корпоративный баланс энергии'!AQ154</f>
        <v>166.92000000000002</v>
      </c>
      <c r="N146" s="246"/>
      <c r="O146" s="282"/>
      <c r="P146" s="244">
        <f t="shared" si="11"/>
        <v>494.13600000000002</v>
      </c>
      <c r="Q146" s="283"/>
      <c r="R146" s="299"/>
      <c r="S146" s="261"/>
      <c r="T146" s="261"/>
    </row>
    <row r="147" spans="2:20">
      <c r="B147" s="123" t="str">
        <f>'корпоративный баланс энергии'!H155</f>
        <v>Ивановская ТЭЦ 3 (Ивановский филиал ПАО  "Т Плюс")</v>
      </c>
      <c r="C147" s="516" t="s">
        <v>364</v>
      </c>
      <c r="D147" s="281">
        <f>'корпоративный баланс энергии'!J155+'корпоративный баланс энергии'!M155+'корпоративный баланс энергии'!P155</f>
        <v>356.65599999999995</v>
      </c>
      <c r="E147" s="246"/>
      <c r="F147" s="282"/>
      <c r="G147" s="244">
        <f>'корпоративный баланс энергии'!S155+'корпоративный баланс энергии'!V155+'корпоративный баланс энергии'!Y155</f>
        <v>101.627</v>
      </c>
      <c r="H147" s="246"/>
      <c r="I147" s="282"/>
      <c r="J147" s="244">
        <f>'корпоративный баланс энергии'!AB155+'корпоративный баланс энергии'!AE155+'корпоративный баланс энергии'!AH155</f>
        <v>37.795000000000002</v>
      </c>
      <c r="K147" s="246"/>
      <c r="L147" s="282"/>
      <c r="M147" s="244">
        <f>'корпоративный баланс энергии'!AK155+'корпоративный баланс энергии'!AN155+'корпоративный баланс энергии'!AQ155</f>
        <v>276.48</v>
      </c>
      <c r="N147" s="246"/>
      <c r="O147" s="282"/>
      <c r="P147" s="244">
        <f t="shared" si="11"/>
        <v>772.55799999999999</v>
      </c>
      <c r="Q147" s="283"/>
      <c r="R147" s="299"/>
      <c r="S147" s="261"/>
      <c r="T147" s="261"/>
    </row>
    <row r="148" spans="2:20" ht="15" customHeight="1">
      <c r="B148" s="123" t="str">
        <f>'корпоративный баланс энергии'!H156</f>
        <v>ТЭС РЭК (Родниковская ТЭЦ) (ЗАО "РЭК")</v>
      </c>
      <c r="C148" s="517" t="s">
        <v>365</v>
      </c>
      <c r="D148" s="281">
        <f>'корпоративный баланс энергии'!J156+'корпоративный баланс энергии'!M156+'корпоративный баланс энергии'!P156</f>
        <v>11.094957999999998</v>
      </c>
      <c r="E148" s="246"/>
      <c r="F148" s="282"/>
      <c r="G148" s="244">
        <f>'корпоративный баланс энергии'!S156+'корпоративный баланс энергии'!V156+'корпоративный баланс энергии'!Y156</f>
        <v>10.660406</v>
      </c>
      <c r="H148" s="246"/>
      <c r="I148" s="282"/>
      <c r="J148" s="244">
        <f>'корпоративный баланс энергии'!AB156+'корпоративный баланс энергии'!AE156+'корпоративный баланс энергии'!AH156</f>
        <v>5.0046189999999999</v>
      </c>
      <c r="K148" s="246"/>
      <c r="L148" s="282"/>
      <c r="M148" s="244">
        <f>'корпоративный баланс энергии'!AK156+'корпоративный баланс энергии'!AN156+'корпоративный баланс энергии'!AQ156</f>
        <v>11.172369999999999</v>
      </c>
      <c r="N148" s="246"/>
      <c r="O148" s="282"/>
      <c r="P148" s="244">
        <f t="shared" si="11"/>
        <v>37.932352999999999</v>
      </c>
      <c r="Q148" s="283"/>
      <c r="R148" s="299"/>
      <c r="S148" s="261"/>
      <c r="T148" s="261"/>
    </row>
    <row r="149" spans="2:20" ht="18.75">
      <c r="B149" s="470" t="str">
        <f>'корпоративный баланс энергии'!H157</f>
        <v>Энергосистема Калужской области</v>
      </c>
      <c r="C149" s="485"/>
      <c r="D149" s="274">
        <f>D150+D151</f>
        <v>151.33177000000001</v>
      </c>
      <c r="E149" s="275">
        <f>F149-D149</f>
        <v>1678.0072503994397</v>
      </c>
      <c r="F149" s="276">
        <f>'корпоративный баланс энергии'!L157+'корпоративный баланс энергии'!O157+'корпоративный баланс энергии'!R157</f>
        <v>1829.3390203994397</v>
      </c>
      <c r="G149" s="274">
        <f>G150+G151</f>
        <v>55.604759999999999</v>
      </c>
      <c r="H149" s="275">
        <f>I149-G149</f>
        <v>1574.7255283145089</v>
      </c>
      <c r="I149" s="276">
        <f>'корпоративный баланс энергии'!U157+'корпоративный баланс энергии'!X157+'корпоративный баланс энергии'!AA157</f>
        <v>1630.3302883145088</v>
      </c>
      <c r="J149" s="274">
        <f>J150+J151</f>
        <v>42.676760000000002</v>
      </c>
      <c r="K149" s="275">
        <f>L149-J149</f>
        <v>1542.5183514038742</v>
      </c>
      <c r="L149" s="276">
        <f>'корпоративный баланс энергии'!AD157+'корпоративный баланс энергии'!AG157+'корпоративный баланс энергии'!AJ157</f>
        <v>1585.1951114038743</v>
      </c>
      <c r="M149" s="274">
        <f>M150+M151</f>
        <v>116.66060200000001</v>
      </c>
      <c r="N149" s="275">
        <f>O149-M149</f>
        <v>1887.0424778821766</v>
      </c>
      <c r="O149" s="276">
        <f>'корпоративный баланс энергии'!AM157+'корпоративный баланс энергии'!AP157+'корпоративный баланс энергии'!AS157</f>
        <v>2003.7030798821766</v>
      </c>
      <c r="P149" s="274">
        <f>P150+P151</f>
        <v>366.27389200000005</v>
      </c>
      <c r="Q149" s="275">
        <f>R149-P149</f>
        <v>6682.293607999999</v>
      </c>
      <c r="R149" s="276">
        <f>F149+I149+L149+O149</f>
        <v>7048.5674999999992</v>
      </c>
      <c r="S149" s="261"/>
      <c r="T149" s="261"/>
    </row>
    <row r="150" spans="2:20">
      <c r="B150" s="10" t="s">
        <v>173</v>
      </c>
      <c r="C150" s="483"/>
      <c r="D150" s="270">
        <f>D152+D155+D156</f>
        <v>109.88876999999999</v>
      </c>
      <c r="E150" s="271"/>
      <c r="F150" s="224"/>
      <c r="G150" s="270">
        <f>G152+G155+G156</f>
        <v>22.07676</v>
      </c>
      <c r="H150" s="271"/>
      <c r="I150" s="224"/>
      <c r="J150" s="270">
        <f>J152+J155+J156</f>
        <v>14.676760000000002</v>
      </c>
      <c r="K150" s="271"/>
      <c r="L150" s="224"/>
      <c r="M150" s="270">
        <f>M152+M155+M156</f>
        <v>79.232602</v>
      </c>
      <c r="N150" s="271"/>
      <c r="O150" s="224"/>
      <c r="P150" s="270">
        <f>P152+P155+P156</f>
        <v>225.87489200000002</v>
      </c>
      <c r="Q150" s="271"/>
      <c r="R150" s="364"/>
      <c r="S150" s="261"/>
      <c r="T150" s="261"/>
    </row>
    <row r="151" spans="2:20">
      <c r="B151" s="10" t="s">
        <v>99</v>
      </c>
      <c r="C151" s="483"/>
      <c r="D151" s="270">
        <f>D157</f>
        <v>41.442999999999998</v>
      </c>
      <c r="E151" s="271"/>
      <c r="F151" s="224"/>
      <c r="G151" s="270">
        <f>G157</f>
        <v>33.527999999999999</v>
      </c>
      <c r="H151" s="271"/>
      <c r="I151" s="224"/>
      <c r="J151" s="270">
        <f>J157</f>
        <v>28</v>
      </c>
      <c r="K151" s="271"/>
      <c r="L151" s="224"/>
      <c r="M151" s="270">
        <f>M157</f>
        <v>37.428000000000004</v>
      </c>
      <c r="N151" s="271"/>
      <c r="O151" s="224"/>
      <c r="P151" s="270">
        <f>P157</f>
        <v>140.399</v>
      </c>
      <c r="Q151" s="271"/>
      <c r="R151" s="364"/>
      <c r="S151" s="261"/>
      <c r="T151" s="261"/>
    </row>
    <row r="152" spans="2:20">
      <c r="B152" s="137" t="str">
        <f>'корпоративный баланс энергии'!H160</f>
        <v>Калужская ТЭЦ-1 (Калужский филиал ПАО "Квадра")</v>
      </c>
      <c r="C152" s="516" t="s">
        <v>364</v>
      </c>
      <c r="D152" s="317">
        <f>SUM(D153:D154)</f>
        <v>59.991199999999999</v>
      </c>
      <c r="E152" s="323"/>
      <c r="F152" s="324"/>
      <c r="G152" s="317">
        <f>SUM(G153:G154)</f>
        <v>4.32</v>
      </c>
      <c r="H152" s="323"/>
      <c r="I152" s="324"/>
      <c r="J152" s="317">
        <f>SUM(J153:J154)</f>
        <v>0.86</v>
      </c>
      <c r="K152" s="323"/>
      <c r="L152" s="324"/>
      <c r="M152" s="317">
        <f>SUM(M153:M154)</f>
        <v>36.373552000000004</v>
      </c>
      <c r="N152" s="323"/>
      <c r="O152" s="324"/>
      <c r="P152" s="317">
        <f>SUM(P153:P154)</f>
        <v>101.54475200000002</v>
      </c>
      <c r="Q152" s="323"/>
      <c r="R152" s="324"/>
      <c r="S152" s="261"/>
      <c r="T152" s="261"/>
    </row>
    <row r="153" spans="2:20">
      <c r="B153" s="123" t="str">
        <f>'корпоративный баланс энергии'!H161</f>
        <v>Калужская ТЭЦ-1 (Калужский филиал ПАО "Квадра")</v>
      </c>
      <c r="C153" s="490"/>
      <c r="D153" s="281">
        <f>'корпоративный баланс энергии'!J161+'корпоративный баланс энергии'!M161+'корпоративный баланс энергии'!P161</f>
        <v>13.100000000000001</v>
      </c>
      <c r="E153" s="246"/>
      <c r="F153" s="282"/>
      <c r="G153" s="244">
        <f>'корпоративный баланс энергии'!S161+'корпоративный баланс энергии'!V161+'корпоративный баланс энергии'!Y161</f>
        <v>4.32</v>
      </c>
      <c r="H153" s="246"/>
      <c r="I153" s="282"/>
      <c r="J153" s="244">
        <f>'корпоративный баланс энергии'!AB161+'корпоративный баланс энергии'!AE161+'корпоративный баланс энергии'!AH161</f>
        <v>0.86</v>
      </c>
      <c r="K153" s="246"/>
      <c r="L153" s="282"/>
      <c r="M153" s="244">
        <f>'корпоративный баланс энергии'!AK161+'корпоративный баланс энергии'!AN161+'корпоративный баланс энергии'!AQ161</f>
        <v>13.240000000000002</v>
      </c>
      <c r="N153" s="246"/>
      <c r="O153" s="282"/>
      <c r="P153" s="244">
        <f>D153+G153+J153+M153</f>
        <v>31.520000000000003</v>
      </c>
      <c r="Q153" s="283"/>
      <c r="R153" s="299"/>
      <c r="S153" s="261"/>
      <c r="T153" s="261"/>
    </row>
    <row r="154" spans="2:20">
      <c r="B154" s="123" t="str">
        <f>'корпоративный баланс энергии'!H162</f>
        <v>Калужская ТЭЦ-1 ГТУ 30  (Калужский филиал ПАО "Квадра") НВ, ДПМ 01.08.2011</v>
      </c>
      <c r="C154" s="486"/>
      <c r="D154" s="281">
        <f>'корпоративный баланс энергии'!J162+'корпоративный баланс энергии'!M162+'корпоративный баланс энергии'!P162</f>
        <v>46.891199999999998</v>
      </c>
      <c r="E154" s="246"/>
      <c r="F154" s="282"/>
      <c r="G154" s="244">
        <f>'корпоративный баланс энергии'!S162+'корпоративный баланс энергии'!V162+'корпоративный баланс энергии'!Y162</f>
        <v>0</v>
      </c>
      <c r="H154" s="246"/>
      <c r="I154" s="282"/>
      <c r="J154" s="244">
        <f>'корпоративный баланс энергии'!AB162+'корпоративный баланс энергии'!AE162+'корпоративный баланс энергии'!AH162</f>
        <v>0</v>
      </c>
      <c r="K154" s="246"/>
      <c r="L154" s="282"/>
      <c r="M154" s="244">
        <f>'корпоративный баланс энергии'!AK162+'корпоративный баланс энергии'!AN162+'корпоративный баланс энергии'!AQ162</f>
        <v>23.133552000000002</v>
      </c>
      <c r="N154" s="246"/>
      <c r="O154" s="282"/>
      <c r="P154" s="244">
        <f>D154+G154+J154+M154</f>
        <v>70.024752000000007</v>
      </c>
      <c r="Q154" s="283"/>
      <c r="R154" s="299"/>
      <c r="S154" s="261"/>
      <c r="T154" s="261"/>
    </row>
    <row r="155" spans="2:20">
      <c r="B155" s="123" t="str">
        <f>'корпоративный баланс энергии'!H163</f>
        <v>Обнинская ГТУ-ТЭЦ №1 (ПАО "Калужская сбытовая компания")</v>
      </c>
      <c r="C155" s="517" t="s">
        <v>365</v>
      </c>
      <c r="D155" s="281">
        <f>'корпоративный баланс энергии'!J163+'корпоративный баланс энергии'!M163+'корпоративный баланс энергии'!P163</f>
        <v>41.53</v>
      </c>
      <c r="E155" s="246"/>
      <c r="F155" s="282"/>
      <c r="G155" s="244">
        <f>'корпоративный баланс энергии'!S163+'корпоративный баланс энергии'!V163+'корпоративный баланс энергии'!Y163</f>
        <v>10.36</v>
      </c>
      <c r="H155" s="246"/>
      <c r="I155" s="282"/>
      <c r="J155" s="244">
        <f>'корпоративный баланс энергии'!AB163+'корпоративный баланс энергии'!AE163+'корпоративный баланс энергии'!AH163</f>
        <v>6.42</v>
      </c>
      <c r="K155" s="246"/>
      <c r="L155" s="282"/>
      <c r="M155" s="244">
        <f>'корпоративный баланс энергии'!AK163+'корпоративный баланс энергии'!AN163+'корпоративный баланс энергии'!AQ163</f>
        <v>35</v>
      </c>
      <c r="N155" s="246"/>
      <c r="O155" s="282"/>
      <c r="P155" s="244">
        <f>D155+G155+J155+M155</f>
        <v>93.31</v>
      </c>
      <c r="Q155" s="283"/>
      <c r="R155" s="299"/>
      <c r="S155" s="261"/>
      <c r="T155" s="261"/>
    </row>
    <row r="156" spans="2:20">
      <c r="B156" s="123" t="str">
        <f>'корпоративный баланс энергии'!H164</f>
        <v>ГПЭС БТ п. Воротынск (ООО "КаскадЭнергосбыт")</v>
      </c>
      <c r="C156" s="517" t="s">
        <v>365</v>
      </c>
      <c r="D156" s="281">
        <f>'корпоративный баланс энергии'!J164+'корпоративный баланс энергии'!M164+'корпоративный баланс энергии'!P164</f>
        <v>8.3675700000000006</v>
      </c>
      <c r="E156" s="246"/>
      <c r="F156" s="282"/>
      <c r="G156" s="244">
        <f>'корпоративный баланс энергии'!S164+'корпоративный баланс энергии'!V164+'корпоративный баланс энергии'!Y164</f>
        <v>7.3967600000000004</v>
      </c>
      <c r="H156" s="246"/>
      <c r="I156" s="282"/>
      <c r="J156" s="244">
        <f>'корпоративный баланс энергии'!AB164+'корпоративный баланс энергии'!AE164+'корпоративный баланс энергии'!AH164</f>
        <v>7.3967600000000004</v>
      </c>
      <c r="K156" s="246"/>
      <c r="L156" s="282"/>
      <c r="M156" s="244">
        <f>'корпоративный баланс энергии'!AK164+'корпоративный баланс энергии'!AN164+'корпоративный баланс энергии'!AQ164</f>
        <v>7.8590499999999999</v>
      </c>
      <c r="N156" s="246"/>
      <c r="O156" s="282"/>
      <c r="P156" s="244">
        <f>D156+G156+J156+M156</f>
        <v>31.020140000000001</v>
      </c>
      <c r="Q156" s="283"/>
      <c r="R156" s="299"/>
      <c r="S156" s="261"/>
      <c r="T156" s="261"/>
    </row>
    <row r="157" spans="2:20" s="3" customFormat="1">
      <c r="B157" s="138" t="s">
        <v>174</v>
      </c>
      <c r="C157" s="488"/>
      <c r="D157" s="287">
        <f>SUM(D158:D160)</f>
        <v>41.442999999999998</v>
      </c>
      <c r="E157" s="288"/>
      <c r="F157" s="289"/>
      <c r="G157" s="287">
        <f>SUM(G158:G160)</f>
        <v>33.527999999999999</v>
      </c>
      <c r="H157" s="288"/>
      <c r="I157" s="289"/>
      <c r="J157" s="287">
        <f>SUM(J158:J160)</f>
        <v>28</v>
      </c>
      <c r="K157" s="288"/>
      <c r="L157" s="289"/>
      <c r="M157" s="287">
        <f>SUM(M158:M160)</f>
        <v>37.428000000000004</v>
      </c>
      <c r="N157" s="288"/>
      <c r="O157" s="289"/>
      <c r="P157" s="287">
        <f>SUM(P158:P160)</f>
        <v>140.399</v>
      </c>
      <c r="Q157" s="288"/>
      <c r="R157" s="289"/>
      <c r="S157" s="318"/>
      <c r="T157" s="318"/>
    </row>
    <row r="158" spans="2:20">
      <c r="B158" s="135" t="str">
        <f>'корпоративный баланс энергии'!H166</f>
        <v xml:space="preserve">ТЭЦ ОАО "Калужский турбинный завод"                                                                               </v>
      </c>
      <c r="C158" s="515" t="s">
        <v>365</v>
      </c>
      <c r="D158" s="293">
        <f>'корпоративный баланс энергии'!J166+'корпоративный баланс энергии'!M166+'корпоративный баланс энергии'!P166</f>
        <v>31.1</v>
      </c>
      <c r="E158" s="288"/>
      <c r="F158" s="289"/>
      <c r="G158" s="294">
        <f>'корпоративный баланс энергии'!S166+'корпоративный баланс энергии'!V166+'корпоративный баланс энергии'!Y166</f>
        <v>28.1</v>
      </c>
      <c r="H158" s="288"/>
      <c r="I158" s="289"/>
      <c r="J158" s="294">
        <f>'корпоративный баланс энергии'!AB166+'корпоративный баланс энергии'!AE166+'корпоративный баланс энергии'!AH166</f>
        <v>23.4</v>
      </c>
      <c r="K158" s="288"/>
      <c r="L158" s="289"/>
      <c r="M158" s="294">
        <f>'корпоративный баланс энергии'!AK166+'корпоративный баланс энергии'!AN166+'корпоративный баланс энергии'!AQ166</f>
        <v>27.200000000000003</v>
      </c>
      <c r="N158" s="288"/>
      <c r="O158" s="289"/>
      <c r="P158" s="294">
        <f>D158+G158+J158+M158</f>
        <v>109.8</v>
      </c>
      <c r="Q158" s="288"/>
      <c r="R158" s="289"/>
      <c r="S158" s="261"/>
      <c r="T158" s="261"/>
    </row>
    <row r="159" spans="2:20">
      <c r="B159" s="135" t="str">
        <f>'корпоративный баланс энергии'!H167</f>
        <v xml:space="preserve">ТЭС ОАО "Новокондровская бумажная компания"                                                                           </v>
      </c>
      <c r="C159" s="515" t="s">
        <v>365</v>
      </c>
      <c r="D159" s="293">
        <f>'корпоративный баланс энергии'!J167+'корпоративный баланс энергии'!M167+'корпоративный баланс энергии'!P167</f>
        <v>4.343</v>
      </c>
      <c r="E159" s="288"/>
      <c r="F159" s="289"/>
      <c r="G159" s="294">
        <f>'корпоративный баланс энергии'!S167+'корпоративный баланс энергии'!V167+'корпоративный баланс энергии'!Y167</f>
        <v>0.57799999999999996</v>
      </c>
      <c r="H159" s="288"/>
      <c r="I159" s="289"/>
      <c r="J159" s="294">
        <f>'корпоративный баланс энергии'!AB167+'корпоративный баланс энергии'!AE167+'корпоративный баланс энергии'!AH167</f>
        <v>0</v>
      </c>
      <c r="K159" s="288"/>
      <c r="L159" s="289"/>
      <c r="M159" s="294">
        <f>'корпоративный баланс энергии'!AK167+'корпоративный баланс энергии'!AN167+'корпоративный баланс энергии'!AQ167</f>
        <v>3.9279999999999999</v>
      </c>
      <c r="N159" s="288"/>
      <c r="O159" s="289"/>
      <c r="P159" s="294">
        <f>D159+G159+J159+M159</f>
        <v>8.8490000000000002</v>
      </c>
      <c r="Q159" s="288"/>
      <c r="R159" s="289"/>
      <c r="S159" s="261"/>
      <c r="T159" s="261"/>
    </row>
    <row r="160" spans="2:20" ht="15" customHeight="1">
      <c r="B160" s="135" t="str">
        <f>'корпоративный баланс энергии'!H168</f>
        <v>ТЭЦ ФЭИ (АО «ГНЦ РФ – Физико-энергетический институт имени А.И.Лейпунского»)</v>
      </c>
      <c r="C160" s="515" t="s">
        <v>365</v>
      </c>
      <c r="D160" s="293">
        <f>'корпоративный баланс энергии'!J168+'корпоративный баланс энергии'!M168+'корпоративный баланс энергии'!P168</f>
        <v>6</v>
      </c>
      <c r="E160" s="288"/>
      <c r="F160" s="289"/>
      <c r="G160" s="294">
        <f>'корпоративный баланс энергии'!S168+'корпоративный баланс энергии'!V168+'корпоративный баланс энергии'!Y168</f>
        <v>4.8499999999999996</v>
      </c>
      <c r="H160" s="288"/>
      <c r="I160" s="289"/>
      <c r="J160" s="294">
        <f>'корпоративный баланс энергии'!AB168+'корпоративный баланс энергии'!AE168+'корпоративный баланс энергии'!AH168</f>
        <v>4.5999999999999996</v>
      </c>
      <c r="K160" s="288"/>
      <c r="L160" s="289"/>
      <c r="M160" s="294">
        <f>'корпоративный баланс энергии'!AK168+'корпоративный баланс энергии'!AN168+'корпоративный баланс энергии'!AQ168</f>
        <v>6.3</v>
      </c>
      <c r="N160" s="288"/>
      <c r="O160" s="289"/>
      <c r="P160" s="294">
        <f>D160+G160+J160+M160</f>
        <v>21.75</v>
      </c>
      <c r="Q160" s="288"/>
      <c r="R160" s="289"/>
      <c r="S160" s="261"/>
      <c r="T160" s="261"/>
    </row>
    <row r="161" spans="2:20" ht="18.75">
      <c r="B161" s="470" t="str">
        <f>'корпоративный баланс энергии'!H169</f>
        <v>Энергосистема Костромской области</v>
      </c>
      <c r="C161" s="485"/>
      <c r="D161" s="274">
        <f>D162</f>
        <v>4075.4856366181734</v>
      </c>
      <c r="E161" s="275">
        <f>F161-D161</f>
        <v>-3062.7357865600279</v>
      </c>
      <c r="F161" s="276">
        <f>'корпоративный баланс энергии'!L169+'корпоративный баланс энергии'!O169+'корпоративный баланс энергии'!R169</f>
        <v>1012.7498500581457</v>
      </c>
      <c r="G161" s="274">
        <f>G162</f>
        <v>2573.2992138244904</v>
      </c>
      <c r="H161" s="275">
        <f>I161-G161</f>
        <v>-1759.9196447852996</v>
      </c>
      <c r="I161" s="276">
        <f>'корпоративный баланс энергии'!U169+'корпоративный баланс энергии'!X169+'корпоративный баланс энергии'!AA169</f>
        <v>813.37956903919087</v>
      </c>
      <c r="J161" s="274">
        <f>J162</f>
        <v>3825.6394517191761</v>
      </c>
      <c r="K161" s="275">
        <f>L161-J161</f>
        <v>-3012.8713361564646</v>
      </c>
      <c r="L161" s="276">
        <f>'корпоративный баланс энергии'!AD169+'корпоративный баланс энергии'!AG169+'корпоративный баланс энергии'!AJ169</f>
        <v>812.76811556271161</v>
      </c>
      <c r="M161" s="274">
        <f>M162</f>
        <v>3503.2596069513424</v>
      </c>
      <c r="N161" s="275">
        <f>O161-M161</f>
        <v>-2494.1571416113907</v>
      </c>
      <c r="O161" s="276">
        <f>'корпоративный баланс энергии'!AM169+'корпоративный баланс энергии'!AP169+'корпоративный баланс энергии'!AS169</f>
        <v>1009.1024653399519</v>
      </c>
      <c r="P161" s="274">
        <f>P162</f>
        <v>13977.683909113184</v>
      </c>
      <c r="Q161" s="275">
        <f>R161-P161</f>
        <v>-10329.683909113184</v>
      </c>
      <c r="R161" s="276">
        <f>F161+I161+L161+O161</f>
        <v>3648</v>
      </c>
      <c r="S161" s="261"/>
      <c r="T161" s="261"/>
    </row>
    <row r="162" spans="2:20">
      <c r="B162" s="10" t="s">
        <v>173</v>
      </c>
      <c r="C162" s="483"/>
      <c r="D162" s="270">
        <f>SUM(D163:D166)</f>
        <v>4075.4856366181734</v>
      </c>
      <c r="E162" s="271"/>
      <c r="F162" s="224"/>
      <c r="G162" s="223">
        <f>SUM(G163:G166)</f>
        <v>2573.2992138244904</v>
      </c>
      <c r="H162" s="271"/>
      <c r="I162" s="224"/>
      <c r="J162" s="223">
        <f>SUM(J163:J166)</f>
        <v>3825.6394517191761</v>
      </c>
      <c r="K162" s="271"/>
      <c r="L162" s="224"/>
      <c r="M162" s="223">
        <f>SUM(M163:M166)</f>
        <v>3503.2596069513424</v>
      </c>
      <c r="N162" s="271"/>
      <c r="O162" s="224"/>
      <c r="P162" s="223">
        <f>SUM(P163:P166)</f>
        <v>13977.683909113184</v>
      </c>
      <c r="Q162" s="271"/>
      <c r="R162" s="364"/>
      <c r="S162" s="261"/>
      <c r="T162" s="261"/>
    </row>
    <row r="163" spans="2:20">
      <c r="B163" s="123" t="str">
        <f>'корпоративный баланс энергии'!H171</f>
        <v>Костромская ГРЭС (филиал АО ""Интер РАО-электрогенерация"")</v>
      </c>
      <c r="C163" s="516" t="s">
        <v>364</v>
      </c>
      <c r="D163" s="281">
        <f>'корпоративный баланс энергии'!J171+'корпоративный баланс энергии'!M171+'корпоративный баланс энергии'!P171</f>
        <v>3723.6800000000003</v>
      </c>
      <c r="E163" s="246"/>
      <c r="F163" s="282"/>
      <c r="G163" s="244">
        <f>'корпоративный баланс энергии'!S171+'корпоративный баланс энергии'!V171+'корпоративный баланс энергии'!Y171</f>
        <v>2423.08</v>
      </c>
      <c r="H163" s="246"/>
      <c r="I163" s="282"/>
      <c r="J163" s="244">
        <f>'корпоративный баланс энергии'!AB171+'корпоративный баланс энергии'!AE171+'корпоративный баланс энергии'!AH171</f>
        <v>3736.0999999999995</v>
      </c>
      <c r="K163" s="246"/>
      <c r="L163" s="282"/>
      <c r="M163" s="244">
        <f>'корпоративный баланс энергии'!AK171+'корпоративный баланс энергии'!AN171+'корпоративный баланс энергии'!AQ171</f>
        <v>3215.11</v>
      </c>
      <c r="N163" s="246"/>
      <c r="O163" s="282"/>
      <c r="P163" s="244">
        <f>D163+G163+J163+M163</f>
        <v>13097.970000000001</v>
      </c>
      <c r="Q163" s="283"/>
      <c r="R163" s="299"/>
      <c r="S163" s="261"/>
      <c r="T163" s="261"/>
    </row>
    <row r="164" spans="2:20">
      <c r="B164" s="123" t="str">
        <f>'корпоративный баланс энергии'!H172</f>
        <v>Костромская ТЭЦ1 (Костромской филиал ОАО "ТГК-2")</v>
      </c>
      <c r="C164" s="516" t="s">
        <v>364</v>
      </c>
      <c r="D164" s="281">
        <f>'корпоративный баланс энергии'!J172+'корпоративный баланс энергии'!M172+'корпоративный баланс энергии'!P172</f>
        <v>35.286156618173067</v>
      </c>
      <c r="E164" s="246"/>
      <c r="F164" s="282"/>
      <c r="G164" s="244">
        <f>'корпоративный баланс энергии'!S172+'корпоративный баланс энергии'!V172+'корпоративный баланс энергии'!Y172</f>
        <v>11.877933824490768</v>
      </c>
      <c r="H164" s="246"/>
      <c r="I164" s="282"/>
      <c r="J164" s="244">
        <f>'корпоративный баланс энергии'!AB172+'корпоративный баланс энергии'!AE172+'корпоративный баланс энергии'!AH172</f>
        <v>4.4114517191766742</v>
      </c>
      <c r="K164" s="246"/>
      <c r="L164" s="282"/>
      <c r="M164" s="244">
        <f>'корпоративный баланс энергии'!AK172+'корпоративный баланс энергии'!AN172+'корпоративный баланс энергии'!AQ172</f>
        <v>30.200886951342451</v>
      </c>
      <c r="N164" s="246"/>
      <c r="O164" s="282"/>
      <c r="P164" s="244">
        <f>D164+G164+J164+M164</f>
        <v>81.776429113182957</v>
      </c>
      <c r="Q164" s="283"/>
      <c r="R164" s="299"/>
      <c r="S164" s="261"/>
      <c r="T164" s="261"/>
    </row>
    <row r="165" spans="2:20">
      <c r="B165" s="123" t="str">
        <f>'корпоративный баланс энергии'!H173</f>
        <v>Костромская ТЭЦ2 (Костромской филиал ОАО "ТГК-2")</v>
      </c>
      <c r="C165" s="516" t="s">
        <v>364</v>
      </c>
      <c r="D165" s="281">
        <f>'корпоративный баланс энергии'!J173+'корпоративный баланс энергии'!M173+'корпоративный баланс энергии'!P173</f>
        <v>299.45920000000001</v>
      </c>
      <c r="E165" s="246"/>
      <c r="F165" s="282"/>
      <c r="G165" s="244">
        <f>'корпоративный баланс энергии'!S173+'корпоративный баланс энергии'!V173+'корпоративный баланс энергии'!Y173</f>
        <v>133.65120000000002</v>
      </c>
      <c r="H165" s="246"/>
      <c r="I165" s="282"/>
      <c r="J165" s="244">
        <f>'корпоративный баланс энергии'!AB173+'корпоративный баланс энергии'!AE173+'корпоративный баланс энергии'!AH173</f>
        <v>85.128</v>
      </c>
      <c r="K165" s="246"/>
      <c r="L165" s="282"/>
      <c r="M165" s="244">
        <f>'корпоративный баланс энергии'!AK173+'корпоративный баланс энергии'!AN173+'корпоративный баланс энергии'!AQ173</f>
        <v>241.73269999999999</v>
      </c>
      <c r="N165" s="246"/>
      <c r="O165" s="282"/>
      <c r="P165" s="244">
        <f>D165+G165+J165+M165</f>
        <v>759.97110000000009</v>
      </c>
      <c r="Q165" s="283"/>
      <c r="R165" s="299"/>
      <c r="S165" s="261"/>
      <c r="T165" s="261"/>
    </row>
    <row r="166" spans="2:20">
      <c r="B166" s="123" t="str">
        <f>'корпоративный баланс энергии'!H174</f>
        <v>Шарьинская ТЭЦ (МУП "Шарьинская ТЭЦ")</v>
      </c>
      <c r="C166" s="516" t="s">
        <v>364</v>
      </c>
      <c r="D166" s="281">
        <f>'корпоративный баланс энергии'!J174+'корпоративный баланс энергии'!M174+'корпоративный баланс энергии'!P174</f>
        <v>17.060279999999999</v>
      </c>
      <c r="E166" s="246"/>
      <c r="F166" s="282"/>
      <c r="G166" s="244">
        <f>'корпоративный баланс энергии'!S174+'корпоративный баланс энергии'!V174+'корпоративный баланс энергии'!Y174</f>
        <v>4.69008</v>
      </c>
      <c r="H166" s="246"/>
      <c r="I166" s="282"/>
      <c r="J166" s="244">
        <f>'корпоративный баланс энергии'!AB174+'корпоративный баланс энергии'!AE174+'корпоративный баланс энергии'!AH174</f>
        <v>0</v>
      </c>
      <c r="K166" s="246"/>
      <c r="L166" s="282"/>
      <c r="M166" s="244">
        <f>'корпоративный баланс энергии'!AK174+'корпоративный баланс энергии'!AN174+'корпоративный баланс энергии'!AQ174</f>
        <v>16.21602</v>
      </c>
      <c r="N166" s="246"/>
      <c r="O166" s="282"/>
      <c r="P166" s="244">
        <f>D166+G166+J166+M166</f>
        <v>37.966380000000001</v>
      </c>
      <c r="Q166" s="283"/>
      <c r="R166" s="299"/>
      <c r="S166" s="261"/>
      <c r="T166" s="261"/>
    </row>
    <row r="167" spans="2:20" ht="18.75">
      <c r="B167" s="470" t="str">
        <f>'корпоративный баланс энергии'!H175</f>
        <v>Энергосистема Курской области</v>
      </c>
      <c r="C167" s="485"/>
      <c r="D167" s="274">
        <f>SUM(D168:D170)</f>
        <v>6893.47</v>
      </c>
      <c r="E167" s="275">
        <f>F167-D167</f>
        <v>-4562.7301066565851</v>
      </c>
      <c r="F167" s="276">
        <f>'корпоративный баланс энергии'!L175+'корпоративный баланс энергии'!O175+'корпоративный баланс энергии'!R175</f>
        <v>2330.7398933434151</v>
      </c>
      <c r="G167" s="274">
        <f>SUM(G168:G170)</f>
        <v>5345.64</v>
      </c>
      <c r="H167" s="275">
        <f>I167-G167</f>
        <v>-3386.7846788062925</v>
      </c>
      <c r="I167" s="276">
        <f>'корпоративный баланс энергии'!U175+'корпоративный баланс энергии'!X175+'корпоративный баланс энергии'!AA175</f>
        <v>1958.8553211937078</v>
      </c>
      <c r="J167" s="274">
        <f>SUM(J168:J170)</f>
        <v>5314.3372800000006</v>
      </c>
      <c r="K167" s="275">
        <f>L167-J167</f>
        <v>-3301.5885760780193</v>
      </c>
      <c r="L167" s="276">
        <f>'корпоративный баланс энергии'!AD175+'корпоративный баланс энергии'!AG175+'корпоративный баланс энергии'!AJ175</f>
        <v>2012.7487039219811</v>
      </c>
      <c r="M167" s="274">
        <f>SUM(M168:M170)</f>
        <v>9176.7688300000009</v>
      </c>
      <c r="N167" s="275">
        <f>O167-M167</f>
        <v>-6756.1127484591052</v>
      </c>
      <c r="O167" s="276">
        <f>'корпоративный баланс энергии'!AM175+'корпоративный баланс энергии'!AP175+'корпоративный баланс энергии'!AS175</f>
        <v>2420.6560815408961</v>
      </c>
      <c r="P167" s="274">
        <f>SUM(P168:P170)</f>
        <v>26730.216110000001</v>
      </c>
      <c r="Q167" s="275">
        <f>R167-P167</f>
        <v>-18007.216110000001</v>
      </c>
      <c r="R167" s="276">
        <f>F167+I167+L167+O167</f>
        <v>8723</v>
      </c>
      <c r="S167" s="261"/>
      <c r="T167" s="261"/>
    </row>
    <row r="168" spans="2:20">
      <c r="B168" s="10" t="s">
        <v>173</v>
      </c>
      <c r="C168" s="483"/>
      <c r="D168" s="270">
        <f>SUM(D172:D174)</f>
        <v>326.17240000000004</v>
      </c>
      <c r="E168" s="271"/>
      <c r="F168" s="224"/>
      <c r="G168" s="270">
        <f>SUM(G172:G174)</f>
        <v>180.64</v>
      </c>
      <c r="H168" s="271"/>
      <c r="I168" s="224"/>
      <c r="J168" s="270">
        <f>SUM(J172:J174)</f>
        <v>203.76</v>
      </c>
      <c r="K168" s="271"/>
      <c r="L168" s="224"/>
      <c r="M168" s="270">
        <f>SUM(M172:M174)</f>
        <v>299.68920000000003</v>
      </c>
      <c r="N168" s="271"/>
      <c r="O168" s="224"/>
      <c r="P168" s="270">
        <f>SUM(P172:P174)</f>
        <v>1010.2615999999999</v>
      </c>
      <c r="Q168" s="271"/>
      <c r="R168" s="364"/>
      <c r="S168" s="261"/>
      <c r="T168" s="261"/>
    </row>
    <row r="169" spans="2:20">
      <c r="B169" s="10" t="s">
        <v>98</v>
      </c>
      <c r="C169" s="483"/>
      <c r="D169" s="270">
        <f>D171</f>
        <v>6561</v>
      </c>
      <c r="E169" s="271"/>
      <c r="F169" s="224"/>
      <c r="G169" s="270">
        <f>G171</f>
        <v>5165</v>
      </c>
      <c r="H169" s="271"/>
      <c r="I169" s="224"/>
      <c r="J169" s="270">
        <f>J171</f>
        <v>5100</v>
      </c>
      <c r="K169" s="271"/>
      <c r="L169" s="224"/>
      <c r="M169" s="270">
        <f>M171</f>
        <v>8844</v>
      </c>
      <c r="N169" s="271"/>
      <c r="O169" s="224"/>
      <c r="P169" s="270">
        <f>P171</f>
        <v>25670</v>
      </c>
      <c r="Q169" s="271"/>
      <c r="R169" s="364"/>
      <c r="S169" s="261"/>
      <c r="T169" s="261"/>
    </row>
    <row r="170" spans="2:20">
      <c r="B170" s="10" t="s">
        <v>99</v>
      </c>
      <c r="C170" s="483"/>
      <c r="D170" s="270">
        <f>D175</f>
        <v>6.2976000000000001</v>
      </c>
      <c r="E170" s="271"/>
      <c r="F170" s="224"/>
      <c r="G170" s="270">
        <f>G175</f>
        <v>0</v>
      </c>
      <c r="H170" s="271"/>
      <c r="I170" s="224"/>
      <c r="J170" s="270">
        <f>J175</f>
        <v>10.57728</v>
      </c>
      <c r="K170" s="271"/>
      <c r="L170" s="224"/>
      <c r="M170" s="270">
        <f>M175</f>
        <v>33.079630000000002</v>
      </c>
      <c r="N170" s="271"/>
      <c r="O170" s="224"/>
      <c r="P170" s="270">
        <f>P175</f>
        <v>49.954509999999999</v>
      </c>
      <c r="Q170" s="271"/>
      <c r="R170" s="364"/>
      <c r="S170" s="261"/>
      <c r="T170" s="261"/>
    </row>
    <row r="171" spans="2:20">
      <c r="B171" s="123" t="str">
        <f>'корпоративный баланс энергии'!H179</f>
        <v>Курская АЭС (филиал АО "Концерн Росэнергоатом")</v>
      </c>
      <c r="C171" s="516" t="s">
        <v>364</v>
      </c>
      <c r="D171" s="281">
        <f>'корпоративный баланс энергии'!J179+'корпоративный баланс энергии'!M179+'корпоративный баланс энергии'!P179</f>
        <v>6561</v>
      </c>
      <c r="E171" s="246"/>
      <c r="F171" s="282"/>
      <c r="G171" s="244">
        <f>'корпоративный баланс энергии'!S179+'корпоративный баланс энергии'!V179+'корпоративный баланс энергии'!Y179</f>
        <v>5165</v>
      </c>
      <c r="H171" s="246"/>
      <c r="I171" s="282"/>
      <c r="J171" s="244">
        <f>'корпоративный баланс энергии'!AB179+'корпоративный баланс энергии'!AE179+'корпоративный баланс энергии'!AH179</f>
        <v>5100</v>
      </c>
      <c r="K171" s="246"/>
      <c r="L171" s="282"/>
      <c r="M171" s="244">
        <f>'корпоративный баланс энергии'!AK179+'корпоративный баланс энергии'!AN179+'корпоративный баланс энергии'!AQ179</f>
        <v>8844</v>
      </c>
      <c r="N171" s="246"/>
      <c r="O171" s="282"/>
      <c r="P171" s="244">
        <f>D171+G171+J171+M171</f>
        <v>25670</v>
      </c>
      <c r="Q171" s="283"/>
      <c r="R171" s="299"/>
      <c r="S171" s="261"/>
      <c r="T171" s="261"/>
    </row>
    <row r="172" spans="2:20">
      <c r="B172" s="123" t="str">
        <f>'корпоративный баланс энергии'!H180</f>
        <v>Курская ТЭЦ-1 (Курский филиал ПАО "Квадра")</v>
      </c>
      <c r="C172" s="516" t="s">
        <v>364</v>
      </c>
      <c r="D172" s="281">
        <f>'корпоративный баланс энергии'!J180+'корпоративный баланс энергии'!M180+'корпоративный баланс энергии'!P180</f>
        <v>120.1</v>
      </c>
      <c r="E172" s="246"/>
      <c r="F172" s="282"/>
      <c r="G172" s="244">
        <f>'корпоративный баланс энергии'!S180+'корпоративный баланс энергии'!V180+'корпоративный баланс энергии'!Y180</f>
        <v>34.4</v>
      </c>
      <c r="H172" s="246"/>
      <c r="I172" s="282"/>
      <c r="J172" s="244">
        <f>'корпоративный баланс энергии'!AB180+'корпоративный баланс энергии'!AE180+'корпоративный баланс энергии'!AH180</f>
        <v>45.4</v>
      </c>
      <c r="K172" s="246"/>
      <c r="L172" s="282"/>
      <c r="M172" s="244">
        <f>'корпоративный баланс энергии'!AK180+'корпоративный баланс энергии'!AN180+'корпоративный баланс энергии'!AQ180</f>
        <v>117.9</v>
      </c>
      <c r="N172" s="246"/>
      <c r="O172" s="282"/>
      <c r="P172" s="244">
        <f>D172+G172+J172+M172</f>
        <v>317.8</v>
      </c>
      <c r="Q172" s="283"/>
      <c r="R172" s="299"/>
      <c r="S172" s="261"/>
      <c r="T172" s="261"/>
    </row>
    <row r="173" spans="2:20" ht="15" customHeight="1">
      <c r="B173" s="123" t="str">
        <f>'корпоративный баланс энергии'!H181</f>
        <v>Курская ТЭЦ-4 (Курский филиал ПАО "Квадра")</v>
      </c>
      <c r="C173" s="516" t="s">
        <v>364</v>
      </c>
      <c r="D173" s="281">
        <f>'корпоративный баланс энергии'!J181+'корпоративный баланс энергии'!M181+'корпоративный баланс энергии'!P181</f>
        <v>9.5299999999999994</v>
      </c>
      <c r="E173" s="246"/>
      <c r="F173" s="282"/>
      <c r="G173" s="244">
        <f>'корпоративный баланс энергии'!S181+'корпоративный баланс энергии'!V181+'корпоративный баланс энергии'!Y181</f>
        <v>5.9399999999999995</v>
      </c>
      <c r="H173" s="246"/>
      <c r="I173" s="282"/>
      <c r="J173" s="244">
        <f>'корпоративный баланс энергии'!AB181+'корпоративный баланс энергии'!AE181+'корпоративный баланс энергии'!AH181</f>
        <v>3.96</v>
      </c>
      <c r="K173" s="246"/>
      <c r="L173" s="282"/>
      <c r="M173" s="244">
        <f>'корпоративный баланс энергии'!AK181+'корпоративный баланс энергии'!AN181+'корпоративный баланс энергии'!AQ181</f>
        <v>9.3699999999999992</v>
      </c>
      <c r="N173" s="246"/>
      <c r="O173" s="282"/>
      <c r="P173" s="244">
        <f>D173+G173+J173+M173</f>
        <v>28.799999999999997</v>
      </c>
      <c r="Q173" s="283"/>
      <c r="R173" s="299"/>
      <c r="S173" s="261"/>
      <c r="T173" s="261"/>
    </row>
    <row r="174" spans="2:20">
      <c r="B174" s="123" t="str">
        <f>'корпоративный баланс энергии'!H182</f>
        <v>Курская ТЭЦ СЗР (Котельная Северо-западного района г. Курск ПГУ) (Курский филиал ПАО "Квадра")</v>
      </c>
      <c r="C174" s="516" t="s">
        <v>364</v>
      </c>
      <c r="D174" s="281">
        <f>'корпоративный баланс энергии'!J182+'корпоративный баланс энергии'!M182+'корпоративный баланс энергии'!P182</f>
        <v>196.54240000000001</v>
      </c>
      <c r="E174" s="246"/>
      <c r="F174" s="282"/>
      <c r="G174" s="244">
        <f>'корпоративный баланс энергии'!S182+'корпоративный баланс энергии'!V182+'корпоративный баланс энергии'!Y182</f>
        <v>140.29999999999998</v>
      </c>
      <c r="H174" s="246"/>
      <c r="I174" s="282"/>
      <c r="J174" s="244">
        <f>'корпоративный баланс энергии'!AB182+'корпоративный баланс энергии'!AE182+'корпоративный баланс энергии'!AH182</f>
        <v>154.39999999999998</v>
      </c>
      <c r="K174" s="246"/>
      <c r="L174" s="282"/>
      <c r="M174" s="244">
        <f>'корпоративный баланс энергии'!AK182+'корпоративный баланс энергии'!AN182+'корпоративный баланс энергии'!AQ182</f>
        <v>172.41919999999999</v>
      </c>
      <c r="N174" s="246"/>
      <c r="O174" s="282"/>
      <c r="P174" s="244">
        <f>D174+G174+J174+M174</f>
        <v>663.66159999999991</v>
      </c>
      <c r="Q174" s="283"/>
      <c r="R174" s="299"/>
      <c r="S174" s="261"/>
      <c r="T174" s="261"/>
    </row>
    <row r="175" spans="2:20">
      <c r="B175" s="138" t="s">
        <v>174</v>
      </c>
      <c r="C175" s="488"/>
      <c r="D175" s="287">
        <f>SUM(D176:D177)</f>
        <v>6.2976000000000001</v>
      </c>
      <c r="E175" s="307"/>
      <c r="F175" s="308"/>
      <c r="G175" s="287">
        <f>SUM(G176:G177)</f>
        <v>0</v>
      </c>
      <c r="H175" s="307"/>
      <c r="I175" s="308"/>
      <c r="J175" s="287">
        <f>SUM(J176:J177)</f>
        <v>10.57728</v>
      </c>
      <c r="K175" s="307"/>
      <c r="L175" s="308"/>
      <c r="M175" s="287">
        <f>SUM(M176:M177)</f>
        <v>33.079630000000002</v>
      </c>
      <c r="N175" s="307"/>
      <c r="O175" s="308"/>
      <c r="P175" s="287">
        <f>SUM(P176:P177)</f>
        <v>49.954509999999999</v>
      </c>
      <c r="Q175" s="307"/>
      <c r="R175" s="308"/>
      <c r="S175" s="261"/>
      <c r="T175" s="261"/>
    </row>
    <row r="176" spans="2:20">
      <c r="B176" s="135" t="str">
        <f>'корпоративный баланс энергии'!H184</f>
        <v>ТЭЦ Кривецкого сахарного завода (ООО «ГК «Русагро» (ОАО «Кривец-сахар»))</v>
      </c>
      <c r="C176" s="515" t="s">
        <v>365</v>
      </c>
      <c r="D176" s="293">
        <f>'корпоративный баланс энергии'!J184+'корпоративный баланс энергии'!M184+'корпоративный баланс энергии'!P184</f>
        <v>0.29183999999999999</v>
      </c>
      <c r="E176" s="288"/>
      <c r="F176" s="289"/>
      <c r="G176" s="294">
        <f>'корпоративный баланс энергии'!S184+'корпоративный баланс энергии'!V184+'корпоративный баланс энергии'!Y184</f>
        <v>0</v>
      </c>
      <c r="H176" s="288"/>
      <c r="I176" s="289"/>
      <c r="J176" s="294">
        <f>'корпоративный баланс энергии'!AB184+'корпоративный баланс энергии'!AE184+'корпоративный баланс энергии'!AH184</f>
        <v>5.1936</v>
      </c>
      <c r="K176" s="288"/>
      <c r="L176" s="289"/>
      <c r="M176" s="294">
        <f>'корпоративный баланс энергии'!AK184+'корпоративный баланс энергии'!AN184+'корпоративный баланс энергии'!AQ184</f>
        <v>15.306190000000001</v>
      </c>
      <c r="N176" s="288"/>
      <c r="O176" s="289"/>
      <c r="P176" s="294">
        <f>D176+G176+J176+M176</f>
        <v>20.791630000000001</v>
      </c>
      <c r="Q176" s="288"/>
      <c r="R176" s="289"/>
      <c r="S176" s="261"/>
      <c r="T176" s="261"/>
    </row>
    <row r="177" spans="2:20">
      <c r="B177" s="135" t="str">
        <f>'корпоративный баланс энергии'!H185</f>
        <v>ТЭЦ Золотухинского сахарного завода (ООО «ГК «Продимекс» (ООО «КурскСахарПром» филиал Золотухинский)</v>
      </c>
      <c r="C177" s="515" t="s">
        <v>365</v>
      </c>
      <c r="D177" s="293">
        <f>'корпоративный баланс энергии'!J185+'корпоративный баланс энергии'!M185+'корпоративный баланс энергии'!P185</f>
        <v>6.0057600000000004</v>
      </c>
      <c r="E177" s="288"/>
      <c r="F177" s="289"/>
      <c r="G177" s="294">
        <f>'корпоративный баланс энергии'!S185+'корпоративный баланс энергии'!V185+'корпоративный баланс энергии'!Y185</f>
        <v>0</v>
      </c>
      <c r="H177" s="288"/>
      <c r="I177" s="289"/>
      <c r="J177" s="294">
        <f>'корпоративный баланс энергии'!AB185+'корпоративный баланс энергии'!AE185+'корпоративный баланс энергии'!AH185</f>
        <v>5.38368</v>
      </c>
      <c r="K177" s="288"/>
      <c r="L177" s="289"/>
      <c r="M177" s="294">
        <f>'корпоративный баланс энергии'!AK185+'корпоративный баланс энергии'!AN185+'корпоративный баланс энергии'!AQ185</f>
        <v>17.773440000000001</v>
      </c>
      <c r="N177" s="288"/>
      <c r="O177" s="289"/>
      <c r="P177" s="294">
        <f>D177+G177+J177+M177</f>
        <v>29.162880000000001</v>
      </c>
      <c r="Q177" s="288"/>
      <c r="R177" s="289"/>
      <c r="S177" s="261"/>
      <c r="T177" s="261"/>
    </row>
    <row r="178" spans="2:20" ht="18.75">
      <c r="B178" s="471" t="str">
        <f>'корпоративный баланс энергии'!H186</f>
        <v>Энергосистема Липецкой области</v>
      </c>
      <c r="C178" s="491"/>
      <c r="D178" s="274">
        <f>SUM(D179:D180)</f>
        <v>1648.8437999999999</v>
      </c>
      <c r="E178" s="275">
        <f>F178-D178</f>
        <v>1932.7547951182949</v>
      </c>
      <c r="F178" s="276">
        <f>'корпоративный баланс энергии'!L186+'корпоративный баланс энергии'!O186+'корпоративный баланс энергии'!R186</f>
        <v>3581.5985951182947</v>
      </c>
      <c r="G178" s="274">
        <f>SUM(G179:G180)</f>
        <v>1195.1905000000002</v>
      </c>
      <c r="H178" s="275">
        <f>I178-G178</f>
        <v>1776.1057379149083</v>
      </c>
      <c r="I178" s="276">
        <f>'корпоративный баланс энергии'!U186+'корпоративный баланс энергии'!X186+'корпоративный баланс энергии'!AA186</f>
        <v>2971.2962379149085</v>
      </c>
      <c r="J178" s="274">
        <f>SUM(J179:J180)</f>
        <v>1254.481</v>
      </c>
      <c r="K178" s="275">
        <f>L178-J178</f>
        <v>1669.6069916270774</v>
      </c>
      <c r="L178" s="276">
        <f>'корпоративный баланс энергии'!AD186+'корпоративный баланс энергии'!AG186+'корпоративный баланс энергии'!AJ186</f>
        <v>2924.0879916270774</v>
      </c>
      <c r="M178" s="274">
        <f>SUM(M179:M180)</f>
        <v>1577.0250000000001</v>
      </c>
      <c r="N178" s="275">
        <f>O178-M178</f>
        <v>1957.9921753397189</v>
      </c>
      <c r="O178" s="276">
        <f>'корпоративный баланс энергии'!AM186+'корпоративный баланс энергии'!AP186+'корпоративный баланс энергии'!AS186</f>
        <v>3535.017175339719</v>
      </c>
      <c r="P178" s="274">
        <f>SUM(P179:P180)</f>
        <v>5675.5402999999997</v>
      </c>
      <c r="Q178" s="275">
        <f>R178-P178</f>
        <v>7336.4597000000003</v>
      </c>
      <c r="R178" s="276">
        <f>F178+I178+L178+O178</f>
        <v>13012</v>
      </c>
      <c r="S178" s="261"/>
      <c r="T178" s="261"/>
    </row>
    <row r="179" spans="2:20">
      <c r="B179" s="10" t="s">
        <v>173</v>
      </c>
      <c r="C179" s="483"/>
      <c r="D179" s="270">
        <f>SUM(D181:D182)+D185</f>
        <v>535.81400000000008</v>
      </c>
      <c r="E179" s="271"/>
      <c r="F179" s="224"/>
      <c r="G179" s="270">
        <f>SUM(G181:G182)+G185</f>
        <v>231.55799999999999</v>
      </c>
      <c r="H179" s="271"/>
      <c r="I179" s="224"/>
      <c r="J179" s="270">
        <f>SUM(J181:J182)+J185</f>
        <v>226.01080000000002</v>
      </c>
      <c r="K179" s="271"/>
      <c r="L179" s="224"/>
      <c r="M179" s="270">
        <f>SUM(M181:M182)+M185</f>
        <v>443.82439999999991</v>
      </c>
      <c r="N179" s="271"/>
      <c r="O179" s="224"/>
      <c r="P179" s="270">
        <f>SUM(P181:P182)+P185</f>
        <v>1437.2071999999998</v>
      </c>
      <c r="Q179" s="271"/>
      <c r="R179" s="364"/>
      <c r="S179" s="261"/>
      <c r="T179" s="261"/>
    </row>
    <row r="180" spans="2:20">
      <c r="B180" s="10" t="s">
        <v>99</v>
      </c>
      <c r="C180" s="483"/>
      <c r="D180" s="270">
        <f>D186</f>
        <v>1113.0297999999998</v>
      </c>
      <c r="E180" s="271"/>
      <c r="F180" s="224"/>
      <c r="G180" s="270">
        <f>G186</f>
        <v>963.63250000000005</v>
      </c>
      <c r="H180" s="271"/>
      <c r="I180" s="224"/>
      <c r="J180" s="270">
        <f>J186</f>
        <v>1028.4702</v>
      </c>
      <c r="K180" s="271"/>
      <c r="L180" s="224"/>
      <c r="M180" s="270">
        <f>M186</f>
        <v>1133.2006000000001</v>
      </c>
      <c r="N180" s="271"/>
      <c r="O180" s="224"/>
      <c r="P180" s="270">
        <f>P186</f>
        <v>4238.3330999999998</v>
      </c>
      <c r="Q180" s="271"/>
      <c r="R180" s="364"/>
      <c r="S180" s="261"/>
      <c r="T180" s="261"/>
    </row>
    <row r="181" spans="2:20">
      <c r="B181" s="123" t="str">
        <f>'корпоративный баланс энергии'!H189</f>
        <v>Липецкая ТЭЦ-2 (Восточный филиал Липецкий район ПАО "Квадра")</v>
      </c>
      <c r="C181" s="516" t="s">
        <v>364</v>
      </c>
      <c r="D181" s="281">
        <f>'корпоративный баланс энергии'!J189+'корпоративный баланс энергии'!M189+'корпоративный баланс энергии'!P189</f>
        <v>504.72400000000005</v>
      </c>
      <c r="E181" s="246"/>
      <c r="F181" s="282"/>
      <c r="G181" s="244">
        <f>'корпоративный баланс энергии'!S189+'корпоративный баланс энергии'!V189+'корпоративный баланс энергии'!Y189</f>
        <v>221.61799999999999</v>
      </c>
      <c r="H181" s="246"/>
      <c r="I181" s="282"/>
      <c r="J181" s="244">
        <f>'корпоративный баланс энергии'!AB189+'корпоративный баланс энергии'!AE189+'корпоративный баланс энергии'!AH189</f>
        <v>219.88080000000002</v>
      </c>
      <c r="K181" s="246"/>
      <c r="L181" s="282"/>
      <c r="M181" s="244">
        <f>'корпоративный баланс энергии'!AK189+'корпоративный баланс энергии'!AN189+'корпоративный баланс энергии'!AQ189</f>
        <v>414.34439999999995</v>
      </c>
      <c r="N181" s="246"/>
      <c r="O181" s="282"/>
      <c r="P181" s="244">
        <f>D181+G181+J181+M181</f>
        <v>1360.5672</v>
      </c>
      <c r="Q181" s="283"/>
      <c r="R181" s="299"/>
      <c r="S181" s="261"/>
      <c r="T181" s="261"/>
    </row>
    <row r="182" spans="2:20" ht="15" customHeight="1">
      <c r="B182" s="137" t="str">
        <f>'корпоративный баланс энергии'!H190</f>
        <v>Елецкая ТЭЦ (Восточный филиал Липецкий район ПАО "Квадра")</v>
      </c>
      <c r="C182" s="516" t="s">
        <v>364</v>
      </c>
      <c r="D182" s="314">
        <f>SUM(D183:D184)</f>
        <v>22.36</v>
      </c>
      <c r="E182" s="283"/>
      <c r="F182" s="299"/>
      <c r="G182" s="314">
        <f>SUM(G183:G184)</f>
        <v>6.1400000000000006</v>
      </c>
      <c r="H182" s="283"/>
      <c r="I182" s="299"/>
      <c r="J182" s="314">
        <f>SUM(J183:J184)</f>
        <v>4.59</v>
      </c>
      <c r="K182" s="283"/>
      <c r="L182" s="299"/>
      <c r="M182" s="314">
        <f>SUM(M183:M184)</f>
        <v>18.950000000000003</v>
      </c>
      <c r="N182" s="283"/>
      <c r="O182" s="299"/>
      <c r="P182" s="314">
        <f>SUM(P183:P184)</f>
        <v>52.040000000000006</v>
      </c>
      <c r="Q182" s="283"/>
      <c r="R182" s="299"/>
      <c r="S182" s="261"/>
      <c r="T182" s="261"/>
    </row>
    <row r="183" spans="2:20">
      <c r="B183" s="123" t="str">
        <f>'корпоративный баланс энергии'!H191</f>
        <v>Елецкая ТЭЦ (Восточный филиал Липецкий район ПАО "Квадра")</v>
      </c>
      <c r="C183" s="490"/>
      <c r="D183" s="281">
        <f>'корпоративный баланс энергии'!J191+'корпоративный баланс энергии'!M191+'корпоративный баланс энергии'!P191</f>
        <v>10.92</v>
      </c>
      <c r="E183" s="246"/>
      <c r="F183" s="282"/>
      <c r="G183" s="244">
        <f>'корпоративный баланс энергии'!S191+'корпоративный баланс энергии'!V191+'корпоративный баланс энергии'!Y191</f>
        <v>5.49</v>
      </c>
      <c r="H183" s="246"/>
      <c r="I183" s="282"/>
      <c r="J183" s="244">
        <f>'корпоративный баланс энергии'!AB191+'корпоративный баланс энергии'!AE191+'корпоративный баланс энергии'!AH191</f>
        <v>4.59</v>
      </c>
      <c r="K183" s="246"/>
      <c r="L183" s="282"/>
      <c r="M183" s="244">
        <f>'корпоративный баланс энергии'!AK191+'корпоративный баланс энергии'!AN191+'корпоративный баланс энергии'!AQ191</f>
        <v>10.440000000000001</v>
      </c>
      <c r="N183" s="246"/>
      <c r="O183" s="282"/>
      <c r="P183" s="244">
        <f>D183+G183+J183+M183</f>
        <v>31.44</v>
      </c>
      <c r="Q183" s="283"/>
      <c r="R183" s="299"/>
      <c r="S183" s="261"/>
      <c r="T183" s="261"/>
    </row>
    <row r="184" spans="2:20">
      <c r="B184" s="123" t="str">
        <f>'корпоративный баланс энергии'!H192</f>
        <v>Елецкая ТЭЦ (Восточный филиал Липецкий район ПАО "Квадра") (ПГУ-52) НВ, ДПМ 01.08.2009</v>
      </c>
      <c r="C184" s="487"/>
      <c r="D184" s="281">
        <f>'корпоративный баланс энергии'!J192+'корпоративный баланс энергии'!M192+'корпоративный баланс энергии'!P192</f>
        <v>11.44</v>
      </c>
      <c r="E184" s="246"/>
      <c r="F184" s="282"/>
      <c r="G184" s="244">
        <f>'корпоративный баланс энергии'!S192+'корпоративный баланс энергии'!V192+'корпоративный баланс энергии'!Y192</f>
        <v>0.65</v>
      </c>
      <c r="H184" s="246"/>
      <c r="I184" s="282"/>
      <c r="J184" s="244">
        <f>'корпоративный баланс энергии'!AB192+'корпоративный баланс энергии'!AE192+'корпоративный баланс энергии'!AH192</f>
        <v>0</v>
      </c>
      <c r="K184" s="246"/>
      <c r="L184" s="282"/>
      <c r="M184" s="244">
        <f>'корпоративный баланс энергии'!AK192+'корпоративный баланс энергии'!AN192+'корпоративный баланс энергии'!AQ192</f>
        <v>8.51</v>
      </c>
      <c r="N184" s="246"/>
      <c r="O184" s="282"/>
      <c r="P184" s="244">
        <f>D184+G184+J184+M184</f>
        <v>20.6</v>
      </c>
      <c r="Q184" s="283"/>
      <c r="R184" s="299"/>
      <c r="S184" s="261"/>
      <c r="T184" s="261"/>
    </row>
    <row r="185" spans="2:20">
      <c r="B185" s="123" t="str">
        <f>'корпоративный баланс энергии'!H193</f>
        <v>Данковская ТЭЦ (Восточный филиал Липецкий район ПАО "Квадра")</v>
      </c>
      <c r="C185" s="516" t="s">
        <v>364</v>
      </c>
      <c r="D185" s="281">
        <f>'корпоративный баланс энергии'!J193+'корпоративный баланс энергии'!M193+'корпоративный баланс энергии'!P193</f>
        <v>8.73</v>
      </c>
      <c r="E185" s="246"/>
      <c r="F185" s="282"/>
      <c r="G185" s="244">
        <f>'корпоративный баланс энергии'!S193+'корпоративный баланс энергии'!V193+'корпоративный баланс энергии'!Y193</f>
        <v>3.8</v>
      </c>
      <c r="H185" s="246"/>
      <c r="I185" s="282"/>
      <c r="J185" s="244">
        <f>'корпоративный баланс энергии'!AB193+'корпоративный баланс энергии'!AE193+'корпоративный баланс энергии'!AH193</f>
        <v>1.54</v>
      </c>
      <c r="K185" s="246"/>
      <c r="L185" s="282"/>
      <c r="M185" s="244">
        <f>'корпоративный баланс энергии'!AK193+'корпоративный баланс энергии'!AN193+'корпоративный баланс энергии'!AQ193</f>
        <v>10.53</v>
      </c>
      <c r="N185" s="246"/>
      <c r="O185" s="282"/>
      <c r="P185" s="244">
        <f>D185+G185+J185+M185</f>
        <v>24.6</v>
      </c>
      <c r="Q185" s="283"/>
      <c r="R185" s="299"/>
      <c r="S185" s="261"/>
      <c r="T185" s="261"/>
    </row>
    <row r="186" spans="2:20">
      <c r="B186" s="138" t="s">
        <v>174</v>
      </c>
      <c r="C186" s="488"/>
      <c r="D186" s="287">
        <f>SUM(D187:D194)</f>
        <v>1113.0297999999998</v>
      </c>
      <c r="E186" s="288"/>
      <c r="F186" s="289"/>
      <c r="G186" s="287">
        <f>SUM(G187:G194)</f>
        <v>963.63250000000005</v>
      </c>
      <c r="H186" s="288"/>
      <c r="I186" s="289"/>
      <c r="J186" s="287">
        <f>SUM(J187:J194)</f>
        <v>1028.4702</v>
      </c>
      <c r="K186" s="288"/>
      <c r="L186" s="289"/>
      <c r="M186" s="287">
        <f>SUM(M187:M194)</f>
        <v>1133.2006000000001</v>
      </c>
      <c r="N186" s="288"/>
      <c r="O186" s="289"/>
      <c r="P186" s="287">
        <f>SUM(P187:P194)</f>
        <v>4238.3330999999998</v>
      </c>
      <c r="Q186" s="288"/>
      <c r="R186" s="289"/>
      <c r="S186" s="261"/>
      <c r="T186" s="261"/>
    </row>
    <row r="187" spans="2:20">
      <c r="B187" s="135" t="str">
        <f>'корпоративный баланс энергии'!H195</f>
        <v>Мини ТЭЦ (ООО "ТК ЛипецкАгро")</v>
      </c>
      <c r="C187" s="515" t="s">
        <v>365</v>
      </c>
      <c r="D187" s="293">
        <f>'корпоративный баланс энергии'!J195+'корпоративный баланс энергии'!M195+'корпоративный баланс энергии'!P195</f>
        <v>3.1677999999999997</v>
      </c>
      <c r="E187" s="288"/>
      <c r="F187" s="289"/>
      <c r="G187" s="294">
        <f>'корпоративный баланс энергии'!S195+'корпоративный баланс энергии'!V195+'корпоративный баланс энергии'!Y195</f>
        <v>1.9964999999999999</v>
      </c>
      <c r="H187" s="288"/>
      <c r="I187" s="289"/>
      <c r="J187" s="294">
        <f>'корпоративный баланс энергии'!AB195+'корпоративный баланс энергии'!AE195+'корпоративный баланс энергии'!AH195</f>
        <v>2.6432000000000002</v>
      </c>
      <c r="K187" s="288"/>
      <c r="L187" s="289"/>
      <c r="M187" s="294">
        <f>'корпоративный баланс энергии'!AK195+'корпоративный баланс энергии'!AN195+'корпоративный баланс энергии'!AQ195</f>
        <v>4.4916</v>
      </c>
      <c r="N187" s="288"/>
      <c r="O187" s="289"/>
      <c r="P187" s="294">
        <f t="shared" ref="P187:P194" si="12">D187+G187+J187+M187</f>
        <v>12.299099999999999</v>
      </c>
      <c r="Q187" s="288"/>
      <c r="R187" s="289"/>
      <c r="S187" s="261"/>
      <c r="T187" s="261"/>
    </row>
    <row r="188" spans="2:20">
      <c r="B188" s="135" t="str">
        <f>'корпоративный баланс энергии'!H196</f>
        <v xml:space="preserve">ТЭЦ НЛМК (ПАО "НЛМК")                                                                                                                        </v>
      </c>
      <c r="C188" s="515" t="s">
        <v>365</v>
      </c>
      <c r="D188" s="293">
        <f>'корпоративный баланс энергии'!J196+'корпоративный баланс энергии'!M196+'корпоративный баланс энергии'!P196</f>
        <v>714.14400000000001</v>
      </c>
      <c r="E188" s="288"/>
      <c r="F188" s="289"/>
      <c r="G188" s="294">
        <f>'корпоративный баланс энергии'!S196+'корпоративный баланс энергии'!V196+'корпоративный баланс энергии'!Y196</f>
        <v>657.16800000000001</v>
      </c>
      <c r="H188" s="288"/>
      <c r="I188" s="289"/>
      <c r="J188" s="294">
        <f>'корпоративный баланс энергии'!AB196+'корпоративный баланс энергии'!AE196+'корпоративный баланс энергии'!AH196</f>
        <v>641.66399999999999</v>
      </c>
      <c r="K188" s="288"/>
      <c r="L188" s="289"/>
      <c r="M188" s="294">
        <f>'корпоративный баланс энергии'!AK196+'корпоративный баланс энергии'!AN196+'корпоративный баланс энергии'!AQ196</f>
        <v>703.58400000000006</v>
      </c>
      <c r="N188" s="288"/>
      <c r="O188" s="289"/>
      <c r="P188" s="294">
        <f t="shared" si="12"/>
        <v>2716.56</v>
      </c>
      <c r="Q188" s="288"/>
      <c r="R188" s="289"/>
      <c r="S188" s="261"/>
      <c r="T188" s="261"/>
    </row>
    <row r="189" spans="2:20">
      <c r="B189" s="135" t="str">
        <f>'корпоративный баланс энергии'!H197</f>
        <v xml:space="preserve">УТЭЦ НЛМК (ПАО "НЛМК")                                                                                                                          </v>
      </c>
      <c r="C189" s="515" t="s">
        <v>365</v>
      </c>
      <c r="D189" s="293">
        <f>'корпоративный баланс энергии'!J197+'корпоративный баланс энергии'!M197+'корпоративный баланс энергии'!P197</f>
        <v>327.60000000000002</v>
      </c>
      <c r="E189" s="288"/>
      <c r="F189" s="289"/>
      <c r="G189" s="294">
        <f>'корпоративный баланс энергии'!S197+'корпоративный баланс энергии'!V197+'корпоративный баланс энергии'!Y197</f>
        <v>256.8</v>
      </c>
      <c r="H189" s="288"/>
      <c r="I189" s="289"/>
      <c r="J189" s="294">
        <f>'корпоративный баланс энергии'!AB197+'корпоративный баланс энергии'!AE197+'корпоративный баланс энергии'!AH197</f>
        <v>319.2</v>
      </c>
      <c r="K189" s="288"/>
      <c r="L189" s="289"/>
      <c r="M189" s="294">
        <f>'корпоративный баланс энергии'!AK197+'корпоративный баланс энергии'!AN197+'корпоративный баланс энергии'!AQ197</f>
        <v>325.2</v>
      </c>
      <c r="N189" s="288"/>
      <c r="O189" s="289"/>
      <c r="P189" s="294">
        <f t="shared" si="12"/>
        <v>1228.8000000000002</v>
      </c>
      <c r="Q189" s="288"/>
      <c r="R189" s="289"/>
      <c r="S189" s="261"/>
      <c r="T189" s="261"/>
    </row>
    <row r="190" spans="2:20">
      <c r="B190" s="135" t="str">
        <f>'корпоративный баланс энергии'!H198</f>
        <v>ГТРС НЛМК (ПАО "НЛМК")</v>
      </c>
      <c r="C190" s="515" t="s">
        <v>365</v>
      </c>
      <c r="D190" s="293">
        <f>'корпоративный баланс энергии'!J198+'корпоративный баланс энергии'!M198+'корпоративный баланс энергии'!P198</f>
        <v>35.904000000000003</v>
      </c>
      <c r="E190" s="288"/>
      <c r="F190" s="289"/>
      <c r="G190" s="294">
        <f>'корпоративный баланс энергии'!S198+'корпоративный баланс энергии'!V198+'корпоративный баланс энергии'!Y198</f>
        <v>33.888000000000005</v>
      </c>
      <c r="H190" s="288"/>
      <c r="I190" s="289"/>
      <c r="J190" s="294">
        <f>'корпоративный баланс энергии'!AB198+'корпоративный баланс энергии'!AE198+'корпоративный баланс энергии'!AH198</f>
        <v>36.311999999999998</v>
      </c>
      <c r="K190" s="288"/>
      <c r="L190" s="289"/>
      <c r="M190" s="294">
        <f>'корпоративный баланс энергии'!AK198+'корпоративный баланс энергии'!AN198+'корпоративный баланс энергии'!AQ198</f>
        <v>33.912000000000006</v>
      </c>
      <c r="N190" s="288"/>
      <c r="O190" s="289"/>
      <c r="P190" s="294">
        <f t="shared" si="12"/>
        <v>140.01600000000002</v>
      </c>
      <c r="Q190" s="288"/>
      <c r="R190" s="289"/>
      <c r="S190" s="261"/>
      <c r="T190" s="261"/>
    </row>
    <row r="191" spans="2:20">
      <c r="B191" s="135" t="str">
        <f>'корпоративный баланс энергии'!H199</f>
        <v>ТЭЦ ООО ЛТК "Свободный сокол"</v>
      </c>
      <c r="C191" s="515" t="s">
        <v>365</v>
      </c>
      <c r="D191" s="293">
        <f>'корпоративный баланс энергии'!J199+'корпоративный баланс энергии'!M199+'корпоративный баланс энергии'!P199</f>
        <v>4.32</v>
      </c>
      <c r="E191" s="288"/>
      <c r="F191" s="289"/>
      <c r="G191" s="294">
        <f>'корпоративный баланс энергии'!S199+'корпоративный баланс энергии'!V199+'корпоративный баланс энергии'!Y199</f>
        <v>0</v>
      </c>
      <c r="H191" s="288"/>
      <c r="I191" s="289"/>
      <c r="J191" s="294">
        <f>'корпоративный баланс энергии'!AB199+'корпоративный баланс энергии'!AE199+'корпоративный баланс энергии'!AH199</f>
        <v>0</v>
      </c>
      <c r="K191" s="288"/>
      <c r="L191" s="289"/>
      <c r="M191" s="294">
        <f>'корпоративный баланс энергии'!AK199+'корпоративный баланс энергии'!AN199+'корпоративный баланс энергии'!AQ199</f>
        <v>2.9279999999999999</v>
      </c>
      <c r="N191" s="288"/>
      <c r="O191" s="289"/>
      <c r="P191" s="294">
        <f t="shared" si="12"/>
        <v>7.2480000000000002</v>
      </c>
      <c r="Q191" s="288"/>
      <c r="R191" s="289"/>
      <c r="S191" s="261"/>
      <c r="T191" s="261"/>
    </row>
    <row r="192" spans="2:20">
      <c r="B192" s="135" t="str">
        <f>'корпоративный баланс энергии'!H200</f>
        <v>ТЭЦ ОАО "Добринский сахарный завод"</v>
      </c>
      <c r="C192" s="515" t="s">
        <v>365</v>
      </c>
      <c r="D192" s="293">
        <f>'корпоративный баланс энергии'!J200+'корпоративный баланс энергии'!M200+'корпоративный баланс энергии'!P200</f>
        <v>15.5</v>
      </c>
      <c r="E192" s="288"/>
      <c r="F192" s="289"/>
      <c r="G192" s="294">
        <f>'корпоративный баланс энергии'!S200+'корпоративный баланс энергии'!V200+'корпоративный баланс энергии'!Y200</f>
        <v>13</v>
      </c>
      <c r="H192" s="288"/>
      <c r="I192" s="289"/>
      <c r="J192" s="294">
        <f>'корпоративный баланс энергии'!AB200+'корпоративный баланс энергии'!AE200+'корпоративный баланс энергии'!AH200</f>
        <v>12.64</v>
      </c>
      <c r="K192" s="288"/>
      <c r="L192" s="289"/>
      <c r="M192" s="294">
        <f>'корпоративный баланс энергии'!AK200+'корпоративный баланс энергии'!AN200+'корпоративный баланс энергии'!AQ200</f>
        <v>26.496000000000002</v>
      </c>
      <c r="N192" s="288"/>
      <c r="O192" s="289"/>
      <c r="P192" s="294">
        <f t="shared" si="12"/>
        <v>67.635999999999996</v>
      </c>
      <c r="Q192" s="288"/>
      <c r="R192" s="289"/>
      <c r="S192" s="261"/>
      <c r="T192" s="261"/>
    </row>
    <row r="193" spans="2:20">
      <c r="B193" s="135" t="str">
        <f>'корпоративный баланс энергии'!H201</f>
        <v>ТЭЦ ЗАО "Грязинский сахарный завод"</v>
      </c>
      <c r="C193" s="515" t="s">
        <v>365</v>
      </c>
      <c r="D193" s="293">
        <f>'корпоративный баланс энергии'!J201+'корпоративный баланс энергии'!M201+'корпоративный баланс энергии'!P201</f>
        <v>4.1440000000000001</v>
      </c>
      <c r="E193" s="288"/>
      <c r="F193" s="289"/>
      <c r="G193" s="294">
        <f>'корпоративный баланс энергии'!S201+'корпоративный баланс энергии'!V201+'корпоративный баланс энергии'!Y201</f>
        <v>0</v>
      </c>
      <c r="H193" s="288"/>
      <c r="I193" s="289"/>
      <c r="J193" s="294">
        <f>'корпоративный баланс энергии'!AB201+'корпоративный баланс энергии'!AE201+'корпоративный баланс энергии'!AH201</f>
        <v>6.1509999999999998</v>
      </c>
      <c r="K193" s="288"/>
      <c r="L193" s="289"/>
      <c r="M193" s="294">
        <f>'корпоративный баланс энергии'!AK201+'корпоративный баланс энергии'!AN201+'корпоративный баланс энергии'!AQ201</f>
        <v>12.300999999999998</v>
      </c>
      <c r="N193" s="288"/>
      <c r="O193" s="289"/>
      <c r="P193" s="294">
        <f t="shared" si="12"/>
        <v>22.595999999999997</v>
      </c>
      <c r="Q193" s="288"/>
      <c r="R193" s="289"/>
      <c r="S193" s="261"/>
      <c r="T193" s="261"/>
    </row>
    <row r="194" spans="2:20">
      <c r="B194" s="135" t="str">
        <f>'корпоративный баланс энергии'!H202</f>
        <v>ТЭЦ сахарных заводов Липецкой области</v>
      </c>
      <c r="C194" s="515" t="s">
        <v>365</v>
      </c>
      <c r="D194" s="293">
        <f>'корпоративный баланс энергии'!J202+'корпоративный баланс энергии'!M202+'корпоративный баланс энергии'!P202</f>
        <v>8.25</v>
      </c>
      <c r="E194" s="288"/>
      <c r="F194" s="289"/>
      <c r="G194" s="294">
        <f>'корпоративный баланс энергии'!S202+'корпоративный баланс энергии'!V202+'корпоративный баланс энергии'!Y202</f>
        <v>0.78</v>
      </c>
      <c r="H194" s="288"/>
      <c r="I194" s="289"/>
      <c r="J194" s="294">
        <f>'корпоративный баланс энергии'!AB202+'корпоративный баланс энергии'!AE202+'корпоративный баланс энергии'!AH202</f>
        <v>9.86</v>
      </c>
      <c r="K194" s="288"/>
      <c r="L194" s="289"/>
      <c r="M194" s="294">
        <f>'корпоративный баланс энергии'!AK202+'корпоративный баланс энергии'!AN202+'корпоративный баланс энергии'!AQ202</f>
        <v>24.287999999999997</v>
      </c>
      <c r="N194" s="288"/>
      <c r="O194" s="289"/>
      <c r="P194" s="294">
        <f t="shared" si="12"/>
        <v>43.177999999999997</v>
      </c>
      <c r="Q194" s="288"/>
      <c r="R194" s="289"/>
      <c r="S194" s="261"/>
      <c r="T194" s="261"/>
    </row>
    <row r="195" spans="2:20" ht="18.75">
      <c r="B195" s="470" t="str">
        <f>'корпоративный баланс энергии'!H203</f>
        <v>Энергосистема г.Москвы и Московской области</v>
      </c>
      <c r="C195" s="485"/>
      <c r="D195" s="274">
        <f>D199+D244</f>
        <v>21627.704614029994</v>
      </c>
      <c r="E195" s="275">
        <f>F195-D195</f>
        <v>8755.6047836930193</v>
      </c>
      <c r="F195" s="341">
        <f>F199+F244</f>
        <v>30383.309397723013</v>
      </c>
      <c r="G195" s="277">
        <f>G199+G244</f>
        <v>14970.314807530012</v>
      </c>
      <c r="H195" s="275">
        <f>I195-G195</f>
        <v>9300.648613830359</v>
      </c>
      <c r="I195" s="341">
        <f>I199+I244</f>
        <v>24270.963421360371</v>
      </c>
      <c r="J195" s="277">
        <f>J199+J244</f>
        <v>15130.113310634999</v>
      </c>
      <c r="K195" s="275">
        <f>L195-J195</f>
        <v>8641.6811928982352</v>
      </c>
      <c r="L195" s="341">
        <f>L199+L244</f>
        <v>23771.794503533234</v>
      </c>
      <c r="M195" s="277">
        <f>M199+M244</f>
        <v>20143.407838284998</v>
      </c>
      <c r="N195" s="275">
        <f>O195-M195</f>
        <v>10446.524839098383</v>
      </c>
      <c r="O195" s="341">
        <f>O199+O244</f>
        <v>30589.932677383382</v>
      </c>
      <c r="P195" s="277">
        <f>P199+P244</f>
        <v>71871.540570479992</v>
      </c>
      <c r="Q195" s="275">
        <f>R195-P195</f>
        <v>37144.459429520008</v>
      </c>
      <c r="R195" s="341">
        <f>R199+R244</f>
        <v>109016</v>
      </c>
      <c r="S195" s="261"/>
      <c r="T195" s="261"/>
    </row>
    <row r="196" spans="2:20">
      <c r="B196" s="10" t="s">
        <v>173</v>
      </c>
      <c r="C196" s="483"/>
      <c r="D196" s="270">
        <f>D200+D245</f>
        <v>20995.398039999996</v>
      </c>
      <c r="E196" s="271"/>
      <c r="F196" s="224"/>
      <c r="G196" s="223">
        <f>G200+G245</f>
        <v>14397.560792000011</v>
      </c>
      <c r="H196" s="271"/>
      <c r="I196" s="224"/>
      <c r="J196" s="223">
        <f>J200+J245</f>
        <v>14555.24394</v>
      </c>
      <c r="K196" s="271"/>
      <c r="L196" s="224"/>
      <c r="M196" s="223">
        <f>M200+M245</f>
        <v>19496.705016</v>
      </c>
      <c r="N196" s="271"/>
      <c r="O196" s="224"/>
      <c r="P196" s="223">
        <f>P200+P245</f>
        <v>69444.907788000011</v>
      </c>
      <c r="Q196" s="271"/>
      <c r="R196" s="364"/>
      <c r="S196" s="261"/>
      <c r="T196" s="261"/>
    </row>
    <row r="197" spans="2:20">
      <c r="B197" s="10" t="s">
        <v>177</v>
      </c>
      <c r="C197" s="483"/>
      <c r="D197" s="270">
        <f>D246</f>
        <v>517.18998399999998</v>
      </c>
      <c r="E197" s="271"/>
      <c r="F197" s="224"/>
      <c r="G197" s="223">
        <f>G246</f>
        <v>475.35645599999998</v>
      </c>
      <c r="H197" s="271"/>
      <c r="I197" s="224"/>
      <c r="J197" s="223">
        <f>J246</f>
        <v>484.17748799999998</v>
      </c>
      <c r="K197" s="271"/>
      <c r="L197" s="224"/>
      <c r="M197" s="223">
        <f>M246</f>
        <v>538.53553800000009</v>
      </c>
      <c r="N197" s="271"/>
      <c r="O197" s="224"/>
      <c r="P197" s="223">
        <f>P246</f>
        <v>2015.259466</v>
      </c>
      <c r="Q197" s="271"/>
      <c r="R197" s="364"/>
      <c r="S197" s="261"/>
      <c r="T197" s="261"/>
    </row>
    <row r="198" spans="2:20">
      <c r="B198" s="10" t="s">
        <v>99</v>
      </c>
      <c r="C198" s="483"/>
      <c r="D198" s="270">
        <f>D201+D247</f>
        <v>115.11659003</v>
      </c>
      <c r="E198" s="271"/>
      <c r="F198" s="224"/>
      <c r="G198" s="223">
        <f>G201+G247</f>
        <v>97.397559529999995</v>
      </c>
      <c r="H198" s="271"/>
      <c r="I198" s="224"/>
      <c r="J198" s="223">
        <f>J201+J247</f>
        <v>90.691882634999999</v>
      </c>
      <c r="K198" s="271"/>
      <c r="L198" s="224"/>
      <c r="M198" s="223">
        <f>M201+M247</f>
        <v>108.16728428500002</v>
      </c>
      <c r="N198" s="271"/>
      <c r="O198" s="224"/>
      <c r="P198" s="223">
        <f>P201+P247</f>
        <v>411.37331647999997</v>
      </c>
      <c r="Q198" s="271"/>
      <c r="R198" s="364"/>
      <c r="S198" s="261"/>
      <c r="T198" s="261"/>
    </row>
    <row r="199" spans="2:20">
      <c r="B199" s="108" t="s">
        <v>178</v>
      </c>
      <c r="C199" s="493"/>
      <c r="D199" s="274">
        <f>SUM(D200:D201)</f>
        <v>16189.593039999996</v>
      </c>
      <c r="E199" s="275"/>
      <c r="F199" s="276">
        <f>'корпоративный баланс энергии'!L207+'корпоративный баланс энергии'!O207+'корпоративный баланс энергии'!R207</f>
        <v>14656.632931052038</v>
      </c>
      <c r="G199" s="274">
        <f>SUM(G200:G201)</f>
        <v>10399.275000000001</v>
      </c>
      <c r="H199" s="275"/>
      <c r="I199" s="276">
        <f>'корпоративный баланс энергии'!U207+'корпоративный баланс энергии'!X207+'корпоративный баланс энергии'!AA207</f>
        <v>11989.835601564322</v>
      </c>
      <c r="J199" s="274">
        <f>SUM(J200:J201)</f>
        <v>10446.388416</v>
      </c>
      <c r="K199" s="275"/>
      <c r="L199" s="276">
        <f>'корпоративный баланс энергии'!AD207+'корпоративный баланс энергии'!AG207+'корпоративный баланс энергии'!AJ207</f>
        <v>11937.600045709041</v>
      </c>
      <c r="M199" s="274">
        <f>SUM(M200:M201)</f>
        <v>14979.22256</v>
      </c>
      <c r="N199" s="275"/>
      <c r="O199" s="276">
        <f>'корпоративный баланс энергии'!AM207+'корпоративный баланс энергии'!AP207+'корпоративный баланс энергии'!AS207</f>
        <v>15044.48799944346</v>
      </c>
      <c r="P199" s="274">
        <f>SUM(P200:P201)</f>
        <v>52014.47901599999</v>
      </c>
      <c r="Q199" s="275"/>
      <c r="R199" s="276">
        <f>F199+I199+L199+O199</f>
        <v>53628.556577768861</v>
      </c>
      <c r="S199" s="261"/>
      <c r="T199" s="261"/>
    </row>
    <row r="200" spans="2:20">
      <c r="B200" s="10" t="s">
        <v>173</v>
      </c>
      <c r="C200" s="483"/>
      <c r="D200" s="270">
        <f>D202+D203+D204+D207+D208+D211+D214+D217+D220+D223+D224+SUM(D227:D230)+D233+D234+D235</f>
        <v>16123.543039999997</v>
      </c>
      <c r="E200" s="271"/>
      <c r="F200" s="224"/>
      <c r="G200" s="270">
        <f>G202+G203+G204+G207+G208+G211+G214+G217+G220+G223+G224+SUM(G227:G230)+G233+G234+G235</f>
        <v>10334.825000000001</v>
      </c>
      <c r="H200" s="271"/>
      <c r="I200" s="224"/>
      <c r="J200" s="270">
        <f>J202+J203+J204+J207+J208+J211+J214+J217+J220+J223+J224+SUM(J227:J230)+J233+J234+J235</f>
        <v>10383.288415999999</v>
      </c>
      <c r="K200" s="271"/>
      <c r="L200" s="224"/>
      <c r="M200" s="270">
        <f>M202+M203+M204+M207+M208+M211+M214+M217+M220+M223+M224+SUM(M227:M230)+M233+M234+M235</f>
        <v>14916.48256</v>
      </c>
      <c r="N200" s="271"/>
      <c r="O200" s="224"/>
      <c r="P200" s="270">
        <f>P202+P203+P204+P207+P208+P211+P214+P217+P220+P223+P224+SUM(P227:P230)+P233+P234+P235</f>
        <v>51758.139015999994</v>
      </c>
      <c r="Q200" s="271"/>
      <c r="R200" s="364"/>
      <c r="S200" s="261"/>
      <c r="T200" s="261"/>
    </row>
    <row r="201" spans="2:20">
      <c r="B201" s="10" t="s">
        <v>99</v>
      </c>
      <c r="C201" s="483"/>
      <c r="D201" s="270">
        <f>D236</f>
        <v>66.05</v>
      </c>
      <c r="E201" s="271"/>
      <c r="F201" s="224"/>
      <c r="G201" s="270">
        <f>G236</f>
        <v>64.45</v>
      </c>
      <c r="H201" s="271"/>
      <c r="I201" s="224"/>
      <c r="J201" s="270">
        <f>J236</f>
        <v>63.1</v>
      </c>
      <c r="K201" s="271"/>
      <c r="L201" s="224"/>
      <c r="M201" s="270">
        <f>M236</f>
        <v>62.740000000000009</v>
      </c>
      <c r="N201" s="271"/>
      <c r="O201" s="224"/>
      <c r="P201" s="270">
        <f>P236</f>
        <v>256.33999999999997</v>
      </c>
      <c r="Q201" s="271"/>
      <c r="R201" s="364"/>
      <c r="S201" s="261"/>
      <c r="T201" s="261"/>
    </row>
    <row r="202" spans="2:20">
      <c r="B202" s="123" t="str">
        <f>'корпоративный баланс энергии'!H210</f>
        <v>ГЭС-1 им. Смидовича (филиал ПАО "Мосэнерго" )</v>
      </c>
      <c r="C202" s="516" t="s">
        <v>364</v>
      </c>
      <c r="D202" s="281">
        <f>'корпоративный баланс энергии'!J210+'корпоративный баланс энергии'!M210+'корпоративный баланс энергии'!P210</f>
        <v>82.251999999999995</v>
      </c>
      <c r="E202" s="246"/>
      <c r="F202" s="282"/>
      <c r="G202" s="244">
        <f>'корпоративный баланс энергии'!S210+'корпоративный баланс энергии'!V210+'корпоративный баланс энергии'!Y210</f>
        <v>45.7</v>
      </c>
      <c r="H202" s="246"/>
      <c r="I202" s="282"/>
      <c r="J202" s="244">
        <f>'корпоративный баланс энергии'!AB210+'корпоративный баланс энергии'!AE210+'корпоративный баланс энергии'!AH210</f>
        <v>13.299999999999999</v>
      </c>
      <c r="K202" s="246"/>
      <c r="L202" s="282"/>
      <c r="M202" s="244">
        <f>'корпоративный баланс энергии'!AK210+'корпоративный баланс энергии'!AN210+'корпоративный баланс энергии'!AQ210</f>
        <v>81.5</v>
      </c>
      <c r="N202" s="246"/>
      <c r="O202" s="282"/>
      <c r="P202" s="244">
        <f>D202+G202+J202+M202</f>
        <v>222.75200000000001</v>
      </c>
      <c r="Q202" s="283"/>
      <c r="R202" s="299"/>
      <c r="S202" s="261"/>
      <c r="T202" s="261"/>
    </row>
    <row r="203" spans="2:20">
      <c r="B203" s="123" t="str">
        <f>'корпоративный баланс энергии'!H211</f>
        <v>ТЭЦ-8 (филиал ПАО "Мосэнерго")</v>
      </c>
      <c r="C203" s="516" t="s">
        <v>364</v>
      </c>
      <c r="D203" s="281">
        <f>'корпоративный баланс энергии'!J211+'корпоративный баланс энергии'!M211+'корпоративный баланс энергии'!P211</f>
        <v>649.12799999999993</v>
      </c>
      <c r="E203" s="246"/>
      <c r="F203" s="282"/>
      <c r="G203" s="244">
        <f>'корпоративный баланс энергии'!S211+'корпоративный баланс энергии'!V211+'корпоративный баланс энергии'!Y211</f>
        <v>377.2</v>
      </c>
      <c r="H203" s="246"/>
      <c r="I203" s="282"/>
      <c r="J203" s="244">
        <f>'корпоративный баланс энергии'!AB211+'корпоративный баланс энергии'!AE211+'корпоративный баланс энергии'!AH211</f>
        <v>367</v>
      </c>
      <c r="K203" s="246"/>
      <c r="L203" s="282"/>
      <c r="M203" s="244">
        <f>'корпоративный баланс энергии'!AK211+'корпоративный баланс энергии'!AN211+'корпоративный баланс энергии'!AQ211</f>
        <v>573.24</v>
      </c>
      <c r="N203" s="246"/>
      <c r="O203" s="282"/>
      <c r="P203" s="244">
        <f>D203+G203+J203+M203</f>
        <v>1966.568</v>
      </c>
      <c r="Q203" s="283"/>
      <c r="R203" s="299"/>
      <c r="S203" s="261"/>
      <c r="T203" s="261"/>
    </row>
    <row r="204" spans="2:20">
      <c r="B204" s="137" t="str">
        <f>'корпоративный баланс энергии'!H212</f>
        <v>ТЭЦ-9 (филиал ПАО "Мосэнерго" )</v>
      </c>
      <c r="C204" s="516" t="s">
        <v>364</v>
      </c>
      <c r="D204" s="314">
        <f>SUM(D205:D206)</f>
        <v>426.72479999999996</v>
      </c>
      <c r="E204" s="283"/>
      <c r="F204" s="299"/>
      <c r="G204" s="314">
        <f>SUM(G205:G206)</f>
        <v>314.9864</v>
      </c>
      <c r="H204" s="283"/>
      <c r="I204" s="299"/>
      <c r="J204" s="314">
        <f>SUM(J205:J206)</f>
        <v>325.62901599999998</v>
      </c>
      <c r="K204" s="283"/>
      <c r="L204" s="299"/>
      <c r="M204" s="314">
        <f>SUM(M205:M206)</f>
        <v>361.36240000000004</v>
      </c>
      <c r="N204" s="283"/>
      <c r="O204" s="299"/>
      <c r="P204" s="317">
        <f>SUM(P205:P206)</f>
        <v>1428.702616</v>
      </c>
      <c r="Q204" s="283"/>
      <c r="R204" s="299"/>
      <c r="S204" s="261"/>
      <c r="T204" s="261"/>
    </row>
    <row r="205" spans="2:20">
      <c r="B205" s="123" t="str">
        <f>'корпоративный баланс энергии'!H213</f>
        <v>ТЭЦ-9 (филиал ПАО "Мосэнерго" ) без ДПМ/НВ/ВР</v>
      </c>
      <c r="C205" s="490"/>
      <c r="D205" s="281">
        <f>'корпоративный баланс энергии'!J213+'корпоративный баланс энергии'!M213+'корпоративный баланс энергии'!P213</f>
        <v>334.08</v>
      </c>
      <c r="E205" s="246"/>
      <c r="F205" s="282"/>
      <c r="G205" s="244">
        <f>'корпоративный баланс энергии'!S213+'корпоративный баланс энергии'!V213+'корпоративный баланс энергии'!Y213</f>
        <v>223.04000000000002</v>
      </c>
      <c r="H205" s="246"/>
      <c r="I205" s="282"/>
      <c r="J205" s="244">
        <f>'корпоративный баланс энергии'!AB213+'корпоративный баланс энергии'!AE213+'корпоративный баланс энергии'!AH213</f>
        <v>242.88</v>
      </c>
      <c r="K205" s="246"/>
      <c r="L205" s="282"/>
      <c r="M205" s="244">
        <f>'корпоративный баланс энергии'!AK213+'корпоративный баланс энергии'!AN213+'корпоративный баланс энергии'!AQ213</f>
        <v>292.04000000000002</v>
      </c>
      <c r="N205" s="246"/>
      <c r="O205" s="282"/>
      <c r="P205" s="244">
        <f>D205+G205+J205+M205</f>
        <v>1092.04</v>
      </c>
      <c r="Q205" s="283"/>
      <c r="R205" s="299"/>
      <c r="S205" s="261"/>
      <c r="T205" s="261"/>
    </row>
    <row r="206" spans="2:20">
      <c r="B206" s="123" t="str">
        <f>'корпоративный баланс энергии'!H214</f>
        <v>ТЭЦ-9 (филиал ПАО "Мосэнерго" )  ГТУ-64,8 НВ 24.02.2014</v>
      </c>
      <c r="C206" s="490"/>
      <c r="D206" s="281">
        <f>'корпоративный баланс энергии'!J214+'корпоративный баланс энергии'!M214+'корпоративный баланс энергии'!P214</f>
        <v>92.644800000000004</v>
      </c>
      <c r="E206" s="246"/>
      <c r="F206" s="282"/>
      <c r="G206" s="244">
        <f>'корпоративный баланс энергии'!S214+'корпоративный баланс энергии'!V214+'корпоративный баланс энергии'!Y214</f>
        <v>91.946399999999997</v>
      </c>
      <c r="H206" s="246"/>
      <c r="I206" s="282"/>
      <c r="J206" s="244">
        <f>'корпоративный баланс энергии'!AB214+'корпоративный баланс энергии'!AE214+'корпоративный баланс энергии'!AH214</f>
        <v>82.749015999999997</v>
      </c>
      <c r="K206" s="246"/>
      <c r="L206" s="282"/>
      <c r="M206" s="244">
        <f>'корпоративный баланс энергии'!AK214+'корпоративный баланс энергии'!AN214+'корпоративный баланс энергии'!AQ214</f>
        <v>69.322400000000002</v>
      </c>
      <c r="N206" s="246"/>
      <c r="O206" s="282"/>
      <c r="P206" s="244">
        <f>D206+G206+J206+M206</f>
        <v>336.66261600000001</v>
      </c>
      <c r="Q206" s="283"/>
      <c r="R206" s="299"/>
      <c r="S206" s="261"/>
      <c r="T206" s="261"/>
    </row>
    <row r="207" spans="2:20">
      <c r="B207" s="123" t="str">
        <f>'корпоративный баланс энергии'!H215</f>
        <v>ТЭЦ-11 (филиал ПАО "Мосэнерго" )</v>
      </c>
      <c r="C207" s="516" t="s">
        <v>364</v>
      </c>
      <c r="D207" s="281">
        <f>'корпоративный баланс энергии'!J215+'корпоративный баланс энергии'!M215+'корпоративный баланс энергии'!P215</f>
        <v>515</v>
      </c>
      <c r="E207" s="246"/>
      <c r="F207" s="282"/>
      <c r="G207" s="244">
        <f>'корпоративный баланс энергии'!S215+'корпоративный баланс энергии'!V215+'корпоративный баланс энергии'!Y215</f>
        <v>338.15999999999997</v>
      </c>
      <c r="H207" s="246"/>
      <c r="I207" s="282"/>
      <c r="J207" s="244">
        <f>'корпоративный баланс энергии'!AB215+'корпоративный баланс энергии'!AE215+'корпоративный баланс энергии'!AH215</f>
        <v>312.32</v>
      </c>
      <c r="K207" s="246"/>
      <c r="L207" s="282"/>
      <c r="M207" s="244">
        <f>'корпоративный баланс энергии'!AK215+'корпоративный баланс энергии'!AN215+'корпоративный баланс энергии'!AQ215</f>
        <v>487.22399999999999</v>
      </c>
      <c r="N207" s="246"/>
      <c r="O207" s="282"/>
      <c r="P207" s="244">
        <f>D207+G207+J207+M207</f>
        <v>1652.704</v>
      </c>
      <c r="Q207" s="283"/>
      <c r="R207" s="299"/>
      <c r="S207" s="261"/>
      <c r="T207" s="261"/>
    </row>
    <row r="208" spans="2:20">
      <c r="B208" s="137" t="str">
        <f>'корпоративный баланс энергии'!H216</f>
        <v>ТЭЦ12 (филиал ПАО "Мосэнерго" )</v>
      </c>
      <c r="C208" s="516" t="s">
        <v>364</v>
      </c>
      <c r="D208" s="317">
        <f>D209+D210</f>
        <v>721</v>
      </c>
      <c r="E208" s="246"/>
      <c r="F208" s="282"/>
      <c r="G208" s="317">
        <f>G209+G210</f>
        <v>578.36</v>
      </c>
      <c r="H208" s="246"/>
      <c r="I208" s="282"/>
      <c r="J208" s="317">
        <f>J209+J210</f>
        <v>599.12</v>
      </c>
      <c r="K208" s="246"/>
      <c r="L208" s="282"/>
      <c r="M208" s="317">
        <f>M209+M210</f>
        <v>786.64</v>
      </c>
      <c r="N208" s="246"/>
      <c r="O208" s="282"/>
      <c r="P208" s="317">
        <f>P209+P210</f>
        <v>2685.12</v>
      </c>
      <c r="Q208" s="283"/>
      <c r="R208" s="299"/>
      <c r="S208" s="261"/>
      <c r="T208" s="261"/>
    </row>
    <row r="209" spans="2:20">
      <c r="B209" s="123" t="str">
        <f>'корпоративный баланс энергии'!H217</f>
        <v>ТЭЦ-12 (филиал ПАО "Мосэнерго") без ДПМ/НВ/ВР</v>
      </c>
      <c r="C209" s="490"/>
      <c r="D209" s="281">
        <f>'корпоративный баланс энергии'!J217+'корпоративный баланс энергии'!M217+'корпоративный баланс энергии'!P217</f>
        <v>589</v>
      </c>
      <c r="E209" s="246"/>
      <c r="F209" s="282"/>
      <c r="G209" s="244">
        <f>'корпоративный баланс энергии'!S217+'корпоративный баланс энергии'!V217+'корпоративный баланс энергии'!Y217</f>
        <v>286.36</v>
      </c>
      <c r="H209" s="246"/>
      <c r="I209" s="282"/>
      <c r="J209" s="244">
        <f>'корпоративный баланс энергии'!AB217+'корпоративный баланс энергии'!AE217+'корпоративный баланс энергии'!AH217</f>
        <v>256.12</v>
      </c>
      <c r="K209" s="246"/>
      <c r="L209" s="282"/>
      <c r="M209" s="244">
        <f>'корпоративный баланс энергии'!AK217+'корпоративный баланс энергии'!AN217+'корпоративный баланс энергии'!AQ217</f>
        <v>483.64</v>
      </c>
      <c r="N209" s="246"/>
      <c r="O209" s="282"/>
      <c r="P209" s="244">
        <f>D209+G209+J209+M209</f>
        <v>1615.12</v>
      </c>
      <c r="Q209" s="283"/>
      <c r="R209" s="299"/>
      <c r="S209" s="261"/>
      <c r="T209" s="261"/>
    </row>
    <row r="210" spans="2:20">
      <c r="B210" s="123" t="str">
        <f>'корпоративный баланс энергии'!H218</f>
        <v>ТЭЦ-12 (филиал ПАО "Мосэнерго" ) ПГУ-220 НВ, ДПМ 01.05.2015</v>
      </c>
      <c r="C210" s="490"/>
      <c r="D210" s="281">
        <f>'корпоративный баланс энергии'!J218+'корпоративный баланс энергии'!M218+'корпоративный баланс энергии'!P218</f>
        <v>132</v>
      </c>
      <c r="E210" s="246"/>
      <c r="F210" s="282"/>
      <c r="G210" s="244">
        <f>'корпоративный баланс энергии'!S218+'корпоративный баланс энергии'!V218+'корпоративный баланс энергии'!Y218</f>
        <v>292</v>
      </c>
      <c r="H210" s="246"/>
      <c r="I210" s="282"/>
      <c r="J210" s="244">
        <f>'корпоративный баланс энергии'!AB218+'корпоративный баланс энергии'!AE218+'корпоративный баланс энергии'!AH218</f>
        <v>343</v>
      </c>
      <c r="K210" s="246"/>
      <c r="L210" s="282"/>
      <c r="M210" s="244">
        <f>'корпоративный баланс энергии'!AK218+'корпоративный баланс энергии'!AN218+'корпоративный баланс энергии'!AQ218</f>
        <v>303</v>
      </c>
      <c r="N210" s="246"/>
      <c r="O210" s="282"/>
      <c r="P210" s="244">
        <f>D210+G210+J210+M210</f>
        <v>1070</v>
      </c>
      <c r="Q210" s="283"/>
      <c r="R210" s="299"/>
      <c r="S210" s="261"/>
      <c r="T210" s="261"/>
    </row>
    <row r="211" spans="2:20">
      <c r="B211" s="137" t="str">
        <f>'корпоративный баланс энергии'!H219</f>
        <v>ТЭЦ16 (филиал ПАО "Мосэнерго" )</v>
      </c>
      <c r="C211" s="516" t="s">
        <v>364</v>
      </c>
      <c r="D211" s="317">
        <f>D212+D213</f>
        <v>1023.04</v>
      </c>
      <c r="E211" s="246"/>
      <c r="F211" s="282"/>
      <c r="G211" s="317">
        <f>G212+G213</f>
        <v>808.6</v>
      </c>
      <c r="H211" s="246"/>
      <c r="I211" s="282"/>
      <c r="J211" s="317">
        <f>J212+J213</f>
        <v>570.4</v>
      </c>
      <c r="K211" s="246"/>
      <c r="L211" s="282"/>
      <c r="M211" s="317">
        <f>M212+M213</f>
        <v>946</v>
      </c>
      <c r="N211" s="246"/>
      <c r="O211" s="282"/>
      <c r="P211" s="317">
        <f>P212+P213</f>
        <v>3348.04</v>
      </c>
      <c r="Q211" s="283"/>
      <c r="R211" s="299"/>
      <c r="S211" s="261"/>
      <c r="T211" s="261"/>
    </row>
    <row r="212" spans="2:20">
      <c r="B212" s="123" t="str">
        <f>'корпоративный баланс энергии'!H220</f>
        <v xml:space="preserve">ТЭЦ-16 (филиал ПАО "Мосэнерго") без ДПМ/НВ/ВР </v>
      </c>
      <c r="C212" s="490"/>
      <c r="D212" s="281">
        <f>'корпоративный баланс энергии'!J220+'корпоративный баланс энергии'!M220+'корпоративный баланс энергии'!P220</f>
        <v>410</v>
      </c>
      <c r="E212" s="246"/>
      <c r="F212" s="282"/>
      <c r="G212" s="244">
        <f>'корпоративный баланс энергии'!S220+'корпоративный баланс энергии'!V220+'корпоративный баланс энергии'!Y220</f>
        <v>141.60000000000002</v>
      </c>
      <c r="H212" s="246"/>
      <c r="I212" s="282"/>
      <c r="J212" s="244">
        <f>'корпоративный баланс энергии'!AB220+'корпоративный баланс энергии'!AE220+'корпоративный баланс энергии'!AH220</f>
        <v>74.400000000000006</v>
      </c>
      <c r="K212" s="246"/>
      <c r="L212" s="282"/>
      <c r="M212" s="244">
        <f>'корпоративный баланс энергии'!AK220+'корпоративный баланс энергии'!AN220+'корпоративный баланс энергии'!AQ220</f>
        <v>355</v>
      </c>
      <c r="N212" s="246"/>
      <c r="O212" s="282"/>
      <c r="P212" s="244">
        <f>D212+G212+J212+M212</f>
        <v>981</v>
      </c>
      <c r="Q212" s="283"/>
      <c r="R212" s="299"/>
      <c r="S212" s="261"/>
      <c r="T212" s="261"/>
    </row>
    <row r="213" spans="2:20">
      <c r="B213" s="123" t="str">
        <f>'корпоративный баланс энергии'!H221</f>
        <v>ТЭЦ-16 (филиал ПАО "Мосэнерго") ПГУ421 НВ, ДПМ 05.11.14</v>
      </c>
      <c r="C213" s="490"/>
      <c r="D213" s="281">
        <f>'корпоративный баланс энергии'!J221+'корпоративный баланс энергии'!M221+'корпоративный баланс энергии'!P221</f>
        <v>613.04</v>
      </c>
      <c r="E213" s="246"/>
      <c r="F213" s="282"/>
      <c r="G213" s="244">
        <f>'корпоративный баланс энергии'!S221+'корпоративный баланс энергии'!V221+'корпоративный баланс энергии'!Y221</f>
        <v>667</v>
      </c>
      <c r="H213" s="246"/>
      <c r="I213" s="282"/>
      <c r="J213" s="244">
        <f>'корпоративный баланс энергии'!AB221+'корпоративный баланс энергии'!AE221+'корпоративный баланс энергии'!AH221</f>
        <v>496</v>
      </c>
      <c r="K213" s="246"/>
      <c r="L213" s="282"/>
      <c r="M213" s="244">
        <f>'корпоративный баланс энергии'!AK221+'корпоративный баланс энергии'!AN221+'корпоративный баланс энергии'!AQ221</f>
        <v>591</v>
      </c>
      <c r="N213" s="246"/>
      <c r="O213" s="282"/>
      <c r="P213" s="244">
        <f>D213+G213+J213+M213</f>
        <v>2367.04</v>
      </c>
      <c r="Q213" s="283"/>
      <c r="R213" s="299"/>
      <c r="S213" s="261"/>
      <c r="T213" s="261"/>
    </row>
    <row r="214" spans="2:20">
      <c r="B214" s="137" t="str">
        <f>'корпоративный баланс энергии'!H222</f>
        <v>ТЭЦ20 (филиал ПАО "Мосэнерго" )</v>
      </c>
      <c r="C214" s="516" t="s">
        <v>364</v>
      </c>
      <c r="D214" s="317">
        <f>D215+D216</f>
        <v>1651.2959999999998</v>
      </c>
      <c r="E214" s="246"/>
      <c r="F214" s="282"/>
      <c r="G214" s="317">
        <f>G215+G216</f>
        <v>1033</v>
      </c>
      <c r="H214" s="246"/>
      <c r="I214" s="282"/>
      <c r="J214" s="317">
        <f>J215+J216</f>
        <v>992</v>
      </c>
      <c r="K214" s="246"/>
      <c r="L214" s="282"/>
      <c r="M214" s="317">
        <f>M215+M216</f>
        <v>1447</v>
      </c>
      <c r="N214" s="246"/>
      <c r="O214" s="282"/>
      <c r="P214" s="317">
        <f>P215+P216</f>
        <v>5123.2960000000003</v>
      </c>
      <c r="Q214" s="283"/>
      <c r="R214" s="299"/>
      <c r="S214" s="261"/>
      <c r="T214" s="261"/>
    </row>
    <row r="215" spans="2:20">
      <c r="B215" s="123" t="str">
        <f>'корпоративный баланс энергии'!H223</f>
        <v>ТЭЦ-20 (филиал ПАО "Мосэнерго") без ДПМ/НВ/ВР</v>
      </c>
      <c r="C215" s="490"/>
      <c r="D215" s="281">
        <f>'корпоративный баланс энергии'!J223+'корпоративный баланс энергии'!M223+'корпоративный баланс энергии'!P223</f>
        <v>1083.2959999999998</v>
      </c>
      <c r="E215" s="246"/>
      <c r="F215" s="282"/>
      <c r="G215" s="244">
        <f>'корпоративный баланс энергии'!S223+'корпоративный баланс энергии'!V223+'корпоративный баланс энергии'!Y223</f>
        <v>528</v>
      </c>
      <c r="H215" s="246"/>
      <c r="I215" s="282"/>
      <c r="J215" s="244">
        <f>'корпоративный баланс энергии'!AB223+'корпоративный баланс энергии'!AE223+'корпоративный баланс энергии'!AH223</f>
        <v>415</v>
      </c>
      <c r="K215" s="246"/>
      <c r="L215" s="282"/>
      <c r="M215" s="244">
        <f>'корпоративный баланс энергии'!AK223+'корпоративный баланс энергии'!AN223+'корпоративный баланс энергии'!AQ223</f>
        <v>817</v>
      </c>
      <c r="N215" s="246"/>
      <c r="O215" s="282"/>
      <c r="P215" s="244">
        <f>D215+G215+J215+M215</f>
        <v>2843.2959999999998</v>
      </c>
      <c r="Q215" s="283"/>
      <c r="R215" s="299"/>
      <c r="S215" s="261"/>
      <c r="T215" s="261"/>
    </row>
    <row r="216" spans="2:20">
      <c r="B216" s="123" t="str">
        <f>'корпоративный баланс энергии'!H224</f>
        <v>ТЭЦ-20 (филиал ПАО "Мосэнерго" ) ПГУ-420 НВ, ДПМ 01.12.2015</v>
      </c>
      <c r="C216" s="490"/>
      <c r="D216" s="281">
        <f>'корпоративный баланс энергии'!J224+'корпоративный баланс энергии'!M224+'корпоративный баланс энергии'!P224</f>
        <v>568</v>
      </c>
      <c r="E216" s="246"/>
      <c r="F216" s="282"/>
      <c r="G216" s="244">
        <f>'корпоративный баланс энергии'!S224+'корпоративный баланс энергии'!V224+'корпоративный баланс энергии'!Y224</f>
        <v>505</v>
      </c>
      <c r="H216" s="246"/>
      <c r="I216" s="282"/>
      <c r="J216" s="244">
        <f>'корпоративный баланс энергии'!AB224+'корпоративный баланс энергии'!AE224+'корпоративный баланс энергии'!AH224</f>
        <v>577</v>
      </c>
      <c r="K216" s="246"/>
      <c r="L216" s="282"/>
      <c r="M216" s="244">
        <f>'корпоративный баланс энергии'!AK224+'корпоративный баланс энергии'!AN224+'корпоративный баланс энергии'!AQ224</f>
        <v>630</v>
      </c>
      <c r="N216" s="246"/>
      <c r="O216" s="282"/>
      <c r="P216" s="244">
        <f>D216+G216+J216+M216</f>
        <v>2280</v>
      </c>
      <c r="Q216" s="283"/>
      <c r="R216" s="299"/>
      <c r="S216" s="261"/>
      <c r="T216" s="261"/>
    </row>
    <row r="217" spans="2:20">
      <c r="B217" s="137" t="str">
        <f>'корпоративный баланс энергии'!H225</f>
        <v>ТЭЦ-21 (филиал ПАО "Мосэнерго" )</v>
      </c>
      <c r="C217" s="516" t="s">
        <v>364</v>
      </c>
      <c r="D217" s="317">
        <f>SUM(D218:D219)</f>
        <v>2769.328</v>
      </c>
      <c r="E217" s="246"/>
      <c r="F217" s="282"/>
      <c r="G217" s="317">
        <f>SUM(G218:G219)</f>
        <v>1520</v>
      </c>
      <c r="H217" s="246"/>
      <c r="I217" s="282"/>
      <c r="J217" s="317">
        <f>SUM(J218:J219)</f>
        <v>1559</v>
      </c>
      <c r="K217" s="283"/>
      <c r="L217" s="299"/>
      <c r="M217" s="317">
        <f>SUM(M218:M219)</f>
        <v>2349.48</v>
      </c>
      <c r="N217" s="283"/>
      <c r="O217" s="299"/>
      <c r="P217" s="317">
        <f>SUM(P218:P219)</f>
        <v>8197.8079999999991</v>
      </c>
      <c r="Q217" s="283"/>
      <c r="R217" s="299"/>
      <c r="S217" s="261"/>
      <c r="T217" s="261"/>
    </row>
    <row r="218" spans="2:20">
      <c r="B218" s="123" t="str">
        <f>'корпоративный баланс энергии'!H226</f>
        <v>ТЭЦ-21 (филиал ПАО "Мосэнерго" ) без ДПМ/НВ/ВР</v>
      </c>
      <c r="C218" s="490"/>
      <c r="D218" s="281">
        <f>'корпоративный баланс энергии'!J226+'корпоративный баланс энергии'!M226+'корпоративный баланс энергии'!P226</f>
        <v>2134.328</v>
      </c>
      <c r="E218" s="246"/>
      <c r="F218" s="282"/>
      <c r="G218" s="244">
        <f>'корпоративный баланс энергии'!S226+'корпоративный баланс энергии'!V226+'корпоративный баланс энергии'!Y226</f>
        <v>1035</v>
      </c>
      <c r="H218" s="246"/>
      <c r="I218" s="282"/>
      <c r="J218" s="244">
        <f>'корпоративный баланс энергии'!AB226+'корпоративный баланс энергии'!AE226+'корпоративный баланс энергии'!AH226</f>
        <v>913</v>
      </c>
      <c r="K218" s="246"/>
      <c r="L218" s="282"/>
      <c r="M218" s="244">
        <f>'корпоративный баланс энергии'!AK226+'корпоративный баланс энергии'!AN226+'корпоративный баланс энергии'!AQ226</f>
        <v>1953</v>
      </c>
      <c r="N218" s="246"/>
      <c r="O218" s="282"/>
      <c r="P218" s="244">
        <f>D218+G218+J218+M218</f>
        <v>6035.3279999999995</v>
      </c>
      <c r="Q218" s="283"/>
      <c r="R218" s="299"/>
      <c r="S218" s="261"/>
      <c r="T218" s="261"/>
    </row>
    <row r="219" spans="2:20">
      <c r="B219" s="123" t="str">
        <f>'корпоративный баланс энергии'!H227</f>
        <v>ТЭЦ-21 (филиал ПАО "Мосэнерго" ) бл. №11 ПГУ-450 НВ, ДПМ 01.08.2008</v>
      </c>
      <c r="C219" s="490"/>
      <c r="D219" s="281">
        <f>'корпоративный баланс энергии'!J227+'корпоративный баланс энергии'!M227+'корпоративный баланс энергии'!P227</f>
        <v>635</v>
      </c>
      <c r="E219" s="246"/>
      <c r="F219" s="282"/>
      <c r="G219" s="244">
        <f>'корпоративный баланс энергии'!S227+'корпоративный баланс энергии'!V227+'корпоративный баланс энергии'!Y227</f>
        <v>485</v>
      </c>
      <c r="H219" s="246"/>
      <c r="I219" s="282"/>
      <c r="J219" s="244">
        <f>'корпоративный баланс энергии'!AB227+'корпоративный баланс энергии'!AE227+'корпоративный баланс энергии'!AH227</f>
        <v>646</v>
      </c>
      <c r="K219" s="246"/>
      <c r="L219" s="282"/>
      <c r="M219" s="244">
        <f>'корпоративный баланс энергии'!AK227+'корпоративный баланс энергии'!AN227+'корпоративный баланс энергии'!AQ227</f>
        <v>396.48</v>
      </c>
      <c r="N219" s="246"/>
      <c r="O219" s="282"/>
      <c r="P219" s="244">
        <f>D219+G219+J219+M219</f>
        <v>2162.48</v>
      </c>
      <c r="Q219" s="283"/>
      <c r="R219" s="299"/>
      <c r="S219" s="261"/>
      <c r="T219" s="261"/>
    </row>
    <row r="220" spans="2:20">
      <c r="B220" s="137" t="str">
        <f>'корпоративный баланс энергии'!H228</f>
        <v>ТЭЦ-23 (филиал ПАО "Мосэнерго" )</v>
      </c>
      <c r="C220" s="516" t="s">
        <v>364</v>
      </c>
      <c r="D220" s="317">
        <f>SUM(D221:D222)</f>
        <v>2027.328</v>
      </c>
      <c r="E220" s="246"/>
      <c r="F220" s="282"/>
      <c r="G220" s="317">
        <f>SUM(G221:G222)</f>
        <v>1503.32</v>
      </c>
      <c r="H220" s="246"/>
      <c r="I220" s="282"/>
      <c r="J220" s="317">
        <f>SUM(J221:J222)</f>
        <v>1638.912</v>
      </c>
      <c r="K220" s="283"/>
      <c r="L220" s="299"/>
      <c r="M220" s="317">
        <f>SUM(M221:M222)</f>
        <v>1911.8</v>
      </c>
      <c r="N220" s="283"/>
      <c r="O220" s="299"/>
      <c r="P220" s="317">
        <f>SUM(P221:P222)</f>
        <v>7081.3600000000006</v>
      </c>
      <c r="Q220" s="283"/>
      <c r="R220" s="299"/>
      <c r="S220" s="261"/>
      <c r="T220" s="261"/>
    </row>
    <row r="221" spans="2:20" s="3" customFormat="1">
      <c r="B221" s="123" t="str">
        <f>'корпоративный баланс энергии'!H229</f>
        <v>ТЭЦ-23 (филиал ПАО "Мосэнерго" ) без ДПМ/НВ/ВР</v>
      </c>
      <c r="C221" s="490"/>
      <c r="D221" s="281">
        <f>'корпоративный баланс энергии'!J229+'корпоративный баланс энергии'!M229+'корпоративный баланс энергии'!P229</f>
        <v>1827.7919999999999</v>
      </c>
      <c r="E221" s="246"/>
      <c r="F221" s="282"/>
      <c r="G221" s="244">
        <f>'корпоративный баланс энергии'!S229+'корпоративный баланс энергии'!V229+'корпоративный баланс энергии'!Y229</f>
        <v>1358.1599999999999</v>
      </c>
      <c r="H221" s="246"/>
      <c r="I221" s="282"/>
      <c r="J221" s="244">
        <f>'корпоративный баланс энергии'!AB229+'корпоративный баланс энергии'!AE229+'корпоративный баланс энергии'!AH229</f>
        <v>1530.96</v>
      </c>
      <c r="K221" s="246"/>
      <c r="L221" s="282"/>
      <c r="M221" s="244">
        <f>'корпоративный баланс энергии'!AK229+'корпоративный баланс энергии'!AN229+'корпоративный баланс энергии'!AQ229</f>
        <v>1724</v>
      </c>
      <c r="N221" s="246"/>
      <c r="O221" s="282"/>
      <c r="P221" s="244">
        <f>D221+G221+J221+M221</f>
        <v>6440.9120000000003</v>
      </c>
      <c r="Q221" s="246"/>
      <c r="R221" s="282"/>
      <c r="S221" s="318"/>
      <c r="T221" s="318"/>
    </row>
    <row r="222" spans="2:20">
      <c r="B222" s="123" t="str">
        <f>'корпоративный баланс энергии'!H230</f>
        <v>ТЭЦ-23 (филиал ПАО "Мосэнерго" ) ТА № 2 110 МВт НВ 01.01.2009</v>
      </c>
      <c r="C222" s="490"/>
      <c r="D222" s="281">
        <f>'корпоративный баланс энергии'!J230+'корпоративный баланс энергии'!M230+'корпоративный баланс энергии'!P230</f>
        <v>199.536</v>
      </c>
      <c r="E222" s="246"/>
      <c r="F222" s="282"/>
      <c r="G222" s="244">
        <f>'корпоративный баланс энергии'!S230+'корпоративный баланс энергии'!V230+'корпоративный баланс энергии'!Y230</f>
        <v>145.16</v>
      </c>
      <c r="H222" s="246"/>
      <c r="I222" s="282"/>
      <c r="J222" s="244">
        <f>'корпоративный баланс энергии'!AB230+'корпоративный баланс энергии'!AE230+'корпоративный баланс энергии'!AH230</f>
        <v>107.952</v>
      </c>
      <c r="K222" s="246"/>
      <c r="L222" s="282"/>
      <c r="M222" s="244">
        <f>'корпоративный баланс энергии'!AK230+'корпоративный баланс энергии'!AN230+'корпоративный баланс энергии'!AQ230</f>
        <v>187.8</v>
      </c>
      <c r="N222" s="246"/>
      <c r="O222" s="282"/>
      <c r="P222" s="244">
        <f>D222+G222+J222+M222</f>
        <v>640.44800000000009</v>
      </c>
      <c r="Q222" s="246"/>
      <c r="R222" s="282"/>
      <c r="S222" s="261"/>
      <c r="T222" s="261"/>
    </row>
    <row r="223" spans="2:20">
      <c r="B223" s="123" t="str">
        <f>'корпоративный баланс энергии'!H231</f>
        <v>ТЭЦ-25 (филиал ПАО "Мосэнерго" )</v>
      </c>
      <c r="C223" s="516" t="s">
        <v>364</v>
      </c>
      <c r="D223" s="281">
        <f>'корпоративный баланс энергии'!J231+'корпоративный баланс энергии'!M231+'корпоративный баланс энергии'!P231</f>
        <v>2161.71</v>
      </c>
      <c r="E223" s="246"/>
      <c r="F223" s="282"/>
      <c r="G223" s="244">
        <f>'корпоративный баланс энергии'!S231+'корпоративный баланс энергии'!V231+'корпоративный баланс энергии'!Y231</f>
        <v>1295.3600000000001</v>
      </c>
      <c r="H223" s="246"/>
      <c r="I223" s="282"/>
      <c r="J223" s="244">
        <f>'корпоративный баланс энергии'!AB231+'корпоративный баланс энергии'!AE231+'корпоративный баланс энергии'!AH231</f>
        <v>1250</v>
      </c>
      <c r="K223" s="246"/>
      <c r="L223" s="282"/>
      <c r="M223" s="244">
        <f>'корпоративный баланс энергии'!AK231+'корпоративный баланс энергии'!AN231+'корпоративный баланс энергии'!AQ231</f>
        <v>2141.424</v>
      </c>
      <c r="N223" s="246"/>
      <c r="O223" s="282"/>
      <c r="P223" s="244">
        <f>D223+G223+J223+M223</f>
        <v>6848.4939999999997</v>
      </c>
      <c r="Q223" s="283"/>
      <c r="R223" s="299"/>
      <c r="S223" s="261"/>
      <c r="T223" s="261"/>
    </row>
    <row r="224" spans="2:20">
      <c r="B224" s="137" t="str">
        <f>'корпоративный баланс энергии'!H232</f>
        <v>ТЭЦ-26 (филиал ПАО "Мосэнерго" )</v>
      </c>
      <c r="C224" s="516" t="s">
        <v>364</v>
      </c>
      <c r="D224" s="317">
        <f>SUM(D225:D226)</f>
        <v>3009.4</v>
      </c>
      <c r="E224" s="246"/>
      <c r="F224" s="282"/>
      <c r="G224" s="317">
        <f>SUM(G225:G226)</f>
        <v>1739.5764000000001</v>
      </c>
      <c r="H224" s="246"/>
      <c r="I224" s="282"/>
      <c r="J224" s="317">
        <f>SUM(J225:J226)</f>
        <v>2040</v>
      </c>
      <c r="K224" s="283"/>
      <c r="L224" s="299"/>
      <c r="M224" s="317">
        <f>SUM(M225:M226)</f>
        <v>2754.4639999999999</v>
      </c>
      <c r="N224" s="283"/>
      <c r="O224" s="299"/>
      <c r="P224" s="317">
        <f>SUM(P225:P226)</f>
        <v>9543.4403999999995</v>
      </c>
      <c r="Q224" s="283"/>
      <c r="R224" s="299"/>
      <c r="S224" s="261"/>
      <c r="T224" s="261"/>
    </row>
    <row r="225" spans="2:20">
      <c r="B225" s="123" t="str">
        <f>'корпоративный баланс энергии'!H233</f>
        <v>ТЭЦ-26 (филиал ПАО "Мосэнерго" ) без ДПМ/НВ/ВР</v>
      </c>
      <c r="C225" s="490"/>
      <c r="D225" s="281">
        <f>'корпоративный баланс энергии'!J233+'корпоративный баланс энергии'!M233+'корпоративный баланс энергии'!P233</f>
        <v>2379.4</v>
      </c>
      <c r="E225" s="246"/>
      <c r="F225" s="282"/>
      <c r="G225" s="244">
        <f>'корпоративный баланс энергии'!S233+'корпоративный баланс энергии'!V233+'корпоративный баланс энергии'!Y233</f>
        <v>1159.4000000000001</v>
      </c>
      <c r="H225" s="246"/>
      <c r="I225" s="282"/>
      <c r="J225" s="244">
        <f>'корпоративный баланс энергии'!AB233+'корпоративный баланс энергии'!AE233+'корпоративный баланс энергии'!AH233</f>
        <v>1295</v>
      </c>
      <c r="K225" s="246"/>
      <c r="L225" s="282"/>
      <c r="M225" s="244">
        <f>'корпоративный баланс энергии'!AK233+'корпоративный баланс энергии'!AN233+'корпоративный баланс энергии'!AQ233</f>
        <v>2138.4639999999999</v>
      </c>
      <c r="N225" s="246"/>
      <c r="O225" s="282"/>
      <c r="P225" s="244">
        <f t="shared" ref="P225:P229" si="13">D225+G225+J225+M225</f>
        <v>6972.2640000000001</v>
      </c>
      <c r="Q225" s="283"/>
      <c r="R225" s="299"/>
      <c r="S225" s="261"/>
      <c r="T225" s="261"/>
    </row>
    <row r="226" spans="2:20">
      <c r="B226" s="123" t="str">
        <f>'корпоративный баланс энергии'!H234</f>
        <v>ТЭЦ-26 (филиал ПАО "Мосэнерго" ) бл. № 8 ПГУ-420 НВ, ДПМ 01.07.2011</v>
      </c>
      <c r="C226" s="490"/>
      <c r="D226" s="281">
        <f>'корпоративный баланс энергии'!J234+'корпоративный баланс энергии'!M234+'корпоративный баланс энергии'!P234</f>
        <v>630</v>
      </c>
      <c r="E226" s="246"/>
      <c r="F226" s="282"/>
      <c r="G226" s="244">
        <f>'корпоративный баланс энергии'!S234+'корпоративный баланс энергии'!V234+'корпоративный баланс энергии'!Y234</f>
        <v>580.17640000000006</v>
      </c>
      <c r="H226" s="246"/>
      <c r="I226" s="282"/>
      <c r="J226" s="244">
        <f>'корпоративный баланс энергии'!AB234+'корпоративный баланс энергии'!AE234+'корпоративный баланс энергии'!AH234</f>
        <v>745</v>
      </c>
      <c r="K226" s="246"/>
      <c r="L226" s="282"/>
      <c r="M226" s="244">
        <f>'корпоративный баланс энергии'!AK234+'корпоративный баланс энергии'!AN234+'корпоративный баланс энергии'!AQ234</f>
        <v>616</v>
      </c>
      <c r="N226" s="246"/>
      <c r="O226" s="282"/>
      <c r="P226" s="244">
        <f t="shared" si="13"/>
        <v>2571.1764000000003</v>
      </c>
      <c r="Q226" s="283"/>
      <c r="R226" s="299"/>
      <c r="S226" s="261"/>
      <c r="T226" s="261"/>
    </row>
    <row r="227" spans="2:20">
      <c r="B227" s="123" t="str">
        <f>'корпоративный баланс энергии'!H235</f>
        <v>ГТЭС "Коломенское" (ООО "НафтаСибЭнергия")</v>
      </c>
      <c r="C227" s="517" t="s">
        <v>365</v>
      </c>
      <c r="D227" s="281">
        <f>'корпоративный баланс энергии'!J235+'корпоративный баланс энергии'!M235+'корпоративный баланс энергии'!P235</f>
        <v>154.05600000000001</v>
      </c>
      <c r="E227" s="246"/>
      <c r="F227" s="282"/>
      <c r="G227" s="244">
        <f>'корпоративный баланс энергии'!S235+'корпоративный баланс энергии'!V235+'корпоративный баланс энергии'!Y235</f>
        <v>48.832000000000001</v>
      </c>
      <c r="H227" s="246"/>
      <c r="I227" s="282"/>
      <c r="J227" s="244">
        <f>'корпоративный баланс энергии'!AB235+'корпоративный баланс энергии'!AE235+'корпоративный баланс энергии'!AH235</f>
        <v>29.448</v>
      </c>
      <c r="K227" s="246"/>
      <c r="L227" s="282"/>
      <c r="M227" s="244">
        <f>'корпоративный баланс энергии'!AK235+'корпоративный баланс энергии'!AN235+'корпоративный баланс энергии'!AQ235</f>
        <v>151.74</v>
      </c>
      <c r="N227" s="246"/>
      <c r="O227" s="282"/>
      <c r="P227" s="244">
        <f t="shared" si="13"/>
        <v>384.07600000000002</v>
      </c>
      <c r="Q227" s="283"/>
      <c r="R227" s="299"/>
      <c r="S227" s="261"/>
      <c r="T227" s="261"/>
    </row>
    <row r="228" spans="2:20">
      <c r="B228" s="123" t="str">
        <f>'корпоративный баланс энергии'!H236</f>
        <v>ГТЭС "Терешково" (ООО "РОСМИКС" )</v>
      </c>
      <c r="C228" s="516" t="s">
        <v>364</v>
      </c>
      <c r="D228" s="281">
        <f>'корпоративный баланс энергии'!J236+'корпоративный баланс энергии'!M236+'корпоративный баланс энергии'!P236</f>
        <v>342.024</v>
      </c>
      <c r="E228" s="246"/>
      <c r="F228" s="282"/>
      <c r="G228" s="244">
        <f>'корпоративный баланс энергии'!S236+'корпоративный баланс энергии'!V236+'корпоративный баланс энергии'!Y236</f>
        <v>326.84640000000002</v>
      </c>
      <c r="H228" s="246"/>
      <c r="I228" s="282"/>
      <c r="J228" s="244">
        <f>'корпоративный баланс энергии'!AB236+'корпоративный баланс энергии'!AE236+'корпоративный баланс энергии'!AH236</f>
        <v>274.28639999999996</v>
      </c>
      <c r="K228" s="246"/>
      <c r="L228" s="282"/>
      <c r="M228" s="244">
        <f>'корпоративный баланс энергии'!AK236+'корпоративный баланс энергии'!AN236+'корпоративный баланс энергии'!AQ236</f>
        <v>336.42720000000003</v>
      </c>
      <c r="N228" s="246"/>
      <c r="O228" s="282"/>
      <c r="P228" s="244">
        <f t="shared" si="13"/>
        <v>1279.5840000000001</v>
      </c>
      <c r="Q228" s="283"/>
      <c r="R228" s="299"/>
      <c r="S228" s="261"/>
      <c r="T228" s="261"/>
    </row>
    <row r="229" spans="2:20">
      <c r="B229" s="123" t="str">
        <f>'корпоративный баланс энергии'!H237</f>
        <v>ТЭЦ МЭИ (ФГБОУ ВПО "НИУ МЭИ")</v>
      </c>
      <c r="C229" s="517" t="s">
        <v>365</v>
      </c>
      <c r="D229" s="281">
        <f>'корпоративный баланс энергии'!J237+'корпоративный баланс энергии'!M237+'корпоративный баланс энергии'!P237</f>
        <v>12.31</v>
      </c>
      <c r="E229" s="246"/>
      <c r="F229" s="282"/>
      <c r="G229" s="244">
        <f>'корпоративный баланс энергии'!S237+'корпоративный баланс энергии'!V237+'корпоративный баланс энергии'!Y237</f>
        <v>7.71</v>
      </c>
      <c r="H229" s="246"/>
      <c r="I229" s="282"/>
      <c r="J229" s="244">
        <f>'корпоративный баланс энергии'!AB237+'корпоративный баланс энергии'!AE237+'корпоративный баланс энергии'!AH237</f>
        <v>9.0500000000000007</v>
      </c>
      <c r="K229" s="246"/>
      <c r="L229" s="282"/>
      <c r="M229" s="244">
        <f>'корпоративный баланс энергии'!AK237+'корпоративный баланс энергии'!AN237+'корпоративный баланс энергии'!AQ237</f>
        <v>12.58</v>
      </c>
      <c r="N229" s="246"/>
      <c r="O229" s="282"/>
      <c r="P229" s="244">
        <f t="shared" si="13"/>
        <v>41.65</v>
      </c>
      <c r="Q229" s="283"/>
      <c r="R229" s="299"/>
      <c r="S229" s="261"/>
      <c r="T229" s="261"/>
    </row>
    <row r="230" spans="2:20" ht="15" customHeight="1">
      <c r="B230" s="137" t="str">
        <f>'корпоративный баланс энергии'!H238</f>
        <v>ТЭС Международная   (ООО "Ситиэнерго")</v>
      </c>
      <c r="C230" s="516" t="s">
        <v>364</v>
      </c>
      <c r="D230" s="314">
        <f>D231+D232</f>
        <v>451.70400000000001</v>
      </c>
      <c r="E230" s="256"/>
      <c r="F230" s="302"/>
      <c r="G230" s="314">
        <f>G231+G232</f>
        <v>364.34899999999999</v>
      </c>
      <c r="H230" s="256"/>
      <c r="I230" s="302"/>
      <c r="J230" s="314">
        <f>J231+J232</f>
        <v>402.82299999999998</v>
      </c>
      <c r="K230" s="256"/>
      <c r="L230" s="302"/>
      <c r="M230" s="314">
        <f>M231+M232</f>
        <v>472.75400000000002</v>
      </c>
      <c r="N230" s="256"/>
      <c r="O230" s="302"/>
      <c r="P230" s="314">
        <f>P231+P232</f>
        <v>1691.63</v>
      </c>
      <c r="Q230" s="256"/>
      <c r="R230" s="302"/>
      <c r="S230" s="261"/>
      <c r="T230" s="261"/>
    </row>
    <row r="231" spans="2:20">
      <c r="B231" s="123" t="str">
        <f>'корпоративный баланс энергии'!H239</f>
        <v>ТЭС Международная (1 очередь) (ООО "Ситиэнерго")</v>
      </c>
      <c r="C231" s="490"/>
      <c r="D231" s="281">
        <f>'корпоративный баланс энергии'!J239+'корпоративный баланс энергии'!M239+'корпоративный баланс энергии'!P239</f>
        <v>222.024</v>
      </c>
      <c r="E231" s="246"/>
      <c r="F231" s="282"/>
      <c r="G231" s="244">
        <f>'корпоративный баланс энергии'!S239+'корпоративный баланс энергии'!V239+'корпоративный баланс энергии'!Y239</f>
        <v>185.78899999999999</v>
      </c>
      <c r="H231" s="246"/>
      <c r="I231" s="282"/>
      <c r="J231" s="244">
        <f>'корпоративный баланс энергии'!AB239+'корпоративный баланс энергии'!AE239+'корпоративный баланс энергии'!AH239</f>
        <v>200.18599999999998</v>
      </c>
      <c r="K231" s="246"/>
      <c r="L231" s="282"/>
      <c r="M231" s="244">
        <f>'корпоративный баланс энергии'!AK239+'корпоративный баланс энергии'!AN239+'корпоративный баланс энергии'!AQ239</f>
        <v>233.91200000000001</v>
      </c>
      <c r="N231" s="246"/>
      <c r="O231" s="282"/>
      <c r="P231" s="244">
        <f>D231+G231+J231+M231</f>
        <v>841.91100000000006</v>
      </c>
      <c r="Q231" s="283"/>
      <c r="R231" s="299"/>
      <c r="S231" s="261"/>
      <c r="T231" s="261"/>
    </row>
    <row r="232" spans="2:20">
      <c r="B232" s="123" t="str">
        <f>'корпоративный баланс энергии'!H240</f>
        <v>ТЭС Международная (2 очередь) (ООО "Ситиэнерго")</v>
      </c>
      <c r="C232" s="490"/>
      <c r="D232" s="281">
        <f>'корпоративный баланс энергии'!J240+'корпоративный баланс энергии'!M240+'корпоративный баланс энергии'!P240</f>
        <v>229.68</v>
      </c>
      <c r="E232" s="246"/>
      <c r="F232" s="282"/>
      <c r="G232" s="244">
        <f>'корпоративный баланс энергии'!S240+'корпоративный баланс энергии'!V240+'корпоративный баланс энергии'!Y240</f>
        <v>178.56</v>
      </c>
      <c r="H232" s="246"/>
      <c r="I232" s="282"/>
      <c r="J232" s="244">
        <f>'корпоративный баланс энергии'!AB240+'корпоративный баланс энергии'!AE240+'корпоративный баланс энергии'!AH240</f>
        <v>202.637</v>
      </c>
      <c r="K232" s="246"/>
      <c r="L232" s="282"/>
      <c r="M232" s="244">
        <f>'корпоративный баланс энергии'!AK240+'корпоративный баланс энергии'!AN240+'корпоративный баланс энергии'!AQ240</f>
        <v>238.84199999999998</v>
      </c>
      <c r="N232" s="246"/>
      <c r="O232" s="282"/>
      <c r="P232" s="244">
        <f>D232+G232+J232+M232</f>
        <v>849.71899999999994</v>
      </c>
      <c r="Q232" s="283"/>
      <c r="R232" s="299"/>
      <c r="S232" s="261"/>
      <c r="T232" s="261"/>
    </row>
    <row r="233" spans="2:20">
      <c r="B233" s="123" t="str">
        <f>'корпоративный баланс энергии'!H241</f>
        <v>ДГА-5000 (ООО "Базис С")</v>
      </c>
      <c r="C233" s="517" t="s">
        <v>365</v>
      </c>
      <c r="D233" s="281">
        <f>'корпоративный баланс энергии'!J241+'корпоративный баланс энергии'!M241+'корпоративный баланс энергии'!P241</f>
        <v>0</v>
      </c>
      <c r="E233" s="246"/>
      <c r="F233" s="282"/>
      <c r="G233" s="244">
        <f>'корпоративный баланс энергии'!S241+'корпоративный баланс энергии'!V241+'корпоративный баланс энергии'!Y241</f>
        <v>0</v>
      </c>
      <c r="H233" s="246"/>
      <c r="I233" s="282"/>
      <c r="J233" s="244">
        <f>'корпоративный баланс энергии'!AB241+'корпоративный баланс энергии'!AE241+'корпоративный баланс энергии'!AH241</f>
        <v>0</v>
      </c>
      <c r="K233" s="246"/>
      <c r="L233" s="282"/>
      <c r="M233" s="244">
        <f>'корпоративный баланс энергии'!AK241+'корпоративный баланс энергии'!AN241+'корпоративный баланс энергии'!AQ241</f>
        <v>0</v>
      </c>
      <c r="N233" s="246"/>
      <c r="O233" s="282"/>
      <c r="P233" s="244">
        <f>D233+G233+J233+M233</f>
        <v>0</v>
      </c>
      <c r="Q233" s="283"/>
      <c r="R233" s="299"/>
      <c r="S233" s="261"/>
      <c r="T233" s="261"/>
    </row>
    <row r="234" spans="2:20">
      <c r="B234" s="123" t="str">
        <f>'корпоративный баланс энергии'!H242</f>
        <v>ГТУ-ТЭЦ "Внуково" (ГТЭС "Постниково") (КП "МЭД")</v>
      </c>
      <c r="C234" s="517" t="s">
        <v>365</v>
      </c>
      <c r="D234" s="281">
        <f>'корпоративный баланс энергии'!J242+'корпоративный баланс энергии'!M242+'корпоративный баланс энергии'!P242</f>
        <v>127.24223999999998</v>
      </c>
      <c r="E234" s="246"/>
      <c r="F234" s="282"/>
      <c r="G234" s="244">
        <f>'корпоративный баланс энергии'!S242+'корпоративный баланс энергии'!V242+'корпоративный баланс энергии'!Y242</f>
        <v>32.824800000000003</v>
      </c>
      <c r="H234" s="246"/>
      <c r="I234" s="282"/>
      <c r="J234" s="244">
        <f>'корпоративный баланс энергии'!AB242+'корпоративный баланс энергии'!AE242+'корпоративный баланс энергии'!AH242</f>
        <v>0</v>
      </c>
      <c r="K234" s="246"/>
      <c r="L234" s="282"/>
      <c r="M234" s="244">
        <f>'корпоративный баланс энергии'!AK242+'корпоративный баланс энергии'!AN242+'корпоративный баланс энергии'!AQ242</f>
        <v>102.84696</v>
      </c>
      <c r="N234" s="246"/>
      <c r="O234" s="282"/>
      <c r="P234" s="244">
        <f>D234+G234+J234+M234</f>
        <v>262.91399999999999</v>
      </c>
      <c r="Q234" s="283"/>
      <c r="R234" s="299"/>
      <c r="S234" s="261"/>
      <c r="T234" s="261"/>
    </row>
    <row r="235" spans="2:20">
      <c r="B235" s="123" t="str">
        <f>'корпоративный баланс энергии'!H243</f>
        <v>АМО ТЭЦ ЗИЛ</v>
      </c>
      <c r="C235" s="700" t="s">
        <v>365</v>
      </c>
      <c r="D235" s="281">
        <f>'корпоративный баланс энергии'!J243+'корпоративный баланс энергии'!M243+'корпоративный баланс энергии'!P243</f>
        <v>0</v>
      </c>
      <c r="E235" s="246"/>
      <c r="F235" s="282"/>
      <c r="G235" s="244">
        <f>'корпоративный баланс энергии'!S243+'корпоративный баланс энергии'!V243+'корпоративный баланс энергии'!Y243</f>
        <v>0</v>
      </c>
      <c r="H235" s="246"/>
      <c r="I235" s="282"/>
      <c r="J235" s="244">
        <f>'корпоративный баланс энергии'!AB243+'корпоративный баланс энергии'!AE243+'корпоративный баланс энергии'!AH243</f>
        <v>0</v>
      </c>
      <c r="K235" s="246"/>
      <c r="L235" s="282"/>
      <c r="M235" s="244">
        <f>'корпоративный баланс энергии'!AK243+'корпоративный баланс энергии'!AN243+'корпоративный баланс энергии'!AQ243</f>
        <v>0</v>
      </c>
      <c r="N235" s="246"/>
      <c r="O235" s="282"/>
      <c r="P235" s="244">
        <f>D235+G235+J235+M235</f>
        <v>0</v>
      </c>
      <c r="Q235" s="283"/>
      <c r="R235" s="299"/>
      <c r="S235" s="261"/>
      <c r="T235" s="261"/>
    </row>
    <row r="236" spans="2:20">
      <c r="B236" s="138" t="s">
        <v>174</v>
      </c>
      <c r="C236" s="488"/>
      <c r="D236" s="287">
        <f>SUM(D237:D243)</f>
        <v>66.05</v>
      </c>
      <c r="E236" s="288"/>
      <c r="F236" s="289"/>
      <c r="G236" s="287">
        <f>SUM(G237:G243)</f>
        <v>64.45</v>
      </c>
      <c r="H236" s="288"/>
      <c r="I236" s="289"/>
      <c r="J236" s="287">
        <f>SUM(J237:J243)</f>
        <v>63.1</v>
      </c>
      <c r="K236" s="288"/>
      <c r="L236" s="289"/>
      <c r="M236" s="287">
        <f>SUM(M237:M243)</f>
        <v>62.740000000000009</v>
      </c>
      <c r="N236" s="288"/>
      <c r="O236" s="289"/>
      <c r="P236" s="287">
        <f>SUM(P237:P243)</f>
        <v>256.33999999999997</v>
      </c>
      <c r="Q236" s="288"/>
      <c r="R236" s="289"/>
      <c r="S236" s="261"/>
      <c r="T236" s="261"/>
    </row>
    <row r="237" spans="2:20">
      <c r="B237" s="135" t="str">
        <f>'корпоративный баланс энергии'!H245</f>
        <v>ПЭГА на ГРС «Южная» (ГУП Мосгаз»)</v>
      </c>
      <c r="C237" s="515" t="s">
        <v>365</v>
      </c>
      <c r="D237" s="293">
        <f>'корпоративный баланс энергии'!J245+'корпоративный баланс энергии'!M245+'корпоративный баланс энергии'!P245</f>
        <v>0</v>
      </c>
      <c r="E237" s="288"/>
      <c r="F237" s="289"/>
      <c r="G237" s="294">
        <f>'корпоративный баланс энергии'!S245+'корпоративный баланс энергии'!V245+'корпоративный баланс энергии'!Y245</f>
        <v>0</v>
      </c>
      <c r="H237" s="288"/>
      <c r="I237" s="289"/>
      <c r="J237" s="294">
        <f>'корпоративный баланс энергии'!AB245+'корпоративный баланс энергии'!AE245+'корпоративный баланс энергии'!AH245</f>
        <v>0</v>
      </c>
      <c r="K237" s="288"/>
      <c r="L237" s="289"/>
      <c r="M237" s="294">
        <f>'корпоративный баланс энергии'!AK245+'корпоративный баланс энергии'!AN245+'корпоративный баланс энергии'!AQ245</f>
        <v>0</v>
      </c>
      <c r="N237" s="288"/>
      <c r="O237" s="289"/>
      <c r="P237" s="294">
        <f t="shared" ref="P237:P243" si="14">D237+G237+J237+M237</f>
        <v>0</v>
      </c>
      <c r="Q237" s="288"/>
      <c r="R237" s="289"/>
      <c r="S237" s="261"/>
      <c r="T237" s="261"/>
    </row>
    <row r="238" spans="2:20">
      <c r="B238" s="135" t="str">
        <f>'корпоративный баланс энергии'!H246</f>
        <v>ТЭЦ Спецзавод №2 (ГУП "Экотехпром")</v>
      </c>
      <c r="C238" s="515" t="s">
        <v>365</v>
      </c>
      <c r="D238" s="293">
        <f>'корпоративный баланс энергии'!J246+'корпоративный баланс энергии'!M246+'корпоративный баланс энергии'!P246</f>
        <v>0</v>
      </c>
      <c r="E238" s="288"/>
      <c r="F238" s="289"/>
      <c r="G238" s="294">
        <f>'корпоративный баланс энергии'!S246+'корпоративный баланс энергии'!V246+'корпоративный баланс энергии'!Y246</f>
        <v>0</v>
      </c>
      <c r="H238" s="288"/>
      <c r="I238" s="289"/>
      <c r="J238" s="294">
        <f>'корпоративный баланс энергии'!AB246+'корпоративный баланс энергии'!AE246+'корпоративный баланс энергии'!AH246</f>
        <v>0</v>
      </c>
      <c r="K238" s="288"/>
      <c r="L238" s="289"/>
      <c r="M238" s="294">
        <f>'корпоративный баланс энергии'!AK246+'корпоративный баланс энергии'!AN246+'корпоративный баланс энергии'!AQ246</f>
        <v>0</v>
      </c>
      <c r="N238" s="288"/>
      <c r="O238" s="289"/>
      <c r="P238" s="294">
        <f t="shared" si="14"/>
        <v>0</v>
      </c>
      <c r="Q238" s="288"/>
      <c r="R238" s="289"/>
      <c r="S238" s="261"/>
      <c r="T238" s="261"/>
    </row>
    <row r="239" spans="2:20">
      <c r="B239" s="135" t="str">
        <f>'корпоративный баланс энергии'!H247</f>
        <v>ТЭЦ Спецзавод №3 (ООО "Ефн-экотехпром МСЗ 3")</v>
      </c>
      <c r="C239" s="515" t="s">
        <v>365</v>
      </c>
      <c r="D239" s="293">
        <f>'корпоративный баланс энергии'!J247+'корпоративный баланс энергии'!M247+'корпоративный баланс энергии'!P247</f>
        <v>14.049999999999999</v>
      </c>
      <c r="E239" s="288"/>
      <c r="F239" s="289"/>
      <c r="G239" s="294">
        <f>'корпоративный баланс энергии'!S247+'корпоративный баланс энергии'!V247+'корпоративный баланс энергии'!Y247</f>
        <v>16.100000000000001</v>
      </c>
      <c r="H239" s="288"/>
      <c r="I239" s="289"/>
      <c r="J239" s="294">
        <f>'корпоративный баланс энергии'!AB247+'корпоративный баланс энергии'!AE247+'корпоративный баланс энергии'!AH247</f>
        <v>14.3</v>
      </c>
      <c r="K239" s="288"/>
      <c r="L239" s="289"/>
      <c r="M239" s="294">
        <f>'корпоративный баланс энергии'!AK247+'корпоративный баланс энергии'!AN247+'корпоративный баланс энергии'!AQ247</f>
        <v>11.55</v>
      </c>
      <c r="N239" s="288"/>
      <c r="O239" s="289"/>
      <c r="P239" s="294">
        <f t="shared" si="14"/>
        <v>56</v>
      </c>
      <c r="Q239" s="288"/>
      <c r="R239" s="289"/>
      <c r="S239" s="261"/>
      <c r="T239" s="261"/>
    </row>
    <row r="240" spans="2:20">
      <c r="B240" s="135" t="str">
        <f>'корпоративный баланс энергии'!H248</f>
        <v>ТЭЦ Спецзавод №4 (ООО "Хартия")</v>
      </c>
      <c r="C240" s="515" t="s">
        <v>365</v>
      </c>
      <c r="D240" s="293">
        <f>'корпоративный баланс энергии'!J248+'корпоративный баланс энергии'!M248+'корпоративный баланс энергии'!P248</f>
        <v>13.819999999999999</v>
      </c>
      <c r="E240" s="288"/>
      <c r="F240" s="289"/>
      <c r="G240" s="294">
        <f>'корпоративный баланс энергии'!S248+'корпоративный баланс энергии'!V248+'корпоративный баланс энергии'!Y248</f>
        <v>13.950000000000001</v>
      </c>
      <c r="H240" s="288"/>
      <c r="I240" s="289"/>
      <c r="J240" s="294">
        <f>'корпоративный баланс энергии'!AB248+'корпоративный баланс энергии'!AE248+'корпоративный баланс энергии'!AH248</f>
        <v>15.52</v>
      </c>
      <c r="K240" s="288"/>
      <c r="L240" s="289"/>
      <c r="M240" s="294">
        <f>'корпоративный баланс энергии'!AK248+'корпоративный баланс энергии'!AN248+'корпоративный баланс энергии'!AQ248</f>
        <v>13.969999999999999</v>
      </c>
      <c r="N240" s="288"/>
      <c r="O240" s="289"/>
      <c r="P240" s="294">
        <f t="shared" si="14"/>
        <v>57.26</v>
      </c>
      <c r="Q240" s="288"/>
      <c r="R240" s="289"/>
      <c r="S240" s="261"/>
      <c r="T240" s="261"/>
    </row>
    <row r="241" spans="2:20">
      <c r="B241" s="135" t="str">
        <f>'корпоративный баланс энергии'!H249</f>
        <v>Мини-ТЭС Курьяново (ООО "ЕФН Эко Сервис")</v>
      </c>
      <c r="C241" s="515" t="s">
        <v>365</v>
      </c>
      <c r="D241" s="293">
        <f>'корпоративный баланс энергии'!J249+'корпоративный баланс энергии'!M249+'корпоративный баланс энергии'!P249</f>
        <v>20.93</v>
      </c>
      <c r="E241" s="288"/>
      <c r="F241" s="289"/>
      <c r="G241" s="294">
        <f>'корпоративный баланс энергии'!S249+'корпоративный баланс энергии'!V249+'корпоративный баланс энергии'!Y249</f>
        <v>18.009999999999998</v>
      </c>
      <c r="H241" s="288"/>
      <c r="I241" s="289"/>
      <c r="J241" s="294">
        <f>'корпоративный баланс энергии'!AB249+'корпоративный баланс энергии'!AE249+'корпоративный баланс энергии'!AH249</f>
        <v>16.52</v>
      </c>
      <c r="K241" s="288"/>
      <c r="L241" s="289"/>
      <c r="M241" s="294">
        <f>'корпоративный баланс энергии'!AK249+'корпоративный баланс энергии'!AN249+'корпоративный баланс энергии'!AQ249</f>
        <v>20.46</v>
      </c>
      <c r="N241" s="288"/>
      <c r="O241" s="289"/>
      <c r="P241" s="294">
        <f t="shared" si="14"/>
        <v>75.919999999999987</v>
      </c>
      <c r="Q241" s="288"/>
      <c r="R241" s="289"/>
      <c r="S241" s="261"/>
      <c r="T241" s="261"/>
    </row>
    <row r="242" spans="2:20">
      <c r="B242" s="135" t="str">
        <f>'корпоративный баланс энергии'!H250</f>
        <v xml:space="preserve">ООО "Нетканые Материалы"                                       </v>
      </c>
      <c r="C242" s="515" t="s">
        <v>365</v>
      </c>
      <c r="D242" s="293">
        <f>'корпоративный баланс энергии'!J250+'корпоративный баланс энергии'!M250+'корпоративный баланс энергии'!P250</f>
        <v>0</v>
      </c>
      <c r="E242" s="288"/>
      <c r="F242" s="289"/>
      <c r="G242" s="294">
        <f>'корпоративный баланс энергии'!S250+'корпоративный баланс энергии'!V250+'корпоративный баланс энергии'!Y250</f>
        <v>0</v>
      </c>
      <c r="H242" s="288"/>
      <c r="I242" s="289"/>
      <c r="J242" s="294">
        <f>'корпоративный баланс энергии'!AB250+'корпоративный баланс энергии'!AE250+'корпоративный баланс энергии'!AH250</f>
        <v>0</v>
      </c>
      <c r="K242" s="288"/>
      <c r="L242" s="289"/>
      <c r="M242" s="294">
        <f>'корпоративный баланс энергии'!AK250+'корпоративный баланс энергии'!AN250+'корпоративный баланс энергии'!AQ250</f>
        <v>0</v>
      </c>
      <c r="N242" s="288"/>
      <c r="O242" s="289"/>
      <c r="P242" s="294">
        <f t="shared" ref="P242" si="15">D242+G242+J242+M242</f>
        <v>0</v>
      </c>
      <c r="Q242" s="288"/>
      <c r="R242" s="289"/>
      <c r="S242" s="261"/>
      <c r="T242" s="261"/>
    </row>
    <row r="243" spans="2:20">
      <c r="B243" s="135" t="str">
        <f>'корпоративный баланс энергии'!H251</f>
        <v>Мини-ТЭС Люберцы (ООО "ЕФН Эко Сервис")</v>
      </c>
      <c r="C243" s="518" t="s">
        <v>365</v>
      </c>
      <c r="D243" s="293">
        <f>'корпоративный баланс энергии'!J251+'корпоративный баланс энергии'!M251+'корпоративный баланс энергии'!P251</f>
        <v>17.25</v>
      </c>
      <c r="E243" s="288"/>
      <c r="F243" s="289"/>
      <c r="G243" s="294">
        <f>'корпоративный баланс энергии'!S251+'корпоративный баланс энергии'!V251+'корпоративный баланс энергии'!Y251</f>
        <v>16.39</v>
      </c>
      <c r="H243" s="288"/>
      <c r="I243" s="289"/>
      <c r="J243" s="294">
        <f>'корпоративный баланс энергии'!AB251+'корпоративный баланс энергии'!AE251+'корпоративный баланс энергии'!AH251</f>
        <v>16.759999999999998</v>
      </c>
      <c r="K243" s="288"/>
      <c r="L243" s="289"/>
      <c r="M243" s="294">
        <f>'корпоративный баланс энергии'!AK251+'корпоративный баланс энергии'!AN251+'корпоративный баланс энергии'!AQ251</f>
        <v>16.760000000000002</v>
      </c>
      <c r="N243" s="288"/>
      <c r="O243" s="289"/>
      <c r="P243" s="294">
        <f t="shared" si="14"/>
        <v>67.16</v>
      </c>
      <c r="Q243" s="288"/>
      <c r="R243" s="289"/>
      <c r="S243" s="261"/>
      <c r="T243" s="261"/>
    </row>
    <row r="244" spans="2:20">
      <c r="B244" s="108" t="s">
        <v>179</v>
      </c>
      <c r="C244" s="108"/>
      <c r="D244" s="277">
        <f>SUM(D245:D247)</f>
        <v>5438.1115740299983</v>
      </c>
      <c r="E244" s="275"/>
      <c r="F244" s="276">
        <f>'корпоративный баланс энергии'!L252+'корпоративный баланс энергии'!O252+'корпоративный баланс энергии'!R252</f>
        <v>15726.676466670975</v>
      </c>
      <c r="G244" s="277">
        <f>SUM(G245:G247)</f>
        <v>4571.0398075300118</v>
      </c>
      <c r="H244" s="275"/>
      <c r="I244" s="276">
        <f>'корпоративный баланс энергии'!U252+'корпоративный баланс энергии'!X252+'корпоративный баланс энергии'!AA252</f>
        <v>12281.127819796049</v>
      </c>
      <c r="J244" s="277">
        <f>SUM(J245:J247)</f>
        <v>4683.7248946350001</v>
      </c>
      <c r="K244" s="275"/>
      <c r="L244" s="276">
        <f>'корпоративный баланс энергии'!AD252+'корпоративный баланс энергии'!AG252+'корпоративный баланс энергии'!AJ252</f>
        <v>11834.194457824193</v>
      </c>
      <c r="M244" s="277">
        <f>SUM(M245:M247)</f>
        <v>5164.1852782849992</v>
      </c>
      <c r="N244" s="275"/>
      <c r="O244" s="276">
        <f>'корпоративный баланс энергии'!AM252+'корпоративный баланс энергии'!AP252+'корпоративный баланс энергии'!AS252</f>
        <v>15545.444677939922</v>
      </c>
      <c r="P244" s="277">
        <f>SUM(P245:P247)</f>
        <v>19857.061554480009</v>
      </c>
      <c r="Q244" s="275"/>
      <c r="R244" s="276">
        <f>F244+I244+L244+O244</f>
        <v>55387.443422231139</v>
      </c>
      <c r="S244" s="261"/>
      <c r="T244" s="261"/>
    </row>
    <row r="245" spans="2:20">
      <c r="B245" s="10" t="s">
        <v>173</v>
      </c>
      <c r="C245" s="10"/>
      <c r="D245" s="223">
        <f>SUM(D248:D254)+D258+D261+SUM(D265:D270)</f>
        <v>4871.8549999999987</v>
      </c>
      <c r="E245" s="271"/>
      <c r="F245" s="224"/>
      <c r="G245" s="223">
        <f>SUM(G248:G254)+G258+G261+SUM(G265:G270)</f>
        <v>4062.7357920000113</v>
      </c>
      <c r="H245" s="271"/>
      <c r="I245" s="224"/>
      <c r="J245" s="223">
        <f>SUM(J248:J254)+J258+J261+SUM(J265:J270)</f>
        <v>4171.955524</v>
      </c>
      <c r="K245" s="271"/>
      <c r="L245" s="224"/>
      <c r="M245" s="223">
        <f>SUM(M248:M254)+M258+M261+SUM(M265:M270)</f>
        <v>4580.2224559999995</v>
      </c>
      <c r="N245" s="271"/>
      <c r="O245" s="224"/>
      <c r="P245" s="223">
        <f>SUM(P248:P254)+P258+P261+SUM(P265:P270)</f>
        <v>17686.76877200001</v>
      </c>
      <c r="Q245" s="271"/>
      <c r="R245" s="364"/>
      <c r="S245" s="261"/>
      <c r="T245" s="261"/>
    </row>
    <row r="246" spans="2:20">
      <c r="B246" s="10" t="s">
        <v>177</v>
      </c>
      <c r="C246" s="10"/>
      <c r="D246" s="223">
        <f>SUM(D264,D271:D272)</f>
        <v>517.18998399999998</v>
      </c>
      <c r="E246" s="271"/>
      <c r="F246" s="224"/>
      <c r="G246" s="223">
        <f>SUM(G264,G271:G272)</f>
        <v>475.35645599999998</v>
      </c>
      <c r="H246" s="271"/>
      <c r="I246" s="224"/>
      <c r="J246" s="223">
        <f>SUM(J264,J271:J272)</f>
        <v>484.17748799999998</v>
      </c>
      <c r="K246" s="271"/>
      <c r="L246" s="224"/>
      <c r="M246" s="223">
        <f>SUM(M264,M271:M272)</f>
        <v>538.53553800000009</v>
      </c>
      <c r="N246" s="271"/>
      <c r="O246" s="224"/>
      <c r="P246" s="223">
        <f>SUM(P264,P271:P272)</f>
        <v>2015.259466</v>
      </c>
      <c r="Q246" s="271"/>
      <c r="R246" s="364"/>
      <c r="S246" s="261"/>
      <c r="T246" s="261"/>
    </row>
    <row r="247" spans="2:20">
      <c r="B247" s="10" t="s">
        <v>99</v>
      </c>
      <c r="C247" s="10"/>
      <c r="D247" s="223">
        <f>D273</f>
        <v>49.06659003</v>
      </c>
      <c r="E247" s="271"/>
      <c r="F247" s="224"/>
      <c r="G247" s="223">
        <f>G273</f>
        <v>32.947559529999999</v>
      </c>
      <c r="H247" s="271"/>
      <c r="I247" s="224"/>
      <c r="J247" s="223">
        <f>J273</f>
        <v>27.591882635000001</v>
      </c>
      <c r="K247" s="271"/>
      <c r="L247" s="224"/>
      <c r="M247" s="223">
        <f>M273</f>
        <v>45.427284285000006</v>
      </c>
      <c r="N247" s="271"/>
      <c r="O247" s="224"/>
      <c r="P247" s="223">
        <f>P273</f>
        <v>155.03331648000002</v>
      </c>
      <c r="Q247" s="271"/>
      <c r="R247" s="364"/>
      <c r="S247" s="261"/>
      <c r="T247" s="261"/>
    </row>
    <row r="248" spans="2:20">
      <c r="B248" s="123" t="str">
        <f>'корпоративный баланс энергии'!H256</f>
        <v>ГРЭС-3 им. Классона (филиал ПАО "Мосэнерго" )</v>
      </c>
      <c r="C248" s="516" t="s">
        <v>364</v>
      </c>
      <c r="D248" s="281">
        <f>'корпоративный баланс энергии'!J256+'корпоративный баланс энергии'!M256+'корпоративный баланс энергии'!P256</f>
        <v>36.56</v>
      </c>
      <c r="E248" s="246"/>
      <c r="F248" s="282"/>
      <c r="G248" s="244">
        <f>'корпоративный баланс энергии'!S256+'корпоративный баланс энергии'!V256+'корпоративный баланс энергии'!Y256</f>
        <v>8.2000000000109985</v>
      </c>
      <c r="H248" s="246"/>
      <c r="I248" s="282"/>
      <c r="J248" s="244">
        <f>'корпоративный баланс энергии'!AB256+'корпоративный баланс энергии'!AE256+'корпоративный баланс энергии'!AH256</f>
        <v>1.2E-16</v>
      </c>
      <c r="K248" s="246"/>
      <c r="L248" s="282"/>
      <c r="M248" s="244">
        <f>'корпоративный баланс энергии'!AK256+'корпоративный баланс энергии'!AN256+'корпоративный баланс энергии'!AQ256</f>
        <v>35.323999999999998</v>
      </c>
      <c r="N248" s="246"/>
      <c r="O248" s="282"/>
      <c r="P248" s="244">
        <f t="shared" ref="P248:P253" si="16">D248+G248+J248+M248</f>
        <v>80.084000000011002</v>
      </c>
      <c r="Q248" s="283"/>
      <c r="R248" s="299"/>
      <c r="S248" s="261"/>
      <c r="T248" s="261"/>
    </row>
    <row r="249" spans="2:20">
      <c r="B249" s="123" t="str">
        <f>'корпоративный баланс энергии'!H257</f>
        <v>ТЭЦ-29 (ООО "Глобус")</v>
      </c>
      <c r="C249" s="519" t="s">
        <v>365</v>
      </c>
      <c r="D249" s="281">
        <f>'корпоративный баланс энергии'!J257+'корпоративный баланс энергии'!M257+'корпоративный баланс энергии'!P257</f>
        <v>35.242000000000004</v>
      </c>
      <c r="E249" s="246"/>
      <c r="F249" s="282"/>
      <c r="G249" s="244">
        <f>'корпоративный баланс энергии'!S257+'корпоративный баланс энергии'!V257+'корпоративный баланс энергии'!Y257</f>
        <v>29.256</v>
      </c>
      <c r="H249" s="246"/>
      <c r="I249" s="282"/>
      <c r="J249" s="244">
        <f>'корпоративный баланс энергии'!AB257+'корпоративный баланс энергии'!AE257+'корпоративный баланс энергии'!AH257</f>
        <v>29.231999999999999</v>
      </c>
      <c r="K249" s="246"/>
      <c r="L249" s="282"/>
      <c r="M249" s="244">
        <f>'корпоративный баланс энергии'!AK257+'корпоративный баланс энергии'!AN257+'корпоративный баланс энергии'!AQ257</f>
        <v>33.155999999999999</v>
      </c>
      <c r="N249" s="246"/>
      <c r="O249" s="282"/>
      <c r="P249" s="244">
        <f t="shared" si="16"/>
        <v>126.886</v>
      </c>
      <c r="Q249" s="283"/>
      <c r="R249" s="299"/>
      <c r="S249" s="261"/>
      <c r="T249" s="261"/>
    </row>
    <row r="250" spans="2:20">
      <c r="B250" s="123" t="str">
        <f>'корпоративный баланс энергии'!H258</f>
        <v>ТЭЦ-6 (ООО "Орехово-Зуевская теплосеть")</v>
      </c>
      <c r="C250" s="519" t="s">
        <v>365</v>
      </c>
      <c r="D250" s="281">
        <f>'корпоративный баланс энергии'!J258+'корпоративный баланс энергии'!M258+'корпоративный баланс энергии'!P258</f>
        <v>11.55</v>
      </c>
      <c r="E250" s="246"/>
      <c r="F250" s="282"/>
      <c r="G250" s="244">
        <f>'корпоративный баланс энергии'!S258+'корпоративный баланс энергии'!V258+'корпоративный баланс энергии'!Y258</f>
        <v>5.61</v>
      </c>
      <c r="H250" s="246"/>
      <c r="I250" s="282"/>
      <c r="J250" s="244">
        <f>'корпоративный баланс энергии'!AB258+'корпоративный баланс энергии'!AE258+'корпоративный баланс энергии'!AH258</f>
        <v>4.99</v>
      </c>
      <c r="K250" s="246"/>
      <c r="L250" s="282"/>
      <c r="M250" s="244">
        <f>'корпоративный баланс энергии'!AK258+'корпоративный баланс энергии'!AN258+'корпоративный баланс энергии'!AQ258</f>
        <v>10.46</v>
      </c>
      <c r="N250" s="246"/>
      <c r="O250" s="282"/>
      <c r="P250" s="244">
        <f t="shared" si="16"/>
        <v>32.61</v>
      </c>
      <c r="Q250" s="283"/>
      <c r="R250" s="299"/>
      <c r="S250" s="261"/>
      <c r="T250" s="261"/>
    </row>
    <row r="251" spans="2:20">
      <c r="B251" s="123" t="str">
        <f>'корпоративный баланс энергии'!H259</f>
        <v>ГТУ ТЭЦ г. Павловский Посад (ТЭЦ-30 филиал ПАО "Мосэнерго")</v>
      </c>
      <c r="C251" s="516" t="s">
        <v>364</v>
      </c>
      <c r="D251" s="281">
        <f>'корпоративный баланс энергии'!J259+'корпоративный баланс энергии'!M259+'корпоративный баланс энергии'!P259</f>
        <v>15.0548</v>
      </c>
      <c r="E251" s="246"/>
      <c r="F251" s="282"/>
      <c r="G251" s="244">
        <f>'корпоративный баланс энергии'!S259+'корпоративный баланс энергии'!V259+'корпоративный баланс энергии'!Y259</f>
        <v>10.138791999999999</v>
      </c>
      <c r="H251" s="246"/>
      <c r="I251" s="282"/>
      <c r="J251" s="244">
        <f>'корпоративный баланс энергии'!AB259+'корпоративный баланс энергии'!AE259+'корпоративный баланс энергии'!AH259</f>
        <v>10.163423999999999</v>
      </c>
      <c r="K251" s="246"/>
      <c r="L251" s="282"/>
      <c r="M251" s="244">
        <f>'корпоративный баланс энергии'!AK259+'корпоративный баланс энергии'!AN259+'корпоративный баланс энергии'!AQ259</f>
        <v>11.316455999999999</v>
      </c>
      <c r="N251" s="246"/>
      <c r="O251" s="282"/>
      <c r="P251" s="244">
        <f t="shared" si="16"/>
        <v>46.673472000000004</v>
      </c>
      <c r="Q251" s="283"/>
      <c r="R251" s="299"/>
      <c r="S251" s="261"/>
      <c r="T251" s="261"/>
    </row>
    <row r="252" spans="2:20">
      <c r="B252" s="123" t="str">
        <f>'корпоративный баланс энергии'!H260</f>
        <v>ТЭЦ-17 (филиал ПАО "Мосэнерго")</v>
      </c>
      <c r="C252" s="516" t="s">
        <v>364</v>
      </c>
      <c r="D252" s="281">
        <f>'корпоративный баланс энергии'!J260+'корпоративный баланс энергии'!M260+'корпоративный баланс энергии'!P260</f>
        <v>94.992000000000004</v>
      </c>
      <c r="E252" s="246"/>
      <c r="F252" s="282"/>
      <c r="G252" s="244">
        <f>'корпоративный баланс энергии'!S260+'корпоративный баланс энергии'!V260+'корпоративный баланс энергии'!Y260</f>
        <v>37.46</v>
      </c>
      <c r="H252" s="246"/>
      <c r="I252" s="282"/>
      <c r="J252" s="244">
        <f>'корпоративный баланс энергии'!AB260+'корпоративный баланс энергии'!AE260+'корпоративный баланс энергии'!AH260</f>
        <v>0.7</v>
      </c>
      <c r="K252" s="246"/>
      <c r="L252" s="282"/>
      <c r="M252" s="244">
        <f>'корпоративный баланс энергии'!AK260+'корпоративный баланс энергии'!AN260+'корпоративный баланс энергии'!AQ260</f>
        <v>99.444000000000003</v>
      </c>
      <c r="N252" s="246"/>
      <c r="O252" s="282"/>
      <c r="P252" s="244">
        <f t="shared" si="16"/>
        <v>232.596</v>
      </c>
      <c r="Q252" s="283"/>
      <c r="R252" s="299"/>
      <c r="S252" s="261"/>
      <c r="T252" s="261"/>
    </row>
    <row r="253" spans="2:20">
      <c r="B253" s="123" t="str">
        <f>'корпоративный баланс энергии'!H261</f>
        <v>ТЭЦ-22 (филиал ПАО "Мосэнерго" )</v>
      </c>
      <c r="C253" s="516" t="s">
        <v>364</v>
      </c>
      <c r="D253" s="281">
        <f>'корпоративный баланс энергии'!J261+'корпоративный баланс энергии'!M261+'корпоративный баланс энергии'!P261</f>
        <v>1725.6799999999998</v>
      </c>
      <c r="E253" s="246"/>
      <c r="F253" s="282"/>
      <c r="G253" s="244">
        <f>'корпоративный баланс энергии'!S261+'корпоративный баланс энергии'!V261+'корпоративный баланс энергии'!Y261</f>
        <v>1207.2</v>
      </c>
      <c r="H253" s="246"/>
      <c r="I253" s="282"/>
      <c r="J253" s="244">
        <f>'корпоративный баланс энергии'!AB261+'корпоративный баланс энергии'!AE261+'корпоративный баланс энергии'!AH261</f>
        <v>1149.24</v>
      </c>
      <c r="K253" s="246"/>
      <c r="L253" s="282"/>
      <c r="M253" s="244">
        <f>'корпоративный баланс энергии'!AK261+'корпоративный баланс энергии'!AN261+'корпоративный баланс энергии'!AQ261</f>
        <v>1647</v>
      </c>
      <c r="N253" s="246"/>
      <c r="O253" s="282"/>
      <c r="P253" s="244">
        <f t="shared" si="16"/>
        <v>5729.12</v>
      </c>
      <c r="Q253" s="283"/>
      <c r="R253" s="299"/>
      <c r="S253" s="261"/>
      <c r="T253" s="261"/>
    </row>
    <row r="254" spans="2:20">
      <c r="B254" s="137" t="str">
        <f>'корпоративный баланс энергии'!H262</f>
        <v>ТЭЦ-27 (филиал ПАО "Мосэнерго" )</v>
      </c>
      <c r="C254" s="516" t="s">
        <v>364</v>
      </c>
      <c r="D254" s="262">
        <f>SUM(D255:D257)</f>
        <v>1652.952</v>
      </c>
      <c r="E254" s="283"/>
      <c r="F254" s="299"/>
      <c r="G254" s="262">
        <f>SUM(G255:G257)</f>
        <v>1386</v>
      </c>
      <c r="H254" s="283"/>
      <c r="I254" s="299"/>
      <c r="J254" s="262">
        <f>SUM(J255:J257)</f>
        <v>1124.96</v>
      </c>
      <c r="K254" s="283"/>
      <c r="L254" s="299"/>
      <c r="M254" s="262">
        <f>SUM(M255:M257)</f>
        <v>1063.5520000000001</v>
      </c>
      <c r="N254" s="283"/>
      <c r="O254" s="299"/>
      <c r="P254" s="262">
        <f>SUM(P255:P257)</f>
        <v>5227.4639999999999</v>
      </c>
      <c r="Q254" s="283"/>
      <c r="R254" s="299"/>
      <c r="S254" s="261"/>
      <c r="T254" s="261"/>
    </row>
    <row r="255" spans="2:20">
      <c r="B255" s="123" t="str">
        <f>'корпоративный баланс энергии'!H263</f>
        <v xml:space="preserve">ТЭЦ-27 (филиал ПАО "Мосэнерго") Бл №1,2 без ДПМ/НВ/ВР </v>
      </c>
      <c r="C255" s="123"/>
      <c r="D255" s="281">
        <f>'корпоративный баланс энергии'!J263+'корпоративный баланс энергии'!M263+'корпоративный баланс энергии'!P263</f>
        <v>231</v>
      </c>
      <c r="E255" s="246"/>
      <c r="F255" s="282"/>
      <c r="G255" s="244">
        <f>'корпоративный баланс энергии'!S263+'корпоративный баланс энергии'!V263+'корпоративный баланс энергии'!Y263</f>
        <v>78</v>
      </c>
      <c r="H255" s="246"/>
      <c r="I255" s="282"/>
      <c r="J255" s="244">
        <f>'корпоративный баланс энергии'!AB263+'корпоративный баланс энергии'!AE263+'корпоративный баланс энергии'!AH263</f>
        <v>259.95999999999998</v>
      </c>
      <c r="K255" s="246"/>
      <c r="L255" s="282"/>
      <c r="M255" s="244">
        <f>'корпоративный баланс энергии'!AK263+'корпоративный баланс энергии'!AN263+'корпоративный баланс энергии'!AQ263</f>
        <v>273.55200000000002</v>
      </c>
      <c r="N255" s="246"/>
      <c r="O255" s="282"/>
      <c r="P255" s="244">
        <f>D255+G255+J255+M255</f>
        <v>842.51200000000006</v>
      </c>
      <c r="Q255" s="283"/>
      <c r="R255" s="299"/>
      <c r="S255" s="261"/>
      <c r="T255" s="261"/>
    </row>
    <row r="256" spans="2:20">
      <c r="B256" s="123" t="str">
        <f>'корпоративный баланс энергии'!H264</f>
        <v>ТЭЦ-27 (филиал ПАО "Мосэнерго" ) - бл.№ 3 НВ, ДПМ 01.12.2007</v>
      </c>
      <c r="C256" s="127"/>
      <c r="D256" s="281">
        <f>'корпоративный баланс энергии'!J264+'корпоративный баланс энергии'!M264+'корпоративный баланс энергии'!P264</f>
        <v>745</v>
      </c>
      <c r="E256" s="246"/>
      <c r="F256" s="282"/>
      <c r="G256" s="244">
        <f>'корпоративный баланс энергии'!S264+'корпоративный баланс энергии'!V264+'корпоративный баланс энергии'!Y264</f>
        <v>648</v>
      </c>
      <c r="H256" s="246"/>
      <c r="I256" s="282"/>
      <c r="J256" s="244">
        <f>'корпоративный баланс энергии'!AB264+'корпоративный баланс энергии'!AE264+'корпоративный баланс энергии'!AH264</f>
        <v>0</v>
      </c>
      <c r="K256" s="246"/>
      <c r="L256" s="282"/>
      <c r="M256" s="244">
        <f>'корпоративный баланс энергии'!AK264+'корпоративный баланс энергии'!AN264+'корпоративный баланс энергии'!AQ264</f>
        <v>84</v>
      </c>
      <c r="N256" s="246"/>
      <c r="O256" s="282"/>
      <c r="P256" s="244">
        <f>D256+G256+J256+M256</f>
        <v>1477</v>
      </c>
      <c r="Q256" s="283"/>
      <c r="R256" s="299"/>
      <c r="S256" s="261"/>
      <c r="T256" s="261"/>
    </row>
    <row r="257" spans="2:20">
      <c r="B257" s="123" t="str">
        <f>'корпоративный баланс энергии'!H265</f>
        <v>ТЭЦ-27 (филиал ПАО "Мосэнерго" ) - бл.№ 4 НВ, ДПМ 01.01.2009</v>
      </c>
      <c r="C257" s="127"/>
      <c r="D257" s="281">
        <f>'корпоративный баланс энергии'!J265+'корпоративный баланс энергии'!M265+'корпоративный баланс энергии'!P265</f>
        <v>676.952</v>
      </c>
      <c r="E257" s="246"/>
      <c r="F257" s="282"/>
      <c r="G257" s="244">
        <f>'корпоративный баланс энергии'!S265+'корпоративный баланс энергии'!V265+'корпоративный баланс энергии'!Y265</f>
        <v>660</v>
      </c>
      <c r="H257" s="246"/>
      <c r="I257" s="282"/>
      <c r="J257" s="244">
        <f>'корпоративный баланс энергии'!AB265+'корпоративный баланс энергии'!AE265+'корпоративный баланс энергии'!AH265</f>
        <v>865</v>
      </c>
      <c r="K257" s="246"/>
      <c r="L257" s="282"/>
      <c r="M257" s="244">
        <f>'корпоративный баланс энергии'!AK265+'корпоративный баланс энергии'!AN265+'корпоративный баланс энергии'!AQ265</f>
        <v>706</v>
      </c>
      <c r="N257" s="246"/>
      <c r="O257" s="282"/>
      <c r="P257" s="244">
        <f>D257+G257+J257+M257</f>
        <v>2907.9520000000002</v>
      </c>
      <c r="Q257" s="283"/>
      <c r="R257" s="299"/>
      <c r="S257" s="261"/>
      <c r="T257" s="261"/>
    </row>
    <row r="258" spans="2:20">
      <c r="B258" s="137" t="str">
        <f>'корпоративный баланс энергии'!H266</f>
        <v>Каширская ГРЭС (АО "Интер РАО - Электрогенерация")</v>
      </c>
      <c r="C258" s="516" t="s">
        <v>364</v>
      </c>
      <c r="D258" s="238">
        <f>SUM(D259:D260)</f>
        <v>118.5</v>
      </c>
      <c r="E258" s="283"/>
      <c r="F258" s="299"/>
      <c r="G258" s="238">
        <f>SUM(G259:G260)</f>
        <v>308.05999999999995</v>
      </c>
      <c r="H258" s="283"/>
      <c r="I258" s="299"/>
      <c r="J258" s="238">
        <f>SUM(J259:J260)</f>
        <v>577.84</v>
      </c>
      <c r="K258" s="283"/>
      <c r="L258" s="299"/>
      <c r="M258" s="238">
        <f>SUM(M259:M260)</f>
        <v>250.12</v>
      </c>
      <c r="N258" s="283"/>
      <c r="O258" s="299"/>
      <c r="P258" s="238">
        <f>SUM(P259:P260)</f>
        <v>1254.52</v>
      </c>
      <c r="Q258" s="283"/>
      <c r="R258" s="299"/>
      <c r="S258" s="261"/>
      <c r="T258" s="261"/>
    </row>
    <row r="259" spans="2:20" s="92" customFormat="1">
      <c r="B259" s="123" t="str">
        <f>'корпоративный баланс энергии'!H267</f>
        <v>Каширская ГРЭС (АО "Интер РАО - Электрогенерация") без ДПМ/НВ/ВР</v>
      </c>
      <c r="C259" s="123"/>
      <c r="D259" s="281">
        <f>'корпоративный баланс энергии'!J267+'корпоративный баланс энергии'!M267+'корпоративный баланс энергии'!P267</f>
        <v>0</v>
      </c>
      <c r="E259" s="246"/>
      <c r="F259" s="282"/>
      <c r="G259" s="244">
        <f>'корпоративный баланс энергии'!S267+'корпоративный баланс энергии'!V267+'корпоративный баланс энергии'!Y267</f>
        <v>0</v>
      </c>
      <c r="H259" s="246"/>
      <c r="I259" s="282"/>
      <c r="J259" s="244">
        <f>'корпоративный баланс энергии'!AB267+'корпоративный баланс энергии'!AE267+'корпоративный баланс энергии'!AH267</f>
        <v>0</v>
      </c>
      <c r="K259" s="246"/>
      <c r="L259" s="282"/>
      <c r="M259" s="244">
        <f>'корпоративный баланс энергии'!AK267+'корпоративный баланс энергии'!AN267+'корпоративный баланс энергии'!AQ267</f>
        <v>0</v>
      </c>
      <c r="N259" s="246"/>
      <c r="O259" s="282"/>
      <c r="P259" s="244">
        <f>D259+G259+J259+M259</f>
        <v>0</v>
      </c>
      <c r="Q259" s="283"/>
      <c r="R259" s="299"/>
      <c r="S259" s="306"/>
      <c r="T259" s="306"/>
    </row>
    <row r="260" spans="2:20">
      <c r="B260" s="123" t="str">
        <f>'корпоративный баланс энергии'!H268</f>
        <v>Каширская ГРЭС (АО "Интер РАО - Электрогенерация") - блок 3 К-330 НВ, ДПМ 01.01.2010</v>
      </c>
      <c r="C260" s="127"/>
      <c r="D260" s="281">
        <f>'корпоративный баланс энергии'!J268+'корпоративный баланс энергии'!M268+'корпоративный баланс энергии'!P268</f>
        <v>118.5</v>
      </c>
      <c r="E260" s="246"/>
      <c r="F260" s="282"/>
      <c r="G260" s="244">
        <f>'корпоративный баланс энергии'!S268+'корпоративный баланс энергии'!V268+'корпоративный баланс энергии'!Y268</f>
        <v>308.05999999999995</v>
      </c>
      <c r="H260" s="246"/>
      <c r="I260" s="282"/>
      <c r="J260" s="244">
        <f>'корпоративный баланс энергии'!AB268+'корпоративный баланс энергии'!AE268+'корпоративный баланс энергии'!AH268</f>
        <v>577.84</v>
      </c>
      <c r="K260" s="246"/>
      <c r="L260" s="282"/>
      <c r="M260" s="244">
        <f>'корпоративный баланс энергии'!AK268+'корпоративный баланс энергии'!AN268+'корпоративный баланс энергии'!AQ268</f>
        <v>250.12</v>
      </c>
      <c r="N260" s="246"/>
      <c r="O260" s="282"/>
      <c r="P260" s="244">
        <f>D260+G260+J260+M260</f>
        <v>1254.52</v>
      </c>
      <c r="Q260" s="283"/>
      <c r="R260" s="299"/>
      <c r="S260" s="261"/>
      <c r="T260" s="261"/>
    </row>
    <row r="261" spans="2:20">
      <c r="B261" s="137" t="str">
        <f>'корпоративный баланс энергии'!H269</f>
        <v>Шатурская ГРЭС-5 (филиал ПАО "Юнипро")</v>
      </c>
      <c r="C261" s="516" t="s">
        <v>364</v>
      </c>
      <c r="D261" s="238">
        <f>SUM(D262:D263)</f>
        <v>1117.788</v>
      </c>
      <c r="E261" s="283"/>
      <c r="F261" s="299"/>
      <c r="G261" s="238">
        <f>SUM(G262:G263)</f>
        <v>1022.5300000000001</v>
      </c>
      <c r="H261" s="283"/>
      <c r="I261" s="299"/>
      <c r="J261" s="238">
        <f>SUM(J262:J263)</f>
        <v>1228.26</v>
      </c>
      <c r="K261" s="283"/>
      <c r="L261" s="299"/>
      <c r="M261" s="238">
        <f>SUM(M262:M263)</f>
        <v>1370.422</v>
      </c>
      <c r="N261" s="283"/>
      <c r="O261" s="299"/>
      <c r="P261" s="238">
        <f>SUM(P262:P263)</f>
        <v>4739</v>
      </c>
      <c r="Q261" s="283"/>
      <c r="R261" s="299"/>
      <c r="S261" s="261"/>
      <c r="T261" s="261"/>
    </row>
    <row r="262" spans="2:20">
      <c r="B262" s="123" t="str">
        <f>'корпоративный баланс энергии'!H270</f>
        <v>Шатурская ГРЭС-5 (филиал ПАО "Юнипро") без ДПМ/НВ/ВР</v>
      </c>
      <c r="C262" s="123"/>
      <c r="D262" s="281">
        <f>'корпоративный баланс энергии'!J270+'корпоративный баланс энергии'!M270+'корпоративный баланс энергии'!P270</f>
        <v>441.64799999999997</v>
      </c>
      <c r="E262" s="246"/>
      <c r="F262" s="282"/>
      <c r="G262" s="244">
        <f>'корпоративный баланс энергии'!S270+'корпоративный баланс энергии'!V270+'корпоративный баланс энергии'!Y270</f>
        <v>398.20000000000005</v>
      </c>
      <c r="H262" s="246"/>
      <c r="I262" s="282"/>
      <c r="J262" s="244">
        <f>'корпоративный баланс энергии'!AB270+'корпоративный баланс энергии'!AE270+'корпоративный баланс энергии'!AH270</f>
        <v>885</v>
      </c>
      <c r="K262" s="246"/>
      <c r="L262" s="282"/>
      <c r="M262" s="244">
        <f>'корпоративный баланс энергии'!AK270+'корпоративный баланс энергии'!AN270+'корпоративный баланс энергии'!AQ270</f>
        <v>691.15200000000004</v>
      </c>
      <c r="N262" s="246"/>
      <c r="O262" s="282"/>
      <c r="P262" s="244">
        <f t="shared" ref="P262:P272" si="17">D262+G262+J262+M262</f>
        <v>2416</v>
      </c>
      <c r="Q262" s="283"/>
      <c r="R262" s="299"/>
      <c r="S262" s="261"/>
      <c r="T262" s="261"/>
    </row>
    <row r="263" spans="2:20" s="92" customFormat="1">
      <c r="B263" s="123" t="str">
        <f>'корпоративный баланс энергии'!H271</f>
        <v>Шатурская ГРЭС-5 (филиал ПАО "Юнипро") Бл №7 ПГУ 400 НВ, ДПМ 01.12.2010</v>
      </c>
      <c r="C263" s="127"/>
      <c r="D263" s="281">
        <f>'корпоративный баланс энергии'!J271+'корпоративный баланс энергии'!M271+'корпоративный баланс энергии'!P271</f>
        <v>676.14</v>
      </c>
      <c r="E263" s="246"/>
      <c r="F263" s="282"/>
      <c r="G263" s="244">
        <f>'корпоративный баланс энергии'!S271+'корпоративный баланс энергии'!V271+'корпоративный баланс энергии'!Y271</f>
        <v>624.33000000000004</v>
      </c>
      <c r="H263" s="246"/>
      <c r="I263" s="282"/>
      <c r="J263" s="244">
        <f>'корпоративный баланс энергии'!AB271+'корпоративный баланс энергии'!AE271+'корпоративный баланс энергии'!AH271</f>
        <v>343.26</v>
      </c>
      <c r="K263" s="246"/>
      <c r="L263" s="282"/>
      <c r="M263" s="244">
        <f>'корпоративный баланс энергии'!AK271+'корпоративный баланс энергии'!AN271+'корпоративный баланс энергии'!AQ271</f>
        <v>679.27</v>
      </c>
      <c r="N263" s="246"/>
      <c r="O263" s="282"/>
      <c r="P263" s="244">
        <f t="shared" si="17"/>
        <v>2323</v>
      </c>
      <c r="Q263" s="283"/>
      <c r="R263" s="299"/>
      <c r="S263" s="306"/>
      <c r="T263" s="306"/>
    </row>
    <row r="264" spans="2:20" ht="15" customHeight="1">
      <c r="B264" s="123" t="str">
        <f>'корпоративный баланс энергии'!H272</f>
        <v>Загорская ГАЭС (филиал ПАО "РусГидро")</v>
      </c>
      <c r="C264" s="516" t="s">
        <v>364</v>
      </c>
      <c r="D264" s="281">
        <f>'корпоративный баланс энергии'!J272+'корпоративный баланс энергии'!M272+'корпоративный баланс энергии'!P272</f>
        <v>465</v>
      </c>
      <c r="E264" s="246"/>
      <c r="F264" s="282"/>
      <c r="G264" s="244">
        <f>'корпоративный баланс энергии'!S272+'корпоративный баланс энергии'!V272+'корпоративный баланс энергии'!Y272</f>
        <v>432</v>
      </c>
      <c r="H264" s="246"/>
      <c r="I264" s="282"/>
      <c r="J264" s="244">
        <f>'корпоративный баланс энергии'!AB272+'корпоративный баланс энергии'!AE272+'корпоративный баланс энергии'!AH272</f>
        <v>444</v>
      </c>
      <c r="K264" s="246"/>
      <c r="L264" s="282"/>
      <c r="M264" s="244">
        <f>'корпоративный баланс энергии'!AK272+'корпоративный баланс энергии'!AN272+'корпоративный баланс энергии'!AQ272</f>
        <v>486</v>
      </c>
      <c r="N264" s="246"/>
      <c r="O264" s="282"/>
      <c r="P264" s="244">
        <f t="shared" si="17"/>
        <v>1827</v>
      </c>
      <c r="Q264" s="283"/>
      <c r="R264" s="299"/>
      <c r="S264" s="261"/>
      <c r="T264" s="261"/>
    </row>
    <row r="265" spans="2:20">
      <c r="B265" s="123" t="str">
        <f>'корпоративный баланс энергии'!H273</f>
        <v>Щелковская ГТ-ТЭЦ (АО "ГТ Энерго")</v>
      </c>
      <c r="C265" s="516" t="s">
        <v>364</v>
      </c>
      <c r="D265" s="281">
        <f>'корпоративный баланс энергии'!J273+'корпоративный баланс энергии'!M273+'корпоративный баланс энергии'!P273</f>
        <v>26.046199999999999</v>
      </c>
      <c r="E265" s="246"/>
      <c r="F265" s="282"/>
      <c r="G265" s="244">
        <f>'корпоративный баланс энергии'!S273+'корпоративный баланс энергии'!V273+'корпоративный баланс энергии'!Y273</f>
        <v>17.594999999999999</v>
      </c>
      <c r="H265" s="246"/>
      <c r="I265" s="282"/>
      <c r="J265" s="244">
        <f>'корпоративный баланс энергии'!AB273+'корпоративный баланс энергии'!AE273+'корпоративный баланс энергии'!AH273</f>
        <v>17.179100000000002</v>
      </c>
      <c r="K265" s="246"/>
      <c r="L265" s="282"/>
      <c r="M265" s="244">
        <f>'корпоративный баланс энергии'!AK273+'корпоративный баланс энергии'!AN273+'корпоративный баланс энергии'!AQ273</f>
        <v>20.189</v>
      </c>
      <c r="N265" s="246"/>
      <c r="O265" s="282"/>
      <c r="P265" s="244">
        <f t="shared" si="17"/>
        <v>81.009299999999996</v>
      </c>
      <c r="Q265" s="283"/>
      <c r="R265" s="299"/>
      <c r="S265" s="261"/>
      <c r="T265" s="261"/>
    </row>
    <row r="266" spans="2:20">
      <c r="B266" s="123" t="str">
        <f>'корпоративный баланс энергии'!H274</f>
        <v>ТЭЦ г. Рошаль (ООО "ТЭК-Е" )</v>
      </c>
      <c r="C266" s="519" t="s">
        <v>365</v>
      </c>
      <c r="D266" s="281">
        <f>'корпоративный баланс энергии'!J274+'корпоративный баланс энергии'!M274+'корпоративный баланс энергии'!P274</f>
        <v>0</v>
      </c>
      <c r="E266" s="246"/>
      <c r="F266" s="282"/>
      <c r="G266" s="244">
        <f>'корпоративный баланс энергии'!S274+'корпоративный баланс энергии'!V274+'корпоративный баланс энергии'!Y274</f>
        <v>0</v>
      </c>
      <c r="H266" s="246"/>
      <c r="I266" s="282"/>
      <c r="J266" s="244">
        <f>'корпоративный баланс энергии'!AB274+'корпоративный баланс энергии'!AE274+'корпоративный баланс энергии'!AH274</f>
        <v>0</v>
      </c>
      <c r="K266" s="246"/>
      <c r="L266" s="282"/>
      <c r="M266" s="244">
        <f>'корпоративный баланс энергии'!AK274+'корпоративный баланс энергии'!AN274+'корпоративный баланс энергии'!AQ274</f>
        <v>0</v>
      </c>
      <c r="N266" s="246"/>
      <c r="O266" s="282"/>
      <c r="P266" s="244">
        <f t="shared" si="17"/>
        <v>0</v>
      </c>
      <c r="Q266" s="283"/>
      <c r="R266" s="299"/>
      <c r="S266" s="261"/>
      <c r="T266" s="261"/>
    </row>
    <row r="267" spans="2:20">
      <c r="B267" s="123" t="str">
        <f>'корпоративный баланс энергии'!H275</f>
        <v>ТЭЦ ООО "Энергоцентр"  г. Клин</v>
      </c>
      <c r="C267" s="519" t="s">
        <v>365</v>
      </c>
      <c r="D267" s="281">
        <f>'корпоративный баланс энергии'!J275+'корпоративный баланс энергии'!M275+'корпоративный баланс энергии'!P275</f>
        <v>20.951000000000001</v>
      </c>
      <c r="E267" s="246"/>
      <c r="F267" s="282"/>
      <c r="G267" s="244">
        <f>'корпоративный баланс энергии'!S275+'корпоративный баланс энергии'!V275+'корпоративный баланс энергии'!Y275</f>
        <v>15.776</v>
      </c>
      <c r="H267" s="246"/>
      <c r="I267" s="282"/>
      <c r="J267" s="244">
        <f>'корпоративный баланс энергии'!AB275+'корпоративный баланс энергии'!AE275+'корпоративный баланс энергии'!AH275</f>
        <v>13.950000000000001</v>
      </c>
      <c r="K267" s="246"/>
      <c r="L267" s="282"/>
      <c r="M267" s="244">
        <f>'корпоративный баланс энергии'!AK275+'корпоративный баланс энергии'!AN275+'корпоративный баланс энергии'!AQ275</f>
        <v>22.74</v>
      </c>
      <c r="N267" s="246"/>
      <c r="O267" s="282"/>
      <c r="P267" s="244">
        <f t="shared" si="17"/>
        <v>73.417000000000002</v>
      </c>
      <c r="Q267" s="283"/>
      <c r="R267" s="299"/>
      <c r="S267" s="261"/>
      <c r="T267" s="261"/>
    </row>
    <row r="268" spans="2:20">
      <c r="B268" s="123" t="str">
        <f>'корпоративный баланс энергии'!H276</f>
        <v>ТЭЦ АО "НАТЭК Инвест-Энерго" (г. Красногорск)</v>
      </c>
      <c r="C268" s="519" t="s">
        <v>365</v>
      </c>
      <c r="D268" s="281">
        <f>'корпоративный баланс энергии'!J276+'корпоративный баланс энергии'!M276+'корпоративный баланс энергии'!P276</f>
        <v>8.25</v>
      </c>
      <c r="E268" s="246"/>
      <c r="F268" s="282"/>
      <c r="G268" s="244">
        <f>'корпоративный баланс энергии'!S276+'корпоративный баланс энергии'!V276+'корпоративный баланс энергии'!Y276</f>
        <v>6.67</v>
      </c>
      <c r="H268" s="246"/>
      <c r="I268" s="282"/>
      <c r="J268" s="244">
        <f>'корпоративный баланс энергии'!AB276+'корпоративный баланс энергии'!AE276+'корпоративный баланс энергии'!AH276</f>
        <v>7.1300000000000008</v>
      </c>
      <c r="K268" s="246"/>
      <c r="L268" s="282"/>
      <c r="M268" s="244">
        <f>'корпоративный баланс энергии'!AK276+'корпоративный баланс энергии'!AN276+'корпоративный баланс энергии'!AQ276</f>
        <v>8.1900000000000013</v>
      </c>
      <c r="N268" s="246"/>
      <c r="O268" s="282"/>
      <c r="P268" s="244">
        <f t="shared" si="17"/>
        <v>30.240000000000002</v>
      </c>
      <c r="Q268" s="246"/>
      <c r="R268" s="282"/>
      <c r="S268" s="261"/>
      <c r="T268" s="261"/>
    </row>
    <row r="269" spans="2:20">
      <c r="B269" s="123" t="str">
        <f>'корпоративный баланс энергии'!H277</f>
        <v>ТЭЦ АО "НАТЭК Инвест-Энерго" (г.Лобня)</v>
      </c>
      <c r="C269" s="519" t="s">
        <v>365</v>
      </c>
      <c r="D269" s="281">
        <f>'корпоративный баланс энергии'!J277+'корпоративный баланс энергии'!M277+'корпоративный баланс энергии'!P277</f>
        <v>3.2850000000000001</v>
      </c>
      <c r="E269" s="246"/>
      <c r="F269" s="282"/>
      <c r="G269" s="244">
        <f>'корпоративный баланс энергии'!S277+'корпоративный баланс энергии'!V277+'корпоративный баланс энергии'!Y277</f>
        <v>3.2850000000000001</v>
      </c>
      <c r="H269" s="246"/>
      <c r="I269" s="282"/>
      <c r="J269" s="244">
        <f>'корпоративный баланс энергии'!AB277+'корпоративный баланс энергии'!AE277+'корпоративный баланс энергии'!AH277</f>
        <v>3.2850000000000001</v>
      </c>
      <c r="K269" s="246"/>
      <c r="L269" s="282"/>
      <c r="M269" s="244">
        <f>'корпоративный баланс энергии'!AK277+'корпоративный баланс энергии'!AN277+'корпоративный баланс энергии'!AQ277</f>
        <v>3.2850000000000001</v>
      </c>
      <c r="N269" s="246"/>
      <c r="O269" s="282"/>
      <c r="P269" s="244">
        <f t="shared" si="17"/>
        <v>13.14</v>
      </c>
      <c r="Q269" s="246"/>
      <c r="R269" s="282"/>
      <c r="S269" s="261"/>
      <c r="T269" s="261"/>
    </row>
    <row r="270" spans="2:20">
      <c r="B270" s="123" t="str">
        <f>'корпоративный баланс энергии'!H278</f>
        <v>ТЭЦ Энергоцентра Томилино (ЗАО «НАТЭК Инвест-Энерго»)</v>
      </c>
      <c r="C270" s="519" t="s">
        <v>365</v>
      </c>
      <c r="D270" s="281">
        <f>'корпоративный баланс энергии'!J278+'корпоративный баланс энергии'!M278+'корпоративный баланс энергии'!P278</f>
        <v>5.0040000000000004</v>
      </c>
      <c r="E270" s="246"/>
      <c r="F270" s="282"/>
      <c r="G270" s="244">
        <f>'корпоративный баланс энергии'!S278+'корпоративный баланс энергии'!V278+'корпоративный баланс энергии'!Y278</f>
        <v>4.9550000000000001</v>
      </c>
      <c r="H270" s="246"/>
      <c r="I270" s="282"/>
      <c r="J270" s="244">
        <f>'корпоративный баланс энергии'!AB278+'корпоративный баланс энергии'!AE278+'корпоративный баланс энергии'!AH278</f>
        <v>5.0259999999999998</v>
      </c>
      <c r="K270" s="246"/>
      <c r="L270" s="282"/>
      <c r="M270" s="244">
        <f>'корпоративный баланс энергии'!AK278+'корпоративный баланс энергии'!AN278+'корпоративный баланс энергии'!AQ278</f>
        <v>5.024</v>
      </c>
      <c r="N270" s="246"/>
      <c r="O270" s="282"/>
      <c r="P270" s="244">
        <f t="shared" si="17"/>
        <v>20.009</v>
      </c>
      <c r="Q270" s="246"/>
      <c r="R270" s="282"/>
      <c r="S270" s="261"/>
      <c r="T270" s="261"/>
    </row>
    <row r="271" spans="2:20">
      <c r="B271" s="123" t="str">
        <f>'корпоративный баланс энергии'!H279</f>
        <v>ФГУП "Канал им. Москвы"</v>
      </c>
      <c r="C271" s="519" t="s">
        <v>365</v>
      </c>
      <c r="D271" s="281">
        <f>'корпоративный баланс энергии'!J279+'корпоративный баланс энергии'!M279+'корпоративный баланс энергии'!P279</f>
        <v>45.924900000000001</v>
      </c>
      <c r="E271" s="246"/>
      <c r="F271" s="282"/>
      <c r="G271" s="244">
        <f>'корпоративный баланс энергии'!S279+'корпоративный баланс энергии'!V279+'корпоративный баланс энергии'!Y279</f>
        <v>36.877499999999998</v>
      </c>
      <c r="H271" s="246"/>
      <c r="I271" s="282"/>
      <c r="J271" s="244">
        <f>'корпоративный баланс энергии'!AB279+'корпоративный баланс энергии'!AE279+'корпоративный баланс энергии'!AH279</f>
        <v>35.502699999999997</v>
      </c>
      <c r="K271" s="246"/>
      <c r="L271" s="282"/>
      <c r="M271" s="244">
        <f>'корпоративный баланс энергии'!AK279+'корпоративный баланс энергии'!AN279+'корпоративный баланс энергии'!AQ279</f>
        <v>46.694600000000001</v>
      </c>
      <c r="N271" s="246"/>
      <c r="O271" s="282"/>
      <c r="P271" s="244">
        <f t="shared" si="17"/>
        <v>164.99970000000002</v>
      </c>
      <c r="Q271" s="283"/>
      <c r="R271" s="299"/>
      <c r="S271" s="261"/>
      <c r="T271" s="261"/>
    </row>
    <row r="272" spans="2:20">
      <c r="B272" s="123" t="str">
        <f>'корпоративный баланс энергии'!H280</f>
        <v xml:space="preserve">МГУП «Мосводоканал» </v>
      </c>
      <c r="C272" s="519" t="s">
        <v>365</v>
      </c>
      <c r="D272" s="281">
        <f>'корпоративный баланс энергии'!J280+'корпоративный баланс энергии'!M280+'корпоративный баланс энергии'!P280</f>
        <v>6.2650839999999999</v>
      </c>
      <c r="E272" s="246"/>
      <c r="F272" s="282"/>
      <c r="G272" s="244">
        <f>'корпоративный баланс энергии'!S280+'корпоративный баланс энергии'!V280+'корпоративный баланс энергии'!Y280</f>
        <v>6.4789560000000002</v>
      </c>
      <c r="H272" s="246"/>
      <c r="I272" s="282"/>
      <c r="J272" s="244">
        <f>'корпоративный баланс энергии'!AB280+'корпоративный баланс энергии'!AE280+'корпоративный баланс энергии'!AH280</f>
        <v>4.6747879999999995</v>
      </c>
      <c r="K272" s="246"/>
      <c r="L272" s="282"/>
      <c r="M272" s="244">
        <f>'корпоративный баланс энергии'!AK280+'корпоративный баланс энергии'!AN280+'корпоративный баланс энергии'!AQ280</f>
        <v>5.8409380000000004</v>
      </c>
      <c r="N272" s="246"/>
      <c r="O272" s="282"/>
      <c r="P272" s="244">
        <f t="shared" si="17"/>
        <v>23.259765999999999</v>
      </c>
      <c r="Q272" s="283"/>
      <c r="R272" s="299"/>
      <c r="S272" s="261"/>
      <c r="T272" s="261"/>
    </row>
    <row r="273" spans="2:20" s="107" customFormat="1">
      <c r="B273" s="138" t="s">
        <v>174</v>
      </c>
      <c r="C273" s="138"/>
      <c r="D273" s="319">
        <f>SUM(D274:D275)</f>
        <v>49.06659003</v>
      </c>
      <c r="E273" s="288"/>
      <c r="F273" s="289"/>
      <c r="G273" s="319">
        <f>SUM(G274:G275)</f>
        <v>32.947559529999999</v>
      </c>
      <c r="H273" s="288"/>
      <c r="I273" s="289"/>
      <c r="J273" s="319">
        <f>SUM(J274:J275)</f>
        <v>27.591882635000001</v>
      </c>
      <c r="K273" s="288"/>
      <c r="L273" s="289"/>
      <c r="M273" s="319">
        <f>SUM(M274:M275)</f>
        <v>45.427284285000006</v>
      </c>
      <c r="N273" s="288"/>
      <c r="O273" s="289"/>
      <c r="P273" s="319">
        <f>SUM(P274:P275)</f>
        <v>155.03331648000002</v>
      </c>
      <c r="Q273" s="288"/>
      <c r="R273" s="289"/>
      <c r="S273" s="346"/>
      <c r="T273" s="346"/>
    </row>
    <row r="274" spans="2:20" s="107" customFormat="1">
      <c r="B274" s="135" t="str">
        <f>'корпоративный баланс энергии'!H282</f>
        <v>ТЭЦ АО «Воскресенские  минеральные удобрения»</v>
      </c>
      <c r="C274" s="518" t="s">
        <v>365</v>
      </c>
      <c r="D274" s="293">
        <f>'корпоративный баланс энергии'!J282+'корпоративный баланс энергии'!M282+'корпоративный баланс энергии'!P282</f>
        <v>26.1023</v>
      </c>
      <c r="E274" s="288"/>
      <c r="F274" s="289"/>
      <c r="G274" s="294">
        <f>'корпоративный баланс энергии'!S282+'корпоративный баланс энергии'!V282+'корпоративный баланс энергии'!Y282</f>
        <v>11.9496</v>
      </c>
      <c r="H274" s="288"/>
      <c r="I274" s="289"/>
      <c r="J274" s="294">
        <f>'корпоративный баланс энергии'!AB282+'корпоративный баланс энергии'!AE282+'корпоративный баланс энергии'!AH282</f>
        <v>6.0384409999999997</v>
      </c>
      <c r="K274" s="288"/>
      <c r="L274" s="289"/>
      <c r="M274" s="294">
        <f>'корпоративный баланс энергии'!AK282+'корпоративный баланс энергии'!AN282+'корпоративный баланс энергии'!AQ282</f>
        <v>22.172600000000003</v>
      </c>
      <c r="N274" s="288"/>
      <c r="O274" s="289"/>
      <c r="P274" s="294">
        <f>D274+G274+J274+M274</f>
        <v>66.262941000000012</v>
      </c>
      <c r="Q274" s="288"/>
      <c r="R274" s="289"/>
      <c r="S274" s="346"/>
      <c r="T274" s="346"/>
    </row>
    <row r="275" spans="2:20" s="107" customFormat="1">
      <c r="B275" s="135" t="str">
        <f>'корпоративный баланс энергии'!H283</f>
        <v>ТЭЦ МОФ "Мечел-Энерго" (ОАО "Москокс")</v>
      </c>
      <c r="C275" s="518" t="s">
        <v>365</v>
      </c>
      <c r="D275" s="293">
        <f>'корпоративный баланс энергии'!J283+'корпоративный баланс энергии'!M283+'корпоративный баланс энергии'!P283</f>
        <v>22.964290030000001</v>
      </c>
      <c r="E275" s="288"/>
      <c r="F275" s="289"/>
      <c r="G275" s="294">
        <f>'корпоративный баланс энергии'!S283+'корпоративный баланс энергии'!V283+'корпоративный баланс энергии'!Y283</f>
        <v>20.997959529999999</v>
      </c>
      <c r="H275" s="288"/>
      <c r="I275" s="289"/>
      <c r="J275" s="294">
        <f>'корпоративный баланс энергии'!AB283+'корпоративный баланс энергии'!AE283+'корпоративный баланс энергии'!AH283</f>
        <v>21.553441635000002</v>
      </c>
      <c r="K275" s="288"/>
      <c r="L275" s="289"/>
      <c r="M275" s="294">
        <f>'корпоративный баланс энергии'!AK283+'корпоративный баланс энергии'!AN283+'корпоративный баланс энергии'!AQ283</f>
        <v>23.254684285000003</v>
      </c>
      <c r="N275" s="288"/>
      <c r="O275" s="289"/>
      <c r="P275" s="294">
        <f>D275+G275+J275+M275</f>
        <v>88.770375480000013</v>
      </c>
      <c r="Q275" s="288"/>
      <c r="R275" s="289"/>
      <c r="S275" s="346"/>
      <c r="T275" s="346"/>
    </row>
    <row r="276" spans="2:20" ht="18.75">
      <c r="B276" s="471" t="str">
        <f>'корпоративный баланс энергии'!H284</f>
        <v>Энергосистема Орловской области</v>
      </c>
      <c r="C276" s="491"/>
      <c r="D276" s="274">
        <f>SUM(D277:D279)</f>
        <v>427.37270000000007</v>
      </c>
      <c r="E276" s="275">
        <f>F276-D276</f>
        <v>371.71409903452724</v>
      </c>
      <c r="F276" s="276">
        <f>'корпоративный баланс энергии'!L284+'корпоративный баланс энергии'!O284+'корпоративный баланс энергии'!R284</f>
        <v>799.0867990345273</v>
      </c>
      <c r="G276" s="274">
        <f>SUM(G277:G279)</f>
        <v>247.46390000000002</v>
      </c>
      <c r="H276" s="275">
        <f>I276-G276</f>
        <v>386.25547079901224</v>
      </c>
      <c r="I276" s="276">
        <f>'корпоративный баланс энергии'!U284+'корпоративный баланс энергии'!X284+'корпоративный баланс энергии'!AA284</f>
        <v>633.71937079901227</v>
      </c>
      <c r="J276" s="274">
        <f>SUM(J277:J279)</f>
        <v>227.98260000000002</v>
      </c>
      <c r="K276" s="275">
        <f>L276-J276</f>
        <v>390.77281463783834</v>
      </c>
      <c r="L276" s="276">
        <f>'корпоративный баланс энергии'!AD284+'корпоративный баланс энергии'!AG284+'корпоративный баланс энергии'!AJ284</f>
        <v>618.75541463783838</v>
      </c>
      <c r="M276" s="274">
        <f>SUM(M277:M279)</f>
        <v>392.08770000000004</v>
      </c>
      <c r="N276" s="275">
        <f>O276-M276</f>
        <v>394.5757155286218</v>
      </c>
      <c r="O276" s="276">
        <f>'корпоративный баланс энергии'!AM284+'корпоративный баланс энергии'!AP284+'корпоративный баланс энергии'!AS284</f>
        <v>786.66341552862184</v>
      </c>
      <c r="P276" s="274">
        <f>SUM(P277:P279)</f>
        <v>1294.9069</v>
      </c>
      <c r="Q276" s="275">
        <f>R276-P276</f>
        <v>1543.3181</v>
      </c>
      <c r="R276" s="276">
        <f>F276+I276+L276+O276</f>
        <v>2838.2249999999999</v>
      </c>
      <c r="S276" s="261"/>
      <c r="T276" s="261"/>
    </row>
    <row r="277" spans="2:20" ht="15" customHeight="1">
      <c r="B277" s="10" t="s">
        <v>173</v>
      </c>
      <c r="C277" s="483"/>
      <c r="D277" s="270">
        <f>SUM(D280:D281)+D284</f>
        <v>421.22790000000003</v>
      </c>
      <c r="E277" s="271"/>
      <c r="F277" s="224"/>
      <c r="G277" s="270">
        <f>SUM(G280:G281)+G284</f>
        <v>241.01160000000002</v>
      </c>
      <c r="H277" s="271"/>
      <c r="I277" s="224"/>
      <c r="J277" s="270">
        <f>SUM(J280:J281)+J284</f>
        <v>221.96450000000002</v>
      </c>
      <c r="K277" s="271"/>
      <c r="L277" s="224"/>
      <c r="M277" s="270">
        <f>SUM(M280:M281)+M284</f>
        <v>386.1506</v>
      </c>
      <c r="N277" s="271"/>
      <c r="O277" s="224"/>
      <c r="P277" s="270">
        <f>SUM(P280:P281)+P284</f>
        <v>1270.3545999999999</v>
      </c>
      <c r="Q277" s="271"/>
      <c r="R277" s="364"/>
      <c r="S277" s="261"/>
      <c r="T277" s="261"/>
    </row>
    <row r="278" spans="2:20" ht="15" customHeight="1">
      <c r="B278" s="10" t="s">
        <v>55</v>
      </c>
      <c r="C278" s="483"/>
      <c r="D278" s="270">
        <f>D285</f>
        <v>1.7948</v>
      </c>
      <c r="E278" s="271"/>
      <c r="F278" s="224"/>
      <c r="G278" s="270">
        <f>G285</f>
        <v>2.1023000000000001</v>
      </c>
      <c r="H278" s="271"/>
      <c r="I278" s="224"/>
      <c r="J278" s="270">
        <f>J285</f>
        <v>1.6680999999999999</v>
      </c>
      <c r="K278" s="271"/>
      <c r="L278" s="224"/>
      <c r="M278" s="270">
        <f>M285</f>
        <v>1.5871</v>
      </c>
      <c r="N278" s="271"/>
      <c r="O278" s="224"/>
      <c r="P278" s="270">
        <f>P285</f>
        <v>7.1523000000000003</v>
      </c>
      <c r="Q278" s="271"/>
      <c r="R278" s="364"/>
      <c r="S278" s="261"/>
      <c r="T278" s="261"/>
    </row>
    <row r="279" spans="2:20">
      <c r="B279" s="10" t="s">
        <v>99</v>
      </c>
      <c r="C279" s="483"/>
      <c r="D279" s="270">
        <f>D286</f>
        <v>4.3499999999999996</v>
      </c>
      <c r="E279" s="271"/>
      <c r="F279" s="224"/>
      <c r="G279" s="270">
        <f>G286</f>
        <v>4.3499999999999996</v>
      </c>
      <c r="H279" s="271"/>
      <c r="I279" s="224"/>
      <c r="J279" s="270">
        <f>J286</f>
        <v>4.3499999999999996</v>
      </c>
      <c r="K279" s="271"/>
      <c r="L279" s="224"/>
      <c r="M279" s="270">
        <f>M286</f>
        <v>4.3499999999999996</v>
      </c>
      <c r="N279" s="271"/>
      <c r="O279" s="224"/>
      <c r="P279" s="270">
        <f>P286</f>
        <v>17.399999999999999</v>
      </c>
      <c r="Q279" s="271"/>
      <c r="R279" s="364"/>
      <c r="S279" s="261"/>
      <c r="T279" s="261"/>
    </row>
    <row r="280" spans="2:20">
      <c r="B280" s="123" t="str">
        <f>'корпоративный баланс энергии'!H288</f>
        <v>Орловская ТЭЦ (Орловский филиал ПАО "Квадра")</v>
      </c>
      <c r="C280" s="516" t="s">
        <v>364</v>
      </c>
      <c r="D280" s="281">
        <f>'корпоративный баланс энергии'!J288+'корпоративный баланс энергии'!M288+'корпоративный баланс энергии'!P288</f>
        <v>337</v>
      </c>
      <c r="E280" s="246"/>
      <c r="F280" s="282"/>
      <c r="G280" s="244">
        <f>'корпоративный баланс энергии'!S288+'корпоративный баланс энергии'!V288+'корпоративный баланс энергии'!Y288</f>
        <v>193</v>
      </c>
      <c r="H280" s="246"/>
      <c r="I280" s="282"/>
      <c r="J280" s="244">
        <f>'корпоративный баланс энергии'!AB288+'корпоративный баланс энергии'!AE288+'корпоративный баланс энергии'!AH288</f>
        <v>175</v>
      </c>
      <c r="K280" s="246"/>
      <c r="L280" s="282"/>
      <c r="M280" s="244">
        <f>'корпоративный баланс энергии'!AK288+'корпоративный баланс энергии'!AN288+'корпоративный баланс энергии'!AQ288</f>
        <v>303.12</v>
      </c>
      <c r="N280" s="246"/>
      <c r="O280" s="282"/>
      <c r="P280" s="244">
        <f>D280+G280+J280+M280</f>
        <v>1008.12</v>
      </c>
      <c r="Q280" s="283"/>
      <c r="R280" s="299"/>
      <c r="S280" s="261"/>
      <c r="T280" s="261"/>
    </row>
    <row r="281" spans="2:20">
      <c r="B281" s="137" t="str">
        <f>'корпоративный баланс энергии'!H289</f>
        <v>Ливенская ТЭЦ (Орловский филиал ПАО "Квадра")</v>
      </c>
      <c r="C281" s="516" t="s">
        <v>364</v>
      </c>
      <c r="D281" s="314">
        <f>SUM(D282:D283)</f>
        <v>65.040000000000006</v>
      </c>
      <c r="E281" s="283"/>
      <c r="F281" s="299"/>
      <c r="G281" s="314">
        <f>SUM(G282:G283)</f>
        <v>40.92</v>
      </c>
      <c r="H281" s="283"/>
      <c r="I281" s="299"/>
      <c r="J281" s="314">
        <f>SUM(J282:J283)</f>
        <v>42.288000000000004</v>
      </c>
      <c r="K281" s="283"/>
      <c r="L281" s="299"/>
      <c r="M281" s="314">
        <f>SUM(M282:M283)</f>
        <v>63.815999999999995</v>
      </c>
      <c r="N281" s="283"/>
      <c r="O281" s="299"/>
      <c r="P281" s="314">
        <f>SUM(P282:P283)</f>
        <v>212.06400000000002</v>
      </c>
      <c r="Q281" s="283"/>
      <c r="R281" s="299"/>
      <c r="S281" s="261"/>
      <c r="T281" s="261"/>
    </row>
    <row r="282" spans="2:20">
      <c r="B282" s="123" t="str">
        <f>'корпоративный баланс энергии'!H290</f>
        <v>Ливенская ТЭЦ (Орловский филиал ПАО "Квадра")</v>
      </c>
      <c r="C282" s="490"/>
      <c r="D282" s="281">
        <f>'корпоративный баланс энергии'!J290+'корпоративный баланс энергии'!M290+'корпоративный баланс энергии'!P290</f>
        <v>8.7360000000000007</v>
      </c>
      <c r="E282" s="246"/>
      <c r="F282" s="282"/>
      <c r="G282" s="244">
        <f>'корпоративный баланс энергии'!S290+'корпоративный баланс энергии'!V290+'корпоративный баланс энергии'!Y290</f>
        <v>8.16</v>
      </c>
      <c r="H282" s="246"/>
      <c r="I282" s="282"/>
      <c r="J282" s="244">
        <f>'корпоративный баланс энергии'!AB290+'корпоративный баланс энергии'!AE290+'корпоративный баланс энергии'!AH290</f>
        <v>8.8320000000000007</v>
      </c>
      <c r="K282" s="246"/>
      <c r="L282" s="282"/>
      <c r="M282" s="244">
        <f>'корпоративный баланс энергии'!AK290+'корпоративный баланс энергии'!AN290+'корпоративный баланс энергии'!AQ290</f>
        <v>8.8320000000000007</v>
      </c>
      <c r="N282" s="246"/>
      <c r="O282" s="282"/>
      <c r="P282" s="244">
        <f>D282+G282+J282+M282</f>
        <v>34.56</v>
      </c>
      <c r="Q282" s="283"/>
      <c r="R282" s="299"/>
      <c r="S282" s="261"/>
      <c r="T282" s="261"/>
    </row>
    <row r="283" spans="2:20">
      <c r="B283" s="123" t="str">
        <f>'корпоративный баланс энергии'!H291</f>
        <v>Ливенская ТЭЦ (Орловский филиал ПАО "Квадра") ГТУ 30 МВт НВ, ДПМ</v>
      </c>
      <c r="C283" s="490"/>
      <c r="D283" s="281">
        <f>'корпоративный баланс энергии'!J291+'корпоративный баланс энергии'!M291+'корпоративный баланс энергии'!P291</f>
        <v>56.304000000000002</v>
      </c>
      <c r="E283" s="246"/>
      <c r="F283" s="282"/>
      <c r="G283" s="244">
        <f>'корпоративный баланс энергии'!S291+'корпоративный баланс энергии'!V291+'корпоративный баланс энергии'!Y291</f>
        <v>32.760000000000005</v>
      </c>
      <c r="H283" s="246"/>
      <c r="I283" s="282"/>
      <c r="J283" s="244">
        <f>'корпоративный баланс энергии'!AB291+'корпоративный баланс энергии'!AE291+'корпоративный баланс энергии'!AH291</f>
        <v>33.456000000000003</v>
      </c>
      <c r="K283" s="246"/>
      <c r="L283" s="282"/>
      <c r="M283" s="244">
        <f>'корпоративный баланс энергии'!AK291+'корпоративный баланс энергии'!AN291+'корпоративный баланс энергии'!AQ291</f>
        <v>54.983999999999995</v>
      </c>
      <c r="N283" s="246"/>
      <c r="O283" s="282"/>
      <c r="P283" s="244">
        <f>D283+G283+J283+M283</f>
        <v>177.50400000000002</v>
      </c>
      <c r="Q283" s="283"/>
      <c r="R283" s="299"/>
      <c r="S283" s="261"/>
      <c r="T283" s="261"/>
    </row>
    <row r="284" spans="2:20">
      <c r="B284" s="123" t="str">
        <f>'корпоративный баланс энергии'!H292</f>
        <v>АО "ГТ Энерго" (ГТ-ТЭЦ "Орловская")</v>
      </c>
      <c r="C284" s="516" t="s">
        <v>364</v>
      </c>
      <c r="D284" s="281">
        <f>'корпоративный баланс энергии'!J292+'корпоративный баланс энергии'!M292+'корпоративный баланс энергии'!P292</f>
        <v>19.187899999999999</v>
      </c>
      <c r="E284" s="246"/>
      <c r="F284" s="282"/>
      <c r="G284" s="244">
        <f>'корпоративный баланс энергии'!S292+'корпоративный баланс энергии'!V292+'корпоративный баланс энергии'!Y292</f>
        <v>7.0916000000000006</v>
      </c>
      <c r="H284" s="246"/>
      <c r="I284" s="282"/>
      <c r="J284" s="244">
        <f>'корпоративный баланс энергии'!AB292+'корпоративный баланс энергии'!AE292+'корпоративный баланс энергии'!AH292</f>
        <v>4.6764999999999999</v>
      </c>
      <c r="K284" s="246"/>
      <c r="L284" s="282"/>
      <c r="M284" s="244">
        <f>'корпоративный баланс энергии'!AK292+'корпоративный баланс энергии'!AN292+'корпоративный баланс энергии'!AQ292</f>
        <v>19.214600000000001</v>
      </c>
      <c r="N284" s="246"/>
      <c r="O284" s="282"/>
      <c r="P284" s="244">
        <f>D284+G284+J284+M284</f>
        <v>50.1706</v>
      </c>
      <c r="Q284" s="283"/>
      <c r="R284" s="299"/>
      <c r="S284" s="261"/>
      <c r="T284" s="261"/>
    </row>
    <row r="285" spans="2:20">
      <c r="B285" s="172" t="str">
        <f>'корпоративный баланс энергии'!H293</f>
        <v>Лыковская ГЭС (ООО "Лыковская ГЭС")</v>
      </c>
      <c r="C285" s="515" t="s">
        <v>365</v>
      </c>
      <c r="D285" s="281">
        <f>'корпоративный баланс энергии'!J293+'корпоративный баланс энергии'!M293+'корпоративный баланс энергии'!P293</f>
        <v>1.7948</v>
      </c>
      <c r="E285" s="246"/>
      <c r="F285" s="282"/>
      <c r="G285" s="244">
        <f>'корпоративный баланс энергии'!S293+'корпоративный баланс энергии'!V293+'корпоративный баланс энергии'!Y293</f>
        <v>2.1023000000000001</v>
      </c>
      <c r="H285" s="246"/>
      <c r="I285" s="282"/>
      <c r="J285" s="244">
        <f>'корпоративный баланс энергии'!AB293+'корпоративный баланс энергии'!AE293+'корпоративный баланс энергии'!AH293</f>
        <v>1.6680999999999999</v>
      </c>
      <c r="K285" s="246"/>
      <c r="L285" s="282"/>
      <c r="M285" s="244">
        <f>'корпоративный баланс энергии'!AK293+'корпоративный баланс энергии'!AN293+'корпоративный баланс энергии'!AQ293</f>
        <v>1.5871</v>
      </c>
      <c r="N285" s="246"/>
      <c r="O285" s="282"/>
      <c r="P285" s="244">
        <f>D285+G285+J285+M285</f>
        <v>7.1523000000000003</v>
      </c>
      <c r="Q285" s="283"/>
      <c r="R285" s="299"/>
      <c r="S285" s="261"/>
      <c r="T285" s="261"/>
    </row>
    <row r="286" spans="2:20" ht="15" customHeight="1">
      <c r="B286" s="135" t="str">
        <f>'корпоративный баланс энергии'!H294</f>
        <v xml:space="preserve">ТЭЦ ОАО "Мценский завод "Коммаш"                                                                                                 </v>
      </c>
      <c r="C286" s="515" t="s">
        <v>365</v>
      </c>
      <c r="D286" s="293">
        <f>'корпоративный баланс энергии'!J294+'корпоративный баланс энергии'!M294+'корпоративный баланс энергии'!P294</f>
        <v>4.3499999999999996</v>
      </c>
      <c r="E286" s="288"/>
      <c r="F286" s="289"/>
      <c r="G286" s="294">
        <f>'корпоративный баланс энергии'!S294+'корпоративный баланс энергии'!V294+'корпоративный баланс энергии'!Y294</f>
        <v>4.3499999999999996</v>
      </c>
      <c r="H286" s="288"/>
      <c r="I286" s="289"/>
      <c r="J286" s="294">
        <f>'корпоративный баланс энергии'!AB294+'корпоративный баланс энергии'!AE294+'корпоративный баланс энергии'!AH294</f>
        <v>4.3499999999999996</v>
      </c>
      <c r="K286" s="288"/>
      <c r="L286" s="289"/>
      <c r="M286" s="294">
        <f>'корпоративный баланс энергии'!AK294+'корпоративный баланс энергии'!AN294+'корпоративный баланс энергии'!AQ294</f>
        <v>4.3499999999999996</v>
      </c>
      <c r="N286" s="288"/>
      <c r="O286" s="289"/>
      <c r="P286" s="294">
        <f>D286+G286+J286+M286</f>
        <v>17.399999999999999</v>
      </c>
      <c r="Q286" s="288"/>
      <c r="R286" s="289"/>
      <c r="S286" s="261"/>
      <c r="T286" s="261"/>
    </row>
    <row r="287" spans="2:20" ht="18.75">
      <c r="B287" s="471" t="str">
        <f>'корпоративный баланс энергии'!H295</f>
        <v>Энергосистема Рязанской области</v>
      </c>
      <c r="C287" s="491"/>
      <c r="D287" s="274">
        <f>D289+D292+D295+D296+D297+D298</f>
        <v>1862.1617810344826</v>
      </c>
      <c r="E287" s="275">
        <f>F287-D287</f>
        <v>-56.653131984216316</v>
      </c>
      <c r="F287" s="276">
        <f>'корпоративный баланс энергии'!L295+'корпоративный баланс энергии'!O295+'корпоративный баланс энергии'!R295</f>
        <v>1805.5086490502663</v>
      </c>
      <c r="G287" s="277">
        <f>G289+G292+G295+G296+G297+G298</f>
        <v>1113.49658</v>
      </c>
      <c r="H287" s="275">
        <f>I287-G287</f>
        <v>370.99901412481813</v>
      </c>
      <c r="I287" s="276">
        <f>'корпоративный баланс энергии'!U295+'корпоративный баланс энергии'!X295+'корпоративный баланс энергии'!AA295</f>
        <v>1484.4955941248181</v>
      </c>
      <c r="J287" s="277">
        <f>J289+J292+J295+J296+J297+J298</f>
        <v>1097.2855979999999</v>
      </c>
      <c r="K287" s="275">
        <f>L287-J287</f>
        <v>434.24585867355995</v>
      </c>
      <c r="L287" s="276">
        <f>'корпоративный баланс энергии'!AD295+'корпоративный баланс энергии'!AG295+'корпоративный баланс энергии'!AJ295</f>
        <v>1531.5314566735599</v>
      </c>
      <c r="M287" s="277">
        <f>M289+M292+M295+M296+M297+M298</f>
        <v>1645.8805000000002</v>
      </c>
      <c r="N287" s="275">
        <f>O287-M287</f>
        <v>163.58380015135481</v>
      </c>
      <c r="O287" s="276">
        <f>'корпоративный баланс энергии'!AM295+'корпоративный баланс энергии'!AP295+'корпоративный баланс энергии'!AS295</f>
        <v>1809.464300151355</v>
      </c>
      <c r="P287" s="277">
        <f>P289+P292+P295+P296+P297+P298</f>
        <v>5718.824459034483</v>
      </c>
      <c r="Q287" s="275">
        <f>R287-P287</f>
        <v>912.17554096551612</v>
      </c>
      <c r="R287" s="276">
        <f>F287+I287+L287+O287</f>
        <v>6630.9999999999991</v>
      </c>
      <c r="S287" s="261"/>
      <c r="T287" s="261"/>
    </row>
    <row r="288" spans="2:20">
      <c r="B288" s="10" t="s">
        <v>173</v>
      </c>
      <c r="C288" s="483"/>
      <c r="D288" s="270">
        <f>D289+D292+SUM(D295:D298)</f>
        <v>1862.1617810344828</v>
      </c>
      <c r="E288" s="271"/>
      <c r="F288" s="224"/>
      <c r="G288" s="270">
        <f>G289+G292+SUM(G295:G298)</f>
        <v>1113.49658</v>
      </c>
      <c r="H288" s="271"/>
      <c r="I288" s="224"/>
      <c r="J288" s="270">
        <f>J289+J292+SUM(J295:J298)</f>
        <v>1097.2855979999999</v>
      </c>
      <c r="K288" s="271"/>
      <c r="L288" s="224"/>
      <c r="M288" s="270">
        <f>M289+M292+SUM(M295:M298)</f>
        <v>1645.8805</v>
      </c>
      <c r="N288" s="271"/>
      <c r="O288" s="224"/>
      <c r="P288" s="270">
        <f>P289+P292+SUM(P295:P298)</f>
        <v>5718.824459034483</v>
      </c>
      <c r="Q288" s="271"/>
      <c r="R288" s="364"/>
      <c r="S288" s="261"/>
      <c r="T288" s="261"/>
    </row>
    <row r="289" spans="2:20">
      <c r="B289" s="137" t="str">
        <f>'корпоративный баланс энергии'!H297</f>
        <v>Дягилевская ТЭЦ (Рязанский филиал ПАО "Квадра")</v>
      </c>
      <c r="C289" s="516" t="s">
        <v>364</v>
      </c>
      <c r="D289" s="314">
        <f>SUM(D290:D291)</f>
        <v>318.99</v>
      </c>
      <c r="E289" s="246"/>
      <c r="F289" s="282"/>
      <c r="G289" s="314">
        <f>SUM(G290:G291)</f>
        <v>214.40687999999997</v>
      </c>
      <c r="H289" s="246"/>
      <c r="I289" s="282"/>
      <c r="J289" s="314">
        <f>SUM(J290:J291)</f>
        <v>213.98564799999997</v>
      </c>
      <c r="K289" s="246"/>
      <c r="L289" s="282"/>
      <c r="M289" s="314">
        <f>SUM(M290:M291)</f>
        <v>289.24</v>
      </c>
      <c r="N289" s="246"/>
      <c r="O289" s="282"/>
      <c r="P289" s="314">
        <f>SUM(P290:P291)</f>
        <v>1036.6225280000001</v>
      </c>
      <c r="Q289" s="283"/>
      <c r="R289" s="299"/>
      <c r="S289" s="261"/>
      <c r="T289" s="261"/>
    </row>
    <row r="290" spans="2:20">
      <c r="B290" s="123" t="str">
        <f>'корпоративный баланс энергии'!H298</f>
        <v>Дягилевская ТЭЦ (Рязанский филиал ПАО "Квадра")</v>
      </c>
      <c r="C290" s="490"/>
      <c r="D290" s="281">
        <f>'корпоративный баланс энергии'!J298+'корпоративный баланс энергии'!M298+'корпоративный баланс энергии'!P298</f>
        <v>114.72</v>
      </c>
      <c r="E290" s="246"/>
      <c r="F290" s="282"/>
      <c r="G290" s="244">
        <f>'корпоративный баланс энергии'!S298+'корпоративный баланс энергии'!V298+'корпоративный баланс энергии'!Y298</f>
        <v>24.1</v>
      </c>
      <c r="H290" s="246"/>
      <c r="I290" s="282"/>
      <c r="J290" s="244">
        <f>'корпоративный баланс энергии'!AB298+'корпоративный баланс энергии'!AE298+'корпоративный баланс энергии'!AH298</f>
        <v>42.32</v>
      </c>
      <c r="K290" s="246"/>
      <c r="L290" s="282"/>
      <c r="M290" s="244">
        <f>'корпоративный баланс энергии'!AK298+'корпоративный баланс энергии'!AN298+'корпоративный баланс энергии'!AQ298</f>
        <v>74.539999999999992</v>
      </c>
      <c r="N290" s="246"/>
      <c r="O290" s="282"/>
      <c r="P290" s="244">
        <f>D290+G290+J290+M290</f>
        <v>255.67999999999998</v>
      </c>
      <c r="Q290" s="283"/>
      <c r="R290" s="299"/>
      <c r="S290" s="261"/>
      <c r="T290" s="261"/>
    </row>
    <row r="291" spans="2:20">
      <c r="B291" s="123" t="str">
        <f>'корпоративный баланс энергии'!H299</f>
        <v>Дягилевская ТЭЦ (Рязанский филиал ПАО "Квадра") ПГУ-115 01.12.2015 (31.12.2016)</v>
      </c>
      <c r="C291" s="490"/>
      <c r="D291" s="281">
        <f>'корпоративный баланс энергии'!J299+'корпоративный баланс энергии'!M299+'корпоративный баланс энергии'!P299</f>
        <v>204.27</v>
      </c>
      <c r="E291" s="246"/>
      <c r="F291" s="282"/>
      <c r="G291" s="244">
        <f>'корпоративный баланс энергии'!S299+'корпоративный баланс энергии'!V299+'корпоративный баланс энергии'!Y299</f>
        <v>190.30687999999998</v>
      </c>
      <c r="H291" s="246"/>
      <c r="I291" s="282"/>
      <c r="J291" s="244">
        <f>'корпоративный баланс энергии'!AB299+'корпоративный баланс энергии'!AE299+'корпоративный баланс энергии'!AH299</f>
        <v>171.66564799999998</v>
      </c>
      <c r="K291" s="246"/>
      <c r="L291" s="282"/>
      <c r="M291" s="244">
        <f>'корпоративный баланс энергии'!AK299+'корпоративный баланс энергии'!AN299+'корпоративный баланс энергии'!AQ299</f>
        <v>214.7</v>
      </c>
      <c r="N291" s="246"/>
      <c r="O291" s="282"/>
      <c r="P291" s="244">
        <f>D291+G291+J291+M291</f>
        <v>780.94252800000004</v>
      </c>
      <c r="Q291" s="283"/>
      <c r="R291" s="299"/>
      <c r="S291" s="261"/>
      <c r="T291" s="261"/>
    </row>
    <row r="292" spans="2:20">
      <c r="B292" s="137" t="str">
        <f>'корпоративный баланс энергии'!H300</f>
        <v>Рязанская ГРЭС (филиал ПАО "ОГК-2")</v>
      </c>
      <c r="C292" s="516" t="s">
        <v>364</v>
      </c>
      <c r="D292" s="317">
        <f>D293+D294</f>
        <v>817.3779310344828</v>
      </c>
      <c r="E292" s="246"/>
      <c r="F292" s="282"/>
      <c r="G292" s="317">
        <f>G293+G294</f>
        <v>517.12</v>
      </c>
      <c r="H292" s="246"/>
      <c r="I292" s="282"/>
      <c r="J292" s="317">
        <f>J293+J294</f>
        <v>537.43999999999994</v>
      </c>
      <c r="K292" s="246"/>
      <c r="L292" s="282"/>
      <c r="M292" s="317">
        <f>M293+M294</f>
        <v>673.72</v>
      </c>
      <c r="N292" s="246"/>
      <c r="O292" s="282"/>
      <c r="P292" s="317">
        <f>P293+P294</f>
        <v>2545.6579310344832</v>
      </c>
      <c r="Q292" s="283"/>
      <c r="R292" s="299"/>
      <c r="S292" s="261"/>
      <c r="T292" s="261"/>
    </row>
    <row r="293" spans="2:20">
      <c r="B293" s="123" t="str">
        <f>'корпоративный баланс энергии'!H301</f>
        <v xml:space="preserve">Рязанская ГРЭС (филиал ПАО "ОГК-2") без ДПМ/НВ/ВР </v>
      </c>
      <c r="C293" s="490"/>
      <c r="D293" s="281">
        <f>'корпоративный баланс энергии'!J301+'корпоративный баланс энергии'!M301+'корпоративный баланс энергии'!P301</f>
        <v>730.3779310344828</v>
      </c>
      <c r="E293" s="246"/>
      <c r="F293" s="282"/>
      <c r="G293" s="244">
        <f>'корпоративный баланс энергии'!S301+'корпоративный баланс энергии'!V301+'корпоративный баланс энергии'!Y301</f>
        <v>393.12</v>
      </c>
      <c r="H293" s="246"/>
      <c r="I293" s="282"/>
      <c r="J293" s="244">
        <f>'корпоративный баланс энергии'!AB301+'корпоративный баланс энергии'!AE301+'корпоративный баланс энергии'!AH301</f>
        <v>447.43999999999994</v>
      </c>
      <c r="K293" s="246"/>
      <c r="L293" s="282"/>
      <c r="M293" s="244">
        <f>'корпоративный баланс энергии'!AK301+'корпоративный баланс энергии'!AN301+'корпоративный баланс энергии'!AQ301</f>
        <v>630.72</v>
      </c>
      <c r="N293" s="246"/>
      <c r="O293" s="282"/>
      <c r="P293" s="244">
        <f t="shared" ref="P293:P298" si="18">D293+G293+J293+M293</f>
        <v>2201.6579310344832</v>
      </c>
      <c r="Q293" s="283"/>
      <c r="R293" s="299"/>
      <c r="S293" s="261"/>
      <c r="T293" s="261"/>
    </row>
    <row r="294" spans="2:20">
      <c r="B294" s="123" t="str">
        <f>'корпоративный баланс энергии'!H302</f>
        <v>Рязанская ГРЭС (филиал ПАО "ОГК-2") ПСУ-330 К-330-240 ст.№2 ДПМ НВ 30.11.2015</v>
      </c>
      <c r="C294" s="490"/>
      <c r="D294" s="281">
        <f>'корпоративный баланс энергии'!J302+'корпоративный баланс энергии'!M302+'корпоративный баланс энергии'!P302</f>
        <v>87</v>
      </c>
      <c r="E294" s="246"/>
      <c r="F294" s="282"/>
      <c r="G294" s="244">
        <f>'корпоративный баланс энергии'!S302+'корпоративный баланс энергии'!V302+'корпоративный баланс энергии'!Y302</f>
        <v>124</v>
      </c>
      <c r="H294" s="246"/>
      <c r="I294" s="282"/>
      <c r="J294" s="244">
        <f>'корпоративный баланс энергии'!AB302+'корпоративный баланс энергии'!AE302+'корпоративный баланс энергии'!AH302</f>
        <v>90</v>
      </c>
      <c r="K294" s="246"/>
      <c r="L294" s="282"/>
      <c r="M294" s="244">
        <f>'корпоративный баланс энергии'!AK302+'корпоративный баланс энергии'!AN302+'корпоративный баланс энергии'!AQ302</f>
        <v>43</v>
      </c>
      <c r="N294" s="246"/>
      <c r="O294" s="282"/>
      <c r="P294" s="244">
        <f t="shared" si="18"/>
        <v>344</v>
      </c>
      <c r="Q294" s="283"/>
      <c r="R294" s="299"/>
      <c r="S294" s="261"/>
      <c r="T294" s="261"/>
    </row>
    <row r="295" spans="2:20" ht="15" customHeight="1">
      <c r="B295" s="123" t="str">
        <f>'корпоративный баланс энергии'!H303</f>
        <v>ГРЭС-24 (филиал ПАО "ОГК-2") ПГУ-420</v>
      </c>
      <c r="C295" s="516" t="s">
        <v>364</v>
      </c>
      <c r="D295" s="281">
        <f>'корпоративный баланс энергии'!J303+'корпоративный баланс энергии'!M303+'корпоративный баланс энергии'!P303</f>
        <v>82</v>
      </c>
      <c r="E295" s="246"/>
      <c r="F295" s="282"/>
      <c r="G295" s="244">
        <f>'корпоративный баланс энергии'!S303+'корпоративный баланс энергии'!V303+'корпоративный баланс энергии'!Y303</f>
        <v>56</v>
      </c>
      <c r="H295" s="246"/>
      <c r="I295" s="282"/>
      <c r="J295" s="244">
        <f>'корпоративный баланс энергии'!AB303+'корпоративный баланс энергии'!AE303+'корпоративный баланс энергии'!AH303</f>
        <v>65</v>
      </c>
      <c r="K295" s="246"/>
      <c r="L295" s="282"/>
      <c r="M295" s="244">
        <f>'корпоративный баланс энергии'!AK303+'корпоративный баланс энергии'!AN303+'корпоративный баланс энергии'!AQ303</f>
        <v>65</v>
      </c>
      <c r="N295" s="246"/>
      <c r="O295" s="282"/>
      <c r="P295" s="244">
        <f t="shared" si="18"/>
        <v>268</v>
      </c>
      <c r="Q295" s="283"/>
      <c r="R295" s="299"/>
      <c r="S295" s="261"/>
      <c r="T295" s="261"/>
    </row>
    <row r="296" spans="2:20">
      <c r="B296" s="123" t="str">
        <f>'корпоративный баланс энергии'!H304</f>
        <v>Сасовская ГТ-ТЭЦ (АО "ГТ Энерго")</v>
      </c>
      <c r="C296" s="516" t="s">
        <v>364</v>
      </c>
      <c r="D296" s="281">
        <f>'корпоративный баланс энергии'!J304+'корпоративный баланс энергии'!M304+'корпоративный баланс энергии'!P304</f>
        <v>29.430250000000001</v>
      </c>
      <c r="E296" s="246"/>
      <c r="F296" s="282"/>
      <c r="G296" s="244">
        <f>'корпоративный баланс энергии'!S304+'корпоративный баланс энергии'!V304+'корпоративный баланс энергии'!Y304</f>
        <v>17.263300000000001</v>
      </c>
      <c r="H296" s="246"/>
      <c r="I296" s="282"/>
      <c r="J296" s="244">
        <f>'корпоративный баланс энергии'!AB304+'корпоративный баланс энергии'!AE304+'корпоративный баланс энергии'!AH304</f>
        <v>16.139049999999997</v>
      </c>
      <c r="K296" s="246"/>
      <c r="L296" s="282"/>
      <c r="M296" s="244">
        <f>'корпоративный баланс энергии'!AK304+'корпоративный баланс энергии'!AN304+'корпоративный баланс энергии'!AQ304</f>
        <v>24.284399999999998</v>
      </c>
      <c r="N296" s="246"/>
      <c r="O296" s="282"/>
      <c r="P296" s="244">
        <f t="shared" si="18"/>
        <v>87.11699999999999</v>
      </c>
      <c r="Q296" s="283"/>
      <c r="R296" s="299"/>
      <c r="S296" s="261"/>
      <c r="T296" s="261"/>
    </row>
    <row r="297" spans="2:20">
      <c r="B297" s="123" t="str">
        <f>'корпоративный баланс энергии'!H305</f>
        <v>Касимовская ГТ-ТЭЦ (АО "ГТ Энерго")</v>
      </c>
      <c r="C297" s="516" t="s">
        <v>364</v>
      </c>
      <c r="D297" s="281">
        <f>'корпоративный баланс энергии'!J305+'корпоративный баланс энергии'!M305+'корпоративный баланс энергии'!P305</f>
        <v>24.831600000000002</v>
      </c>
      <c r="E297" s="246"/>
      <c r="F297" s="282"/>
      <c r="G297" s="244">
        <f>'корпоративный баланс энергии'!S305+'корпоративный баланс энергии'!V305+'корпоративный баланс энергии'!Y305</f>
        <v>29.3964</v>
      </c>
      <c r="H297" s="246"/>
      <c r="I297" s="282"/>
      <c r="J297" s="244">
        <f>'корпоративный баланс энергии'!AB305+'корпоративный баланс энергии'!AE305+'корпоративный баланс энергии'!AH305</f>
        <v>30.610900000000001</v>
      </c>
      <c r="K297" s="246"/>
      <c r="L297" s="282"/>
      <c r="M297" s="244">
        <f>'корпоративный баланс энергии'!AK305+'корпоративный баланс энергии'!AN305+'корпоративный баланс энергии'!AQ305</f>
        <v>24.708100000000002</v>
      </c>
      <c r="N297" s="246"/>
      <c r="O297" s="282"/>
      <c r="P297" s="244">
        <f t="shared" si="18"/>
        <v>109.547</v>
      </c>
      <c r="Q297" s="283"/>
      <c r="R297" s="299"/>
      <c r="S297" s="261"/>
      <c r="T297" s="261"/>
    </row>
    <row r="298" spans="2:20">
      <c r="B298" s="123" t="str">
        <f>'корпоративный баланс энергии'!H306</f>
        <v>Ново-Рязанская ТЭЦ (ООО "Новорязанская ТЭЦ")</v>
      </c>
      <c r="C298" s="516" t="s">
        <v>364</v>
      </c>
      <c r="D298" s="281">
        <f>'корпоративный баланс энергии'!J306+'корпоративный баланс энергии'!M306+'корпоративный баланс энергии'!P306</f>
        <v>589.53199999999993</v>
      </c>
      <c r="E298" s="246"/>
      <c r="F298" s="282"/>
      <c r="G298" s="244">
        <f>'корпоративный баланс энергии'!S306+'корпоративный баланс энергии'!V306+'корпоративный баланс энергии'!Y306</f>
        <v>279.31</v>
      </c>
      <c r="H298" s="246"/>
      <c r="I298" s="282"/>
      <c r="J298" s="244">
        <f>'корпоративный баланс энергии'!AB306+'корпоративный баланс энергии'!AE306+'корпоративный баланс энергии'!AH306</f>
        <v>234.11</v>
      </c>
      <c r="K298" s="246"/>
      <c r="L298" s="282"/>
      <c r="M298" s="244">
        <f>'корпоративный баланс энергии'!AK306+'корпоративный баланс энергии'!AN306+'корпоративный баланс энергии'!AQ306</f>
        <v>568.928</v>
      </c>
      <c r="N298" s="246"/>
      <c r="O298" s="282"/>
      <c r="P298" s="244">
        <f t="shared" si="18"/>
        <v>1671.8799999999997</v>
      </c>
      <c r="Q298" s="283"/>
      <c r="R298" s="299"/>
      <c r="S298" s="261"/>
      <c r="T298" s="261"/>
    </row>
    <row r="299" spans="2:20" ht="18.75">
      <c r="B299" s="471" t="str">
        <f>'корпоративный баланс энергии'!H307</f>
        <v>Энергосистема Смоленской области</v>
      </c>
      <c r="C299" s="491"/>
      <c r="D299" s="274">
        <f>D302+D303+D304+D305</f>
        <v>5805.163484083213</v>
      </c>
      <c r="E299" s="275">
        <f>F299-D299</f>
        <v>-4036.5798054714633</v>
      </c>
      <c r="F299" s="276">
        <f>'корпоративный баланс энергии'!L307+'корпоративный баланс энергии'!O307+'корпоративный баланс энергии'!R307</f>
        <v>1768.5836786117497</v>
      </c>
      <c r="G299" s="277">
        <f>G302+G303+G304+G305</f>
        <v>5041.1256605744129</v>
      </c>
      <c r="H299" s="275">
        <f>I299-G299</f>
        <v>-3569.2453297347652</v>
      </c>
      <c r="I299" s="276">
        <f>'корпоративный баланс энергии'!U307+'корпоративный баланс энергии'!X307+'корпоративный баланс энергии'!AA307</f>
        <v>1471.8803308396477</v>
      </c>
      <c r="J299" s="277">
        <f>J302+J303+J304+J305</f>
        <v>4805.6982399999997</v>
      </c>
      <c r="K299" s="275">
        <f>L299-J299</f>
        <v>-3371.4627838284168</v>
      </c>
      <c r="L299" s="276">
        <f>'корпоративный баланс энергии'!AD307+'корпоративный баланс энергии'!AG307+'корпоративный баланс энергии'!AJ307</f>
        <v>1434.2354561715831</v>
      </c>
      <c r="M299" s="277">
        <f>M302+M303+M304+M305</f>
        <v>5406.3395953025456</v>
      </c>
      <c r="N299" s="275">
        <f>O299-M299</f>
        <v>-3703.662060925526</v>
      </c>
      <c r="O299" s="276">
        <f>'корпоративный баланс энергии'!AM307+'корпоративный баланс энергии'!AP307+'корпоративный баланс энергии'!AS307</f>
        <v>1702.6775343770196</v>
      </c>
      <c r="P299" s="277">
        <f>P302+P303+P304+P305</f>
        <v>21058.326979960173</v>
      </c>
      <c r="Q299" s="275">
        <f>R299-P299</f>
        <v>-14680.949979960173</v>
      </c>
      <c r="R299" s="276">
        <f>F299+I299+L299+O299</f>
        <v>6377.3770000000004</v>
      </c>
      <c r="S299" s="261"/>
      <c r="T299" s="261"/>
    </row>
    <row r="300" spans="2:20">
      <c r="B300" s="10" t="s">
        <v>173</v>
      </c>
      <c r="C300" s="483"/>
      <c r="D300" s="270">
        <f>SUM(D303:D305)</f>
        <v>807.16348408321232</v>
      </c>
      <c r="E300" s="271"/>
      <c r="F300" s="224"/>
      <c r="G300" s="223">
        <f>SUM(G303:G305)</f>
        <v>656.12566057441256</v>
      </c>
      <c r="H300" s="271"/>
      <c r="I300" s="224"/>
      <c r="J300" s="223">
        <f>SUM(J303:J305)</f>
        <v>489.69824000000006</v>
      </c>
      <c r="K300" s="271"/>
      <c r="L300" s="224"/>
      <c r="M300" s="223">
        <f>SUM(M303:M305)</f>
        <v>845.33959530254549</v>
      </c>
      <c r="N300" s="271"/>
      <c r="O300" s="224"/>
      <c r="P300" s="223">
        <f>SUM(P303:P305)</f>
        <v>2798.3269799601703</v>
      </c>
      <c r="Q300" s="271"/>
      <c r="R300" s="364"/>
      <c r="S300" s="261"/>
      <c r="T300" s="261"/>
    </row>
    <row r="301" spans="2:20">
      <c r="B301" s="10" t="s">
        <v>176</v>
      </c>
      <c r="C301" s="483"/>
      <c r="D301" s="270">
        <f>D302</f>
        <v>4998</v>
      </c>
      <c r="E301" s="271"/>
      <c r="F301" s="224"/>
      <c r="G301" s="223">
        <f>G302</f>
        <v>4385</v>
      </c>
      <c r="H301" s="271"/>
      <c r="I301" s="224"/>
      <c r="J301" s="223">
        <f>J302</f>
        <v>4316</v>
      </c>
      <c r="K301" s="271"/>
      <c r="L301" s="224"/>
      <c r="M301" s="223">
        <f>M302</f>
        <v>4561</v>
      </c>
      <c r="N301" s="271"/>
      <c r="O301" s="224"/>
      <c r="P301" s="223">
        <f>P302</f>
        <v>18260</v>
      </c>
      <c r="Q301" s="271"/>
      <c r="R301" s="364"/>
      <c r="S301" s="261"/>
      <c r="T301" s="261"/>
    </row>
    <row r="302" spans="2:20">
      <c r="B302" s="123" t="str">
        <f>'корпоративный баланс энергии'!H310</f>
        <v>Смоленская АЭС (филиал АО "Концерн Росэнергоатом")</v>
      </c>
      <c r="C302" s="516" t="s">
        <v>364</v>
      </c>
      <c r="D302" s="281">
        <f>'корпоративный баланс энергии'!J310+'корпоративный баланс энергии'!M310+'корпоративный баланс энергии'!P310</f>
        <v>4998</v>
      </c>
      <c r="E302" s="246"/>
      <c r="F302" s="282"/>
      <c r="G302" s="244">
        <f>'корпоративный баланс энергии'!S310+'корпоративный баланс энергии'!V310+'корпоративный баланс энергии'!Y310</f>
        <v>4385</v>
      </c>
      <c r="H302" s="246"/>
      <c r="I302" s="282"/>
      <c r="J302" s="244">
        <f>'корпоративный баланс энергии'!AB310+'корпоративный баланс энергии'!AE310+'корпоративный баланс энергии'!AH310</f>
        <v>4316</v>
      </c>
      <c r="K302" s="246"/>
      <c r="L302" s="282"/>
      <c r="M302" s="244">
        <f>'корпоративный баланс энергии'!AK310+'корпоративный баланс энергии'!AN310+'корпоративный баланс энергии'!AQ310</f>
        <v>4561</v>
      </c>
      <c r="N302" s="246"/>
      <c r="O302" s="282"/>
      <c r="P302" s="244">
        <f>D302+G302+J302+M302</f>
        <v>18260</v>
      </c>
      <c r="Q302" s="283"/>
      <c r="R302" s="299"/>
      <c r="S302" s="261"/>
      <c r="T302" s="261"/>
    </row>
    <row r="303" spans="2:20">
      <c r="B303" s="123" t="str">
        <f>'корпоративный баланс энергии'!H311</f>
        <v>Смоленская ГРЭС (филиал ПАО "Юнипро")</v>
      </c>
      <c r="C303" s="516" t="s">
        <v>364</v>
      </c>
      <c r="D303" s="281">
        <f>'корпоративный баланс энергии'!J311+'корпоративный баланс энергии'!M311+'корпоративный баланс энергии'!P311</f>
        <v>324</v>
      </c>
      <c r="E303" s="246"/>
      <c r="F303" s="282"/>
      <c r="G303" s="244">
        <f>'корпоративный баланс энергии'!S311+'корпоративный баланс энергии'!V311+'корпоративный баланс энергии'!Y311</f>
        <v>450</v>
      </c>
      <c r="H303" s="246"/>
      <c r="I303" s="282"/>
      <c r="J303" s="244">
        <f>'корпоративный баланс энергии'!AB311+'корпоративный баланс энергии'!AE311+'корпоративный баланс энергии'!AH311</f>
        <v>366</v>
      </c>
      <c r="K303" s="246"/>
      <c r="L303" s="282"/>
      <c r="M303" s="244">
        <f>'корпоративный баланс энергии'!AK311+'корпоративный баланс энергии'!AN311+'корпоративный баланс энергии'!AQ311</f>
        <v>425</v>
      </c>
      <c r="N303" s="246"/>
      <c r="O303" s="282"/>
      <c r="P303" s="244">
        <f>D303+G303+J303+M303</f>
        <v>1565</v>
      </c>
      <c r="Q303" s="283"/>
      <c r="R303" s="299"/>
      <c r="S303" s="261"/>
      <c r="T303" s="261"/>
    </row>
    <row r="304" spans="2:20">
      <c r="B304" s="123" t="str">
        <f>'корпоративный баланс энергии'!H312</f>
        <v>Дорогобужская ТЭЦ (ООО "Дорогобужская ТЭЦ")</v>
      </c>
      <c r="C304" s="516" t="s">
        <v>364</v>
      </c>
      <c r="D304" s="281">
        <f>'корпоративный баланс энергии'!J312+'корпоративный баланс энергии'!M312+'корпоративный баланс энергии'!P312</f>
        <v>66.099484083212388</v>
      </c>
      <c r="E304" s="246"/>
      <c r="F304" s="282"/>
      <c r="G304" s="244">
        <f>'корпоративный баланс энергии'!S312+'корпоративный баланс энергии'!V312+'корпоративный баланс энергии'!Y312</f>
        <v>24.405660574412533</v>
      </c>
      <c r="H304" s="246"/>
      <c r="I304" s="282"/>
      <c r="J304" s="244">
        <f>'корпоративный баланс энергии'!AB312+'корпоративный баланс энергии'!AE312+'корпоративный баланс энергии'!AH312</f>
        <v>13.29824</v>
      </c>
      <c r="K304" s="246"/>
      <c r="L304" s="282"/>
      <c r="M304" s="244">
        <f>'корпоративный баланс энергии'!AK312+'корпоративный баланс энергии'!AN312+'корпоративный баланс энергии'!AQ312</f>
        <v>60.339595302545504</v>
      </c>
      <c r="N304" s="246"/>
      <c r="O304" s="282"/>
      <c r="P304" s="244">
        <f>D304+G304+J304+M304</f>
        <v>164.14297996017041</v>
      </c>
      <c r="Q304" s="283"/>
      <c r="R304" s="299"/>
      <c r="S304" s="261"/>
      <c r="T304" s="261"/>
    </row>
    <row r="305" spans="2:20">
      <c r="B305" s="123" t="str">
        <f>'корпоративный баланс энергии'!H313</f>
        <v>Смоленская ТЭЦ-2 (Смоленский филиал ПАО "Квадра")</v>
      </c>
      <c r="C305" s="516" t="s">
        <v>364</v>
      </c>
      <c r="D305" s="281">
        <f>'корпоративный баланс энергии'!J313+'корпоративный баланс энергии'!M313+'корпоративный баланс энергии'!P313</f>
        <v>417.06399999999996</v>
      </c>
      <c r="E305" s="246"/>
      <c r="F305" s="282"/>
      <c r="G305" s="244">
        <f>'корпоративный баланс энергии'!S313+'корпоративный баланс энергии'!V313+'корпоративный баланс энергии'!Y313</f>
        <v>181.72</v>
      </c>
      <c r="H305" s="246"/>
      <c r="I305" s="282"/>
      <c r="J305" s="244">
        <f>'корпоративный баланс энергии'!AB313+'корпоративный баланс энергии'!AE313+'корпоративный баланс энергии'!AH313</f>
        <v>110.4</v>
      </c>
      <c r="K305" s="246"/>
      <c r="L305" s="282"/>
      <c r="M305" s="244">
        <f>'корпоративный баланс энергии'!AK313+'корпоративный баланс энергии'!AN313+'корпоративный баланс энергии'!AQ313</f>
        <v>360</v>
      </c>
      <c r="N305" s="246"/>
      <c r="O305" s="282"/>
      <c r="P305" s="244">
        <f>D305+G305+J305+M305</f>
        <v>1069.184</v>
      </c>
      <c r="Q305" s="283"/>
      <c r="R305" s="299"/>
      <c r="S305" s="261"/>
      <c r="T305" s="261"/>
    </row>
    <row r="306" spans="2:20" ht="18.75">
      <c r="B306" s="470" t="str">
        <f>'корпоративный баланс энергии'!H314</f>
        <v>Энергосистема Тамбовской области</v>
      </c>
      <c r="C306" s="485"/>
      <c r="D306" s="274">
        <f>D309+D310+D311</f>
        <v>394.11459999999994</v>
      </c>
      <c r="E306" s="275">
        <f>F306-D306</f>
        <v>585.62989033197505</v>
      </c>
      <c r="F306" s="276">
        <f>'корпоративный баланс энергии'!L314+'корпоративный баланс энергии'!O314+'корпоративный баланс энергии'!R314</f>
        <v>979.74449033197493</v>
      </c>
      <c r="G306" s="274">
        <f>G309+G310+G311</f>
        <v>189.47114999999999</v>
      </c>
      <c r="H306" s="275">
        <f>I306-G306</f>
        <v>592.45710636451327</v>
      </c>
      <c r="I306" s="276">
        <f>'корпоративный баланс энергии'!U314+'корпоративный баланс энергии'!X314+'корпоративный баланс энергии'!AA314</f>
        <v>781.92825636451323</v>
      </c>
      <c r="J306" s="274">
        <f>J309+J310+J311</f>
        <v>90.31416200000001</v>
      </c>
      <c r="K306" s="275">
        <f>L306-J306</f>
        <v>690.35325791617367</v>
      </c>
      <c r="L306" s="276">
        <f>'корпоративный баланс энергии'!AD314+'корпоративный баланс энергии'!AG314+'корпоративный баланс энергии'!AJ314</f>
        <v>780.66741991617369</v>
      </c>
      <c r="M306" s="274">
        <f>M309+M310+M311</f>
        <v>346.05319999999995</v>
      </c>
      <c r="N306" s="275">
        <f>O306-M306</f>
        <v>667.60663338733809</v>
      </c>
      <c r="O306" s="276">
        <f>'корпоративный баланс энергии'!AM314+'корпоративный баланс энергии'!AP314+'корпоративный баланс энергии'!AS314</f>
        <v>1013.659833387338</v>
      </c>
      <c r="P306" s="274">
        <f>P309+P310+P311</f>
        <v>1019.9531119999998</v>
      </c>
      <c r="Q306" s="275">
        <f>R306-P306</f>
        <v>2536.0468880000003</v>
      </c>
      <c r="R306" s="276">
        <f>F306+I306+L306+O306</f>
        <v>3556</v>
      </c>
      <c r="S306" s="261"/>
      <c r="T306" s="261"/>
    </row>
    <row r="307" spans="2:20">
      <c r="B307" s="10" t="s">
        <v>173</v>
      </c>
      <c r="C307" s="492"/>
      <c r="D307" s="270">
        <f>SUM(D309:D310)</f>
        <v>380.46459999999996</v>
      </c>
      <c r="E307" s="271"/>
      <c r="F307" s="224"/>
      <c r="G307" s="223">
        <f>SUM(G309:G310)</f>
        <v>179.39714999999998</v>
      </c>
      <c r="H307" s="271"/>
      <c r="I307" s="224"/>
      <c r="J307" s="223">
        <f>SUM(J309:J310)</f>
        <v>69.226162000000002</v>
      </c>
      <c r="K307" s="271"/>
      <c r="L307" s="224"/>
      <c r="M307" s="223">
        <f>SUM(M309:M310)</f>
        <v>300.75319999999994</v>
      </c>
      <c r="N307" s="271"/>
      <c r="O307" s="224"/>
      <c r="P307" s="223">
        <f>SUM(P309:P310)</f>
        <v>929.84111199999984</v>
      </c>
      <c r="Q307" s="271"/>
      <c r="R307" s="364"/>
      <c r="S307" s="261"/>
      <c r="T307" s="261"/>
    </row>
    <row r="308" spans="2:20" ht="15" customHeight="1">
      <c r="B308" s="10" t="s">
        <v>99</v>
      </c>
      <c r="C308" s="492"/>
      <c r="D308" s="270">
        <f>D311</f>
        <v>13.649999999999999</v>
      </c>
      <c r="E308" s="271"/>
      <c r="F308" s="224"/>
      <c r="G308" s="223">
        <f>G311</f>
        <v>10.074</v>
      </c>
      <c r="H308" s="271"/>
      <c r="I308" s="224"/>
      <c r="J308" s="223">
        <f>J311</f>
        <v>21.088000000000001</v>
      </c>
      <c r="K308" s="271"/>
      <c r="L308" s="224"/>
      <c r="M308" s="223">
        <f>M311</f>
        <v>45.3</v>
      </c>
      <c r="N308" s="271"/>
      <c r="O308" s="224"/>
      <c r="P308" s="223">
        <f>P311</f>
        <v>90.111999999999995</v>
      </c>
      <c r="Q308" s="271"/>
      <c r="R308" s="364"/>
      <c r="S308" s="261"/>
      <c r="T308" s="261"/>
    </row>
    <row r="309" spans="2:20">
      <c r="B309" s="123" t="str">
        <f>'корпоративный баланс энергии'!H317</f>
        <v>Тамбовская ТЭЦ (Восточный филиал Тамбовский район ПАО "Квадра")</v>
      </c>
      <c r="C309" s="516" t="s">
        <v>364</v>
      </c>
      <c r="D309" s="281">
        <f>'корпоративный баланс энергии'!J317+'корпоративный баланс энергии'!M317+'корпоративный баланс энергии'!P317</f>
        <v>344.88799999999998</v>
      </c>
      <c r="E309" s="246"/>
      <c r="F309" s="282"/>
      <c r="G309" s="244">
        <f>'корпоративный баланс энергии'!S317+'корпоративный баланс энергии'!V317+'корпоративный баланс энергии'!Y317</f>
        <v>167.76</v>
      </c>
      <c r="H309" s="246"/>
      <c r="I309" s="282"/>
      <c r="J309" s="244">
        <f>'корпоративный баланс энергии'!AB317+'корпоративный баланс энергии'!AE317+'корпоративный баланс энергии'!AH317</f>
        <v>60.575962000000004</v>
      </c>
      <c r="K309" s="246"/>
      <c r="L309" s="282"/>
      <c r="M309" s="244">
        <f>'корпоративный баланс энергии'!AK317+'корпоративный баланс энергии'!AN317+'корпоративный баланс энергии'!AQ317</f>
        <v>275.91999999999996</v>
      </c>
      <c r="N309" s="246"/>
      <c r="O309" s="282"/>
      <c r="P309" s="244">
        <f>D309+G309+J309+M309</f>
        <v>849.14396199999987</v>
      </c>
      <c r="Q309" s="283"/>
      <c r="R309" s="299"/>
      <c r="S309" s="261"/>
      <c r="T309" s="261"/>
    </row>
    <row r="310" spans="2:20">
      <c r="B310" s="123" t="str">
        <f>'корпоративный баланс энергии'!H318</f>
        <v>Тамбовская ГТ-ТЭЦ (АО "ГТ Энерго")</v>
      </c>
      <c r="C310" s="516" t="s">
        <v>364</v>
      </c>
      <c r="D310" s="281">
        <f>'корпоративный баланс энергии'!J318+'корпоративный баланс энергии'!M318+'корпоративный баланс энергии'!P318</f>
        <v>35.576599999999999</v>
      </c>
      <c r="E310" s="246"/>
      <c r="F310" s="282"/>
      <c r="G310" s="244">
        <f>'корпоративный баланс энергии'!S318+'корпоративный баланс энергии'!V318+'корпоративный баланс энергии'!Y318</f>
        <v>11.63715</v>
      </c>
      <c r="H310" s="246"/>
      <c r="I310" s="282"/>
      <c r="J310" s="244">
        <f>'корпоративный баланс энергии'!AB318+'корпоративный баланс энергии'!AE318+'корпоративный баланс энергии'!AH318</f>
        <v>8.6501999999999999</v>
      </c>
      <c r="K310" s="246"/>
      <c r="L310" s="282"/>
      <c r="M310" s="244">
        <f>'корпоративный баланс энергии'!AK318+'корпоративный баланс энергии'!AN318+'корпоративный баланс энергии'!AQ318</f>
        <v>24.833200000000001</v>
      </c>
      <c r="N310" s="246"/>
      <c r="O310" s="282"/>
      <c r="P310" s="244">
        <f>D310+G310+J310+M310</f>
        <v>80.697149999999993</v>
      </c>
      <c r="Q310" s="283"/>
      <c r="R310" s="299"/>
      <c r="S310" s="261"/>
      <c r="T310" s="261"/>
    </row>
    <row r="311" spans="2:20">
      <c r="B311" s="135" t="s">
        <v>370</v>
      </c>
      <c r="C311" s="515" t="s">
        <v>365</v>
      </c>
      <c r="D311" s="293">
        <f>'корпоративный баланс энергии'!J320+'корпоративный баланс энергии'!M320+'корпоративный баланс энергии'!P320</f>
        <v>13.649999999999999</v>
      </c>
      <c r="E311" s="288"/>
      <c r="F311" s="289"/>
      <c r="G311" s="294">
        <f>'корпоративный баланс энергии'!S320+'корпоративный баланс энергии'!V320+'корпоративный баланс энергии'!Y320</f>
        <v>10.074</v>
      </c>
      <c r="H311" s="288"/>
      <c r="I311" s="289"/>
      <c r="J311" s="294">
        <f>'корпоративный баланс энергии'!AB320+'корпоративный баланс энергии'!AE320+'корпоративный баланс энергии'!AH320</f>
        <v>21.088000000000001</v>
      </c>
      <c r="K311" s="288"/>
      <c r="L311" s="289"/>
      <c r="M311" s="294">
        <f>'корпоративный баланс энергии'!AK320+'корпоративный баланс энергии'!AN320+'корпоративный баланс энергии'!AQ320</f>
        <v>45.3</v>
      </c>
      <c r="N311" s="288"/>
      <c r="O311" s="289"/>
      <c r="P311" s="294">
        <f>D311+G311+J311+M311</f>
        <v>90.111999999999995</v>
      </c>
      <c r="Q311" s="288"/>
      <c r="R311" s="289"/>
      <c r="S311" s="261"/>
      <c r="T311" s="261"/>
    </row>
    <row r="312" spans="2:20" s="6" customFormat="1" ht="18.75">
      <c r="B312" s="470" t="str">
        <f>'корпоративный баланс энергии'!H321</f>
        <v>Энергосистема Тверской области</v>
      </c>
      <c r="C312" s="485"/>
      <c r="D312" s="274">
        <f>SUM(D313:D315)</f>
        <v>8888.2649000000001</v>
      </c>
      <c r="E312" s="275">
        <f>F312-D312</f>
        <v>-6483.884726700966</v>
      </c>
      <c r="F312" s="276">
        <f>'корпоративный баланс энергии'!L321+'корпоративный баланс энергии'!O321+'корпоративный баланс энергии'!R321</f>
        <v>2404.3801732990346</v>
      </c>
      <c r="G312" s="274">
        <f>SUM(G313:G315)</f>
        <v>8009.4501999999993</v>
      </c>
      <c r="H312" s="275">
        <f>I312-G312</f>
        <v>-6078.1237798650418</v>
      </c>
      <c r="I312" s="276">
        <f>'корпоративный баланс энергии'!U321+'корпоративный баланс энергии'!X321+'корпоративный баланс энергии'!AA321</f>
        <v>1931.3264201349575</v>
      </c>
      <c r="J312" s="274">
        <f>SUM(J313:J315)</f>
        <v>8900.66</v>
      </c>
      <c r="K312" s="275">
        <f>L312-J312</f>
        <v>-6998.9133883270524</v>
      </c>
      <c r="L312" s="276">
        <f>'корпоративный баланс энергии'!AD321+'корпоративный баланс энергии'!AG321+'корпоративный баланс энергии'!AJ321</f>
        <v>1901.7466116729472</v>
      </c>
      <c r="M312" s="274">
        <f>SUM(M313:M315)</f>
        <v>11197.72602</v>
      </c>
      <c r="N312" s="275">
        <f>O312-M312</f>
        <v>-8832.1792251069401</v>
      </c>
      <c r="O312" s="276">
        <f>'корпоративный баланс энергии'!AM321+'корпоративный баланс энергии'!AP321+'корпоративный баланс энергии'!AS321</f>
        <v>2365.5467948930595</v>
      </c>
      <c r="P312" s="274">
        <f>SUM(P313:P315)</f>
        <v>36996.101119999999</v>
      </c>
      <c r="Q312" s="275">
        <f>R312-P312</f>
        <v>-28393.101119999999</v>
      </c>
      <c r="R312" s="276">
        <f>F312+I312+L312+O312</f>
        <v>8602.9999999999982</v>
      </c>
      <c r="S312" s="322"/>
      <c r="T312" s="322"/>
    </row>
    <row r="313" spans="2:20" s="6" customFormat="1">
      <c r="B313" s="10" t="s">
        <v>173</v>
      </c>
      <c r="C313" s="483"/>
      <c r="D313" s="270">
        <f>SUM(D319:D323)</f>
        <v>2211.6298999999999</v>
      </c>
      <c r="E313" s="271"/>
      <c r="F313" s="224"/>
      <c r="G313" s="270">
        <f>SUM(G319:G323)</f>
        <v>1613.8401999999999</v>
      </c>
      <c r="H313" s="271"/>
      <c r="I313" s="224"/>
      <c r="J313" s="270">
        <f>SUM(J319:J323)</f>
        <v>2395.15</v>
      </c>
      <c r="K313" s="271"/>
      <c r="L313" s="224"/>
      <c r="M313" s="270">
        <f>SUM(M319:M323)</f>
        <v>2196.3360200000002</v>
      </c>
      <c r="N313" s="271"/>
      <c r="O313" s="224"/>
      <c r="P313" s="270">
        <f>SUM(P319:P323)</f>
        <v>8416.9561200000007</v>
      </c>
      <c r="Q313" s="271"/>
      <c r="R313" s="364"/>
      <c r="S313" s="322"/>
      <c r="T313" s="322"/>
    </row>
    <row r="314" spans="2:20" s="6" customFormat="1">
      <c r="B314" s="10" t="s">
        <v>177</v>
      </c>
      <c r="C314" s="483"/>
      <c r="D314" s="270">
        <f>D324+D325</f>
        <v>1.6350000000000002</v>
      </c>
      <c r="E314" s="271"/>
      <c r="F314" s="224"/>
      <c r="G314" s="270">
        <f>G324+G325</f>
        <v>2.6100000000000003</v>
      </c>
      <c r="H314" s="271"/>
      <c r="I314" s="224"/>
      <c r="J314" s="270">
        <f>J324+J325</f>
        <v>2.5099999999999998</v>
      </c>
      <c r="K314" s="271"/>
      <c r="L314" s="224"/>
      <c r="M314" s="270">
        <f>M324+M325</f>
        <v>2.39</v>
      </c>
      <c r="N314" s="271"/>
      <c r="O314" s="224"/>
      <c r="P314" s="270">
        <f>P324+P325</f>
        <v>9.1450000000000014</v>
      </c>
      <c r="Q314" s="271"/>
      <c r="R314" s="364"/>
      <c r="S314" s="322"/>
      <c r="T314" s="322"/>
    </row>
    <row r="315" spans="2:20" s="6" customFormat="1">
      <c r="B315" s="10" t="s">
        <v>98</v>
      </c>
      <c r="C315" s="483"/>
      <c r="D315" s="270">
        <f>D316</f>
        <v>6675</v>
      </c>
      <c r="E315" s="271"/>
      <c r="F315" s="224"/>
      <c r="G315" s="270">
        <f>G316</f>
        <v>6393</v>
      </c>
      <c r="H315" s="271"/>
      <c r="I315" s="224"/>
      <c r="J315" s="270">
        <f>J316</f>
        <v>6503</v>
      </c>
      <c r="K315" s="271"/>
      <c r="L315" s="224"/>
      <c r="M315" s="270">
        <f>M316</f>
        <v>8999</v>
      </c>
      <c r="N315" s="271"/>
      <c r="O315" s="224"/>
      <c r="P315" s="270">
        <f>P316</f>
        <v>28570</v>
      </c>
      <c r="Q315" s="271"/>
      <c r="R315" s="364"/>
      <c r="S315" s="322"/>
      <c r="T315" s="322"/>
    </row>
    <row r="316" spans="2:20" s="6" customFormat="1">
      <c r="B316" s="137" t="str">
        <f>'корпоративный баланс энергии'!H325</f>
        <v>Калининская АЭС (филиал АО "Концерн Росэнергоатом")</v>
      </c>
      <c r="C316" s="516" t="s">
        <v>364</v>
      </c>
      <c r="D316" s="314">
        <f>SUM(D317:D318)</f>
        <v>6675</v>
      </c>
      <c r="E316" s="283"/>
      <c r="F316" s="299"/>
      <c r="G316" s="314">
        <f>SUM(G317:G318)</f>
        <v>6393</v>
      </c>
      <c r="H316" s="283"/>
      <c r="I316" s="299"/>
      <c r="J316" s="314">
        <f>SUM(J317:J318)</f>
        <v>6503</v>
      </c>
      <c r="K316" s="283"/>
      <c r="L316" s="299"/>
      <c r="M316" s="314">
        <f>SUM(M317:M318)</f>
        <v>8999</v>
      </c>
      <c r="N316" s="283"/>
      <c r="O316" s="299"/>
      <c r="P316" s="314">
        <f>SUM(P317:P318)</f>
        <v>28570</v>
      </c>
      <c r="Q316" s="283"/>
      <c r="R316" s="299"/>
      <c r="S316" s="322"/>
      <c r="T316" s="322"/>
    </row>
    <row r="317" spans="2:20" s="6" customFormat="1">
      <c r="B317" s="123" t="str">
        <f>'корпоративный баланс энергии'!H326</f>
        <v>Калининская АЭС (филиал АО "Концерн Росэнергоатом")</v>
      </c>
      <c r="C317" s="490"/>
      <c r="D317" s="281">
        <f>'корпоративный баланс энергии'!J326+'корпоративный баланс энергии'!M326+'корпоративный баланс энергии'!P326</f>
        <v>4448</v>
      </c>
      <c r="E317" s="246"/>
      <c r="F317" s="282"/>
      <c r="G317" s="244">
        <f>'корпоративный баланс энергии'!S326+'корпоративный баланс энергии'!V326+'корпоративный баланс энергии'!Y326</f>
        <v>4424</v>
      </c>
      <c r="H317" s="246"/>
      <c r="I317" s="282"/>
      <c r="J317" s="244">
        <f>'корпоративный баланс энергии'!AB326+'корпоративный баланс энергии'!AE326+'корпоративный баланс энергии'!AH326</f>
        <v>5371</v>
      </c>
      <c r="K317" s="246"/>
      <c r="L317" s="282"/>
      <c r="M317" s="244">
        <f>'корпоративный баланс энергии'!AK326+'корпоративный баланс энергии'!AN326+'корпоративный баланс энергии'!AQ326</f>
        <v>6747</v>
      </c>
      <c r="N317" s="246"/>
      <c r="O317" s="282"/>
      <c r="P317" s="244">
        <f t="shared" ref="P317:P325" si="19">D317+G317+J317+M317</f>
        <v>20990</v>
      </c>
      <c r="Q317" s="283"/>
      <c r="R317" s="299"/>
      <c r="S317" s="322"/>
      <c r="T317" s="322"/>
    </row>
    <row r="318" spans="2:20" s="6" customFormat="1">
      <c r="B318" s="123" t="str">
        <f>'корпоративный баланс энергии'!H327</f>
        <v>Калининская АЭС (филиал АО "Концерн Росэнергоатом") блок № 4, НВ</v>
      </c>
      <c r="C318" s="490"/>
      <c r="D318" s="281">
        <f>'корпоративный баланс энергии'!J327+'корпоративный баланс энергии'!M327+'корпоративный баланс энергии'!P327</f>
        <v>2227</v>
      </c>
      <c r="E318" s="246"/>
      <c r="F318" s="282"/>
      <c r="G318" s="244">
        <f>'корпоративный баланс энергии'!S327+'корпоративный баланс энергии'!V327+'корпоративный баланс энергии'!Y327</f>
        <v>1969</v>
      </c>
      <c r="H318" s="246"/>
      <c r="I318" s="282"/>
      <c r="J318" s="244">
        <f>'корпоративный баланс энергии'!AB327+'корпоративный баланс энергии'!AE327+'корпоративный баланс энергии'!AH327</f>
        <v>1132</v>
      </c>
      <c r="K318" s="246"/>
      <c r="L318" s="282"/>
      <c r="M318" s="244">
        <f>'корпоративный баланс энергии'!AK327+'корпоративный баланс энергии'!AN327+'корпоративный баланс энергии'!AQ327</f>
        <v>2252</v>
      </c>
      <c r="N318" s="246"/>
      <c r="O318" s="282"/>
      <c r="P318" s="244">
        <f t="shared" si="19"/>
        <v>7580</v>
      </c>
      <c r="Q318" s="283"/>
      <c r="R318" s="299"/>
      <c r="S318" s="322"/>
      <c r="T318" s="322"/>
    </row>
    <row r="319" spans="2:20" s="6" customFormat="1">
      <c r="B319" s="123" t="str">
        <f>'корпоративный баланс энергии'!H328</f>
        <v>Конаковская ГРЭС (филиал ПАО "Энел Россия")</v>
      </c>
      <c r="C319" s="516" t="s">
        <v>364</v>
      </c>
      <c r="D319" s="281">
        <f>'корпоративный баланс энергии'!J328+'корпоративный баланс энергии'!M328+'корпоративный баланс энергии'!P328</f>
        <v>1755.12</v>
      </c>
      <c r="E319" s="246"/>
      <c r="F319" s="282"/>
      <c r="G319" s="244">
        <f>'корпоративный баланс энергии'!S328+'корпоративный баланс энергии'!V328+'корпоративный баланс энергии'!Y328</f>
        <v>1403.681</v>
      </c>
      <c r="H319" s="246"/>
      <c r="I319" s="282"/>
      <c r="J319" s="244">
        <f>'корпоративный баланс энергии'!AB328+'корпоративный баланс энергии'!AE328+'корпоративный баланс энергии'!AH328</f>
        <v>2252.84</v>
      </c>
      <c r="K319" s="246"/>
      <c r="L319" s="282"/>
      <c r="M319" s="244">
        <f>'корпоративный баланс энергии'!AK328+'корпоративный баланс энергии'!AN328+'корпоративный баланс энергии'!AQ328</f>
        <v>1819.72</v>
      </c>
      <c r="N319" s="246"/>
      <c r="O319" s="282"/>
      <c r="P319" s="244">
        <f t="shared" si="19"/>
        <v>7231.3609999999999</v>
      </c>
      <c r="Q319" s="283"/>
      <c r="R319" s="299"/>
      <c r="S319" s="322"/>
      <c r="T319" s="322"/>
    </row>
    <row r="320" spans="2:20" s="6" customFormat="1">
      <c r="B320" s="123" t="str">
        <f>'корпоративный баланс энергии'!H329</f>
        <v>Тверская ТЭЦ3 (ООО "Тверская генерация")</v>
      </c>
      <c r="C320" s="516" t="s">
        <v>364</v>
      </c>
      <c r="D320" s="281">
        <f>'корпоративный баланс энергии'!J329+'корпоративный баланс энергии'!M329+'корпоративный баланс энергии'!P329</f>
        <v>285.60000000000002</v>
      </c>
      <c r="E320" s="246"/>
      <c r="F320" s="282"/>
      <c r="G320" s="244">
        <f>'корпоративный баланс энергии'!S329+'корпоративный баланс энергии'!V329+'корпоративный баланс энергии'!Y329</f>
        <v>136.6</v>
      </c>
      <c r="H320" s="246"/>
      <c r="I320" s="282"/>
      <c r="J320" s="244">
        <f>'корпоративный баланс энергии'!AB329+'корпоративный баланс энергии'!AE329+'корпоративный баланс энергии'!AH329</f>
        <v>104.6</v>
      </c>
      <c r="K320" s="246"/>
      <c r="L320" s="282"/>
      <c r="M320" s="244">
        <f>'корпоративный баланс энергии'!AK329+'корпоративный баланс энергии'!AN329+'корпоративный баланс энергии'!AQ329</f>
        <v>238.45</v>
      </c>
      <c r="N320" s="246"/>
      <c r="O320" s="282"/>
      <c r="P320" s="244">
        <f t="shared" si="19"/>
        <v>765.25</v>
      </c>
      <c r="Q320" s="283"/>
      <c r="R320" s="299"/>
      <c r="S320" s="322"/>
      <c r="T320" s="322"/>
    </row>
    <row r="321" spans="2:20" s="6" customFormat="1">
      <c r="B321" s="123" t="str">
        <f>'корпоративный баланс энергии'!H330</f>
        <v>Тверская ТЭЦ4 (ООО "Тверская генерация")</v>
      </c>
      <c r="C321" s="516" t="s">
        <v>364</v>
      </c>
      <c r="D321" s="281">
        <f>'корпоративный баланс энергии'!J330+'корпоративный баланс энергии'!M330+'корпоративный баланс энергии'!P330</f>
        <v>147.24</v>
      </c>
      <c r="E321" s="246"/>
      <c r="F321" s="282"/>
      <c r="G321" s="244">
        <f>'корпоративный баланс энергии'!S330+'корпоративный баланс энергии'!V330+'корпоративный баланс энергии'!Y330</f>
        <v>66.789999999999992</v>
      </c>
      <c r="H321" s="246"/>
      <c r="I321" s="282"/>
      <c r="J321" s="244">
        <f>'корпоративный баланс энергии'!AB330+'корпоративный баланс энергии'!AE330+'корпоративный баланс энергии'!AH330</f>
        <v>37.71</v>
      </c>
      <c r="K321" s="246"/>
      <c r="L321" s="282"/>
      <c r="M321" s="244">
        <f>'корпоративный баланс энергии'!AK330+'корпоративный баланс энергии'!AN330+'корпоративный баланс энергии'!AQ330</f>
        <v>121.41</v>
      </c>
      <c r="N321" s="246"/>
      <c r="O321" s="282"/>
      <c r="P321" s="244">
        <f t="shared" si="19"/>
        <v>373.15</v>
      </c>
      <c r="Q321" s="283"/>
      <c r="R321" s="299"/>
      <c r="S321" s="322"/>
      <c r="T321" s="322"/>
    </row>
    <row r="322" spans="2:20">
      <c r="B322" s="123" t="str">
        <f>'корпоративный баланс энергии'!H331</f>
        <v>Тверская ТЭЦ1 (ООО "Тверская генерация")</v>
      </c>
      <c r="C322" s="516" t="s">
        <v>364</v>
      </c>
      <c r="D322" s="281">
        <f>'корпоративный баланс энергии'!J331+'корпоративный баланс энергии'!M331+'корпоративный баланс энергии'!P331</f>
        <v>14.4908</v>
      </c>
      <c r="E322" s="246"/>
      <c r="F322" s="282"/>
      <c r="G322" s="244">
        <f>'корпоративный баланс энергии'!S331+'корпоративный баланс энергии'!V331+'корпоративный баланс энергии'!Y331</f>
        <v>2.9519999999999995</v>
      </c>
      <c r="H322" s="246"/>
      <c r="I322" s="282"/>
      <c r="J322" s="244">
        <f>'корпоративный баланс энергии'!AB331+'корпоративный баланс энергии'!AE331+'корпоративный баланс энергии'!AH331</f>
        <v>0</v>
      </c>
      <c r="K322" s="246"/>
      <c r="L322" s="282"/>
      <c r="M322" s="244">
        <f>'корпоративный баланс энергии'!AK331+'корпоративный баланс энергии'!AN331+'корпоративный баланс энергии'!AQ331</f>
        <v>9.4457200000000014</v>
      </c>
      <c r="N322" s="246"/>
      <c r="O322" s="282"/>
      <c r="P322" s="244">
        <f t="shared" si="19"/>
        <v>26.88852</v>
      </c>
      <c r="Q322" s="283"/>
      <c r="R322" s="299"/>
      <c r="S322" s="261"/>
      <c r="T322" s="261"/>
    </row>
    <row r="323" spans="2:20">
      <c r="B323" s="123" t="str">
        <f>'корпоративный баланс энергии'!H332</f>
        <v>Вышневолоцкая ТЭЦ (ООО "Вышневолоцкая ТГК")</v>
      </c>
      <c r="C323" s="517" t="s">
        <v>365</v>
      </c>
      <c r="D323" s="281">
        <f>'корпоративный баланс энергии'!J332+'корпоративный баланс энергии'!M332+'корпоративный баланс энергии'!P332</f>
        <v>9.1791</v>
      </c>
      <c r="E323" s="246"/>
      <c r="F323" s="282"/>
      <c r="G323" s="244">
        <f>'корпоративный баланс энергии'!S332+'корпоративный баланс энергии'!V332+'корпоративный баланс энергии'!Y332</f>
        <v>3.8171999999999997</v>
      </c>
      <c r="H323" s="246"/>
      <c r="I323" s="282"/>
      <c r="J323" s="244">
        <f>'корпоративный баланс энергии'!AB332+'корпоративный баланс энергии'!AE332+'корпоративный баланс энергии'!AH332</f>
        <v>0</v>
      </c>
      <c r="K323" s="246"/>
      <c r="L323" s="282"/>
      <c r="M323" s="244">
        <f>'корпоративный баланс энергии'!AK332+'корпоративный баланс энергии'!AN332+'корпоративный баланс энергии'!AQ332</f>
        <v>7.3102999999999998</v>
      </c>
      <c r="N323" s="246"/>
      <c r="O323" s="282"/>
      <c r="P323" s="244">
        <f t="shared" si="19"/>
        <v>20.3066</v>
      </c>
      <c r="Q323" s="246"/>
      <c r="R323" s="282"/>
      <c r="S323" s="261"/>
      <c r="T323" s="261"/>
    </row>
    <row r="324" spans="2:20">
      <c r="B324" s="123" t="str">
        <f>'корпоративный баланс энергии'!H333</f>
        <v>Новотверецкая  ГЭС (ФГУП "Канал имени Москвы")</v>
      </c>
      <c r="C324" s="517" t="s">
        <v>365</v>
      </c>
      <c r="D324" s="281">
        <f>'корпоративный баланс энергии'!J333+'корпоративный баланс энергии'!M333+'корпоративный баланс энергии'!P333</f>
        <v>1.3900000000000001</v>
      </c>
      <c r="E324" s="246"/>
      <c r="F324" s="282"/>
      <c r="G324" s="244">
        <f>'корпоративный баланс энергии'!S333+'корпоративный баланс энергии'!V333+'корпоративный баланс энергии'!Y333</f>
        <v>2.3200000000000003</v>
      </c>
      <c r="H324" s="246"/>
      <c r="I324" s="282"/>
      <c r="J324" s="244">
        <f>'корпоративный баланс энергии'!AB333+'корпоративный баланс энергии'!AE333+'корпоративный баланс энергии'!AH333</f>
        <v>2.1799999999999997</v>
      </c>
      <c r="K324" s="246"/>
      <c r="L324" s="282"/>
      <c r="M324" s="244">
        <f>'корпоративный баланс энергии'!AK333+'корпоративный баланс энергии'!AN333+'корпоративный баланс энергии'!AQ333</f>
        <v>2.08</v>
      </c>
      <c r="N324" s="246"/>
      <c r="O324" s="282"/>
      <c r="P324" s="244">
        <f t="shared" si="19"/>
        <v>7.9700000000000006</v>
      </c>
      <c r="Q324" s="246"/>
      <c r="R324" s="282"/>
      <c r="S324" s="261"/>
      <c r="T324" s="261"/>
    </row>
    <row r="325" spans="2:20">
      <c r="B325" s="123" t="str">
        <f>'корпоративный баланс энергии'!H334</f>
        <v>Новоцнинская  ГЭС (ФГУП "Канал имени Москвы")</v>
      </c>
      <c r="C325" s="517" t="s">
        <v>365</v>
      </c>
      <c r="D325" s="281">
        <f>'корпоративный баланс энергии'!J334+'корпоративный баланс энергии'!M334+'корпоративный баланс энергии'!P334</f>
        <v>0.245</v>
      </c>
      <c r="E325" s="246"/>
      <c r="F325" s="282"/>
      <c r="G325" s="244">
        <f>'корпоративный баланс энергии'!S334+'корпоративный баланс энергии'!V334+'корпоративный баланс энергии'!Y334</f>
        <v>0.29000000000000004</v>
      </c>
      <c r="H325" s="246"/>
      <c r="I325" s="282"/>
      <c r="J325" s="244">
        <f>'корпоративный баланс энергии'!AB334+'корпоративный баланс энергии'!AE334+'корпоративный баланс энергии'!AH334</f>
        <v>0.32999999999999996</v>
      </c>
      <c r="K325" s="246"/>
      <c r="L325" s="282"/>
      <c r="M325" s="244">
        <f>'корпоративный баланс энергии'!AK334+'корпоративный баланс энергии'!AN334+'корпоративный баланс энергии'!AQ334</f>
        <v>0.31000000000000005</v>
      </c>
      <c r="N325" s="246"/>
      <c r="O325" s="282"/>
      <c r="P325" s="244">
        <f t="shared" si="19"/>
        <v>1.175</v>
      </c>
      <c r="Q325" s="246"/>
      <c r="R325" s="282"/>
      <c r="S325" s="261"/>
      <c r="T325" s="261"/>
    </row>
    <row r="326" spans="2:20" ht="18.75">
      <c r="B326" s="471" t="str">
        <f>'корпоративный баланс энергии'!H335</f>
        <v>Энергосистема Тульской области</v>
      </c>
      <c r="C326" s="491"/>
      <c r="D326" s="274">
        <f>SUM(D327:D328)</f>
        <v>1775.644</v>
      </c>
      <c r="E326" s="275">
        <f>F326-D326</f>
        <v>1090.9358075219836</v>
      </c>
      <c r="F326" s="276">
        <f>'корпоративный баланс энергии'!L335+'корпоративный баланс энергии'!O335+'корпоративный баланс энергии'!R335</f>
        <v>2866.5798075219836</v>
      </c>
      <c r="G326" s="274">
        <f>SUM(G327:G328)</f>
        <v>1250.4916000000001</v>
      </c>
      <c r="H326" s="275">
        <f>I326-G326</f>
        <v>1069.8540032620474</v>
      </c>
      <c r="I326" s="276">
        <f>'корпоративный баланс энергии'!U335+'корпоративный баланс энергии'!X335+'корпоративный баланс энергии'!AA335</f>
        <v>2320.3456032620475</v>
      </c>
      <c r="J326" s="274">
        <f>SUM(J327:J328)</f>
        <v>1264.1215999999999</v>
      </c>
      <c r="K326" s="275">
        <f>L326-J326</f>
        <v>1070.6112553566518</v>
      </c>
      <c r="L326" s="276">
        <f>'корпоративный баланс энергии'!AD335+'корпоративный баланс энергии'!AG335+'корпоративный баланс энергии'!AJ335</f>
        <v>2334.7328553566517</v>
      </c>
      <c r="M326" s="274">
        <f>SUM(M327:M328)</f>
        <v>1677.5076000000001</v>
      </c>
      <c r="N326" s="275">
        <f>O326-M326</f>
        <v>1261.1341338593145</v>
      </c>
      <c r="O326" s="276">
        <f>'корпоративный баланс энергии'!AM335+'корпоративный баланс энергии'!AP335+'корпоративный баланс энергии'!AS335</f>
        <v>2938.6417338593146</v>
      </c>
      <c r="P326" s="274">
        <f>SUM(P327:P328)</f>
        <v>5967.7647999999999</v>
      </c>
      <c r="Q326" s="275">
        <f>R326-P326</f>
        <v>4492.5351999999975</v>
      </c>
      <c r="R326" s="276">
        <f>F326+I326+L326+O326</f>
        <v>10460.299999999997</v>
      </c>
      <c r="S326" s="261"/>
      <c r="T326" s="261"/>
    </row>
    <row r="327" spans="2:20">
      <c r="B327" s="10" t="s">
        <v>173</v>
      </c>
      <c r="C327" s="483"/>
      <c r="D327" s="270">
        <f>D329+D330+D333+D336+D337+D340</f>
        <v>1608.944</v>
      </c>
      <c r="E327" s="271"/>
      <c r="F327" s="224"/>
      <c r="G327" s="270">
        <f>G329+G330+G333+G336+G337+G340</f>
        <v>1107.2416000000001</v>
      </c>
      <c r="H327" s="271"/>
      <c r="I327" s="224"/>
      <c r="J327" s="270">
        <f>J329+J330+J333+J336+J337+J340</f>
        <v>1119.9115999999999</v>
      </c>
      <c r="K327" s="271"/>
      <c r="L327" s="224"/>
      <c r="M327" s="270">
        <f>M329+M330+M333+M336+M337+M340</f>
        <v>1513.2176000000002</v>
      </c>
      <c r="N327" s="271"/>
      <c r="O327" s="224"/>
      <c r="P327" s="270">
        <f>P329+P330+P333+P336+P337+P340</f>
        <v>5349.3148000000001</v>
      </c>
      <c r="Q327" s="271"/>
      <c r="R327" s="364"/>
      <c r="S327" s="261"/>
      <c r="T327" s="261"/>
    </row>
    <row r="328" spans="2:20">
      <c r="B328" s="10" t="s">
        <v>99</v>
      </c>
      <c r="C328" s="483"/>
      <c r="D328" s="270">
        <f>D341</f>
        <v>166.7</v>
      </c>
      <c r="E328" s="271"/>
      <c r="F328" s="224"/>
      <c r="G328" s="270">
        <f>G341</f>
        <v>143.25</v>
      </c>
      <c r="H328" s="271"/>
      <c r="I328" s="224"/>
      <c r="J328" s="270">
        <f>J341</f>
        <v>144.21</v>
      </c>
      <c r="K328" s="271"/>
      <c r="L328" s="224"/>
      <c r="M328" s="270">
        <f>M341</f>
        <v>164.29</v>
      </c>
      <c r="N328" s="271"/>
      <c r="O328" s="224"/>
      <c r="P328" s="270">
        <f>P341</f>
        <v>618.45000000000005</v>
      </c>
      <c r="Q328" s="271"/>
      <c r="R328" s="364"/>
      <c r="S328" s="261"/>
      <c r="T328" s="261"/>
    </row>
    <row r="329" spans="2:20">
      <c r="B329" s="123" t="str">
        <f>'корпоративный баланс энергии'!H338</f>
        <v>Щекинская ГРЭС (ООО "Щёкинская ГРЭС")</v>
      </c>
      <c r="C329" s="516" t="s">
        <v>364</v>
      </c>
      <c r="D329" s="281">
        <f>'корпоративный баланс энергии'!J338+'корпоративный баланс энергии'!M338+'корпоративный баланс энергии'!P338</f>
        <v>230.27999999999997</v>
      </c>
      <c r="E329" s="246"/>
      <c r="F329" s="282"/>
      <c r="G329" s="244">
        <f>'корпоративный баланс энергии'!S338+'корпоративный баланс энергии'!V338+'корпоративный баланс энергии'!Y338</f>
        <v>225.29000000000002</v>
      </c>
      <c r="H329" s="246"/>
      <c r="I329" s="282"/>
      <c r="J329" s="244">
        <f>'корпоративный баланс энергии'!AB338+'корпоративный баланс энергии'!AE338+'корпоративный баланс энергии'!AH338</f>
        <v>232.01</v>
      </c>
      <c r="K329" s="246"/>
      <c r="L329" s="282"/>
      <c r="M329" s="244">
        <f>'корпоративный баланс энергии'!AK338+'корпоративный баланс энергии'!AN338+'корпоративный баланс энергии'!AQ338</f>
        <v>232.89000000000001</v>
      </c>
      <c r="N329" s="246"/>
      <c r="O329" s="282"/>
      <c r="P329" s="244">
        <f>D329+G329+J329+M329</f>
        <v>920.46999999999991</v>
      </c>
      <c r="Q329" s="283"/>
      <c r="R329" s="299"/>
      <c r="S329" s="261"/>
      <c r="T329" s="261"/>
    </row>
    <row r="330" spans="2:20">
      <c r="B330" s="137" t="str">
        <f>'корпоративный баланс энергии'!H339</f>
        <v>Новомосковская ГРЭС (Тульский филиал ПАО "Квадра")</v>
      </c>
      <c r="C330" s="516" t="s">
        <v>364</v>
      </c>
      <c r="D330" s="314">
        <f>SUM(D331:D332)</f>
        <v>378.98399999999998</v>
      </c>
      <c r="E330" s="283"/>
      <c r="F330" s="299"/>
      <c r="G330" s="314">
        <f>SUM(G331:G332)</f>
        <v>188.73599999999999</v>
      </c>
      <c r="H330" s="283"/>
      <c r="I330" s="299"/>
      <c r="J330" s="314">
        <f>SUM(J331:J332)</f>
        <v>180.596</v>
      </c>
      <c r="K330" s="283"/>
      <c r="L330" s="299"/>
      <c r="M330" s="314">
        <f>SUM(M331:M332)</f>
        <v>375.24</v>
      </c>
      <c r="N330" s="283"/>
      <c r="O330" s="299"/>
      <c r="P330" s="314">
        <f>SUM(P331:P332)</f>
        <v>1123.5559999999998</v>
      </c>
      <c r="Q330" s="283"/>
      <c r="R330" s="299"/>
      <c r="S330" s="261"/>
      <c r="T330" s="261"/>
    </row>
    <row r="331" spans="2:20" ht="15" customHeight="1">
      <c r="B331" s="123" t="str">
        <f>'корпоративный баланс энергии'!H340</f>
        <v>Новомосковская ГРЭС (Тульский филиал ПАО "Квадра")</v>
      </c>
      <c r="C331" s="490"/>
      <c r="D331" s="281">
        <f>'корпоративный баланс энергии'!J340+'корпоративный баланс энергии'!M340+'корпоративный баланс энергии'!P340</f>
        <v>31.583999999999996</v>
      </c>
      <c r="E331" s="246"/>
      <c r="F331" s="282"/>
      <c r="G331" s="244">
        <f>'корпоративный баланс энергии'!S340+'корпоративный баланс энергии'!V340+'корпоративный баланс энергии'!Y340</f>
        <v>0</v>
      </c>
      <c r="H331" s="246"/>
      <c r="I331" s="282"/>
      <c r="J331" s="244">
        <f>'корпоративный баланс энергии'!AB340+'корпоративный баланс энергии'!AE340+'корпоративный баланс энергии'!AH340</f>
        <v>0</v>
      </c>
      <c r="K331" s="246"/>
      <c r="L331" s="282"/>
      <c r="M331" s="244">
        <f>'корпоративный баланс энергии'!AK340+'корпоративный баланс энергии'!AN340+'корпоративный баланс энергии'!AQ340</f>
        <v>15.120000000000001</v>
      </c>
      <c r="N331" s="246"/>
      <c r="O331" s="282"/>
      <c r="P331" s="244">
        <f>D331+G331+J331+M331</f>
        <v>46.703999999999994</v>
      </c>
      <c r="Q331" s="246"/>
      <c r="R331" s="282"/>
      <c r="S331" s="261"/>
      <c r="T331" s="261"/>
    </row>
    <row r="332" spans="2:20">
      <c r="B332" s="123" t="str">
        <f>'корпоративный баланс энергии'!H341</f>
        <v>Новомосковская ГРЭС (Тульский филиал ПАО "Квадра") ПГУ 190 НВ ДПМ 17.04.2013</v>
      </c>
      <c r="C332" s="487"/>
      <c r="D332" s="281">
        <f>'корпоративный баланс энергии'!J341+'корпоративный баланс энергии'!M341+'корпоративный баланс энергии'!P341</f>
        <v>347.4</v>
      </c>
      <c r="E332" s="246"/>
      <c r="F332" s="282"/>
      <c r="G332" s="244">
        <f>'корпоративный баланс энергии'!S341+'корпоративный баланс энергии'!V341+'корпоративный баланс энергии'!Y341</f>
        <v>188.73599999999999</v>
      </c>
      <c r="H332" s="246"/>
      <c r="I332" s="282"/>
      <c r="J332" s="244">
        <f>'корпоративный баланс энергии'!AB341+'корпоративный баланс энергии'!AE341+'корпоративный баланс энергии'!AH341</f>
        <v>180.596</v>
      </c>
      <c r="K332" s="246"/>
      <c r="L332" s="282"/>
      <c r="M332" s="244">
        <f>'корпоративный баланс энергии'!AK341+'корпоративный баланс энергии'!AN341+'корпоративный баланс энергии'!AQ341</f>
        <v>360.12</v>
      </c>
      <c r="N332" s="246"/>
      <c r="O332" s="282"/>
      <c r="P332" s="244">
        <f>D332+G332+J332+M332</f>
        <v>1076.8519999999999</v>
      </c>
      <c r="Q332" s="246"/>
      <c r="R332" s="282"/>
      <c r="S332" s="261"/>
      <c r="T332" s="261"/>
    </row>
    <row r="333" spans="2:20" s="3" customFormat="1">
      <c r="B333" s="137" t="str">
        <f>'корпоративный баланс энергии'!H342</f>
        <v>Алексинская ТЭЦ (Тульский филиал ПАО "Квадра")</v>
      </c>
      <c r="C333" s="516" t="s">
        <v>364</v>
      </c>
      <c r="D333" s="314">
        <f>SUM(D334:D335)</f>
        <v>141.18</v>
      </c>
      <c r="E333" s="246"/>
      <c r="F333" s="282"/>
      <c r="G333" s="314">
        <f>SUM(G334:G335)</f>
        <v>129.69</v>
      </c>
      <c r="H333" s="246"/>
      <c r="I333" s="282"/>
      <c r="J333" s="314">
        <f>SUM(J334:J335)</f>
        <v>131.32999999999998</v>
      </c>
      <c r="K333" s="246"/>
      <c r="L333" s="282"/>
      <c r="M333" s="314">
        <f>SUM(M334:M335)</f>
        <v>147.51999999999998</v>
      </c>
      <c r="N333" s="246"/>
      <c r="O333" s="282"/>
      <c r="P333" s="314">
        <f>SUM(P334:P335)</f>
        <v>549.72</v>
      </c>
      <c r="Q333" s="246"/>
      <c r="R333" s="282"/>
      <c r="S333" s="318"/>
      <c r="T333" s="318"/>
    </row>
    <row r="334" spans="2:20">
      <c r="B334" s="123" t="str">
        <f>'корпоративный баланс энергии'!H343</f>
        <v>Алексинская ТЭЦ (Тульский филиал ПАО "Квадра")</v>
      </c>
      <c r="C334" s="490"/>
      <c r="D334" s="281">
        <f>'корпоративный баланс энергии'!J343+'корпоративный баланс энергии'!M343+'корпоративный баланс энергии'!P343</f>
        <v>0</v>
      </c>
      <c r="E334" s="246"/>
      <c r="F334" s="282"/>
      <c r="G334" s="244">
        <f>'корпоративный баланс энергии'!S343+'корпоративный баланс энергии'!V343+'корпоративный баланс энергии'!Y343</f>
        <v>0</v>
      </c>
      <c r="H334" s="246"/>
      <c r="I334" s="282"/>
      <c r="J334" s="244">
        <f>'корпоративный баланс энергии'!AB343+'корпоративный баланс энергии'!AE343+'корпоративный баланс энергии'!AH343</f>
        <v>0</v>
      </c>
      <c r="K334" s="246"/>
      <c r="L334" s="282"/>
      <c r="M334" s="244">
        <f>'корпоративный баланс энергии'!AK343+'корпоративный баланс энергии'!AN343+'корпоративный баланс энергии'!AQ343</f>
        <v>0</v>
      </c>
      <c r="N334" s="246"/>
      <c r="O334" s="282"/>
      <c r="P334" s="244">
        <f>D334+G334+J334+M334</f>
        <v>0</v>
      </c>
      <c r="Q334" s="246"/>
      <c r="R334" s="282"/>
      <c r="S334" s="261"/>
      <c r="T334" s="261"/>
    </row>
    <row r="335" spans="2:20">
      <c r="B335" s="123" t="str">
        <f>'корпоративный баланс энергии'!H344</f>
        <v>Алексинская ТЭЦ (Тульский филиал ПАО "Квадра") ПГУ 115 НВ, ДПМ 01.01.2016 (31.12.2016)</v>
      </c>
      <c r="C335" s="490"/>
      <c r="D335" s="281">
        <f>'корпоративный баланс энергии'!J344+'корпоративный баланс энергии'!M344+'корпоративный баланс энергии'!P344</f>
        <v>141.18</v>
      </c>
      <c r="E335" s="246"/>
      <c r="F335" s="282"/>
      <c r="G335" s="244">
        <f>'корпоративный баланс энергии'!S344+'корпоративный баланс энергии'!V344+'корпоративный баланс энергии'!Y344</f>
        <v>129.69</v>
      </c>
      <c r="H335" s="246"/>
      <c r="I335" s="282"/>
      <c r="J335" s="244">
        <f>'корпоративный баланс энергии'!AB344+'корпоративный баланс энергии'!AE344+'корпоративный баланс энергии'!AH344</f>
        <v>131.32999999999998</v>
      </c>
      <c r="K335" s="246"/>
      <c r="L335" s="282"/>
      <c r="M335" s="244">
        <f>'корпоративный баланс энергии'!AK344+'корпоративный баланс энергии'!AN344+'корпоративный баланс энергии'!AQ344</f>
        <v>147.51999999999998</v>
      </c>
      <c r="N335" s="246"/>
      <c r="O335" s="282"/>
      <c r="P335" s="244">
        <f>D335+G335+J335+M335</f>
        <v>549.72</v>
      </c>
      <c r="Q335" s="246"/>
      <c r="R335" s="282"/>
      <c r="S335" s="261"/>
      <c r="T335" s="261"/>
    </row>
    <row r="336" spans="2:20">
      <c r="B336" s="123" t="str">
        <f>'корпоративный баланс энергии'!H345</f>
        <v>Ефремовская ТЭЦ (Тульский филиал ПАО "Квадра")</v>
      </c>
      <c r="C336" s="516" t="s">
        <v>364</v>
      </c>
      <c r="D336" s="281">
        <f>'корпоративный баланс энергии'!J345+'корпоративный баланс энергии'!M345+'корпоративный баланс энергии'!P345</f>
        <v>139.87</v>
      </c>
      <c r="E336" s="246"/>
      <c r="F336" s="282"/>
      <c r="G336" s="244">
        <f>'корпоративный баланс энергии'!S345+'корпоративный баланс энергии'!V345+'корпоративный баланс энергии'!Y345</f>
        <v>40.849999999999994</v>
      </c>
      <c r="H336" s="246"/>
      <c r="I336" s="282"/>
      <c r="J336" s="244">
        <f>'корпоративный баланс энергии'!AB345+'корпоративный баланс энергии'!AE345+'корпоративный баланс энергии'!AH345</f>
        <v>20.584399999999999</v>
      </c>
      <c r="K336" s="246"/>
      <c r="L336" s="282"/>
      <c r="M336" s="244">
        <f>'корпоративный баланс энергии'!AK345+'корпоративный баланс энергии'!AN345+'корпоративный баланс энергии'!AQ345</f>
        <v>120.84399999999999</v>
      </c>
      <c r="N336" s="246"/>
      <c r="O336" s="282"/>
      <c r="P336" s="244">
        <f>D336+G336+J336+M336</f>
        <v>322.14839999999998</v>
      </c>
      <c r="Q336" s="246"/>
      <c r="R336" s="282"/>
      <c r="S336" s="261"/>
      <c r="T336" s="261"/>
    </row>
    <row r="337" spans="2:20">
      <c r="B337" s="137" t="str">
        <f>'корпоративный баланс энергии'!H346</f>
        <v xml:space="preserve">Черепетская ГРЭС (филиал АО "Интер РАО - Электрогенерация") </v>
      </c>
      <c r="C337" s="516" t="s">
        <v>364</v>
      </c>
      <c r="D337" s="317">
        <f>SUM(D338:D339)</f>
        <v>578.88</v>
      </c>
      <c r="E337" s="246"/>
      <c r="F337" s="282"/>
      <c r="G337" s="317">
        <f>SUM(G338:G339)</f>
        <v>408.26560000000001</v>
      </c>
      <c r="H337" s="246"/>
      <c r="I337" s="282"/>
      <c r="J337" s="317">
        <f>SUM(J338:J339)</f>
        <v>445.61120000000005</v>
      </c>
      <c r="K337" s="246"/>
      <c r="L337" s="282"/>
      <c r="M337" s="317">
        <f>SUM(M338:M339)</f>
        <v>500.81360000000006</v>
      </c>
      <c r="N337" s="246"/>
      <c r="O337" s="282"/>
      <c r="P337" s="317">
        <f>SUM(P338:P339)</f>
        <v>1933.5704000000001</v>
      </c>
      <c r="Q337" s="246"/>
      <c r="R337" s="282"/>
      <c r="S337" s="261"/>
      <c r="T337" s="261"/>
    </row>
    <row r="338" spans="2:20">
      <c r="B338" s="123" t="str">
        <f>'корпоративный баланс энергии'!H347</f>
        <v>Черепетская ГРЭС (АО "Интер РАО - Электрогенерация") блок №8 НВ 01.10.2014</v>
      </c>
      <c r="C338" s="490"/>
      <c r="D338" s="281">
        <f>'корпоративный баланс энергии'!J347+'корпоративный баланс энергии'!M347+'корпоративный баланс энергии'!P347</f>
        <v>288.14400000000001</v>
      </c>
      <c r="E338" s="246"/>
      <c r="F338" s="282"/>
      <c r="G338" s="244">
        <f>'корпоративный баланс энергии'!S347+'корпоративный баланс энергии'!V347+'корпоративный баланс энергии'!Y347</f>
        <v>270.46559999999999</v>
      </c>
      <c r="H338" s="246"/>
      <c r="I338" s="282"/>
      <c r="J338" s="244">
        <f>'корпоративный баланс энергии'!AB347+'корпоративный баланс энергии'!AE347+'корпоративный баланс энергии'!AH347</f>
        <v>150.5112</v>
      </c>
      <c r="K338" s="246"/>
      <c r="L338" s="282"/>
      <c r="M338" s="244">
        <f>'корпоративный баланс энергии'!AK347+'корпоративный баланс энергии'!AN347+'корпоративный баланс энергии'!AQ347</f>
        <v>246.55920000000003</v>
      </c>
      <c r="N338" s="246"/>
      <c r="O338" s="282"/>
      <c r="P338" s="244">
        <f>D338+G338+J338+M338</f>
        <v>955.68000000000006</v>
      </c>
      <c r="Q338" s="283"/>
      <c r="R338" s="299"/>
      <c r="S338" s="261"/>
      <c r="T338" s="261"/>
    </row>
    <row r="339" spans="2:20">
      <c r="B339" s="123" t="str">
        <f>'корпоративный баланс энергии'!H348</f>
        <v>Черепетская ГРЭС (АО "Интер РАО - Электрогенерация") блок №9 НВ 01.03.2015</v>
      </c>
      <c r="C339" s="490"/>
      <c r="D339" s="281">
        <f>'корпоративный баланс энергии'!J348+'корпоративный баланс энергии'!M348+'корпоративный баланс энергии'!P348</f>
        <v>290.73599999999999</v>
      </c>
      <c r="E339" s="246"/>
      <c r="F339" s="282"/>
      <c r="G339" s="244">
        <f>'корпоративный баланс энергии'!S348+'корпоративный баланс энергии'!V348+'корпоративный баланс энергии'!Y348</f>
        <v>137.80000000000001</v>
      </c>
      <c r="H339" s="246"/>
      <c r="I339" s="282"/>
      <c r="J339" s="244">
        <f>'корпоративный баланс энергии'!AB348+'корпоративный баланс энергии'!AE348+'корпоративный баланс энергии'!AH348</f>
        <v>295.10000000000002</v>
      </c>
      <c r="K339" s="246"/>
      <c r="L339" s="282"/>
      <c r="M339" s="244">
        <f>'корпоративный баланс энергии'!AK348+'корпоративный баланс энергии'!AN348+'корпоративный баланс энергии'!AQ348</f>
        <v>254.25440000000003</v>
      </c>
      <c r="N339" s="246"/>
      <c r="O339" s="282"/>
      <c r="P339" s="244">
        <f>D339+G339+J339+M339</f>
        <v>977.8904</v>
      </c>
      <c r="Q339" s="283"/>
      <c r="R339" s="299"/>
      <c r="S339" s="261"/>
      <c r="T339" s="261"/>
    </row>
    <row r="340" spans="2:20">
      <c r="B340" s="123" t="str">
        <f>'корпоративный баланс энергии'!H349</f>
        <v xml:space="preserve">Первомайская ТЭЦ (филиал ОАО "Щекиноазот")                                                                     </v>
      </c>
      <c r="C340" s="517" t="s">
        <v>365</v>
      </c>
      <c r="D340" s="281">
        <f>'корпоративный баланс энергии'!J349+'корпоративный баланс энергии'!M349+'корпоративный баланс энергии'!P349</f>
        <v>139.75</v>
      </c>
      <c r="E340" s="246"/>
      <c r="F340" s="282"/>
      <c r="G340" s="244">
        <f>'корпоративный баланс энергии'!S349+'корпоративный баланс энергии'!V349+'корпоративный баланс энергии'!Y349</f>
        <v>114.41</v>
      </c>
      <c r="H340" s="246"/>
      <c r="I340" s="282"/>
      <c r="J340" s="244">
        <f>'корпоративный баланс энергии'!AB349+'корпоративный баланс энергии'!AE349+'корпоративный баланс энергии'!AH349</f>
        <v>109.78</v>
      </c>
      <c r="K340" s="246"/>
      <c r="L340" s="282"/>
      <c r="M340" s="244">
        <f>'корпоративный баланс энергии'!AK349+'корпоративный баланс энергии'!AN349+'корпоративный баланс энергии'!AQ349</f>
        <v>135.91</v>
      </c>
      <c r="N340" s="246"/>
      <c r="O340" s="282"/>
      <c r="P340" s="244">
        <f>D340+G340+J340+M340</f>
        <v>499.85</v>
      </c>
      <c r="Q340" s="283"/>
      <c r="R340" s="299"/>
      <c r="S340" s="261"/>
      <c r="T340" s="261"/>
    </row>
    <row r="341" spans="2:20">
      <c r="B341" s="138" t="s">
        <v>174</v>
      </c>
      <c r="C341" s="488"/>
      <c r="D341" s="287">
        <f>SUM(D342:D344)</f>
        <v>166.7</v>
      </c>
      <c r="E341" s="288"/>
      <c r="F341" s="289"/>
      <c r="G341" s="319">
        <f>SUM(G342:G344)</f>
        <v>143.25</v>
      </c>
      <c r="H341" s="288"/>
      <c r="I341" s="289"/>
      <c r="J341" s="319">
        <f>SUM(J342:J344)</f>
        <v>144.21</v>
      </c>
      <c r="K341" s="288"/>
      <c r="L341" s="289"/>
      <c r="M341" s="319">
        <f>SUM(M342:M344)</f>
        <v>164.29</v>
      </c>
      <c r="N341" s="288"/>
      <c r="O341" s="289"/>
      <c r="P341" s="319">
        <f>SUM(P342:P344)</f>
        <v>618.45000000000005</v>
      </c>
      <c r="Q341" s="288"/>
      <c r="R341" s="289"/>
      <c r="S341" s="261"/>
      <c r="T341" s="261"/>
    </row>
    <row r="342" spans="2:20">
      <c r="B342" s="135" t="str">
        <f>'корпоративный баланс энергии'!H351</f>
        <v>ТЭЦ Ефремовского филиала ОАО "Щекиноазот"</v>
      </c>
      <c r="C342" s="515" t="s">
        <v>365</v>
      </c>
      <c r="D342" s="293">
        <f>'корпоративный баланс энергии'!J351+'корпоративный баланс энергии'!M351+'корпоративный баланс энергии'!P351</f>
        <v>8.6</v>
      </c>
      <c r="E342" s="288"/>
      <c r="F342" s="289"/>
      <c r="G342" s="294">
        <f>'корпоративный баланс энергии'!S351+'корпоративный баланс энергии'!V351+'корпоративный баланс энергии'!Y351</f>
        <v>10.01</v>
      </c>
      <c r="H342" s="288"/>
      <c r="I342" s="289"/>
      <c r="J342" s="294">
        <f>'корпоративный баланс энергии'!AB351+'корпоративный баланс энергии'!AE351+'корпоративный баланс энергии'!AH351</f>
        <v>10.83</v>
      </c>
      <c r="K342" s="288"/>
      <c r="L342" s="289"/>
      <c r="M342" s="294">
        <f>'корпоративный баланс энергии'!AK351+'корпоративный баланс энергии'!AN351+'корпоративный баланс энергии'!AQ351</f>
        <v>8.69</v>
      </c>
      <c r="N342" s="288"/>
      <c r="O342" s="289"/>
      <c r="P342" s="294">
        <f>D342+G342+J342+M342</f>
        <v>38.129999999999995</v>
      </c>
      <c r="Q342" s="288"/>
      <c r="R342" s="289"/>
      <c r="S342" s="261"/>
      <c r="T342" s="261"/>
    </row>
    <row r="343" spans="2:20">
      <c r="B343" s="135" t="str">
        <f>'корпоративный баланс энергии'!H352</f>
        <v>ТЭЦ-ПВС Тулачермет (ПАО "Тулачермет")</v>
      </c>
      <c r="C343" s="515" t="s">
        <v>365</v>
      </c>
      <c r="D343" s="293">
        <f>'корпоративный баланс энергии'!J352+'корпоративный баланс энергии'!M352+'корпоративный баланс энергии'!P352</f>
        <v>125</v>
      </c>
      <c r="E343" s="288"/>
      <c r="F343" s="289"/>
      <c r="G343" s="294">
        <f>'корпоративный баланс энергии'!S352+'корпоративный баланс энергии'!V352+'корпоративный баланс энергии'!Y352</f>
        <v>104</v>
      </c>
      <c r="H343" s="288"/>
      <c r="I343" s="289"/>
      <c r="J343" s="294">
        <f>'корпоративный баланс энергии'!AB352+'корпоративный баланс энергии'!AE352+'корпоративный баланс энергии'!AH352</f>
        <v>107</v>
      </c>
      <c r="K343" s="288"/>
      <c r="L343" s="289"/>
      <c r="M343" s="294">
        <f>'корпоративный баланс энергии'!AK352+'корпоративный баланс энергии'!AN352+'корпоративный баланс энергии'!AQ352</f>
        <v>122</v>
      </c>
      <c r="N343" s="288"/>
      <c r="O343" s="289"/>
      <c r="P343" s="294">
        <f>D343+G343+J343+M343</f>
        <v>458</v>
      </c>
      <c r="Q343" s="288"/>
      <c r="R343" s="289"/>
      <c r="S343" s="261"/>
      <c r="T343" s="261"/>
    </row>
    <row r="344" spans="2:20" ht="15" customHeight="1">
      <c r="B344" s="135" t="str">
        <f>'корпоративный баланс энергии'!H353</f>
        <v>ТЭЦ-ПВС КМЗ (ПАО "Косогорский металлургический завод")</v>
      </c>
      <c r="C344" s="515" t="s">
        <v>365</v>
      </c>
      <c r="D344" s="293">
        <f>'корпоративный баланс энергии'!J353+'корпоративный баланс энергии'!M353+'корпоративный баланс энергии'!P353</f>
        <v>33.099999999999994</v>
      </c>
      <c r="E344" s="288"/>
      <c r="F344" s="289"/>
      <c r="G344" s="294">
        <f>'корпоративный баланс энергии'!S353+'корпоративный баланс энергии'!V353+'корпоративный баланс энергии'!Y353</f>
        <v>29.24</v>
      </c>
      <c r="H344" s="288"/>
      <c r="I344" s="289"/>
      <c r="J344" s="294">
        <f>'корпоративный баланс энергии'!AB353+'корпоративный баланс энергии'!AE353+'корпоративный баланс энергии'!AH353</f>
        <v>26.380000000000003</v>
      </c>
      <c r="K344" s="288"/>
      <c r="L344" s="289"/>
      <c r="M344" s="294">
        <f>'корпоративный баланс энергии'!AK353+'корпоративный баланс энергии'!AN353+'корпоративный баланс энергии'!AQ353</f>
        <v>33.6</v>
      </c>
      <c r="N344" s="288"/>
      <c r="O344" s="289"/>
      <c r="P344" s="294">
        <f>D344+G344+J344+M344</f>
        <v>122.32</v>
      </c>
      <c r="Q344" s="288"/>
      <c r="R344" s="289"/>
      <c r="S344" s="261"/>
      <c r="T344" s="261"/>
    </row>
    <row r="345" spans="2:20" ht="18.75">
      <c r="B345" s="470" t="str">
        <f>'корпоративный баланс энергии'!H354</f>
        <v>Энергосистема Ярославской области</v>
      </c>
      <c r="C345" s="485"/>
      <c r="D345" s="274">
        <f>SUM(D346:D348)</f>
        <v>2049.9382801513671</v>
      </c>
      <c r="E345" s="275">
        <f>F345-D345</f>
        <v>287.80705756194084</v>
      </c>
      <c r="F345" s="276">
        <f>'корпоративный баланс энергии'!L354+'корпоративный баланс энергии'!O354+'корпоративный баланс энергии'!R354</f>
        <v>2337.7453377133079</v>
      </c>
      <c r="G345" s="274">
        <f>SUM(G346:G348)</f>
        <v>1377.6241306152344</v>
      </c>
      <c r="H345" s="275">
        <f>I345-G345</f>
        <v>481.28460083475147</v>
      </c>
      <c r="I345" s="276">
        <f>'корпоративный баланс энергии'!U354+'корпоративный баланс энергии'!X354+'корпоративный баланс энергии'!AA354</f>
        <v>1858.9087314499859</v>
      </c>
      <c r="J345" s="274">
        <f>SUM(J346:J348)</f>
        <v>1492.9786538696292</v>
      </c>
      <c r="K345" s="275">
        <f>L345-J345</f>
        <v>299.38385109968544</v>
      </c>
      <c r="L345" s="276">
        <f>'корпоративный баланс энергии'!AD354+'корпоративный баланс энергии'!AG354+'корпоративный баланс энергии'!AJ354</f>
        <v>1792.3625049693146</v>
      </c>
      <c r="M345" s="274">
        <f>SUM(M346:M348)</f>
        <v>1924.6884939575193</v>
      </c>
      <c r="N345" s="275">
        <f>O345-M345</f>
        <v>382.29493190987205</v>
      </c>
      <c r="O345" s="276">
        <f>'корпоративный баланс энергии'!AM354+'корпоративный баланс энергии'!AP354+'корпоративный баланс энергии'!AS354</f>
        <v>2306.9834258673914</v>
      </c>
      <c r="P345" s="274">
        <f>SUM(P346:P348)</f>
        <v>6845.2295585937509</v>
      </c>
      <c r="Q345" s="275">
        <f>R345-P345</f>
        <v>1450.7704414062491</v>
      </c>
      <c r="R345" s="276">
        <f>F345+I345+L345+O345</f>
        <v>8296</v>
      </c>
      <c r="S345" s="261"/>
      <c r="T345" s="261"/>
    </row>
    <row r="346" spans="2:20">
      <c r="B346" s="10" t="s">
        <v>173</v>
      </c>
      <c r="C346" s="483"/>
      <c r="D346" s="270">
        <f>SUM(D353:D357)</f>
        <v>1658.6579999999999</v>
      </c>
      <c r="E346" s="271"/>
      <c r="F346" s="224"/>
      <c r="G346" s="270">
        <f>SUM(G353:G357)</f>
        <v>966.94400000000007</v>
      </c>
      <c r="H346" s="271"/>
      <c r="I346" s="224"/>
      <c r="J346" s="270">
        <f>SUM(J353:J357)</f>
        <v>1113.3000000000002</v>
      </c>
      <c r="K346" s="271"/>
      <c r="L346" s="224"/>
      <c r="M346" s="270">
        <f>SUM(M353:M357)</f>
        <v>1555.2799999999997</v>
      </c>
      <c r="N346" s="271"/>
      <c r="O346" s="224"/>
      <c r="P346" s="270">
        <f>SUM(P353:P357)</f>
        <v>5294.1820000000007</v>
      </c>
      <c r="Q346" s="271"/>
      <c r="R346" s="364"/>
      <c r="S346" s="261"/>
      <c r="T346" s="261"/>
    </row>
    <row r="347" spans="2:20">
      <c r="B347" s="10" t="s">
        <v>177</v>
      </c>
      <c r="C347" s="483"/>
      <c r="D347" s="270">
        <f>D349</f>
        <v>305.74028015136719</v>
      </c>
      <c r="E347" s="271"/>
      <c r="F347" s="224"/>
      <c r="G347" s="270">
        <f>G349</f>
        <v>333.29013061523438</v>
      </c>
      <c r="H347" s="271"/>
      <c r="I347" s="224"/>
      <c r="J347" s="270">
        <f>J349</f>
        <v>299.51865386962891</v>
      </c>
      <c r="K347" s="271"/>
      <c r="L347" s="224"/>
      <c r="M347" s="270">
        <f>M349</f>
        <v>283.19849395751953</v>
      </c>
      <c r="N347" s="271"/>
      <c r="O347" s="224"/>
      <c r="P347" s="270">
        <f>P349</f>
        <v>1221.74755859375</v>
      </c>
      <c r="Q347" s="271"/>
      <c r="R347" s="364"/>
      <c r="S347" s="261"/>
      <c r="T347" s="261"/>
    </row>
    <row r="348" spans="2:20" ht="15" customHeight="1">
      <c r="B348" s="10" t="s">
        <v>99</v>
      </c>
      <c r="C348" s="483"/>
      <c r="D348" s="270">
        <f>D358</f>
        <v>85.539999999999992</v>
      </c>
      <c r="E348" s="271"/>
      <c r="F348" s="224"/>
      <c r="G348" s="270">
        <f>G358</f>
        <v>77.39</v>
      </c>
      <c r="H348" s="271"/>
      <c r="I348" s="224"/>
      <c r="J348" s="270">
        <f>J358</f>
        <v>80.16</v>
      </c>
      <c r="K348" s="271"/>
      <c r="L348" s="224"/>
      <c r="M348" s="270">
        <f>M358</f>
        <v>86.210000000000008</v>
      </c>
      <c r="N348" s="271"/>
      <c r="O348" s="224"/>
      <c r="P348" s="270">
        <f>P358</f>
        <v>329.3</v>
      </c>
      <c r="Q348" s="271"/>
      <c r="R348" s="364"/>
      <c r="S348" s="261"/>
      <c r="T348" s="261"/>
    </row>
    <row r="349" spans="2:20">
      <c r="B349" s="137" t="str">
        <f>'корпоративный баланс энергии'!H358</f>
        <v>Каскад Верхневолжских ГЭС -(филиал ПАО "РусГидро")</v>
      </c>
      <c r="C349" s="516" t="s">
        <v>364</v>
      </c>
      <c r="D349" s="281">
        <f>'корпоративный баланс энергии'!J358+'корпоративный баланс энергии'!M358+'корпоративный баланс энергии'!P358</f>
        <v>305.74028015136719</v>
      </c>
      <c r="E349" s="246"/>
      <c r="F349" s="282"/>
      <c r="G349" s="244">
        <f>'корпоративный баланс энергии'!S358+'корпоративный баланс энергии'!V358+'корпоративный баланс энергии'!Y358</f>
        <v>333.29013061523438</v>
      </c>
      <c r="H349" s="246"/>
      <c r="I349" s="282"/>
      <c r="J349" s="244">
        <f>'корпоративный баланс энергии'!AB358+'корпоративный баланс энергии'!AE358+'корпоративный баланс энергии'!AH358</f>
        <v>299.51865386962891</v>
      </c>
      <c r="K349" s="246"/>
      <c r="L349" s="282"/>
      <c r="M349" s="244">
        <f>'корпоративный баланс энергии'!AK358+'корпоративный баланс энергии'!AN358+'корпоративный баланс энергии'!AQ358</f>
        <v>283.19849395751953</v>
      </c>
      <c r="N349" s="246"/>
      <c r="O349" s="282"/>
      <c r="P349" s="244">
        <f t="shared" ref="P349:P357" si="20">D349+G349+J349+M349</f>
        <v>1221.74755859375</v>
      </c>
      <c r="Q349" s="256"/>
      <c r="R349" s="302"/>
      <c r="S349" s="261"/>
      <c r="T349" s="261"/>
    </row>
    <row r="350" spans="2:20" hidden="1">
      <c r="B350" s="123" t="s">
        <v>186</v>
      </c>
      <c r="C350" s="490"/>
      <c r="D350" s="281">
        <f>'корпоративный баланс энергии'!J359+'корпоративный баланс энергии'!M359+'корпоративный баланс энергии'!P359</f>
        <v>0</v>
      </c>
      <c r="E350" s="246"/>
      <c r="F350" s="282"/>
      <c r="G350" s="244">
        <f>'корпоративный баланс энергии'!S359+'корпоративный баланс энергии'!V359+'корпоративный баланс энергии'!Y359</f>
        <v>0</v>
      </c>
      <c r="H350" s="246"/>
      <c r="I350" s="282"/>
      <c r="J350" s="244">
        <f>'корпоративный баланс энергии'!AB359+'корпоративный баланс энергии'!AE359+'корпоративный баланс энергии'!AH359</f>
        <v>0</v>
      </c>
      <c r="K350" s="246"/>
      <c r="L350" s="282"/>
      <c r="M350" s="244">
        <f>'корпоративный баланс энергии'!AK359+'корпоративный баланс энергии'!AN359+'корпоративный баланс энергии'!AQ359</f>
        <v>0</v>
      </c>
      <c r="N350" s="246"/>
      <c r="O350" s="282"/>
      <c r="P350" s="244">
        <f t="shared" si="20"/>
        <v>0</v>
      </c>
      <c r="Q350" s="283"/>
      <c r="R350" s="299"/>
      <c r="S350" s="261"/>
      <c r="T350" s="261"/>
    </row>
    <row r="351" spans="2:20" hidden="1">
      <c r="B351" s="123" t="s">
        <v>187</v>
      </c>
      <c r="C351" s="490"/>
      <c r="D351" s="281">
        <f>'корпоративный баланс энергии'!J360+'корпоративный баланс энергии'!M360+'корпоративный баланс энергии'!P360</f>
        <v>0</v>
      </c>
      <c r="E351" s="246"/>
      <c r="F351" s="282"/>
      <c r="G351" s="244">
        <f>'корпоративный баланс энергии'!S360+'корпоративный баланс энергии'!V360+'корпоративный баланс энергии'!Y360</f>
        <v>0</v>
      </c>
      <c r="H351" s="246"/>
      <c r="I351" s="282"/>
      <c r="J351" s="244">
        <f>'корпоративный баланс энергии'!AB360+'корпоративный баланс энергии'!AE360+'корпоративный баланс энергии'!AH360</f>
        <v>0</v>
      </c>
      <c r="K351" s="246"/>
      <c r="L351" s="282"/>
      <c r="M351" s="244">
        <f>'корпоративный баланс энергии'!AK360+'корпоративный баланс энергии'!AN360+'корпоративный баланс энергии'!AQ360</f>
        <v>0</v>
      </c>
      <c r="N351" s="246"/>
      <c r="O351" s="282"/>
      <c r="P351" s="244">
        <f t="shared" si="20"/>
        <v>0</v>
      </c>
      <c r="Q351" s="283"/>
      <c r="R351" s="299"/>
      <c r="S351" s="261"/>
      <c r="T351" s="261"/>
    </row>
    <row r="352" spans="2:20" hidden="1">
      <c r="B352" s="123" t="s">
        <v>281</v>
      </c>
      <c r="C352" s="490"/>
      <c r="D352" s="281">
        <f>'корпоративный баланс энергии'!J361+'корпоративный баланс энергии'!M361+'корпоративный баланс энергии'!P361</f>
        <v>0</v>
      </c>
      <c r="E352" s="246"/>
      <c r="F352" s="282"/>
      <c r="G352" s="244">
        <f>'корпоративный баланс энергии'!S361+'корпоративный баланс энергии'!V361+'корпоративный баланс энергии'!Y361</f>
        <v>0</v>
      </c>
      <c r="H352" s="246"/>
      <c r="I352" s="282"/>
      <c r="J352" s="244">
        <f>'корпоративный баланс энергии'!AB361+'корпоративный баланс энергии'!AE361+'корпоративный баланс энергии'!AH361</f>
        <v>0</v>
      </c>
      <c r="K352" s="246"/>
      <c r="L352" s="282"/>
      <c r="M352" s="244">
        <f>'корпоративный баланс энергии'!AK361+'корпоративный баланс энергии'!AN361+'корпоративный баланс энергии'!AQ361</f>
        <v>0</v>
      </c>
      <c r="N352" s="246"/>
      <c r="O352" s="282"/>
      <c r="P352" s="244">
        <f t="shared" si="20"/>
        <v>0</v>
      </c>
      <c r="Q352" s="283"/>
      <c r="R352" s="299"/>
      <c r="S352" s="261"/>
      <c r="T352" s="261"/>
    </row>
    <row r="353" spans="2:20">
      <c r="B353" s="123" t="str">
        <f>'корпоративный баланс энергии'!H362</f>
        <v>Ярославская ТЭЦ1 (Ярославский филиал ОАО "ТГК-2")</v>
      </c>
      <c r="C353" s="516" t="s">
        <v>364</v>
      </c>
      <c r="D353" s="281">
        <f>'корпоративный баланс энергии'!J362+'корпоративный баланс энергии'!M362+'корпоративный баланс энергии'!P362</f>
        <v>54.480000000000004</v>
      </c>
      <c r="E353" s="246"/>
      <c r="F353" s="282"/>
      <c r="G353" s="244">
        <f>'корпоративный баланс энергии'!S362+'корпоративный баланс энергии'!V362+'корпоративный баланс энергии'!Y362</f>
        <v>28.630000000000003</v>
      </c>
      <c r="H353" s="246"/>
      <c r="I353" s="282"/>
      <c r="J353" s="244">
        <f>'корпоративный баланс энергии'!AB362+'корпоративный баланс энергии'!AE362+'корпоративный баланс энергии'!AH362</f>
        <v>31.3</v>
      </c>
      <c r="K353" s="246"/>
      <c r="L353" s="282"/>
      <c r="M353" s="244">
        <f>'корпоративный баланс энергии'!AK362+'корпоративный баланс энергии'!AN362+'корпоративный баланс энергии'!AQ362</f>
        <v>55.08</v>
      </c>
      <c r="N353" s="246"/>
      <c r="O353" s="282"/>
      <c r="P353" s="244">
        <f t="shared" si="20"/>
        <v>169.49</v>
      </c>
      <c r="Q353" s="283"/>
      <c r="R353" s="299"/>
      <c r="S353" s="261"/>
      <c r="T353" s="261"/>
    </row>
    <row r="354" spans="2:20">
      <c r="B354" s="123" t="str">
        <f>'корпоративный баланс энергии'!H363</f>
        <v>Ярославская ТЭЦ2 (Ярославский филиал ОАО "ТГК-2")</v>
      </c>
      <c r="C354" s="516" t="s">
        <v>364</v>
      </c>
      <c r="D354" s="281">
        <f>'корпоративный баланс энергии'!J363+'корпоративный баланс энергии'!M363+'корпоративный баланс энергии'!P363</f>
        <v>321.66800000000001</v>
      </c>
      <c r="E354" s="246"/>
      <c r="F354" s="282"/>
      <c r="G354" s="244">
        <f>'корпоративный баланс энергии'!S363+'корпоративный баланс энергии'!V363+'корпоративный баланс энергии'!Y363</f>
        <v>140.47200000000001</v>
      </c>
      <c r="H354" s="246"/>
      <c r="I354" s="282"/>
      <c r="J354" s="244">
        <f>'корпоративный баланс энергии'!AB363+'корпоративный баланс энергии'!AE363+'корпоративный баланс энергии'!AH363</f>
        <v>92.52</v>
      </c>
      <c r="K354" s="246"/>
      <c r="L354" s="282"/>
      <c r="M354" s="244">
        <f>'корпоративный баланс энергии'!AK363+'корпоративный баланс энергии'!AN363+'корпоративный баланс энергии'!AQ363</f>
        <v>248.73599999999999</v>
      </c>
      <c r="N354" s="246"/>
      <c r="O354" s="282"/>
      <c r="P354" s="244">
        <f t="shared" si="20"/>
        <v>803.39599999999996</v>
      </c>
      <c r="Q354" s="283"/>
      <c r="R354" s="299"/>
      <c r="S354" s="261"/>
      <c r="T354" s="261"/>
    </row>
    <row r="355" spans="2:20">
      <c r="B355" s="123" t="str">
        <f>'корпоративный баланс энергии'!H364</f>
        <v>Ярославская ТЭЦ3 (Ярославский филиал ОАО "ТГК-2")</v>
      </c>
      <c r="C355" s="516" t="s">
        <v>364</v>
      </c>
      <c r="D355" s="281">
        <f>'корпоративный баланс энергии'!J364+'корпоративный баланс энергии'!M364+'корпоративный баланс энергии'!P364</f>
        <v>355.12</v>
      </c>
      <c r="E355" s="246"/>
      <c r="F355" s="282"/>
      <c r="G355" s="244">
        <f>'корпоративный баланс энергии'!S364+'корпоративный баланс энергии'!V364+'корпоративный баланс энергии'!Y364</f>
        <v>149.232</v>
      </c>
      <c r="H355" s="246"/>
      <c r="I355" s="282"/>
      <c r="J355" s="244">
        <f>'корпоративный баланс энергии'!AB364+'корпоративный баланс энергии'!AE364+'корпоративный баланс энергии'!AH364</f>
        <v>93.72</v>
      </c>
      <c r="K355" s="246"/>
      <c r="L355" s="282"/>
      <c r="M355" s="244">
        <f>'корпоративный баланс энергии'!AK364+'корпоративный баланс энергии'!AN364+'корпоративный баланс энергии'!AQ364</f>
        <v>305.74400000000003</v>
      </c>
      <c r="N355" s="246"/>
      <c r="O355" s="282"/>
      <c r="P355" s="244">
        <f t="shared" si="20"/>
        <v>903.81600000000003</v>
      </c>
      <c r="Q355" s="283"/>
      <c r="R355" s="299"/>
      <c r="S355" s="261"/>
      <c r="T355" s="261"/>
    </row>
    <row r="356" spans="2:20">
      <c r="B356" s="123" t="str">
        <f>'корпоративный баланс энергии'!H365</f>
        <v xml:space="preserve">Тутаевская ПГУ (ОАО "Тутаевская ПГУ") 52 МВт НВ  01.01.2017                                  </v>
      </c>
      <c r="C356" s="699" t="s">
        <v>364</v>
      </c>
      <c r="D356" s="281">
        <f>'корпоративный баланс энергии'!J365+'корпоративный баланс энергии'!M365+'корпоративный баланс энергии'!P365</f>
        <v>96.63</v>
      </c>
      <c r="E356" s="246"/>
      <c r="F356" s="282"/>
      <c r="G356" s="244">
        <f>'корпоративный баланс энергии'!S365+'корпоративный баланс энергии'!V365+'корпоративный баланс энергии'!Y365</f>
        <v>102.4</v>
      </c>
      <c r="H356" s="246"/>
      <c r="I356" s="282"/>
      <c r="J356" s="244">
        <f>'корпоративный баланс энергии'!AB365+'корпоративный баланс энергии'!AE365+'корпоративный баланс энергии'!AH365</f>
        <v>88.94</v>
      </c>
      <c r="K356" s="246"/>
      <c r="L356" s="282"/>
      <c r="M356" s="244">
        <f>'корпоративный баланс энергии'!AK365+'корпоративный баланс энергии'!AN365+'корпоративный баланс энергии'!AQ365</f>
        <v>96.09</v>
      </c>
      <c r="N356" s="246"/>
      <c r="O356" s="282"/>
      <c r="P356" s="244">
        <f t="shared" si="20"/>
        <v>384.06000000000006</v>
      </c>
      <c r="Q356" s="246"/>
      <c r="R356" s="282"/>
      <c r="S356" s="261"/>
      <c r="T356" s="261"/>
    </row>
    <row r="357" spans="2:20">
      <c r="B357" s="123" t="str">
        <f>'корпоративный баланс энергии'!H366</f>
        <v>Ярославская ТЭС (ПГУ 450 ООО "Хуадянь-Тенинская ТЭЦ") НВ, ДПМ 01.01.2017</v>
      </c>
      <c r="C357" s="699" t="s">
        <v>364</v>
      </c>
      <c r="D357" s="281">
        <f>'корпоративный баланс энергии'!J366+'корпоративный баланс энергии'!M366+'корпоративный баланс энергии'!P366</f>
        <v>830.76</v>
      </c>
      <c r="E357" s="246"/>
      <c r="F357" s="282"/>
      <c r="G357" s="244">
        <f>'корпоративный баланс энергии'!S366+'корпоративный баланс энергии'!V366+'корпоративный баланс энергии'!Y366</f>
        <v>546.21</v>
      </c>
      <c r="H357" s="246"/>
      <c r="I357" s="282"/>
      <c r="J357" s="244">
        <f>'корпоративный баланс энергии'!AB366+'корпоративный баланс энергии'!AE366+'корпоративный баланс энергии'!AH366</f>
        <v>806.82</v>
      </c>
      <c r="K357" s="246"/>
      <c r="L357" s="282"/>
      <c r="M357" s="244">
        <f>'корпоративный баланс энергии'!AK366+'корпоративный баланс энергии'!AN366+'корпоративный баланс энергии'!AQ366</f>
        <v>849.62999999999988</v>
      </c>
      <c r="N357" s="246"/>
      <c r="O357" s="282"/>
      <c r="P357" s="244">
        <f t="shared" si="20"/>
        <v>3033.42</v>
      </c>
      <c r="Q357" s="246"/>
      <c r="R357" s="282"/>
      <c r="S357" s="261"/>
      <c r="T357" s="261"/>
    </row>
    <row r="358" spans="2:20">
      <c r="B358" s="138" t="s">
        <v>174</v>
      </c>
      <c r="C358" s="488"/>
      <c r="D358" s="287">
        <f>D359+D360</f>
        <v>85.539999999999992</v>
      </c>
      <c r="E358" s="288"/>
      <c r="F358" s="289"/>
      <c r="G358" s="319">
        <f>G359+G360</f>
        <v>77.39</v>
      </c>
      <c r="H358" s="288"/>
      <c r="I358" s="289"/>
      <c r="J358" s="319">
        <f>J359+J360</f>
        <v>80.16</v>
      </c>
      <c r="K358" s="288"/>
      <c r="L358" s="289"/>
      <c r="M358" s="319">
        <f>M359+M360</f>
        <v>86.210000000000008</v>
      </c>
      <c r="N358" s="288"/>
      <c r="O358" s="289"/>
      <c r="P358" s="319">
        <f>P359+P360</f>
        <v>329.3</v>
      </c>
      <c r="Q358" s="288"/>
      <c r="R358" s="289"/>
      <c r="S358" s="261"/>
      <c r="T358" s="261"/>
    </row>
    <row r="359" spans="2:20">
      <c r="B359" s="135" t="str">
        <f>'корпоративный баланс энергии'!H368</f>
        <v xml:space="preserve">ТЭЦ ОАО "Ярославский технический углерод"                                                                                   </v>
      </c>
      <c r="C359" s="515" t="s">
        <v>365</v>
      </c>
      <c r="D359" s="293">
        <f>'корпоративный баланс энергии'!J368+'корпоративный баланс энергии'!M368+'корпоративный баланс энергии'!P368</f>
        <v>36.200000000000003</v>
      </c>
      <c r="E359" s="288"/>
      <c r="F359" s="289"/>
      <c r="G359" s="294">
        <f>'корпоративный баланс энергии'!S368+'корпоративный баланс энергии'!V368+'корпоративный баланс энергии'!Y368</f>
        <v>42.8</v>
      </c>
      <c r="H359" s="288"/>
      <c r="I359" s="289"/>
      <c r="J359" s="294">
        <f>'корпоративный баланс энергии'!AB368+'корпоративный баланс энергии'!AE368+'корпоративный баланс энергии'!AH368</f>
        <v>46.5</v>
      </c>
      <c r="K359" s="288"/>
      <c r="L359" s="289"/>
      <c r="M359" s="294">
        <f>'корпоративный баланс энергии'!AK368+'корпоративный баланс энергии'!AN368+'корпоративный баланс энергии'!AQ368</f>
        <v>37.5</v>
      </c>
      <c r="N359" s="288"/>
      <c r="O359" s="289"/>
      <c r="P359" s="294">
        <f>D359+G359+J359+M359</f>
        <v>163</v>
      </c>
      <c r="Q359" s="288"/>
      <c r="R359" s="289"/>
      <c r="S359" s="261"/>
      <c r="T359" s="261"/>
    </row>
    <row r="360" spans="2:20" ht="16.5" thickBot="1">
      <c r="B360" s="135" t="str">
        <f>'корпоративный баланс энергии'!H369</f>
        <v xml:space="preserve">ТЭЦ НПО "Сатурн"                                                                                                                            </v>
      </c>
      <c r="C360" s="515" t="s">
        <v>365</v>
      </c>
      <c r="D360" s="293">
        <f>'корпоративный баланс энергии'!J369+'корпоративный баланс энергии'!M369+'корпоративный баланс энергии'!P369</f>
        <v>49.339999999999996</v>
      </c>
      <c r="E360" s="288"/>
      <c r="F360" s="289"/>
      <c r="G360" s="294">
        <f>'корпоративный баланс энергии'!S369+'корпоративный баланс энергии'!V369+'корпоративный баланс энергии'!Y369</f>
        <v>34.590000000000003</v>
      </c>
      <c r="H360" s="288"/>
      <c r="I360" s="289"/>
      <c r="J360" s="294">
        <f>'корпоративный баланс энергии'!AB369+'корпоративный баланс энергии'!AE369+'корпоративный баланс энергии'!AH369</f>
        <v>33.659999999999997</v>
      </c>
      <c r="K360" s="288"/>
      <c r="L360" s="289"/>
      <c r="M360" s="294">
        <f>'корпоративный баланс энергии'!AK369+'корпоративный баланс энергии'!AN369+'корпоративный баланс энергии'!AQ369</f>
        <v>48.71</v>
      </c>
      <c r="N360" s="288"/>
      <c r="O360" s="289"/>
      <c r="P360" s="294">
        <f>D360+G360+J360+M360</f>
        <v>166.3</v>
      </c>
      <c r="Q360" s="288"/>
      <c r="R360" s="289"/>
      <c r="S360" s="261"/>
      <c r="T360" s="261"/>
    </row>
    <row r="361" spans="2:20" s="107" customFormat="1" ht="18.75">
      <c r="B361" s="472" t="s">
        <v>37</v>
      </c>
      <c r="C361" s="494"/>
      <c r="D361" s="263">
        <f>D368+D375+D384+D407+D418+D447+D507+D519+D469</f>
        <v>29114.42721465787</v>
      </c>
      <c r="E361" s="264">
        <f>F361-D361</f>
        <v>1156.9990086011712</v>
      </c>
      <c r="F361" s="265">
        <f>F368+F375+F384+F407+F418+F447+F507+F519+F469</f>
        <v>30271.426223259041</v>
      </c>
      <c r="G361" s="266">
        <f>G368+G375+G384+G407+G418+G447+G507+G519+G469</f>
        <v>26065.751457925107</v>
      </c>
      <c r="H361" s="264">
        <f>I361-G361</f>
        <v>-611.99890158182825</v>
      </c>
      <c r="I361" s="265">
        <f>I368+I375+I384+I407+I418+I447+I507+I519+I469</f>
        <v>25453.752556343279</v>
      </c>
      <c r="J361" s="266">
        <f>J368+J375+J384+J407+J418+J447+J507+J519+J469</f>
        <v>25957.752693040857</v>
      </c>
      <c r="K361" s="264">
        <f>L361-J361</f>
        <v>-291.99749289012834</v>
      </c>
      <c r="L361" s="265">
        <f>L368+L375+L384+L407+L418+L447+L507+L519+L469</f>
        <v>25665.755200150728</v>
      </c>
      <c r="M361" s="266">
        <f>M368+M375+M384+M407+M418+M447+M507+M519+M469</f>
        <v>28910.382544254677</v>
      </c>
      <c r="N361" s="264">
        <f>O361-M361</f>
        <v>1566.9937373279135</v>
      </c>
      <c r="O361" s="265">
        <f>O368+O375+O384+O407+O418+O447+O507+O519+O469</f>
        <v>30477.37628158259</v>
      </c>
      <c r="P361" s="266">
        <f>P368+P375+P384+P407+P418+P447+P507+P519+P469</f>
        <v>110048.31390987852</v>
      </c>
      <c r="Q361" s="264">
        <f>R361-P361</f>
        <v>1819.9963514571282</v>
      </c>
      <c r="R361" s="414">
        <f>F361+I361+L361+O361</f>
        <v>111868.31026133565</v>
      </c>
      <c r="S361" s="346"/>
      <c r="T361" s="346"/>
    </row>
    <row r="362" spans="2:20" s="106" customFormat="1">
      <c r="B362" s="10" t="s">
        <v>56</v>
      </c>
      <c r="C362" s="483"/>
      <c r="D362" s="270">
        <f>D369+D376+D385+D408+D419+D448+D508+D520+D470</f>
        <v>16554.733068438291</v>
      </c>
      <c r="E362" s="271"/>
      <c r="F362" s="224"/>
      <c r="G362" s="223">
        <f>G369+G376+G385+G408+G419+G448+G508+G520+G470</f>
        <v>10324.744665479871</v>
      </c>
      <c r="H362" s="271"/>
      <c r="I362" s="224"/>
      <c r="J362" s="223">
        <f>J369+J376+J385+J408+J419+J448+J508+J520+J470</f>
        <v>11048.711338879373</v>
      </c>
      <c r="K362" s="271"/>
      <c r="L362" s="224"/>
      <c r="M362" s="223">
        <f>M369+M376+M385+M408+M419+M448+M508+M520+M470</f>
        <v>15907.683457105537</v>
      </c>
      <c r="N362" s="271"/>
      <c r="O362" s="224"/>
      <c r="P362" s="223">
        <f>P369+P376+P385+P408+P419+P448+P508+P520+P470</f>
        <v>53835.872529903063</v>
      </c>
      <c r="Q362" s="271"/>
      <c r="R362" s="364"/>
      <c r="S362" s="347"/>
      <c r="T362" s="347"/>
    </row>
    <row r="363" spans="2:20" s="106" customFormat="1">
      <c r="B363" s="10" t="s">
        <v>55</v>
      </c>
      <c r="C363" s="483"/>
      <c r="D363" s="270">
        <f>D386+D420+D449+D521+D471</f>
        <v>4531.92822265625</v>
      </c>
      <c r="E363" s="271"/>
      <c r="F363" s="224"/>
      <c r="G363" s="223">
        <f>G386+G420+G449+G521+G471</f>
        <v>7035.6534118652344</v>
      </c>
      <c r="H363" s="271"/>
      <c r="I363" s="224"/>
      <c r="J363" s="223">
        <f>J386+J420+J449+J521+J471</f>
        <v>5270.9605407714844</v>
      </c>
      <c r="K363" s="271"/>
      <c r="L363" s="224"/>
      <c r="M363" s="223">
        <f>M386+M420+M449+M521+M471</f>
        <v>4972.7975158691406</v>
      </c>
      <c r="N363" s="271"/>
      <c r="O363" s="224"/>
      <c r="P363" s="223">
        <f>P386+P420+P449+P521+P471</f>
        <v>21811.339691162109</v>
      </c>
      <c r="Q363" s="271"/>
      <c r="R363" s="364"/>
      <c r="S363" s="347"/>
      <c r="T363" s="347"/>
    </row>
    <row r="364" spans="2:20" s="107" customFormat="1">
      <c r="B364" s="10" t="s">
        <v>98</v>
      </c>
      <c r="C364" s="483"/>
      <c r="D364" s="270">
        <f>D450</f>
        <v>7020</v>
      </c>
      <c r="E364" s="271"/>
      <c r="F364" s="224"/>
      <c r="G364" s="223">
        <f>G450</f>
        <v>7761</v>
      </c>
      <c r="H364" s="271"/>
      <c r="I364" s="224"/>
      <c r="J364" s="223">
        <f>J450</f>
        <v>8747</v>
      </c>
      <c r="K364" s="271"/>
      <c r="L364" s="224"/>
      <c r="M364" s="223">
        <f>M450</f>
        <v>6922</v>
      </c>
      <c r="N364" s="271"/>
      <c r="O364" s="224"/>
      <c r="P364" s="223">
        <f>P450</f>
        <v>30450</v>
      </c>
      <c r="Q364" s="271"/>
      <c r="R364" s="364"/>
      <c r="S364" s="346"/>
      <c r="T364" s="346"/>
    </row>
    <row r="365" spans="2:20" s="107" customFormat="1">
      <c r="B365" s="10" t="s">
        <v>346</v>
      </c>
      <c r="C365" s="483"/>
      <c r="D365" s="270">
        <f>D509</f>
        <v>53.376999999999995</v>
      </c>
      <c r="E365" s="271"/>
      <c r="F365" s="224"/>
      <c r="G365" s="270">
        <f>G509</f>
        <v>65.940000000000012</v>
      </c>
      <c r="H365" s="271"/>
      <c r="I365" s="224"/>
      <c r="J365" s="270">
        <f>J509</f>
        <v>38.307000000000002</v>
      </c>
      <c r="K365" s="271"/>
      <c r="L365" s="224"/>
      <c r="M365" s="270">
        <f>M509</f>
        <v>43.970999999999997</v>
      </c>
      <c r="N365" s="271"/>
      <c r="O365" s="224"/>
      <c r="P365" s="270">
        <f>P509</f>
        <v>201.595</v>
      </c>
      <c r="Q365" s="271"/>
      <c r="R365" s="364"/>
      <c r="S365" s="346"/>
      <c r="T365" s="346"/>
    </row>
    <row r="366" spans="2:20" s="107" customFormat="1">
      <c r="B366" s="10" t="s">
        <v>347</v>
      </c>
      <c r="C366" s="483"/>
      <c r="D366" s="270">
        <f>D421+D451</f>
        <v>28.126000000000001</v>
      </c>
      <c r="E366" s="271"/>
      <c r="F366" s="224"/>
      <c r="G366" s="270">
        <f>G421+G451</f>
        <v>51.156999999999996</v>
      </c>
      <c r="H366" s="271"/>
      <c r="I366" s="224"/>
      <c r="J366" s="270">
        <f>J421+J451</f>
        <v>49.361000000000004</v>
      </c>
      <c r="K366" s="271"/>
      <c r="L366" s="224"/>
      <c r="M366" s="270">
        <f>M421+M451</f>
        <v>15.866</v>
      </c>
      <c r="N366" s="271"/>
      <c r="O366" s="224"/>
      <c r="P366" s="270">
        <f>P421+P451</f>
        <v>144.51</v>
      </c>
      <c r="Q366" s="271"/>
      <c r="R366" s="364"/>
      <c r="S366" s="346"/>
      <c r="T366" s="346"/>
    </row>
    <row r="367" spans="2:20" ht="16.5" thickBot="1">
      <c r="B367" s="121" t="s">
        <v>99</v>
      </c>
      <c r="C367" s="484"/>
      <c r="D367" s="272">
        <f>D370+D377+D387+D409+D422+D452+D510+D472</f>
        <v>926.26292356333329</v>
      </c>
      <c r="E367" s="273"/>
      <c r="F367" s="233"/>
      <c r="G367" s="272">
        <f>G370+G377+G387+G409+G422+G452+G510+G472</f>
        <v>827.25638057999993</v>
      </c>
      <c r="H367" s="273"/>
      <c r="I367" s="233"/>
      <c r="J367" s="272">
        <f>J370+J377+J387+J409+J422+J452+J510+J472</f>
        <v>803.41281338999988</v>
      </c>
      <c r="K367" s="273"/>
      <c r="L367" s="233"/>
      <c r="M367" s="272">
        <f>M370+M377+M387+M409+M422+M452+M510+M472</f>
        <v>1048.0645712800001</v>
      </c>
      <c r="N367" s="273"/>
      <c r="O367" s="233"/>
      <c r="P367" s="272">
        <f>P370+P377+P387+P409+P422+P452+P510+P472</f>
        <v>3604.9966888133331</v>
      </c>
      <c r="Q367" s="273"/>
      <c r="R367" s="233"/>
      <c r="S367" s="261"/>
      <c r="T367" s="261"/>
    </row>
    <row r="368" spans="2:20" ht="18.75">
      <c r="B368" s="473" t="str">
        <f>'корпоративный баланс энергии'!H377</f>
        <v>Энергосистема Республики Марий Эл</v>
      </c>
      <c r="C368" s="495"/>
      <c r="D368" s="274">
        <f>SUM(D369:D370)</f>
        <v>294.06897300000003</v>
      </c>
      <c r="E368" s="275">
        <f>F368-D368</f>
        <v>467.76993837705152</v>
      </c>
      <c r="F368" s="276">
        <f>'корпоративный баланс энергии'!L377+'корпоративный баланс энергии'!O377+'корпоративный баланс энергии'!R377</f>
        <v>761.83891137705155</v>
      </c>
      <c r="G368" s="274">
        <f>SUM(G369:G370)</f>
        <v>182.69554900000003</v>
      </c>
      <c r="H368" s="275">
        <f>I368-G368</f>
        <v>339.94714225487644</v>
      </c>
      <c r="I368" s="276">
        <f>'корпоративный баланс энергии'!U377+'корпоративный баланс энергии'!X377+'корпоративный баланс энергии'!AA377</f>
        <v>522.64269125487647</v>
      </c>
      <c r="J368" s="274">
        <f>SUM(J369:J370)</f>
        <v>201.29</v>
      </c>
      <c r="K368" s="275">
        <f>L368-J368</f>
        <v>378.83934653874098</v>
      </c>
      <c r="L368" s="276">
        <f>'корпоративный баланс энергии'!AD377+'корпоративный баланс энергии'!AG377+'корпоративный баланс энергии'!AJ377</f>
        <v>580.12934653874095</v>
      </c>
      <c r="M368" s="274">
        <f>SUM(M369:M370)</f>
        <v>277.47459100000003</v>
      </c>
      <c r="N368" s="275">
        <f>O368-M368</f>
        <v>447.85718549574676</v>
      </c>
      <c r="O368" s="276">
        <f>'корпоративный баланс энергии'!AM377+'корпоративный баланс энергии'!AP377+'корпоративный баланс энергии'!AS377</f>
        <v>725.33177649574679</v>
      </c>
      <c r="P368" s="274">
        <f>SUM(P369:P370)</f>
        <v>955.52911299999994</v>
      </c>
      <c r="Q368" s="275">
        <f>R368-P368</f>
        <v>1634.4136126664157</v>
      </c>
      <c r="R368" s="276">
        <f>F368+I368+L368+O368</f>
        <v>2589.9427256664158</v>
      </c>
      <c r="S368" s="261"/>
      <c r="T368" s="261"/>
    </row>
    <row r="369" spans="2:20">
      <c r="B369" s="10" t="s">
        <v>56</v>
      </c>
      <c r="C369" s="483"/>
      <c r="D369" s="270">
        <f>SUM(D371:D372)</f>
        <v>217.628973</v>
      </c>
      <c r="E369" s="271"/>
      <c r="F369" s="224"/>
      <c r="G369" s="270">
        <f>SUM(G371:G372)</f>
        <v>111.705549</v>
      </c>
      <c r="H369" s="271"/>
      <c r="I369" s="224"/>
      <c r="J369" s="270">
        <f>SUM(J371:J372)</f>
        <v>126.21</v>
      </c>
      <c r="K369" s="271"/>
      <c r="L369" s="224"/>
      <c r="M369" s="270">
        <f>SUM(M371:M372)</f>
        <v>200.19459100000003</v>
      </c>
      <c r="N369" s="271"/>
      <c r="O369" s="224"/>
      <c r="P369" s="270">
        <f>SUM(P371:P372)</f>
        <v>655.73911299999997</v>
      </c>
      <c r="Q369" s="271"/>
      <c r="R369" s="364"/>
      <c r="S369" s="261"/>
      <c r="T369" s="261"/>
    </row>
    <row r="370" spans="2:20" s="107" customFormat="1">
      <c r="B370" s="10" t="s">
        <v>99</v>
      </c>
      <c r="C370" s="483"/>
      <c r="D370" s="270">
        <f>D373</f>
        <v>76.44</v>
      </c>
      <c r="E370" s="271"/>
      <c r="F370" s="224"/>
      <c r="G370" s="270">
        <f>G373</f>
        <v>70.990000000000009</v>
      </c>
      <c r="H370" s="271"/>
      <c r="I370" s="224"/>
      <c r="J370" s="270">
        <f>J373</f>
        <v>75.08</v>
      </c>
      <c r="K370" s="271"/>
      <c r="L370" s="224"/>
      <c r="M370" s="270">
        <f>M373</f>
        <v>77.28</v>
      </c>
      <c r="N370" s="271"/>
      <c r="O370" s="224"/>
      <c r="P370" s="270">
        <f>P373</f>
        <v>299.78999999999996</v>
      </c>
      <c r="Q370" s="271"/>
      <c r="R370" s="364"/>
      <c r="S370" s="346"/>
      <c r="T370" s="346"/>
    </row>
    <row r="371" spans="2:20">
      <c r="B371" s="127" t="str">
        <f>'корпоративный баланс энергии'!H380</f>
        <v>Йошкар-Олинская ТЭЦ-2 (Филиал "Марий Эл и Чувашии" ПАО "Т Плюс")</v>
      </c>
      <c r="C371" s="516" t="s">
        <v>364</v>
      </c>
      <c r="D371" s="281">
        <f>'корпоративный баланс энергии'!J380+'корпоративный баланс энергии'!M380+'корпоративный баланс энергии'!P380</f>
        <v>215.98</v>
      </c>
      <c r="E371" s="246"/>
      <c r="F371" s="282"/>
      <c r="G371" s="244">
        <f>'корпоративный баланс энергии'!S380+'корпоративный баланс энергии'!V380+'корпоративный баланс энергии'!Y380</f>
        <v>110.78200000000001</v>
      </c>
      <c r="H371" s="246"/>
      <c r="I371" s="282"/>
      <c r="J371" s="244">
        <f>'корпоративный баланс энергии'!AB380+'корпоративный баланс энергии'!AE380+'корпоративный баланс энергии'!AH380</f>
        <v>126.21</v>
      </c>
      <c r="K371" s="246"/>
      <c r="L371" s="282"/>
      <c r="M371" s="244">
        <f>'корпоративный баланс энергии'!AK380+'корпоративный баланс энергии'!AN380+'корпоративный баланс энергии'!AQ380</f>
        <v>197.98000000000002</v>
      </c>
      <c r="N371" s="246"/>
      <c r="O371" s="282"/>
      <c r="P371" s="244">
        <f>D371+G371+J371+M371</f>
        <v>650.952</v>
      </c>
      <c r="Q371" s="283"/>
      <c r="R371" s="299"/>
      <c r="S371" s="261"/>
      <c r="T371" s="261"/>
    </row>
    <row r="372" spans="2:20">
      <c r="B372" s="127" t="str">
        <f>'корпоративный баланс энергии'!H381</f>
        <v>Йошкар-Олинская ТЭЦ-1 (МУП Йошкар-Олинская ТЭЦ-1)</v>
      </c>
      <c r="C372" s="516" t="s">
        <v>364</v>
      </c>
      <c r="D372" s="281">
        <f>'корпоративный баланс энергии'!J381+'корпоративный баланс энергии'!M381+'корпоративный баланс энергии'!P381</f>
        <v>1.6489729999999998</v>
      </c>
      <c r="E372" s="246"/>
      <c r="F372" s="282"/>
      <c r="G372" s="244">
        <f>'корпоративный баланс энергии'!S381+'корпоративный баланс энергии'!V381+'корпоративный баланс энергии'!Y381</f>
        <v>0.92354899999999995</v>
      </c>
      <c r="H372" s="246"/>
      <c r="I372" s="282"/>
      <c r="J372" s="244">
        <f>'корпоративный баланс энергии'!AB381+'корпоративный баланс энергии'!AE381+'корпоративный баланс энергии'!AH381</f>
        <v>0</v>
      </c>
      <c r="K372" s="246"/>
      <c r="L372" s="282"/>
      <c r="M372" s="244">
        <f>'корпоративный баланс энергии'!AK381+'корпоративный баланс энергии'!AN381+'корпоративный баланс энергии'!AQ381</f>
        <v>2.214591</v>
      </c>
      <c r="N372" s="246"/>
      <c r="O372" s="282"/>
      <c r="P372" s="244">
        <f>D372+G372+J372+M372</f>
        <v>4.7871129999999997</v>
      </c>
      <c r="Q372" s="283"/>
      <c r="R372" s="299"/>
      <c r="S372" s="261"/>
      <c r="T372" s="261"/>
    </row>
    <row r="373" spans="2:20" s="6" customFormat="1">
      <c r="B373" s="138" t="s">
        <v>174</v>
      </c>
      <c r="C373" s="488"/>
      <c r="D373" s="287">
        <f>D374</f>
        <v>76.44</v>
      </c>
      <c r="E373" s="288"/>
      <c r="F373" s="289"/>
      <c r="G373" s="287">
        <f>G374</f>
        <v>70.990000000000009</v>
      </c>
      <c r="H373" s="288"/>
      <c r="I373" s="289"/>
      <c r="J373" s="287">
        <f>J374</f>
        <v>75.08</v>
      </c>
      <c r="K373" s="288"/>
      <c r="L373" s="289"/>
      <c r="M373" s="287">
        <f>M374</f>
        <v>77.28</v>
      </c>
      <c r="N373" s="288"/>
      <c r="O373" s="289"/>
      <c r="P373" s="287">
        <f>P374</f>
        <v>299.78999999999996</v>
      </c>
      <c r="Q373" s="288"/>
      <c r="R373" s="289"/>
      <c r="S373" s="322"/>
      <c r="T373" s="322"/>
    </row>
    <row r="374" spans="2:20" s="6" customFormat="1">
      <c r="B374" s="135" t="str">
        <f>'корпоративный баланс энергии'!H383</f>
        <v>ТЭЦ АО "Марийский ЦБК"</v>
      </c>
      <c r="C374" s="518" t="s">
        <v>365</v>
      </c>
      <c r="D374" s="293">
        <f>'корпоративный баланс энергии'!J383+'корпоративный баланс энергии'!M383+'корпоративный баланс энергии'!P383</f>
        <v>76.44</v>
      </c>
      <c r="E374" s="288"/>
      <c r="F374" s="289"/>
      <c r="G374" s="294">
        <f>'корпоративный баланс энергии'!S383+'корпоративный баланс энергии'!V383+'корпоративный баланс энергии'!Y383</f>
        <v>70.990000000000009</v>
      </c>
      <c r="H374" s="288"/>
      <c r="I374" s="289"/>
      <c r="J374" s="294">
        <f>'корпоративный баланс энергии'!AB383+'корпоративный баланс энергии'!AE383+'корпоративный баланс энергии'!AH383</f>
        <v>75.08</v>
      </c>
      <c r="K374" s="288"/>
      <c r="L374" s="289"/>
      <c r="M374" s="294">
        <f>'корпоративный баланс энергии'!AK383+'корпоративный баланс энергии'!AN383+'корпоративный баланс энергии'!AQ383</f>
        <v>77.28</v>
      </c>
      <c r="N374" s="288"/>
      <c r="O374" s="289"/>
      <c r="P374" s="294">
        <f>D374+G374+J374+M374</f>
        <v>299.78999999999996</v>
      </c>
      <c r="Q374" s="288"/>
      <c r="R374" s="289"/>
      <c r="S374" s="322"/>
      <c r="T374" s="322"/>
    </row>
    <row r="375" spans="2:20" s="6" customFormat="1" ht="18.75">
      <c r="B375" s="473" t="str">
        <f>'корпоративный баланс энергии'!H384</f>
        <v>Энергосистема Республики Мордовия</v>
      </c>
      <c r="C375" s="495"/>
      <c r="D375" s="274">
        <f>SUM(D376:D377)</f>
        <v>504.4</v>
      </c>
      <c r="E375" s="275">
        <f>F375-D375</f>
        <v>399.5538798346189</v>
      </c>
      <c r="F375" s="276">
        <f>'корпоративный баланс энергии'!L384+'корпоративный баланс энергии'!O384+'корпоративный баланс энергии'!R384</f>
        <v>903.95387983461887</v>
      </c>
      <c r="G375" s="274">
        <f>SUM(G376:G377)</f>
        <v>324.5477165333333</v>
      </c>
      <c r="H375" s="275">
        <f>I375-G375</f>
        <v>441.37049669028647</v>
      </c>
      <c r="I375" s="276">
        <f>'корпоративный баланс энергии'!U384+'корпоративный баланс энергии'!X384+'корпоративный баланс энергии'!AA384</f>
        <v>765.91821322361977</v>
      </c>
      <c r="J375" s="274">
        <f>SUM(J376:J377)</f>
        <v>322.32293333333331</v>
      </c>
      <c r="K375" s="275">
        <f>L375-J375</f>
        <v>457.03139216998972</v>
      </c>
      <c r="L375" s="276">
        <f>'корпоративный баланс энергии'!AD384+'корпоративный баланс энергии'!AG384+'корпоративный баланс энергии'!AJ384</f>
        <v>779.35432550332303</v>
      </c>
      <c r="M375" s="274">
        <f>SUM(M376:M377)</f>
        <v>502.73026666666658</v>
      </c>
      <c r="N375" s="275">
        <f>O375-M375</f>
        <v>428.96471260574003</v>
      </c>
      <c r="O375" s="276">
        <f>'корпоративный баланс энергии'!AM384+'корпоративный баланс энергии'!AP384+'корпоративный баланс энергии'!AS384</f>
        <v>931.69497927240661</v>
      </c>
      <c r="P375" s="274">
        <f>SUM(P376:P377)</f>
        <v>1654.0009165333331</v>
      </c>
      <c r="Q375" s="275">
        <f>R375-P375</f>
        <v>1726.9204813006349</v>
      </c>
      <c r="R375" s="276">
        <f>F375+I375+L375+O375</f>
        <v>3380.9213978339681</v>
      </c>
      <c r="S375" s="322"/>
      <c r="T375" s="322"/>
    </row>
    <row r="376" spans="2:20" s="6" customFormat="1">
      <c r="B376" s="10" t="s">
        <v>56</v>
      </c>
      <c r="C376" s="483"/>
      <c r="D376" s="270">
        <f>SUM(D378:D379)</f>
        <v>430.40999999999997</v>
      </c>
      <c r="E376" s="271"/>
      <c r="F376" s="224"/>
      <c r="G376" s="270">
        <f>SUM(G378:G379)</f>
        <v>214.09173333333331</v>
      </c>
      <c r="H376" s="271"/>
      <c r="I376" s="224"/>
      <c r="J376" s="270">
        <f>SUM(J378:J379)</f>
        <v>194.13293333333331</v>
      </c>
      <c r="K376" s="271"/>
      <c r="L376" s="224"/>
      <c r="M376" s="270">
        <f>SUM(M378:M379)</f>
        <v>379.07026666666661</v>
      </c>
      <c r="N376" s="271"/>
      <c r="O376" s="224"/>
      <c r="P376" s="270">
        <f>SUM(P378:P379)</f>
        <v>1217.7049333333332</v>
      </c>
      <c r="Q376" s="271"/>
      <c r="R376" s="364"/>
      <c r="S376" s="322"/>
      <c r="T376" s="322"/>
    </row>
    <row r="377" spans="2:20" s="107" customFormat="1">
      <c r="B377" s="10" t="s">
        <v>99</v>
      </c>
      <c r="C377" s="483"/>
      <c r="D377" s="270">
        <f>D380</f>
        <v>73.989999999999995</v>
      </c>
      <c r="E377" s="271"/>
      <c r="F377" s="224"/>
      <c r="G377" s="270">
        <f>G380</f>
        <v>110.45598319999999</v>
      </c>
      <c r="H377" s="271"/>
      <c r="I377" s="224"/>
      <c r="J377" s="270">
        <f>J380</f>
        <v>128.19</v>
      </c>
      <c r="K377" s="271"/>
      <c r="L377" s="224"/>
      <c r="M377" s="270">
        <f>M380</f>
        <v>123.66</v>
      </c>
      <c r="N377" s="271"/>
      <c r="O377" s="224"/>
      <c r="P377" s="270">
        <f>P380</f>
        <v>436.29598319999997</v>
      </c>
      <c r="Q377" s="271"/>
      <c r="R377" s="364"/>
      <c r="S377" s="346"/>
      <c r="T377" s="346"/>
    </row>
    <row r="378" spans="2:20" s="107" customFormat="1">
      <c r="B378" s="127" t="str">
        <f>'корпоративный баланс энергии'!H387</f>
        <v>Саранская ТЭЦ-2 (Филиал "Мордовский" ПАО "Т Плюс")</v>
      </c>
      <c r="C378" s="516" t="s">
        <v>364</v>
      </c>
      <c r="D378" s="281">
        <f>'корпоративный баланс энергии'!J387+'корпоративный баланс энергии'!M387+'корпоративный баланс энергии'!P387</f>
        <v>399.61099999999999</v>
      </c>
      <c r="E378" s="246"/>
      <c r="F378" s="282"/>
      <c r="G378" s="244">
        <f>'корпоративный баланс энергии'!S387+'корпоративный баланс энергии'!V387+'корпоративный баланс энергии'!Y387</f>
        <v>198.57233333333332</v>
      </c>
      <c r="H378" s="246"/>
      <c r="I378" s="282"/>
      <c r="J378" s="244">
        <f>'корпоративный баланс энергии'!AB387+'корпоративный баланс энергии'!AE387+'корпоративный баланс энергии'!AH387</f>
        <v>179.28833333333333</v>
      </c>
      <c r="K378" s="246"/>
      <c r="L378" s="282"/>
      <c r="M378" s="244">
        <f>'корпоративный баланс энергии'!AK387+'корпоративный баланс энергии'!AN387+'корпоративный баланс энергии'!AQ387</f>
        <v>351.15266666666662</v>
      </c>
      <c r="N378" s="246"/>
      <c r="O378" s="282"/>
      <c r="P378" s="244">
        <f>D378+G378+J378+M378</f>
        <v>1128.6243333333332</v>
      </c>
      <c r="Q378" s="283"/>
      <c r="R378" s="299"/>
      <c r="S378" s="346"/>
      <c r="T378" s="346"/>
    </row>
    <row r="379" spans="2:20" s="107" customFormat="1">
      <c r="B379" s="127" t="str">
        <f>'корпоративный баланс энергии'!H388</f>
        <v xml:space="preserve">Саранская ГТ-ТЭЦ  (АО "ГТ Энерго") </v>
      </c>
      <c r="C379" s="516" t="s">
        <v>364</v>
      </c>
      <c r="D379" s="281">
        <f>'корпоративный баланс энергии'!J388+'корпоративный баланс энергии'!M388+'корпоративный баланс энергии'!P388</f>
        <v>30.798999999999999</v>
      </c>
      <c r="E379" s="246"/>
      <c r="F379" s="282"/>
      <c r="G379" s="244">
        <f>'корпоративный баланс энергии'!S388+'корпоративный баланс энергии'!V388+'корпоративный баланс энергии'!Y388</f>
        <v>15.519399999999999</v>
      </c>
      <c r="H379" s="246"/>
      <c r="I379" s="282"/>
      <c r="J379" s="244">
        <f>'корпоративный баланс энергии'!AB388+'корпоративный баланс энергии'!AE388+'корпоративный баланс энергии'!AH388</f>
        <v>14.8446</v>
      </c>
      <c r="K379" s="246"/>
      <c r="L379" s="282"/>
      <c r="M379" s="244">
        <f>'корпоративный баланс энергии'!AK388+'корпоративный баланс энергии'!AN388+'корпоративный баланс энергии'!AQ388</f>
        <v>27.9176</v>
      </c>
      <c r="N379" s="246"/>
      <c r="O379" s="282"/>
      <c r="P379" s="244">
        <f>D379+G379+J379+M379</f>
        <v>89.080600000000004</v>
      </c>
      <c r="Q379" s="246"/>
      <c r="R379" s="282"/>
      <c r="S379" s="346"/>
      <c r="T379" s="346"/>
    </row>
    <row r="380" spans="2:20" s="107" customFormat="1">
      <c r="B380" s="138" t="s">
        <v>174</v>
      </c>
      <c r="C380" s="488"/>
      <c r="D380" s="287">
        <f>SUM(D381:D383)</f>
        <v>73.989999999999995</v>
      </c>
      <c r="E380" s="288"/>
      <c r="F380" s="289"/>
      <c r="G380" s="287">
        <f>SUM(G381:G383)</f>
        <v>110.45598319999999</v>
      </c>
      <c r="H380" s="288"/>
      <c r="I380" s="289"/>
      <c r="J380" s="287">
        <f>SUM(J381:J383)</f>
        <v>128.19</v>
      </c>
      <c r="K380" s="288"/>
      <c r="L380" s="289"/>
      <c r="M380" s="287">
        <f>SUM(M381:M383)</f>
        <v>123.66</v>
      </c>
      <c r="N380" s="288"/>
      <c r="O380" s="289"/>
      <c r="P380" s="287">
        <f>SUM(P381:P383)</f>
        <v>436.29598319999997</v>
      </c>
      <c r="Q380" s="288"/>
      <c r="R380" s="289"/>
      <c r="S380" s="346"/>
      <c r="T380" s="346"/>
    </row>
    <row r="381" spans="2:20" s="107" customFormat="1">
      <c r="B381" s="135" t="str">
        <f>'корпоративный баланс энергии'!H390</f>
        <v>ТЭЦ ООО "Ромодановосахар"</v>
      </c>
      <c r="C381" s="518" t="s">
        <v>365</v>
      </c>
      <c r="D381" s="293">
        <f>'корпоративный баланс энергии'!J390+'корпоративный баланс энергии'!M390+'корпоративный баланс энергии'!P390</f>
        <v>0</v>
      </c>
      <c r="E381" s="288"/>
      <c r="F381" s="289"/>
      <c r="G381" s="294">
        <f>'корпоративный баланс энергии'!S390+'корпоративный баланс энергии'!V390+'корпоративный баланс энергии'!Y390</f>
        <v>0</v>
      </c>
      <c r="H381" s="288"/>
      <c r="I381" s="289"/>
      <c r="J381" s="294">
        <f>'корпоративный баланс энергии'!AB390+'корпоративный баланс энергии'!AE390+'корпоративный баланс энергии'!AH390</f>
        <v>8.2799999999999994</v>
      </c>
      <c r="K381" s="288"/>
      <c r="L381" s="289"/>
      <c r="M381" s="294">
        <f>'корпоративный баланс энергии'!AK390+'корпоративный баланс энергии'!AN390+'корпоративный баланс энергии'!AQ390</f>
        <v>25.4</v>
      </c>
      <c r="N381" s="288"/>
      <c r="O381" s="289"/>
      <c r="P381" s="294">
        <f>D381+G381+J381+M381</f>
        <v>33.68</v>
      </c>
      <c r="Q381" s="288"/>
      <c r="R381" s="289"/>
      <c r="S381" s="346"/>
      <c r="T381" s="346"/>
    </row>
    <row r="382" spans="2:20">
      <c r="B382" s="135" t="str">
        <f>'корпоративный баланс энергии'!H391</f>
        <v>ПГЭС ПАО "Мордовцемент"</v>
      </c>
      <c r="C382" s="518" t="s">
        <v>365</v>
      </c>
      <c r="D382" s="293">
        <f>'корпоративный баланс энергии'!J391+'корпоративный баланс энергии'!M391+'корпоративный баланс энергии'!P391</f>
        <v>70.789999999999992</v>
      </c>
      <c r="E382" s="288"/>
      <c r="F382" s="289"/>
      <c r="G382" s="294">
        <f>'корпоративный баланс энергии'!S391+'корпоративный баланс энергии'!V391+'корпоративный баланс энергии'!Y391</f>
        <v>106.95598319999999</v>
      </c>
      <c r="H382" s="288"/>
      <c r="I382" s="289"/>
      <c r="J382" s="294">
        <f>'корпоративный баланс энергии'!AB391+'корпоративный баланс энергии'!AE391+'корпоративный баланс энергии'!AH391</f>
        <v>116.10999999999999</v>
      </c>
      <c r="K382" s="288"/>
      <c r="L382" s="289"/>
      <c r="M382" s="294">
        <f>'корпоративный баланс энергии'!AK391+'корпоративный баланс энергии'!AN391+'корпоративный баланс энергии'!AQ391</f>
        <v>95.509999999999991</v>
      </c>
      <c r="N382" s="288"/>
      <c r="O382" s="289"/>
      <c r="P382" s="294">
        <f>D382+G382+J382+M382</f>
        <v>389.36598319999996</v>
      </c>
      <c r="Q382" s="348"/>
      <c r="R382" s="349"/>
      <c r="S382" s="261"/>
      <c r="T382" s="261"/>
    </row>
    <row r="383" spans="2:20">
      <c r="B383" s="135" t="str">
        <f>'корпоративный баланс энергии'!H392</f>
        <v>ГТЭС "Явасская" (ООО "Газпром трансгаз Нижний Новгород")</v>
      </c>
      <c r="C383" s="518" t="s">
        <v>365</v>
      </c>
      <c r="D383" s="293">
        <f>'корпоративный баланс энергии'!J392+'корпоративный баланс энергии'!M392+'корпоративный баланс энергии'!P392</f>
        <v>3.2</v>
      </c>
      <c r="E383" s="288"/>
      <c r="F383" s="289"/>
      <c r="G383" s="294">
        <f>'корпоративный баланс энергии'!S392+'корпоративный баланс энергии'!V392+'корпоративный баланс энергии'!Y392</f>
        <v>3.5</v>
      </c>
      <c r="H383" s="288"/>
      <c r="I383" s="289"/>
      <c r="J383" s="294">
        <f>'корпоративный баланс энергии'!AB392+'корпоративный баланс энергии'!AE392+'корпоративный баланс энергии'!AH392</f>
        <v>3.8</v>
      </c>
      <c r="K383" s="288"/>
      <c r="L383" s="289"/>
      <c r="M383" s="294">
        <f>'корпоративный баланс энергии'!AK392+'корпоративный баланс энергии'!AN392+'корпоративный баланс энергии'!AQ392</f>
        <v>2.75</v>
      </c>
      <c r="N383" s="288"/>
      <c r="O383" s="289"/>
      <c r="P383" s="294">
        <f>D383+G383+J383+M383</f>
        <v>13.25</v>
      </c>
      <c r="Q383" s="348"/>
      <c r="R383" s="349"/>
      <c r="S383" s="261"/>
      <c r="T383" s="261"/>
    </row>
    <row r="384" spans="2:20" ht="18.75">
      <c r="B384" s="473" t="str">
        <f>'корпоративный баланс энергии'!H393</f>
        <v>Энергосистема Нижегородской области</v>
      </c>
      <c r="C384" s="495"/>
      <c r="D384" s="274">
        <f>SUM(D385:D387)</f>
        <v>2961.0799174194335</v>
      </c>
      <c r="E384" s="275">
        <f>F384-D384</f>
        <v>2880.2428531245769</v>
      </c>
      <c r="F384" s="276">
        <f>'корпоративный баланс энергии'!L393+'корпоративный баланс энергии'!O393+'корпоративный баланс энергии'!R393</f>
        <v>5841.3227705440104</v>
      </c>
      <c r="G384" s="274">
        <f>SUM(G385:G387)</f>
        <v>2333.4632404785157</v>
      </c>
      <c r="H384" s="275">
        <f>I384-G384</f>
        <v>2415.8627316302486</v>
      </c>
      <c r="I384" s="276">
        <f>'корпоративный баланс энергии'!U393+'корпоративный баланс энергии'!X393+'корпоративный баланс энергии'!AA393</f>
        <v>4749.3259721087643</v>
      </c>
      <c r="J384" s="274">
        <f>SUM(J385:J387)</f>
        <v>2291.4549031982424</v>
      </c>
      <c r="K384" s="275">
        <f>L384-J384</f>
        <v>2441.8757010761501</v>
      </c>
      <c r="L384" s="276">
        <f>'корпоративный баланс энергии'!AD393+'корпоративный баланс энергии'!AG393+'корпоративный баланс энергии'!AJ393</f>
        <v>4733.3306042743925</v>
      </c>
      <c r="M384" s="274">
        <f>SUM(M385:M387)</f>
        <v>2957.1099314575195</v>
      </c>
      <c r="N384" s="275">
        <f>O384-M384</f>
        <v>2942.2928814892566</v>
      </c>
      <c r="O384" s="276">
        <f>'корпоративный баланс энергии'!AM393+'корпоративный баланс энергии'!AP393+'корпоративный баланс энергии'!AS393</f>
        <v>5899.4028129467761</v>
      </c>
      <c r="P384" s="274">
        <f>SUM(P385:P387)</f>
        <v>10543.107992553711</v>
      </c>
      <c r="Q384" s="275">
        <f>R384-P384</f>
        <v>10680.274167320234</v>
      </c>
      <c r="R384" s="276">
        <f>F384+I384+L384+O384</f>
        <v>21223.382159873945</v>
      </c>
      <c r="S384" s="261"/>
      <c r="T384" s="261"/>
    </row>
    <row r="385" spans="2:20">
      <c r="B385" s="10" t="s">
        <v>56</v>
      </c>
      <c r="C385" s="483"/>
      <c r="D385" s="270">
        <f>D388+D390+D394+SUM(D398:D400)+D403</f>
        <v>2579.748</v>
      </c>
      <c r="E385" s="271"/>
      <c r="F385" s="224"/>
      <c r="G385" s="270">
        <f>G388+G390+G394+SUM(G398:G400)+G403</f>
        <v>1837.818</v>
      </c>
      <c r="H385" s="271"/>
      <c r="I385" s="224"/>
      <c r="J385" s="270">
        <f>J388+J390+J394+SUM(J398:J400)+J403</f>
        <v>1908.3360000000002</v>
      </c>
      <c r="K385" s="271"/>
      <c r="L385" s="224"/>
      <c r="M385" s="270">
        <f>M388+M390+M394+SUM(M398:M400)+M403</f>
        <v>2558.9279999999999</v>
      </c>
      <c r="N385" s="271"/>
      <c r="O385" s="224"/>
      <c r="P385" s="270">
        <f>P388+P390+P394+SUM(P398:P400)+P403</f>
        <v>8884.83</v>
      </c>
      <c r="Q385" s="271"/>
      <c r="R385" s="364"/>
      <c r="S385" s="261"/>
      <c r="T385" s="261"/>
    </row>
    <row r="386" spans="2:20" s="107" customFormat="1">
      <c r="B386" s="10" t="s">
        <v>55</v>
      </c>
      <c r="C386" s="483"/>
      <c r="D386" s="270">
        <f>D404</f>
        <v>355.44191741943359</v>
      </c>
      <c r="E386" s="271"/>
      <c r="F386" s="224"/>
      <c r="G386" s="270">
        <f>G404</f>
        <v>484.71524047851563</v>
      </c>
      <c r="H386" s="271"/>
      <c r="I386" s="224"/>
      <c r="J386" s="270">
        <f>J404</f>
        <v>374.82890319824219</v>
      </c>
      <c r="K386" s="271"/>
      <c r="L386" s="224"/>
      <c r="M386" s="270">
        <f>M404</f>
        <v>372.72193145751953</v>
      </c>
      <c r="N386" s="271"/>
      <c r="O386" s="224"/>
      <c r="P386" s="270">
        <f>P404</f>
        <v>1587.7079925537109</v>
      </c>
      <c r="Q386" s="271"/>
      <c r="R386" s="364"/>
      <c r="S386" s="346"/>
      <c r="T386" s="346"/>
    </row>
    <row r="387" spans="2:20" s="107" customFormat="1">
      <c r="B387" s="10" t="s">
        <v>99</v>
      </c>
      <c r="C387" s="483"/>
      <c r="D387" s="270">
        <f>D405</f>
        <v>25.89</v>
      </c>
      <c r="E387" s="271"/>
      <c r="F387" s="224"/>
      <c r="G387" s="270">
        <f>G405</f>
        <v>10.93</v>
      </c>
      <c r="H387" s="271"/>
      <c r="I387" s="224"/>
      <c r="J387" s="270">
        <f>J405</f>
        <v>8.2899999999999991</v>
      </c>
      <c r="K387" s="271"/>
      <c r="L387" s="224"/>
      <c r="M387" s="270">
        <f>M405</f>
        <v>25.46</v>
      </c>
      <c r="N387" s="271"/>
      <c r="O387" s="224"/>
      <c r="P387" s="270">
        <f>P405</f>
        <v>70.569999999999993</v>
      </c>
      <c r="Q387" s="271"/>
      <c r="R387" s="364"/>
      <c r="S387" s="346"/>
      <c r="T387" s="346"/>
    </row>
    <row r="388" spans="2:20">
      <c r="B388" s="127" t="str">
        <f>'корпоративный баланс энергии'!H397</f>
        <v>Нижегородская ГРЭС (АО "Волга")</v>
      </c>
      <c r="C388" s="519" t="s">
        <v>365</v>
      </c>
      <c r="D388" s="281">
        <f>'корпоративный баланс энергии'!J397+'корпоративный баланс энергии'!M397+'корпоративный баланс энергии'!P397</f>
        <v>201.51000000000002</v>
      </c>
      <c r="E388" s="246"/>
      <c r="F388" s="282"/>
      <c r="G388" s="244">
        <f>'корпоративный баланс энергии'!S397+'корпоративный баланс энергии'!V397+'корпоративный баланс энергии'!Y397</f>
        <v>110.67</v>
      </c>
      <c r="H388" s="246"/>
      <c r="I388" s="282"/>
      <c r="J388" s="244">
        <f>'корпоративный баланс энергии'!AB397+'корпоративный баланс энергии'!AE397+'корпоративный баланс энергии'!AH397</f>
        <v>152.38</v>
      </c>
      <c r="K388" s="246"/>
      <c r="L388" s="282"/>
      <c r="M388" s="244">
        <f>'корпоративный баланс энергии'!AK397+'корпоративный баланс энергии'!AN397+'корпоративный баланс энергии'!AQ397</f>
        <v>199.01</v>
      </c>
      <c r="N388" s="246"/>
      <c r="O388" s="282"/>
      <c r="P388" s="244">
        <f>D388+G388+J388+M388</f>
        <v>663.56999999999994</v>
      </c>
      <c r="Q388" s="283"/>
      <c r="R388" s="299"/>
      <c r="S388" s="261"/>
      <c r="T388" s="261"/>
    </row>
    <row r="389" spans="2:20" s="107" customFormat="1" hidden="1">
      <c r="B389" s="127" t="s">
        <v>188</v>
      </c>
      <c r="C389" s="487"/>
      <c r="D389" s="281"/>
      <c r="E389" s="246"/>
      <c r="F389" s="282"/>
      <c r="G389" s="281"/>
      <c r="H389" s="246"/>
      <c r="I389" s="282"/>
      <c r="J389" s="281"/>
      <c r="K389" s="246"/>
      <c r="L389" s="282"/>
      <c r="M389" s="281"/>
      <c r="N389" s="246"/>
      <c r="O389" s="282"/>
      <c r="P389" s="244" t="e">
        <f>D389+G389+J389+M389+#REF!+#REF!+#REF!+#REF!+#REF!+#REF!+#REF!+#REF!</f>
        <v>#REF!</v>
      </c>
      <c r="Q389" s="283"/>
      <c r="R389" s="299"/>
      <c r="S389" s="346"/>
      <c r="T389" s="346"/>
    </row>
    <row r="390" spans="2:20" s="107" customFormat="1">
      <c r="B390" s="132" t="str">
        <f>'корпоративный баланс энергии'!H399</f>
        <v>Новогорьковская ТЭЦ (Филиал "Нижегородский" ПАО "Т Плюс")</v>
      </c>
      <c r="C390" s="516" t="s">
        <v>364</v>
      </c>
      <c r="D390" s="317">
        <f>SUM(D391:D393)</f>
        <v>838.81999999999994</v>
      </c>
      <c r="E390" s="246"/>
      <c r="F390" s="282"/>
      <c r="G390" s="317">
        <f>SUM(G391:G393)</f>
        <v>846.54000000000008</v>
      </c>
      <c r="H390" s="246"/>
      <c r="I390" s="282"/>
      <c r="J390" s="317">
        <f>SUM(J391:J393)</f>
        <v>841.84</v>
      </c>
      <c r="K390" s="246"/>
      <c r="L390" s="282"/>
      <c r="M390" s="317">
        <f>SUM(M391:M393)</f>
        <v>945.11</v>
      </c>
      <c r="N390" s="246"/>
      <c r="O390" s="282"/>
      <c r="P390" s="317">
        <f>SUM(P391:P393)</f>
        <v>3472.3100000000004</v>
      </c>
      <c r="Q390" s="283"/>
      <c r="R390" s="299"/>
      <c r="S390" s="346"/>
      <c r="T390" s="346"/>
    </row>
    <row r="391" spans="2:20" s="107" customFormat="1">
      <c r="B391" s="127" t="str">
        <f>'корпоративный баланс энергии'!H400</f>
        <v>Новогорьковская ТЭЦ (Филиал "Нижегородский" ПАО "Т Плюс") без ДПМ/НВ/ВР</v>
      </c>
      <c r="C391" s="487"/>
      <c r="D391" s="281">
        <f>'корпоративный баланс энергии'!J400+'корпоративный баланс энергии'!M400+'корпоративный баланс энергии'!P400</f>
        <v>386.32</v>
      </c>
      <c r="E391" s="246"/>
      <c r="F391" s="282"/>
      <c r="G391" s="244">
        <f>'корпоративный баланс энергии'!S400+'корпоративный баланс энергии'!V400+'корпоративный баланс энергии'!Y400</f>
        <v>278.7</v>
      </c>
      <c r="H391" s="246"/>
      <c r="I391" s="282"/>
      <c r="J391" s="244">
        <f>'корпоративный баланс энергии'!AB400+'корпоративный баланс энергии'!AE400+'корпоративный баланс энергии'!AH400</f>
        <v>267.19</v>
      </c>
      <c r="K391" s="246"/>
      <c r="L391" s="282"/>
      <c r="M391" s="244">
        <f>'корпоративный баланс энергии'!AK400+'корпоративный баланс энергии'!AN400+'корпоративный баланс энергии'!AQ400</f>
        <v>348.25</v>
      </c>
      <c r="N391" s="246"/>
      <c r="O391" s="282"/>
      <c r="P391" s="244">
        <f>D391+G391+J391+M391</f>
        <v>1280.46</v>
      </c>
      <c r="Q391" s="283"/>
      <c r="R391" s="299"/>
      <c r="S391" s="346"/>
      <c r="T391" s="346"/>
    </row>
    <row r="392" spans="2:20" s="107" customFormat="1">
      <c r="B392" s="127" t="str">
        <f>'корпоративный баланс энергии'!H401</f>
        <v>Новогорьковская ТЭЦ (Филиал "Нижегородский" ПАО "Т Плюс") ПГУ(1) ДПМ НВ</v>
      </c>
      <c r="C392" s="487"/>
      <c r="D392" s="281">
        <f>'корпоративный баланс энергии'!J401+'корпоративный баланс энергии'!M401+'корпоративный баланс энергии'!P401</f>
        <v>226.18</v>
      </c>
      <c r="E392" s="246"/>
      <c r="F392" s="282"/>
      <c r="G392" s="244">
        <f>'корпоративный баланс энергии'!S401+'корпоративный баланс энергии'!V401+'корпоративный баланс энергии'!Y401</f>
        <v>283.99</v>
      </c>
      <c r="H392" s="246"/>
      <c r="I392" s="282"/>
      <c r="J392" s="244">
        <f>'корпоративный баланс энергии'!AB401+'корпоративный баланс энергии'!AE401+'корпоративный баланс энергии'!AH401</f>
        <v>288.01</v>
      </c>
      <c r="K392" s="246"/>
      <c r="L392" s="282"/>
      <c r="M392" s="244">
        <f>'корпоративный баланс энергии'!AK401+'корпоративный баланс энергии'!AN401+'корпоративный баланс энергии'!AQ401</f>
        <v>297.45999999999998</v>
      </c>
      <c r="N392" s="246"/>
      <c r="O392" s="282"/>
      <c r="P392" s="244">
        <f>D392+G392+J392+M392</f>
        <v>1095.6400000000001</v>
      </c>
      <c r="Q392" s="283"/>
      <c r="R392" s="299"/>
      <c r="S392" s="346"/>
      <c r="T392" s="346"/>
    </row>
    <row r="393" spans="2:20" s="107" customFormat="1">
      <c r="B393" s="127" t="str">
        <f>'корпоративный баланс энергии'!H402</f>
        <v>Новогорьковская ТЭЦ (Филиал "Нижегородский" ПАО "Т Плюс") ПГУ(2) ДПМ НВ</v>
      </c>
      <c r="C393" s="487"/>
      <c r="D393" s="281">
        <f>'корпоративный баланс энергии'!J402+'корпоративный баланс энергии'!M402+'корпоративный баланс энергии'!P402</f>
        <v>226.32</v>
      </c>
      <c r="E393" s="246"/>
      <c r="F393" s="282"/>
      <c r="G393" s="244">
        <f>'корпоративный баланс энергии'!S402+'корпоративный баланс энергии'!V402+'корпоративный баланс энергии'!Y402</f>
        <v>283.85000000000002</v>
      </c>
      <c r="H393" s="246"/>
      <c r="I393" s="282"/>
      <c r="J393" s="244">
        <f>'корпоративный баланс энергии'!AB402+'корпоративный баланс энергии'!AE402+'корпоративный баланс энергии'!AH402</f>
        <v>286.64</v>
      </c>
      <c r="K393" s="246"/>
      <c r="L393" s="282"/>
      <c r="M393" s="244">
        <f>'корпоративный баланс энергии'!AK402+'корпоративный баланс энергии'!AN402+'корпоративный баланс энергии'!AQ402</f>
        <v>299.39999999999998</v>
      </c>
      <c r="N393" s="246"/>
      <c r="O393" s="282"/>
      <c r="P393" s="244">
        <f>D393+G393+J393+M393</f>
        <v>1096.21</v>
      </c>
      <c r="Q393" s="283"/>
      <c r="R393" s="299"/>
      <c r="S393" s="346"/>
      <c r="T393" s="346"/>
    </row>
    <row r="394" spans="2:20" s="107" customFormat="1">
      <c r="B394" s="132" t="str">
        <f>'корпоративный баланс энергии'!H403</f>
        <v>Сормовская ТЭЦ (Филиал "Нижегородский" ПАО "Т Плюс")</v>
      </c>
      <c r="C394" s="516" t="s">
        <v>364</v>
      </c>
      <c r="D394" s="317">
        <f>SUM(D395:D397)</f>
        <v>303.44000000000005</v>
      </c>
      <c r="E394" s="246"/>
      <c r="F394" s="282"/>
      <c r="G394" s="317">
        <f>SUM(G395:G397)</f>
        <v>236.75</v>
      </c>
      <c r="H394" s="246"/>
      <c r="I394" s="282"/>
      <c r="J394" s="317">
        <f>SUM(J395:J397)</f>
        <v>239.60399999999998</v>
      </c>
      <c r="K394" s="246"/>
      <c r="L394" s="282"/>
      <c r="M394" s="317">
        <f>SUM(M395:M397)</f>
        <v>261.12</v>
      </c>
      <c r="N394" s="246"/>
      <c r="O394" s="282"/>
      <c r="P394" s="317">
        <f>SUM(P395:P397)</f>
        <v>1040.914</v>
      </c>
      <c r="Q394" s="246"/>
      <c r="R394" s="282"/>
      <c r="S394" s="346"/>
      <c r="T394" s="346"/>
    </row>
    <row r="395" spans="2:20" s="107" customFormat="1">
      <c r="B395" s="127" t="str">
        <f>'корпоративный баланс энергии'!H404</f>
        <v>Сормовская ТЭЦ (Филиал "Нижегородский" ПАО "Т Плюс") без ДПМ/НВ/ВР</v>
      </c>
      <c r="C395" s="487"/>
      <c r="D395" s="281">
        <f>'корпоративный баланс энергии'!J404+'корпоративный баланс энергии'!M404+'корпоративный баланс энергии'!P404</f>
        <v>197.22000000000003</v>
      </c>
      <c r="E395" s="246"/>
      <c r="F395" s="282"/>
      <c r="G395" s="244">
        <f>'корпоративный баланс энергии'!S404+'корпоративный баланс энергии'!V404+'корпоративный баланс энергии'!Y404</f>
        <v>123.13</v>
      </c>
      <c r="H395" s="246"/>
      <c r="I395" s="282"/>
      <c r="J395" s="244">
        <f>'корпоративный баланс энергии'!AB404+'корпоративный баланс энергии'!AE404+'корпоративный баланс энергии'!AH404</f>
        <v>133.34399999999999</v>
      </c>
      <c r="K395" s="246"/>
      <c r="L395" s="282"/>
      <c r="M395" s="244">
        <f>'корпоративный баланс энергии'!AK404+'корпоративный баланс энергии'!AN404+'корпоративный баланс энергии'!AQ404</f>
        <v>172.8</v>
      </c>
      <c r="N395" s="246"/>
      <c r="O395" s="282"/>
      <c r="P395" s="244">
        <f t="shared" ref="P395:P404" si="21">D395+G395+J395+M395</f>
        <v>626.49400000000003</v>
      </c>
      <c r="Q395" s="246"/>
      <c r="R395" s="282"/>
      <c r="S395" s="346"/>
      <c r="T395" s="346"/>
    </row>
    <row r="396" spans="2:20">
      <c r="B396" s="127" t="str">
        <f>'корпоративный баланс энергии'!H405</f>
        <v>Сормовская ТЭЦ (Филиал "Нижегородский" ПАО "Т Плюс") ТГ №1, ДПМ 01.09.2010</v>
      </c>
      <c r="C396" s="487"/>
      <c r="D396" s="281">
        <f>'корпоративный баланс энергии'!J405+'корпоративный баланс энергии'!M405+'корпоративный баланс энергии'!P405</f>
        <v>72</v>
      </c>
      <c r="E396" s="246"/>
      <c r="F396" s="282"/>
      <c r="G396" s="244">
        <f>'корпоративный баланс энергии'!S405+'корпоративный баланс энергии'!V405+'корпоративный баланс энергии'!Y405</f>
        <v>0</v>
      </c>
      <c r="H396" s="246"/>
      <c r="I396" s="282"/>
      <c r="J396" s="244">
        <f>'корпоративный баланс энергии'!AB405+'корпоративный баланс энергии'!AE405+'корпоративный баланс энергии'!AH405</f>
        <v>37.44</v>
      </c>
      <c r="K396" s="246"/>
      <c r="L396" s="282"/>
      <c r="M396" s="244">
        <f>'корпоративный баланс энергии'!AK405+'корпоративный баланс энергии'!AN405+'корпоративный баланс энергии'!AQ405</f>
        <v>22.32</v>
      </c>
      <c r="N396" s="246"/>
      <c r="O396" s="282"/>
      <c r="P396" s="244">
        <f t="shared" si="21"/>
        <v>131.76</v>
      </c>
      <c r="Q396" s="246"/>
      <c r="R396" s="282"/>
      <c r="S396" s="261"/>
      <c r="T396" s="261"/>
    </row>
    <row r="397" spans="2:20">
      <c r="B397" s="127" t="str">
        <f>'корпоративный баланс энергии'!H406</f>
        <v>Сормовская ТЭЦ (Филиал "Нижегородский" ПАО "Т Плюс") ТГ №2, ДПМ 01.01.2010</v>
      </c>
      <c r="C397" s="487"/>
      <c r="D397" s="281">
        <f>'корпоративный баланс энергии'!J406+'корпоративный баланс энергии'!M406+'корпоративный баланс энергии'!P406</f>
        <v>34.22</v>
      </c>
      <c r="E397" s="246"/>
      <c r="F397" s="282"/>
      <c r="G397" s="244">
        <f>'корпоративный баланс энергии'!S406+'корпоративный баланс энергии'!V406+'корпоративный баланс энергии'!Y406</f>
        <v>113.62</v>
      </c>
      <c r="H397" s="246"/>
      <c r="I397" s="282"/>
      <c r="J397" s="244">
        <f>'корпоративный баланс энергии'!AB406+'корпоративный баланс энергии'!AE406+'корпоративный баланс энергии'!AH406</f>
        <v>68.820000000000007</v>
      </c>
      <c r="K397" s="246"/>
      <c r="L397" s="282"/>
      <c r="M397" s="244">
        <f>'корпоративный баланс энергии'!AK406+'корпоративный баланс энергии'!AN406+'корпоративный баланс энергии'!AQ406</f>
        <v>66</v>
      </c>
      <c r="N397" s="246"/>
      <c r="O397" s="282"/>
      <c r="P397" s="244">
        <f t="shared" si="21"/>
        <v>282.66000000000003</v>
      </c>
      <c r="Q397" s="246"/>
      <c r="R397" s="282"/>
      <c r="S397" s="261"/>
      <c r="T397" s="261"/>
    </row>
    <row r="398" spans="2:20">
      <c r="B398" s="127" t="str">
        <f>'корпоративный баланс энергии'!H407</f>
        <v>Дзержинская ТЭЦ (Филиал "Нижегородский" ПАО "Т Плюс")</v>
      </c>
      <c r="C398" s="516" t="s">
        <v>364</v>
      </c>
      <c r="D398" s="281">
        <f>'корпоративный баланс энергии'!J407+'корпоративный баланс энергии'!M407+'корпоративный баланс энергии'!P407</f>
        <v>522.54000000000008</v>
      </c>
      <c r="E398" s="246"/>
      <c r="F398" s="282"/>
      <c r="G398" s="244">
        <f>'корпоративный баланс энергии'!S407+'корпоративный баланс энергии'!V407+'корпоративный баланс энергии'!Y407</f>
        <v>292.47000000000003</v>
      </c>
      <c r="H398" s="246"/>
      <c r="I398" s="282"/>
      <c r="J398" s="244">
        <f>'корпоративный баланс энергии'!AB407+'корпоративный баланс энергии'!AE407+'корпоративный баланс энергии'!AH407</f>
        <v>382.09000000000003</v>
      </c>
      <c r="K398" s="246"/>
      <c r="L398" s="282"/>
      <c r="M398" s="244">
        <f>'корпоративный баланс энергии'!AK407+'корпоративный баланс энергии'!AN407+'корпоративный баланс энергии'!AQ407</f>
        <v>510.48</v>
      </c>
      <c r="N398" s="246"/>
      <c r="O398" s="282"/>
      <c r="P398" s="244">
        <f t="shared" si="21"/>
        <v>1707.5800000000002</v>
      </c>
      <c r="Q398" s="283"/>
      <c r="R398" s="299"/>
      <c r="S398" s="261"/>
      <c r="T398" s="261"/>
    </row>
    <row r="399" spans="2:20">
      <c r="B399" s="127" t="str">
        <f>'корпоративный баланс энергии'!H408</f>
        <v>Автозаводская ТЭЦ (ООО "Автозаводская ТЭЦ")</v>
      </c>
      <c r="C399" s="516" t="s">
        <v>364</v>
      </c>
      <c r="D399" s="281">
        <f>'корпоративный баланс энергии'!J408+'корпоративный баланс энергии'!M408+'корпоративный баланс энергии'!P408</f>
        <v>549.76800000000003</v>
      </c>
      <c r="E399" s="246"/>
      <c r="F399" s="282"/>
      <c r="G399" s="244">
        <f>'корпоративный баланс энергии'!S408+'корпоративный баланс энергии'!V408+'корпоративный баланс энергии'!Y408</f>
        <v>278.66800000000001</v>
      </c>
      <c r="H399" s="246"/>
      <c r="I399" s="282"/>
      <c r="J399" s="244">
        <f>'корпоративный баланс энергии'!AB408+'корпоративный баланс энергии'!AE408+'корпоративный баланс энергии'!AH408</f>
        <v>243.79199999999997</v>
      </c>
      <c r="K399" s="246"/>
      <c r="L399" s="282"/>
      <c r="M399" s="244">
        <f>'корпоративный баланс энергии'!AK408+'корпоративный баланс энергии'!AN408+'корпоративный баланс энергии'!AQ408</f>
        <v>494.08800000000008</v>
      </c>
      <c r="N399" s="246"/>
      <c r="O399" s="282"/>
      <c r="P399" s="244">
        <f t="shared" si="21"/>
        <v>1566.3160000000003</v>
      </c>
      <c r="Q399" s="283"/>
      <c r="R399" s="299"/>
      <c r="S399" s="261"/>
      <c r="T399" s="261"/>
    </row>
    <row r="400" spans="2:20">
      <c r="B400" s="132" t="str">
        <f>'корпоративный баланс энергии'!H409</f>
        <v>Саровская ТЭЦ (АО "Саровская генерирующая компания")</v>
      </c>
      <c r="C400" s="516" t="s">
        <v>364</v>
      </c>
      <c r="D400" s="317">
        <f>SUM(D401:D402)</f>
        <v>160.44999999999999</v>
      </c>
      <c r="E400" s="246"/>
      <c r="F400" s="282"/>
      <c r="G400" s="317">
        <f>SUM(G401:G402)</f>
        <v>69.5</v>
      </c>
      <c r="H400" s="246"/>
      <c r="I400" s="282"/>
      <c r="J400" s="317">
        <f>SUM(J401:J402)</f>
        <v>45.4</v>
      </c>
      <c r="K400" s="246"/>
      <c r="L400" s="282"/>
      <c r="M400" s="317">
        <f>SUM(M401:M402)</f>
        <v>145.88</v>
      </c>
      <c r="N400" s="246"/>
      <c r="O400" s="282"/>
      <c r="P400" s="317">
        <f>SUM(P401:P402)</f>
        <v>421.23</v>
      </c>
      <c r="Q400" s="283"/>
      <c r="R400" s="299"/>
      <c r="S400" s="261"/>
      <c r="T400" s="261"/>
    </row>
    <row r="401" spans="2:20">
      <c r="B401" s="127" t="str">
        <f>'корпоративный баланс энергии'!H410</f>
        <v>Саровская ТЭЦ (АО "Саровская генерирующая компания") без ДПМ/НВ/ВР</v>
      </c>
      <c r="C401" s="516"/>
      <c r="D401" s="281">
        <f>'корпоративный баланс энергии'!J410+'корпоративный баланс энергии'!M410+'корпоративный баланс энергии'!P410</f>
        <v>120.12</v>
      </c>
      <c r="E401" s="246"/>
      <c r="F401" s="282"/>
      <c r="G401" s="244">
        <f>'корпоративный баланс энергии'!S410+'корпоративный баланс энергии'!V410+'корпоративный баланс энергии'!Y410</f>
        <v>69.5</v>
      </c>
      <c r="H401" s="246"/>
      <c r="I401" s="282"/>
      <c r="J401" s="244">
        <f>'корпоративный баланс энергии'!AB410+'корпоративный баланс энергии'!AE410+'корпоративный баланс энергии'!AH410</f>
        <v>45.4</v>
      </c>
      <c r="K401" s="246"/>
      <c r="L401" s="282"/>
      <c r="M401" s="244">
        <f>'корпоративный баланс энергии'!AK410+'корпоративный баланс энергии'!AN410+'корпоративный баланс энергии'!AQ410</f>
        <v>120.12</v>
      </c>
      <c r="N401" s="246"/>
      <c r="O401" s="282"/>
      <c r="P401" s="244">
        <f t="shared" si="21"/>
        <v>355.14</v>
      </c>
      <c r="Q401" s="283"/>
      <c r="R401" s="299"/>
      <c r="S401" s="261"/>
      <c r="T401" s="261"/>
    </row>
    <row r="402" spans="2:20">
      <c r="B402" s="127" t="str">
        <f>'корпоративный баланс энергии'!H411</f>
        <v>Саровская ТЭЦ (АО "Саровская генерирующая компания") ТГ 8</v>
      </c>
      <c r="C402" s="516"/>
      <c r="D402" s="281">
        <f>'корпоративный баланс энергии'!J411+'корпоративный баланс энергии'!M411+'корпоративный баланс энергии'!P411</f>
        <v>40.33</v>
      </c>
      <c r="E402" s="246"/>
      <c r="F402" s="282"/>
      <c r="G402" s="244">
        <f>'корпоративный баланс энергии'!S411+'корпоративный баланс энергии'!V411+'корпоративный баланс энергии'!Y411</f>
        <v>0</v>
      </c>
      <c r="H402" s="246"/>
      <c r="I402" s="282"/>
      <c r="J402" s="244">
        <f>'корпоративный баланс энергии'!AB411+'корпоративный баланс энергии'!AE411+'корпоративный баланс энергии'!AH411</f>
        <v>0</v>
      </c>
      <c r="K402" s="246"/>
      <c r="L402" s="282"/>
      <c r="M402" s="244">
        <f>'корпоративный баланс энергии'!AK411+'корпоративный баланс энергии'!AN411+'корпоративный баланс энергии'!AQ411</f>
        <v>25.759999999999998</v>
      </c>
      <c r="N402" s="246"/>
      <c r="O402" s="282"/>
      <c r="P402" s="244">
        <f t="shared" si="21"/>
        <v>66.09</v>
      </c>
      <c r="Q402" s="283"/>
      <c r="R402" s="299"/>
      <c r="S402" s="261"/>
      <c r="T402" s="261"/>
    </row>
    <row r="403" spans="2:20">
      <c r="B403" s="127" t="str">
        <f>'корпоративный баланс энергии'!H412</f>
        <v>ГПЭС ОАО "Инженерный центр"</v>
      </c>
      <c r="C403" s="516"/>
      <c r="D403" s="281">
        <f>'корпоративный баланс энергии'!J412+'корпоративный баланс энергии'!M412+'корпоративный баланс энергии'!P412</f>
        <v>3.2200000000000006</v>
      </c>
      <c r="E403" s="246"/>
      <c r="F403" s="282"/>
      <c r="G403" s="244">
        <f>'корпоративный баланс энергии'!S412+'корпоративный баланс энергии'!V412+'корпоративный баланс энергии'!Y412</f>
        <v>3.2199999999999998</v>
      </c>
      <c r="H403" s="246"/>
      <c r="I403" s="282"/>
      <c r="J403" s="244">
        <f>'корпоративный баланс энергии'!AB412+'корпоративный баланс энергии'!AE412+'корпоративный баланс энергии'!AH412</f>
        <v>3.2300000000000004</v>
      </c>
      <c r="K403" s="246"/>
      <c r="L403" s="282"/>
      <c r="M403" s="244">
        <f>'корпоративный баланс энергии'!AK412+'корпоративный баланс энергии'!AN412+'корпоративный баланс энергии'!AQ412</f>
        <v>3.24</v>
      </c>
      <c r="N403" s="246"/>
      <c r="O403" s="282"/>
      <c r="P403" s="244">
        <f t="shared" si="21"/>
        <v>12.910000000000002</v>
      </c>
      <c r="Q403" s="283"/>
      <c r="R403" s="299"/>
      <c r="S403" s="261"/>
      <c r="T403" s="261"/>
    </row>
    <row r="404" spans="2:20" s="107" customFormat="1">
      <c r="B404" s="127" t="str">
        <f>'корпоративный баланс энергии'!H413</f>
        <v>Нижегородская ГЭС (филиал ПАО "РусГидро")</v>
      </c>
      <c r="C404" s="516" t="s">
        <v>364</v>
      </c>
      <c r="D404" s="281">
        <f>'корпоративный баланс энергии'!J413+'корпоративный баланс энергии'!M413+'корпоративный баланс энергии'!P413</f>
        <v>355.44191741943359</v>
      </c>
      <c r="E404" s="246"/>
      <c r="F404" s="282"/>
      <c r="G404" s="244">
        <f>'корпоративный баланс энергии'!S413+'корпоративный баланс энергии'!V413+'корпоративный баланс энергии'!Y413</f>
        <v>484.71524047851563</v>
      </c>
      <c r="H404" s="246"/>
      <c r="I404" s="282"/>
      <c r="J404" s="244">
        <f>'корпоративный баланс энергии'!AB413+'корпоративный баланс энергии'!AE413+'корпоративный баланс энергии'!AH413</f>
        <v>374.82890319824219</v>
      </c>
      <c r="K404" s="246"/>
      <c r="L404" s="282"/>
      <c r="M404" s="244">
        <f>'корпоративный баланс энергии'!AK413+'корпоративный баланс энергии'!AN413+'корпоративный баланс энергии'!AQ413</f>
        <v>372.72193145751953</v>
      </c>
      <c r="N404" s="246"/>
      <c r="O404" s="282"/>
      <c r="P404" s="244">
        <f t="shared" si="21"/>
        <v>1587.7079925537109</v>
      </c>
      <c r="Q404" s="256"/>
      <c r="R404" s="299"/>
      <c r="S404" s="346"/>
      <c r="T404" s="346"/>
    </row>
    <row r="405" spans="2:20" s="107" customFormat="1">
      <c r="B405" s="138" t="s">
        <v>174</v>
      </c>
      <c r="C405" s="488"/>
      <c r="D405" s="287">
        <f>D406</f>
        <v>25.89</v>
      </c>
      <c r="E405" s="288"/>
      <c r="F405" s="289"/>
      <c r="G405" s="287">
        <f>G406</f>
        <v>10.93</v>
      </c>
      <c r="H405" s="288"/>
      <c r="I405" s="289"/>
      <c r="J405" s="287">
        <f>J406</f>
        <v>8.2899999999999991</v>
      </c>
      <c r="K405" s="288"/>
      <c r="L405" s="289"/>
      <c r="M405" s="287">
        <f>M406</f>
        <v>25.46</v>
      </c>
      <c r="N405" s="288"/>
      <c r="O405" s="289"/>
      <c r="P405" s="287">
        <f>P406</f>
        <v>70.569999999999993</v>
      </c>
      <c r="Q405" s="307"/>
      <c r="R405" s="289"/>
      <c r="S405" s="346"/>
      <c r="T405" s="346"/>
    </row>
    <row r="406" spans="2:20">
      <c r="B406" s="135" t="str">
        <f>'корпоративный баланс энергии'!H415</f>
        <v>ТЭЦ ФКП "Завод им. Я.М.Свердлова"</v>
      </c>
      <c r="C406" s="518" t="s">
        <v>365</v>
      </c>
      <c r="D406" s="293">
        <f>'корпоративный баланс энергии'!J415+'корпоративный баланс энергии'!M415+'корпоративный баланс энергии'!P415</f>
        <v>25.89</v>
      </c>
      <c r="E406" s="288"/>
      <c r="F406" s="289"/>
      <c r="G406" s="294">
        <f>'корпоративный баланс энергии'!S415+'корпоративный баланс энергии'!V415+'корпоративный баланс энергии'!Y415</f>
        <v>10.93</v>
      </c>
      <c r="H406" s="288"/>
      <c r="I406" s="289"/>
      <c r="J406" s="294">
        <f>'корпоративный баланс энергии'!AB415+'корпоративный баланс энергии'!AE415+'корпоративный баланс энергии'!AH415</f>
        <v>8.2899999999999991</v>
      </c>
      <c r="K406" s="288"/>
      <c r="L406" s="289"/>
      <c r="M406" s="294">
        <f>'корпоративный баланс энергии'!AK415+'корпоративный баланс энергии'!AN415+'корпоративный баланс энергии'!AQ415</f>
        <v>25.46</v>
      </c>
      <c r="N406" s="288"/>
      <c r="O406" s="289"/>
      <c r="P406" s="294">
        <f>D406+G406+J406+M406</f>
        <v>70.569999999999993</v>
      </c>
      <c r="Q406" s="288"/>
      <c r="R406" s="289"/>
      <c r="S406" s="261"/>
      <c r="T406" s="261"/>
    </row>
    <row r="407" spans="2:20" ht="18.75">
      <c r="B407" s="473" t="str">
        <f>'корпоративный баланс энергии'!H416</f>
        <v>Энергосистема Пензенской области</v>
      </c>
      <c r="C407" s="495"/>
      <c r="D407" s="274">
        <f>SUM(D408:D409)</f>
        <v>437.81058299999967</v>
      </c>
      <c r="E407" s="275">
        <f>F407-D407</f>
        <v>938.20814025040818</v>
      </c>
      <c r="F407" s="276">
        <f>'корпоративный баланс энергии'!L416+'корпоративный баланс энергии'!O416+'корпоративный баланс энергии'!R416</f>
        <v>1376.0187232504079</v>
      </c>
      <c r="G407" s="274">
        <f>SUM(G408:G409)</f>
        <v>214.59366399999999</v>
      </c>
      <c r="H407" s="275">
        <f>I407-G407</f>
        <v>924.30614748651078</v>
      </c>
      <c r="I407" s="276">
        <f>'корпоративный баланс энергии'!U416+'корпоративный баланс энергии'!X416+'корпоративный баланс энергии'!AA416</f>
        <v>1138.8998114865108</v>
      </c>
      <c r="J407" s="274">
        <f>SUM(J408:J409)</f>
        <v>199.23499999999996</v>
      </c>
      <c r="K407" s="275">
        <f>L407-J407</f>
        <v>939.76979164509112</v>
      </c>
      <c r="L407" s="276">
        <f>'корпоративный баланс энергии'!AD416+'корпоративный баланс энергии'!AG416+'корпоративный баланс энергии'!AJ416</f>
        <v>1139.004791645091</v>
      </c>
      <c r="M407" s="274">
        <f>SUM(M408:M409)</f>
        <v>412.84789800000004</v>
      </c>
      <c r="N407" s="275">
        <f>O407-M407</f>
        <v>1006.9260483152925</v>
      </c>
      <c r="O407" s="276">
        <f>'корпоративный баланс энергии'!AM416+'корпоративный баланс энергии'!AP416+'корпоративный баланс энергии'!AS416</f>
        <v>1419.7739463152925</v>
      </c>
      <c r="P407" s="274">
        <f>SUM(P408:P409)</f>
        <v>1264.4871449999996</v>
      </c>
      <c r="Q407" s="275">
        <f>R407-P407</f>
        <v>3809.2101276973021</v>
      </c>
      <c r="R407" s="276">
        <f>F407+I407+L407+O407</f>
        <v>5073.6972726973017</v>
      </c>
      <c r="S407" s="261"/>
      <c r="T407" s="261"/>
    </row>
    <row r="408" spans="2:20">
      <c r="B408" s="10" t="s">
        <v>56</v>
      </c>
      <c r="C408" s="483"/>
      <c r="D408" s="270">
        <f>SUM(D410:D412)</f>
        <v>415.21990299999965</v>
      </c>
      <c r="E408" s="271"/>
      <c r="F408" s="224"/>
      <c r="G408" s="270">
        <f>SUM(G410:G412)</f>
        <v>192.277344</v>
      </c>
      <c r="H408" s="271"/>
      <c r="I408" s="224"/>
      <c r="J408" s="270">
        <f>SUM(J410:J412)</f>
        <v>166.03099999999995</v>
      </c>
      <c r="K408" s="271"/>
      <c r="L408" s="224"/>
      <c r="M408" s="270">
        <f>SUM(M410:M412)</f>
        <v>350.54873000000003</v>
      </c>
      <c r="N408" s="271"/>
      <c r="O408" s="224"/>
      <c r="P408" s="270">
        <f>SUM(P410:P412)</f>
        <v>1124.0769769999995</v>
      </c>
      <c r="Q408" s="271"/>
      <c r="R408" s="364"/>
      <c r="S408" s="261"/>
      <c r="T408" s="261"/>
    </row>
    <row r="409" spans="2:20">
      <c r="B409" s="10" t="s">
        <v>99</v>
      </c>
      <c r="C409" s="483"/>
      <c r="D409" s="270">
        <f>D413</f>
        <v>22.590679999999999</v>
      </c>
      <c r="E409" s="271"/>
      <c r="F409" s="224"/>
      <c r="G409" s="270">
        <f>G413</f>
        <v>22.316320000000001</v>
      </c>
      <c r="H409" s="271"/>
      <c r="I409" s="224"/>
      <c r="J409" s="270">
        <f>J413</f>
        <v>33.204000000000001</v>
      </c>
      <c r="K409" s="271"/>
      <c r="L409" s="224"/>
      <c r="M409" s="270">
        <f>M413</f>
        <v>62.299168000000002</v>
      </c>
      <c r="N409" s="271"/>
      <c r="O409" s="224"/>
      <c r="P409" s="270">
        <f>P413</f>
        <v>140.410168</v>
      </c>
      <c r="Q409" s="271"/>
      <c r="R409" s="364"/>
      <c r="S409" s="261"/>
      <c r="T409" s="261"/>
    </row>
    <row r="410" spans="2:20">
      <c r="B410" s="127" t="str">
        <f>'корпоративный баланс энергии'!H419</f>
        <v>Пензенская ТЭЦ-1 (Филиал "Мордовский" ПАО "Т Плюс" )</v>
      </c>
      <c r="C410" s="516" t="s">
        <v>364</v>
      </c>
      <c r="D410" s="281">
        <f>'корпоративный баланс энергии'!J419+'корпоративный баланс энергии'!M419+'корпоративный баланс энергии'!P419</f>
        <v>381.05999999999966</v>
      </c>
      <c r="E410" s="246"/>
      <c r="F410" s="282"/>
      <c r="G410" s="244">
        <f>'корпоративный баланс энергии'!S419+'корпоративный баланс энергии'!V419+'корпоративный баланс энергии'!Y419</f>
        <v>179.88</v>
      </c>
      <c r="H410" s="246"/>
      <c r="I410" s="282"/>
      <c r="J410" s="244">
        <f>'корпоративный баланс энергии'!AB419+'корпоративный баланс энергии'!AE419+'корпоративный баланс энергии'!AH419</f>
        <v>163.03099999999995</v>
      </c>
      <c r="K410" s="246"/>
      <c r="L410" s="282"/>
      <c r="M410" s="244">
        <f>'корпоративный баланс энергии'!AK419+'корпоративный баланс энергии'!AN419+'корпоративный баланс энергии'!AQ419</f>
        <v>321.89633333333336</v>
      </c>
      <c r="N410" s="246"/>
      <c r="O410" s="282"/>
      <c r="P410" s="244">
        <f>D410+G410+J410+M410</f>
        <v>1045.8673333333329</v>
      </c>
      <c r="Q410" s="283"/>
      <c r="R410" s="299"/>
      <c r="S410" s="261"/>
      <c r="T410" s="261"/>
    </row>
    <row r="411" spans="2:20">
      <c r="B411" s="127" t="str">
        <f>'корпоративный баланс энергии'!H420</f>
        <v>Пензенская ТЭЦ-2 (Филиал "Мордовский" ПАО "Т Плюс" )</v>
      </c>
      <c r="C411" s="519" t="s">
        <v>365</v>
      </c>
      <c r="D411" s="281">
        <f>'корпоративный баланс энергии'!J420+'корпоративный баланс энергии'!M420+'корпоративный баланс энергии'!P420</f>
        <v>27.589903</v>
      </c>
      <c r="E411" s="246"/>
      <c r="F411" s="282"/>
      <c r="G411" s="244">
        <f>'корпоративный баланс энергии'!S420+'корпоративный баланс энергии'!V420+'корпоративный баланс энергии'!Y420</f>
        <v>8.1373440000000006</v>
      </c>
      <c r="H411" s="246"/>
      <c r="I411" s="282"/>
      <c r="J411" s="244">
        <f>'корпоративный баланс энергии'!AB420+'корпоративный баланс энергии'!AE420+'корпоративный баланс энергии'!AH420</f>
        <v>0</v>
      </c>
      <c r="K411" s="246"/>
      <c r="L411" s="282"/>
      <c r="M411" s="244">
        <f>'корпоративный баланс энергии'!AK420+'корпоративный баланс энергии'!AN420+'корпоративный баланс энергии'!AQ420</f>
        <v>21.98239666666667</v>
      </c>
      <c r="N411" s="246"/>
      <c r="O411" s="282"/>
      <c r="P411" s="244">
        <f>D411+G411+J411+M411</f>
        <v>57.709643666666665</v>
      </c>
      <c r="Q411" s="283"/>
      <c r="R411" s="299"/>
      <c r="S411" s="261"/>
      <c r="T411" s="261"/>
    </row>
    <row r="412" spans="2:20">
      <c r="B412" s="127" t="str">
        <f>'корпоративный баланс энергии'!H421</f>
        <v>Кузнецкая ТЭЦ-3 (АО "ГИДРОМАШ-ГРУПП")</v>
      </c>
      <c r="C412" s="519" t="s">
        <v>365</v>
      </c>
      <c r="D412" s="281">
        <f>'корпоративный баланс энергии'!J421+'корпоративный баланс энергии'!M421+'корпоративный баланс энергии'!P421</f>
        <v>6.5699999999999994</v>
      </c>
      <c r="E412" s="246"/>
      <c r="F412" s="282"/>
      <c r="G412" s="244">
        <f>'корпоративный баланс энергии'!S421+'корпоративный баланс энергии'!V421+'корпоративный баланс энергии'!Y421</f>
        <v>4.26</v>
      </c>
      <c r="H412" s="246"/>
      <c r="I412" s="282"/>
      <c r="J412" s="244">
        <f>'корпоративный баланс энергии'!AB421+'корпоративный баланс энергии'!AE421+'корпоративный баланс энергии'!AH421</f>
        <v>3</v>
      </c>
      <c r="K412" s="246"/>
      <c r="L412" s="282"/>
      <c r="M412" s="244">
        <f>'корпоративный баланс энергии'!AK421+'корпоративный баланс энергии'!AN421+'корпоративный баланс энергии'!AQ421</f>
        <v>6.67</v>
      </c>
      <c r="N412" s="246"/>
      <c r="O412" s="282"/>
      <c r="P412" s="244">
        <f>D412+G412+J412+M412</f>
        <v>20.5</v>
      </c>
      <c r="Q412" s="283"/>
      <c r="R412" s="299"/>
      <c r="S412" s="261"/>
      <c r="T412" s="261"/>
    </row>
    <row r="413" spans="2:20">
      <c r="B413" s="138" t="s">
        <v>174</v>
      </c>
      <c r="C413" s="488"/>
      <c r="D413" s="287">
        <f>SUM(D414:D417)</f>
        <v>22.590679999999999</v>
      </c>
      <c r="E413" s="288"/>
      <c r="F413" s="289"/>
      <c r="G413" s="287">
        <f>SUM(G414:G417)</f>
        <v>22.316320000000001</v>
      </c>
      <c r="H413" s="288"/>
      <c r="I413" s="289"/>
      <c r="J413" s="287">
        <f>SUM(J414:J417)</f>
        <v>33.204000000000001</v>
      </c>
      <c r="K413" s="288"/>
      <c r="L413" s="289"/>
      <c r="M413" s="287">
        <f>SUM(M414:M417)</f>
        <v>62.299168000000002</v>
      </c>
      <c r="N413" s="288"/>
      <c r="O413" s="289"/>
      <c r="P413" s="287">
        <f>SUM(P414:P417)</f>
        <v>140.410168</v>
      </c>
      <c r="Q413" s="288"/>
      <c r="R413" s="289"/>
      <c r="S413" s="261"/>
      <c r="T413" s="261"/>
    </row>
    <row r="414" spans="2:20">
      <c r="B414" s="135" t="str">
        <f>'корпоративный баланс энергии'!H423</f>
        <v>ТЭЦ ООО "Бековский сахарный завод"</v>
      </c>
      <c r="C414" s="518" t="s">
        <v>365</v>
      </c>
      <c r="D414" s="293">
        <f>'корпоративный баланс энергии'!J423+'корпоративный баланс энергии'!M423+'корпоративный баланс энергии'!P423</f>
        <v>0</v>
      </c>
      <c r="E414" s="288"/>
      <c r="F414" s="289"/>
      <c r="G414" s="294">
        <f>'корпоративный баланс энергии'!S423+'корпоративный баланс энергии'!V423+'корпоративный баланс энергии'!Y423</f>
        <v>0</v>
      </c>
      <c r="H414" s="288"/>
      <c r="I414" s="289"/>
      <c r="J414" s="294">
        <f>'корпоративный баланс энергии'!AB423+'корпоративный баланс энергии'!AE423+'корпоративный баланс энергии'!AH423</f>
        <v>3.5</v>
      </c>
      <c r="K414" s="288"/>
      <c r="L414" s="289"/>
      <c r="M414" s="294">
        <f>'корпоративный баланс энергии'!AK423+'корпоративный баланс энергии'!AN423+'корпоративный баланс энергии'!AQ423</f>
        <v>7.4</v>
      </c>
      <c r="N414" s="288"/>
      <c r="O414" s="289"/>
      <c r="P414" s="294">
        <f>D414+G414+J414+M414</f>
        <v>10.9</v>
      </c>
      <c r="Q414" s="288"/>
      <c r="R414" s="289"/>
      <c r="S414" s="261"/>
      <c r="T414" s="261"/>
    </row>
    <row r="415" spans="2:20">
      <c r="B415" s="135" t="str">
        <f>'корпоративный баланс энергии'!H424</f>
        <v>ТЭЦ АО "Земетчинский сахарный завод"</v>
      </c>
      <c r="C415" s="518" t="s">
        <v>365</v>
      </c>
      <c r="D415" s="293">
        <f>'корпоративный баланс энергии'!J424+'корпоративный баланс энергии'!M424+'корпоративный баланс энергии'!P424</f>
        <v>0</v>
      </c>
      <c r="E415" s="288"/>
      <c r="F415" s="289"/>
      <c r="G415" s="294">
        <f>'корпоративный баланс энергии'!S424+'корпоративный баланс энергии'!V424+'корпоративный баланс энергии'!Y424</f>
        <v>0</v>
      </c>
      <c r="H415" s="288"/>
      <c r="I415" s="289"/>
      <c r="J415" s="294">
        <f>'корпоративный баланс энергии'!AB424+'корпоративный баланс энергии'!AE424+'корпоративный баланс энергии'!AH424</f>
        <v>5</v>
      </c>
      <c r="K415" s="288"/>
      <c r="L415" s="289"/>
      <c r="M415" s="294">
        <f>'корпоративный баланс энергии'!AK424+'корпоративный баланс энергии'!AN424+'корпоративный баланс энергии'!AQ424</f>
        <v>13.3</v>
      </c>
      <c r="N415" s="288"/>
      <c r="O415" s="289"/>
      <c r="P415" s="294">
        <f>D415+G415+J415+M415</f>
        <v>18.3</v>
      </c>
      <c r="Q415" s="288"/>
      <c r="R415" s="289"/>
      <c r="S415" s="261"/>
      <c r="T415" s="261"/>
    </row>
    <row r="416" spans="2:20">
      <c r="B416" s="135" t="str">
        <f>'корпоративный баланс энергии'!H425</f>
        <v>ТЭЦ Каменского сахарного завода (ОАО «Атмис-Сахар»)</v>
      </c>
      <c r="C416" s="518" t="s">
        <v>365</v>
      </c>
      <c r="D416" s="293">
        <f>'корпоративный баланс энергии'!J425+'корпоративный баланс энергии'!M425+'корпоративный баланс энергии'!P425</f>
        <v>5</v>
      </c>
      <c r="E416" s="288"/>
      <c r="F416" s="289"/>
      <c r="G416" s="294">
        <f>'корпоративный баланс энергии'!S425+'корпоративный баланс энергии'!V425+'корпоративный баланс энергии'!Y425</f>
        <v>4.5</v>
      </c>
      <c r="H416" s="288"/>
      <c r="I416" s="289"/>
      <c r="J416" s="294">
        <f>'корпоративный баланс энергии'!AB425+'корпоративный баланс энергии'!AE425+'корпоративный баланс энергии'!AH425</f>
        <v>8</v>
      </c>
      <c r="K416" s="288"/>
      <c r="L416" s="289"/>
      <c r="M416" s="294">
        <f>'корпоративный баланс энергии'!AK425+'корпоративный баланс энергии'!AN425+'корпоративный баланс энергии'!AQ425</f>
        <v>25</v>
      </c>
      <c r="N416" s="288"/>
      <c r="O416" s="289"/>
      <c r="P416" s="294">
        <f>D416+G416+J416+M416</f>
        <v>42.5</v>
      </c>
      <c r="Q416" s="288"/>
      <c r="R416" s="289"/>
      <c r="S416" s="261"/>
      <c r="T416" s="261"/>
    </row>
    <row r="417" spans="2:20">
      <c r="B417" s="921" t="str">
        <f>'корпоративный баланс энергии'!H426</f>
        <v>ГПЭС ООО "Азия Цемент"</v>
      </c>
      <c r="C417" s="689"/>
      <c r="D417" s="293">
        <f>'корпоративный баланс энергии'!J426+'корпоративный баланс энергии'!M426+'корпоративный баланс энергии'!P426</f>
        <v>17.590679999999999</v>
      </c>
      <c r="E417" s="288"/>
      <c r="F417" s="289"/>
      <c r="G417" s="294">
        <f>'корпоративный баланс энергии'!S426+'корпоративный баланс энергии'!V426+'корпоративный баланс энергии'!Y426</f>
        <v>17.816320000000001</v>
      </c>
      <c r="H417" s="288"/>
      <c r="I417" s="289"/>
      <c r="J417" s="294">
        <f>'корпоративный баланс энергии'!AB426+'корпоративный баланс энергии'!AE426+'корпоративный баланс энергии'!AH426</f>
        <v>16.704000000000001</v>
      </c>
      <c r="K417" s="288"/>
      <c r="L417" s="289"/>
      <c r="M417" s="294">
        <f>'корпоративный баланс энергии'!AK426+'корпоративный баланс энергии'!AN426+'корпоративный баланс энергии'!AQ426</f>
        <v>16.599167999999999</v>
      </c>
      <c r="N417" s="288"/>
      <c r="O417" s="289"/>
      <c r="P417" s="294">
        <f>D417+G417+J417+M417</f>
        <v>68.710167999999996</v>
      </c>
      <c r="Q417" s="288"/>
      <c r="R417" s="289"/>
      <c r="S417" s="261"/>
      <c r="T417" s="261"/>
    </row>
    <row r="418" spans="2:20" s="106" customFormat="1" ht="18.75">
      <c r="B418" s="473" t="str">
        <f>'корпоративный баланс энергии'!H427</f>
        <v>Энергосистема Самарской области</v>
      </c>
      <c r="C418" s="495"/>
      <c r="D418" s="274">
        <f>SUM(D419:D422)</f>
        <v>6085.1663509878135</v>
      </c>
      <c r="E418" s="275">
        <f>F418-D418</f>
        <v>494.01192683174577</v>
      </c>
      <c r="F418" s="276">
        <f>'корпоративный баланс энергии'!L427+'корпоративный баланс энергии'!O427+'корпоративный баланс энергии'!R427</f>
        <v>6579.1782778195593</v>
      </c>
      <c r="G418" s="274">
        <f>SUM(G419:G422)</f>
        <v>5593.8494438995322</v>
      </c>
      <c r="H418" s="275">
        <f>I418-G418</f>
        <v>-69.535239622188783</v>
      </c>
      <c r="I418" s="276">
        <f>'корпоративный баланс энергии'!U427+'корпоративный баланс энергии'!X427+'корпоративный баланс энергии'!AA427</f>
        <v>5524.3142042773434</v>
      </c>
      <c r="J418" s="274">
        <f>SUM(J419:J422)</f>
        <v>5151.7002205032813</v>
      </c>
      <c r="K418" s="275">
        <f>L418-J418</f>
        <v>282.21167793479344</v>
      </c>
      <c r="L418" s="276">
        <f>'корпоративный баланс энергии'!AD427+'корпоративный баланс энергии'!AG427+'корпоративный баланс энергии'!AJ427</f>
        <v>5433.9118984380748</v>
      </c>
      <c r="M418" s="274">
        <f>SUM(M419:M422)</f>
        <v>6141.8610473424997</v>
      </c>
      <c r="N418" s="275">
        <f>O418-M418</f>
        <v>308.43932650579154</v>
      </c>
      <c r="O418" s="276">
        <f>'корпоративный баланс энергии'!AM427+'корпоративный баланс энергии'!AP427+'корпоративный баланс энергии'!AS427</f>
        <v>6450.3003738482912</v>
      </c>
      <c r="P418" s="274">
        <f>SUM(P419:P422)</f>
        <v>22972.577062733126</v>
      </c>
      <c r="Q418" s="275">
        <f>R418-P418</f>
        <v>1015.1276916501447</v>
      </c>
      <c r="R418" s="276">
        <f>F418+I418+L418+O418</f>
        <v>23987.70475438327</v>
      </c>
      <c r="S418" s="347"/>
      <c r="T418" s="347"/>
    </row>
    <row r="419" spans="2:20" s="106" customFormat="1">
      <c r="B419" s="10" t="s">
        <v>56</v>
      </c>
      <c r="C419" s="483"/>
      <c r="D419" s="270">
        <f>SUM(D423:D426)+SUM(D431:D432)+D435+D438</f>
        <v>3856.5570000000002</v>
      </c>
      <c r="E419" s="271"/>
      <c r="F419" s="224"/>
      <c r="G419" s="270">
        <f>SUM(G423:G426)+SUM(G431:G432)+G435+G438</f>
        <v>2220.9680000000003</v>
      </c>
      <c r="H419" s="271"/>
      <c r="I419" s="224"/>
      <c r="J419" s="270">
        <f>SUM(J423:J426)+SUM(J431:J432)+J435+J438</f>
        <v>2410.9880000000003</v>
      </c>
      <c r="K419" s="271"/>
      <c r="L419" s="224"/>
      <c r="M419" s="270">
        <f>SUM(M423:M426)+SUM(M431:M432)+M435+M438</f>
        <v>3621.2109999999998</v>
      </c>
      <c r="N419" s="271"/>
      <c r="O419" s="224"/>
      <c r="P419" s="270">
        <f>SUM(P423:P426)+SUM(P431:P432)+P435+P438</f>
        <v>12109.724000000002</v>
      </c>
      <c r="Q419" s="271"/>
      <c r="R419" s="364"/>
      <c r="S419" s="347"/>
      <c r="T419" s="347"/>
    </row>
    <row r="420" spans="2:20" s="106" customFormat="1">
      <c r="B420" s="10" t="s">
        <v>55</v>
      </c>
      <c r="C420" s="483"/>
      <c r="D420" s="270">
        <f>D439</f>
        <v>2135.8624267578125</v>
      </c>
      <c r="E420" s="271"/>
      <c r="F420" s="224"/>
      <c r="G420" s="270">
        <f>G439</f>
        <v>3301.0408325195313</v>
      </c>
      <c r="H420" s="271"/>
      <c r="I420" s="224"/>
      <c r="J420" s="270">
        <f>J439</f>
        <v>2655.5696411132813</v>
      </c>
      <c r="K420" s="271"/>
      <c r="L420" s="224"/>
      <c r="M420" s="270">
        <f>M439</f>
        <v>2435.3681640625</v>
      </c>
      <c r="N420" s="271"/>
      <c r="O420" s="224"/>
      <c r="P420" s="270">
        <f>P439</f>
        <v>10527.841064453125</v>
      </c>
      <c r="Q420" s="271"/>
      <c r="R420" s="364"/>
      <c r="S420" s="347"/>
      <c r="T420" s="347"/>
    </row>
    <row r="421" spans="2:20" s="106" customFormat="1">
      <c r="B421" s="10" t="s">
        <v>347</v>
      </c>
      <c r="C421" s="483"/>
      <c r="D421" s="270">
        <f>SUM(D440:D442)</f>
        <v>17.630000000000003</v>
      </c>
      <c r="E421" s="271"/>
      <c r="F421" s="224"/>
      <c r="G421" s="270">
        <f>SUM(G440:G442)</f>
        <v>29.629999999999995</v>
      </c>
      <c r="H421" s="271"/>
      <c r="I421" s="224"/>
      <c r="J421" s="270">
        <f>SUM(J440:J442)</f>
        <v>29.67</v>
      </c>
      <c r="K421" s="271"/>
      <c r="L421" s="224"/>
      <c r="M421" s="270">
        <f>SUM(M440:M442)</f>
        <v>12.959999999999999</v>
      </c>
      <c r="N421" s="271"/>
      <c r="O421" s="224"/>
      <c r="P421" s="270">
        <f>SUM(P440:P442)</f>
        <v>89.89</v>
      </c>
      <c r="Q421" s="271"/>
      <c r="R421" s="364"/>
      <c r="S421" s="347"/>
      <c r="T421" s="347"/>
    </row>
    <row r="422" spans="2:20" s="107" customFormat="1">
      <c r="B422" s="10" t="s">
        <v>99</v>
      </c>
      <c r="C422" s="483"/>
      <c r="D422" s="270">
        <f>D443</f>
        <v>75.116924229999995</v>
      </c>
      <c r="E422" s="271"/>
      <c r="F422" s="224"/>
      <c r="G422" s="270">
        <f>G443</f>
        <v>42.210611379999996</v>
      </c>
      <c r="H422" s="271"/>
      <c r="I422" s="224"/>
      <c r="J422" s="270">
        <f>J443</f>
        <v>55.47257939</v>
      </c>
      <c r="K422" s="271"/>
      <c r="L422" s="224"/>
      <c r="M422" s="270">
        <f>M443</f>
        <v>72.321883280000009</v>
      </c>
      <c r="N422" s="271"/>
      <c r="O422" s="224"/>
      <c r="P422" s="270">
        <f>P443</f>
        <v>245.12199828000001</v>
      </c>
      <c r="Q422" s="271"/>
      <c r="R422" s="364"/>
      <c r="S422" s="346"/>
      <c r="T422" s="346"/>
    </row>
    <row r="423" spans="2:20" s="107" customFormat="1">
      <c r="B423" s="127" t="str">
        <f>'корпоративный баланс энергии'!H432</f>
        <v>Тольяттинская ТЭЦ (Филиал "Самарский" ПАО "Т Плюс")</v>
      </c>
      <c r="C423" s="516" t="s">
        <v>364</v>
      </c>
      <c r="D423" s="281">
        <f>'корпоративный баланс энергии'!J432+'корпоративный баланс энергии'!M432+'корпоративный баланс энергии'!P432</f>
        <v>581.84299999999996</v>
      </c>
      <c r="E423" s="246"/>
      <c r="F423" s="282"/>
      <c r="G423" s="244">
        <f>'корпоративный баланс энергии'!S432+'корпоративный баланс энергии'!V432+'корпоративный баланс энергии'!Y432</f>
        <v>273.53399999999999</v>
      </c>
      <c r="H423" s="246"/>
      <c r="I423" s="282"/>
      <c r="J423" s="244">
        <f>'корпоративный баланс энергии'!AB432+'корпоративный баланс энергии'!AE432+'корпоративный баланс энергии'!AH432</f>
        <v>261.28200000000004</v>
      </c>
      <c r="K423" s="246"/>
      <c r="L423" s="282"/>
      <c r="M423" s="244">
        <f>'корпоративный баланс энергии'!AK432+'корпоративный баланс энергии'!AN432+'корпоративный баланс энергии'!AQ432</f>
        <v>534.16099999999994</v>
      </c>
      <c r="N423" s="246"/>
      <c r="O423" s="282"/>
      <c r="P423" s="244">
        <f>D423+G423+J423+M423</f>
        <v>1650.8200000000002</v>
      </c>
      <c r="Q423" s="283"/>
      <c r="R423" s="299"/>
      <c r="S423" s="346"/>
      <c r="T423" s="346"/>
    </row>
    <row r="424" spans="2:20" s="107" customFormat="1">
      <c r="B424" s="127" t="str">
        <f>'корпоративный баланс энергии'!H433</f>
        <v>Новокуйбышевская ТЭЦ-2 (АО "Новокуйбышевская нефтехимическая компания")</v>
      </c>
      <c r="C424" s="516" t="s">
        <v>364</v>
      </c>
      <c r="D424" s="281">
        <f>'корпоративный баланс энергии'!J433+'корпоративный баланс энергии'!M433+'корпоративный баланс энергии'!P433</f>
        <v>252.75</v>
      </c>
      <c r="E424" s="246"/>
      <c r="F424" s="282"/>
      <c r="G424" s="244">
        <f>'корпоративный баланс энергии'!S433+'корпоративный баланс энергии'!V433+'корпоративный баланс энергии'!Y433</f>
        <v>222.74</v>
      </c>
      <c r="H424" s="246"/>
      <c r="I424" s="282"/>
      <c r="J424" s="244">
        <f>'корпоративный баланс энергии'!AB433+'корпоративный баланс энергии'!AE433+'корпоративный баланс энергии'!AH433</f>
        <v>227.7</v>
      </c>
      <c r="K424" s="246"/>
      <c r="L424" s="282"/>
      <c r="M424" s="244">
        <f>'корпоративный баланс энергии'!AK433+'корпоративный баланс энергии'!AN433+'корпоративный баланс энергии'!AQ433</f>
        <v>246.42</v>
      </c>
      <c r="N424" s="246"/>
      <c r="O424" s="282"/>
      <c r="P424" s="244">
        <f>D424+G424+J424+M424</f>
        <v>949.61</v>
      </c>
      <c r="Q424" s="283"/>
      <c r="R424" s="299"/>
      <c r="S424" s="346"/>
      <c r="T424" s="346"/>
    </row>
    <row r="425" spans="2:20">
      <c r="B425" s="127" t="str">
        <f>'корпоративный баланс энергии'!H434</f>
        <v>ТЭЦ ВАЗ (Филиал "Самарский" ПАО "Т Плюс")</v>
      </c>
      <c r="C425" s="516" t="s">
        <v>364</v>
      </c>
      <c r="D425" s="281">
        <f>'корпоративный баланс энергии'!J434+'корпоративный баланс энергии'!M434+'корпоративный баланс энергии'!P434</f>
        <v>1245</v>
      </c>
      <c r="E425" s="246"/>
      <c r="F425" s="282"/>
      <c r="G425" s="244">
        <f>'корпоративный баланс энергии'!S434+'корпоративный баланс энергии'!V434+'корпоративный баланс энергии'!Y434</f>
        <v>531.56999999999994</v>
      </c>
      <c r="H425" s="246"/>
      <c r="I425" s="282"/>
      <c r="J425" s="244">
        <f>'корпоративный баланс энергии'!AB434+'корпоративный баланс энергии'!AE434+'корпоративный баланс энергии'!AH434</f>
        <v>640</v>
      </c>
      <c r="K425" s="246"/>
      <c r="L425" s="282"/>
      <c r="M425" s="244">
        <f>'корпоративный баланс энергии'!AK434+'корпоративный баланс энергии'!AN434+'корпоративный баланс энергии'!AQ434</f>
        <v>1150</v>
      </c>
      <c r="N425" s="246"/>
      <c r="O425" s="282"/>
      <c r="P425" s="244">
        <f>D425+G425+J425+M425</f>
        <v>3566.5699999999997</v>
      </c>
      <c r="Q425" s="283"/>
      <c r="R425" s="299"/>
      <c r="S425" s="261"/>
      <c r="T425" s="261"/>
    </row>
    <row r="426" spans="2:20">
      <c r="B426" s="132" t="str">
        <f>'корпоративный баланс энергии'!H435</f>
        <v>Новокуйбышевская ТЭЦ-1 (Филиал "Самарский" ПАО "Т Плюс")</v>
      </c>
      <c r="C426" s="516" t="s">
        <v>364</v>
      </c>
      <c r="D426" s="314">
        <f>SUM(D427:D430)</f>
        <v>478.38400000000007</v>
      </c>
      <c r="E426" s="283"/>
      <c r="F426" s="299"/>
      <c r="G426" s="314">
        <f>SUM(G427:G430)</f>
        <v>398.43799999999999</v>
      </c>
      <c r="H426" s="283"/>
      <c r="I426" s="299"/>
      <c r="J426" s="314">
        <f>SUM(J427:J430)</f>
        <v>467.23899999999998</v>
      </c>
      <c r="K426" s="283"/>
      <c r="L426" s="299"/>
      <c r="M426" s="314">
        <f>SUM(M427:M430)</f>
        <v>478.64599999999996</v>
      </c>
      <c r="N426" s="283"/>
      <c r="O426" s="299"/>
      <c r="P426" s="314">
        <f>SUM(P427:P430)</f>
        <v>1822.7069999999999</v>
      </c>
      <c r="Q426" s="283"/>
      <c r="R426" s="299"/>
      <c r="S426" s="261"/>
      <c r="T426" s="261"/>
    </row>
    <row r="427" spans="2:20">
      <c r="B427" s="127" t="str">
        <f>'корпоративный баланс энергии'!H436</f>
        <v>Новокуйбышевская ТЭЦ-1 (Филиал "Самарский" ПАО "Т Плюс") без ДПМ/НВ/ВР</v>
      </c>
      <c r="C427" s="487"/>
      <c r="D427" s="281">
        <f>'корпоративный баланс энергии'!J436+'корпоративный баланс энергии'!M436+'корпоративный баланс энергии'!P436</f>
        <v>172.62400000000002</v>
      </c>
      <c r="E427" s="246"/>
      <c r="F427" s="282"/>
      <c r="G427" s="244">
        <f>'корпоративный баланс энергии'!S436+'корпоративный баланс энергии'!V436+'корпоративный баланс энергии'!Y436</f>
        <v>93.12</v>
      </c>
      <c r="H427" s="246"/>
      <c r="I427" s="282"/>
      <c r="J427" s="244">
        <f>'корпоративный баланс энергии'!AB436+'корпоративный баланс энергии'!AE436+'корпоративный баланс энергии'!AH436</f>
        <v>121.514</v>
      </c>
      <c r="K427" s="246"/>
      <c r="L427" s="282"/>
      <c r="M427" s="244">
        <f>'корпоративный баланс энергии'!AK436+'корпоративный баланс энергии'!AN436+'корпоративный баланс энергии'!AQ436</f>
        <v>139.54399999999998</v>
      </c>
      <c r="N427" s="246"/>
      <c r="O427" s="282"/>
      <c r="P427" s="244">
        <f>D427+G427+J427+M427</f>
        <v>526.80200000000002</v>
      </c>
      <c r="Q427" s="283"/>
      <c r="R427" s="299"/>
      <c r="S427" s="261"/>
      <c r="T427" s="261"/>
    </row>
    <row r="428" spans="2:20">
      <c r="B428" s="127" t="str">
        <f>'корпоративный баланс энергии'!H437</f>
        <v>Новокуйбышевская ТЭЦ-1 (Филиал "Самарский" ПАО "Т Плюс") ПГУ 1 (76,5 МВт) 29.09.2013</v>
      </c>
      <c r="C428" s="487"/>
      <c r="D428" s="281">
        <f>'корпоративный баланс энергии'!J437+'корпоративный баланс энергии'!M437+'корпоративный баланс энергии'!P437</f>
        <v>100.8</v>
      </c>
      <c r="E428" s="246"/>
      <c r="F428" s="282"/>
      <c r="G428" s="244">
        <f>'корпоративный баланс энергии'!S437+'корпоративный баланс энергии'!V437+'корпоративный баланс энергии'!Y437</f>
        <v>152.63</v>
      </c>
      <c r="H428" s="246"/>
      <c r="I428" s="282"/>
      <c r="J428" s="244">
        <f>'корпоративный баланс энергии'!AB437+'корпоративный баланс энергии'!AE437+'корпоративный баланс энергии'!AH437</f>
        <v>83.869</v>
      </c>
      <c r="K428" s="246"/>
      <c r="L428" s="282"/>
      <c r="M428" s="244">
        <f>'корпоративный баланс энергии'!AK437+'корпоративный баланс энергии'!AN437+'корпоративный баланс энергии'!AQ437</f>
        <v>74.5715</v>
      </c>
      <c r="N428" s="246"/>
      <c r="O428" s="282"/>
      <c r="P428" s="244">
        <f>D428+G428+J428+M428</f>
        <v>411.87049999999999</v>
      </c>
      <c r="Q428" s="283"/>
      <c r="R428" s="299"/>
      <c r="S428" s="261"/>
      <c r="T428" s="261"/>
    </row>
    <row r="429" spans="2:20" s="107" customFormat="1">
      <c r="B429" s="127" t="str">
        <f>'корпоративный баланс энергии'!H438</f>
        <v>Новокуйбышевская ТЭЦ-1 (Филиал "Самарский" ПАО "Т Плюс") ПГУ 2 (76,5 МВт) 29.09.2013</v>
      </c>
      <c r="C429" s="487"/>
      <c r="D429" s="281">
        <f>'корпоративный баланс энергии'!J438+'корпоративный баланс энергии'!M438+'корпоративный баланс энергии'!P438</f>
        <v>104.16</v>
      </c>
      <c r="E429" s="246"/>
      <c r="F429" s="282"/>
      <c r="G429" s="244">
        <f>'корпоративный баланс энергии'!S438+'корпоративный баланс энергии'!V438+'корпоративный баланс энергии'!Y438</f>
        <v>100.4</v>
      </c>
      <c r="H429" s="246"/>
      <c r="I429" s="282"/>
      <c r="J429" s="244">
        <f>'корпоративный баланс энергии'!AB438+'корпоративный баланс энергии'!AE438+'корпоративный баланс энергии'!AH438</f>
        <v>138.48099999999999</v>
      </c>
      <c r="K429" s="246"/>
      <c r="L429" s="282"/>
      <c r="M429" s="244">
        <f>'корпоративный баланс энергии'!AK438+'корпоративный баланс энергии'!AN438+'корпоративный баланс энергии'!AQ438</f>
        <v>104.905</v>
      </c>
      <c r="N429" s="246"/>
      <c r="O429" s="282"/>
      <c r="P429" s="244">
        <f>D429+G429+J429+M429</f>
        <v>447.94600000000003</v>
      </c>
      <c r="Q429" s="283"/>
      <c r="R429" s="299"/>
      <c r="S429" s="346"/>
      <c r="T429" s="346"/>
    </row>
    <row r="430" spans="2:20">
      <c r="B430" s="127" t="str">
        <f>'корпоративный баланс энергии'!H439</f>
        <v>Новокуйбышевская ТЭЦ-1 (Филиал "Самарский" ПАО "Т Плюс") ПГУ 3 (76,5 МВт) 29.09.2013</v>
      </c>
      <c r="C430" s="487"/>
      <c r="D430" s="281">
        <f>'корпоративный баланс энергии'!J439+'корпоративный баланс энергии'!M439+'корпоративный баланс энергии'!P439</f>
        <v>100.8</v>
      </c>
      <c r="E430" s="246"/>
      <c r="F430" s="282"/>
      <c r="G430" s="244">
        <f>'корпоративный баланс энергии'!S439+'корпоративный баланс энергии'!V439+'корпоративный баланс энергии'!Y439</f>
        <v>52.287999999999997</v>
      </c>
      <c r="H430" s="246"/>
      <c r="I430" s="282"/>
      <c r="J430" s="244">
        <f>'корпоративный баланс энергии'!AB439+'корпоративный баланс энергии'!AE439+'корпоративный баланс энергии'!AH439</f>
        <v>123.375</v>
      </c>
      <c r="K430" s="246"/>
      <c r="L430" s="282"/>
      <c r="M430" s="244">
        <f>'корпоративный баланс энергии'!AK439+'корпоративный баланс энергии'!AN439+'корпоративный баланс энергии'!AQ439</f>
        <v>159.62549999999999</v>
      </c>
      <c r="N430" s="246"/>
      <c r="O430" s="282"/>
      <c r="P430" s="244">
        <f>D430+G430+J430+M430</f>
        <v>436.08849999999995</v>
      </c>
      <c r="Q430" s="283"/>
      <c r="R430" s="299"/>
      <c r="S430" s="261"/>
      <c r="T430" s="261"/>
    </row>
    <row r="431" spans="2:20" s="107" customFormat="1">
      <c r="B431" s="127" t="str">
        <f>'корпоративный баланс энергии'!H440</f>
        <v>Безымянская ТЭЦ (Филиал "Самарский" ПАО "Т Плюс")</v>
      </c>
      <c r="C431" s="516" t="s">
        <v>364</v>
      </c>
      <c r="D431" s="281">
        <f>'корпоративный баланс энергии'!J440+'корпоративный баланс энергии'!M440+'корпоративный баланс энергии'!P440</f>
        <v>88.36</v>
      </c>
      <c r="E431" s="246"/>
      <c r="F431" s="282"/>
      <c r="G431" s="244">
        <f>'корпоративный баланс энергии'!S440+'корпоративный баланс энергии'!V440+'корпоративный баланс энергии'!Y440</f>
        <v>29.774999999999999</v>
      </c>
      <c r="H431" s="246"/>
      <c r="I431" s="282"/>
      <c r="J431" s="244">
        <f>'корпоративный баланс энергии'!AB440+'корпоративный баланс энергии'!AE440+'корпоративный баланс энергии'!AH440</f>
        <v>18.18</v>
      </c>
      <c r="K431" s="246"/>
      <c r="L431" s="282"/>
      <c r="M431" s="244">
        <f>'корпоративный баланс энергии'!AK440+'корпоративный баланс энергии'!AN440+'корпоративный баланс энергии'!AQ440</f>
        <v>93.384</v>
      </c>
      <c r="N431" s="246"/>
      <c r="O431" s="282"/>
      <c r="P431" s="244">
        <f>D431+G431+J431+M431</f>
        <v>229.69900000000001</v>
      </c>
      <c r="Q431" s="283"/>
      <c r="R431" s="299"/>
      <c r="S431" s="346"/>
      <c r="T431" s="346"/>
    </row>
    <row r="432" spans="2:20" s="107" customFormat="1">
      <c r="B432" s="132" t="str">
        <f>'корпоративный баланс энергии'!H441</f>
        <v>Сызранская ТЭЦ (Филиал "Самарский" ПАО "Т Плюс")</v>
      </c>
      <c r="C432" s="516" t="s">
        <v>364</v>
      </c>
      <c r="D432" s="317">
        <f>D433+D434</f>
        <v>493.36</v>
      </c>
      <c r="E432" s="246"/>
      <c r="F432" s="282"/>
      <c r="G432" s="317">
        <f>G433+G434</f>
        <v>400.52</v>
      </c>
      <c r="H432" s="246"/>
      <c r="I432" s="282"/>
      <c r="J432" s="317">
        <f>J433+J434</f>
        <v>400.57</v>
      </c>
      <c r="K432" s="246"/>
      <c r="L432" s="282"/>
      <c r="M432" s="317">
        <f>M433+M434</f>
        <v>434.94400000000002</v>
      </c>
      <c r="N432" s="246"/>
      <c r="O432" s="282"/>
      <c r="P432" s="317">
        <f>P433+P434</f>
        <v>1729.394</v>
      </c>
      <c r="Q432" s="246"/>
      <c r="R432" s="282"/>
      <c r="S432" s="346"/>
      <c r="T432" s="346"/>
    </row>
    <row r="433" spans="2:20" s="107" customFormat="1">
      <c r="B433" s="127" t="str">
        <f>'корпоративный баланс энергии'!H442</f>
        <v>Сызранская ТЭЦ (Филиал "Самарский" ПАО "Т Плюс") без ДПМ/НВ</v>
      </c>
      <c r="C433" s="487"/>
      <c r="D433" s="281">
        <f>'корпоративный баланс энергии'!J442+'корпоративный баланс энергии'!M442+'корпоративный баланс энергии'!P442</f>
        <v>157.4</v>
      </c>
      <c r="E433" s="246"/>
      <c r="F433" s="282"/>
      <c r="G433" s="244">
        <f>'корпоративный баланс энергии'!S442+'корпоративный баланс энергии'!V442+'корпоративный баланс энергии'!Y442</f>
        <v>51.500000000000007</v>
      </c>
      <c r="H433" s="246"/>
      <c r="I433" s="282"/>
      <c r="J433" s="244">
        <f>'корпоративный баланс энергии'!AB442+'корпоративный баланс энергии'!AE442+'корпоративный баланс энергии'!AH442</f>
        <v>30</v>
      </c>
      <c r="K433" s="246"/>
      <c r="L433" s="282"/>
      <c r="M433" s="244">
        <f>'корпоративный баланс энергии'!AK442+'корпоративный баланс энергии'!AN442+'корпоративный баланс энергии'!AQ442</f>
        <v>119.88000000000001</v>
      </c>
      <c r="N433" s="246"/>
      <c r="O433" s="282"/>
      <c r="P433" s="244">
        <f>D433+G433+J433+M433</f>
        <v>358.78000000000003</v>
      </c>
      <c r="Q433" s="283"/>
      <c r="R433" s="299"/>
      <c r="S433" s="346"/>
      <c r="T433" s="346"/>
    </row>
    <row r="434" spans="2:20" s="107" customFormat="1">
      <c r="B434" s="127" t="str">
        <f>'корпоративный баланс энергии'!H443</f>
        <v>Сызранская ТЭЦ (Филиал "Самарский" ПАО "Т Плюс") ПГУ (227,4 МВт) НВ, ДПМ 17.08.2012</v>
      </c>
      <c r="C434" s="487"/>
      <c r="D434" s="281">
        <f>'корпоративный баланс энергии'!J443+'корпоративный баланс энергии'!M443+'корпоративный баланс энергии'!P443</f>
        <v>335.96000000000004</v>
      </c>
      <c r="E434" s="246"/>
      <c r="F434" s="282"/>
      <c r="G434" s="244">
        <f>'корпоративный баланс энергии'!S443+'корпоративный баланс энергии'!V443+'корпоративный баланс энергии'!Y443</f>
        <v>349.02</v>
      </c>
      <c r="H434" s="246"/>
      <c r="I434" s="282"/>
      <c r="J434" s="244">
        <f>'корпоративный баланс энергии'!AB443+'корпоративный баланс энергии'!AE443+'корпоративный баланс энергии'!AH443</f>
        <v>370.57</v>
      </c>
      <c r="K434" s="246"/>
      <c r="L434" s="282"/>
      <c r="M434" s="244">
        <f>'корпоративный баланс энергии'!AK443+'корпоративный баланс энергии'!AN443+'корпоративный баланс энергии'!AQ443</f>
        <v>315.06400000000002</v>
      </c>
      <c r="N434" s="246"/>
      <c r="O434" s="282"/>
      <c r="P434" s="244">
        <f>D434+G434+J434+M434</f>
        <v>1370.614</v>
      </c>
      <c r="Q434" s="283"/>
      <c r="R434" s="299"/>
      <c r="S434" s="346"/>
      <c r="T434" s="346"/>
    </row>
    <row r="435" spans="2:20" s="106" customFormat="1">
      <c r="B435" s="132" t="str">
        <f>'корпоративный баланс энергии'!H444</f>
        <v>Самарская ГРЭС (Филиал "Самарский" ПАО "Т Плюс")</v>
      </c>
      <c r="C435" s="516" t="s">
        <v>364</v>
      </c>
      <c r="D435" s="317">
        <f>D436+D437</f>
        <v>49.550000000000004</v>
      </c>
      <c r="E435" s="246"/>
      <c r="F435" s="282"/>
      <c r="G435" s="317">
        <f>G436+G437</f>
        <v>27.124000000000002</v>
      </c>
      <c r="H435" s="246"/>
      <c r="I435" s="282"/>
      <c r="J435" s="317">
        <f>J436+J437</f>
        <v>14.817</v>
      </c>
      <c r="K435" s="246"/>
      <c r="L435" s="282"/>
      <c r="M435" s="317">
        <f>M436+M437</f>
        <v>49.602000000000004</v>
      </c>
      <c r="N435" s="246"/>
      <c r="O435" s="282"/>
      <c r="P435" s="317">
        <f>P436+P437</f>
        <v>141.09300000000002</v>
      </c>
      <c r="Q435" s="246"/>
      <c r="R435" s="282"/>
      <c r="S435" s="347"/>
      <c r="T435" s="347"/>
    </row>
    <row r="436" spans="2:20" s="106" customFormat="1">
      <c r="B436" s="127" t="str">
        <f>'корпоративный баланс энергии'!H445</f>
        <v>Самарская ГРЭС (Филиал "Самарский" ПАО "Т Плюс") ТГ №1 НВ 01.03.2010</v>
      </c>
      <c r="C436" s="487"/>
      <c r="D436" s="281">
        <f>'корпоративный баланс энергии'!J445+'корпоративный баланс энергии'!M445+'корпоративный баланс энергии'!P445</f>
        <v>25.344000000000001</v>
      </c>
      <c r="E436" s="246"/>
      <c r="F436" s="282"/>
      <c r="G436" s="244">
        <f>'корпоративный баланс энергии'!S445+'корпоративный баланс энергии'!V445+'корпоративный баланс энергии'!Y445</f>
        <v>18.484000000000002</v>
      </c>
      <c r="H436" s="246"/>
      <c r="I436" s="282"/>
      <c r="J436" s="244">
        <f>'корпоративный баланс энергии'!AB445+'корпоративный баланс энергии'!AE445+'корпоративный баланс энергии'!AH445</f>
        <v>14.817</v>
      </c>
      <c r="K436" s="246"/>
      <c r="L436" s="282"/>
      <c r="M436" s="244">
        <f>'корпоративный баланс энергии'!AK445+'корпоративный баланс энергии'!AN445+'корпоративный баланс энергии'!AQ445</f>
        <v>25.152000000000001</v>
      </c>
      <c r="N436" s="246"/>
      <c r="O436" s="282"/>
      <c r="P436" s="244">
        <f>D436+G436+J436+M436</f>
        <v>83.796999999999997</v>
      </c>
      <c r="Q436" s="246"/>
      <c r="R436" s="282"/>
      <c r="S436" s="347"/>
      <c r="T436" s="347"/>
    </row>
    <row r="437" spans="2:20" s="3" customFormat="1">
      <c r="B437" s="127" t="str">
        <f>'корпоративный баланс энергии'!H446</f>
        <v>Самарская ГРЭС (Филиал "Самарский" ПАО "Т Плюс") без ДПМ/НВ</v>
      </c>
      <c r="C437" s="487"/>
      <c r="D437" s="281">
        <f>'корпоративный баланс энергии'!J446+'корпоративный баланс энергии'!M446+'корпоративный баланс энергии'!P446</f>
        <v>24.206000000000003</v>
      </c>
      <c r="E437" s="246"/>
      <c r="F437" s="282"/>
      <c r="G437" s="244">
        <f>'корпоративный баланс энергии'!S446+'корпоративный баланс энергии'!V446+'корпоративный баланс энергии'!Y446</f>
        <v>8.64</v>
      </c>
      <c r="H437" s="246"/>
      <c r="I437" s="282"/>
      <c r="J437" s="244">
        <f>'корпоративный баланс энергии'!AB446+'корпоративный баланс энергии'!AE446+'корпоративный баланс энергии'!AH446</f>
        <v>0</v>
      </c>
      <c r="K437" s="246"/>
      <c r="L437" s="282"/>
      <c r="M437" s="244">
        <f>'корпоративный баланс энергии'!AK446+'корпоративный баланс энергии'!AN446+'корпоративный баланс энергии'!AQ446</f>
        <v>24.45</v>
      </c>
      <c r="N437" s="246"/>
      <c r="O437" s="282"/>
      <c r="P437" s="244">
        <f>D437+G437+J437+M437</f>
        <v>57.296000000000006</v>
      </c>
      <c r="Q437" s="246"/>
      <c r="R437" s="282"/>
      <c r="S437" s="318"/>
      <c r="T437" s="318"/>
    </row>
    <row r="438" spans="2:20">
      <c r="B438" s="127" t="str">
        <f>'корпоративный баланс энергии'!H447</f>
        <v>Самарская ТЭЦ (Филиал "Самарский" ПАО "Т Плюс")</v>
      </c>
      <c r="C438" s="516" t="s">
        <v>364</v>
      </c>
      <c r="D438" s="281">
        <f>'корпоративный баланс энергии'!J447+'корпоративный баланс энергии'!M447+'корпоративный баланс энергии'!P447</f>
        <v>667.31</v>
      </c>
      <c r="E438" s="246"/>
      <c r="F438" s="282"/>
      <c r="G438" s="244">
        <f>'корпоративный баланс энергии'!S447+'корпоративный баланс энергии'!V447+'корпоративный баланс энергии'!Y447</f>
        <v>337.267</v>
      </c>
      <c r="H438" s="246"/>
      <c r="I438" s="282"/>
      <c r="J438" s="244">
        <f>'корпоративный баланс энергии'!AB447+'корпоративный баланс энергии'!AE447+'корпоративный баланс энергии'!AH447</f>
        <v>381.20000000000005</v>
      </c>
      <c r="K438" s="246"/>
      <c r="L438" s="282"/>
      <c r="M438" s="244">
        <f>'корпоративный баланс энергии'!AK447+'корпоративный баланс энергии'!AN447+'корпоративный баланс энергии'!AQ447</f>
        <v>634.05399999999997</v>
      </c>
      <c r="N438" s="246"/>
      <c r="O438" s="282"/>
      <c r="P438" s="244">
        <f>D438+G438+J438+M438</f>
        <v>2019.8310000000001</v>
      </c>
      <c r="Q438" s="283"/>
      <c r="R438" s="299"/>
      <c r="S438" s="261"/>
      <c r="T438" s="261"/>
    </row>
    <row r="439" spans="2:20">
      <c r="B439" s="127" t="str">
        <f>'корпоративный баланс энергии'!H448</f>
        <v>Жигулевская ГЭС (филиал ПАО "РусГидро")</v>
      </c>
      <c r="C439" s="516" t="s">
        <v>364</v>
      </c>
      <c r="D439" s="281">
        <f>'корпоративный баланс энергии'!J448+'корпоративный баланс энергии'!M448+'корпоративный баланс энергии'!P448</f>
        <v>2135.8624267578125</v>
      </c>
      <c r="E439" s="246"/>
      <c r="F439" s="282"/>
      <c r="G439" s="244">
        <f>'корпоративный баланс энергии'!S448+'корпоративный баланс энергии'!V448+'корпоративный баланс энергии'!Y448</f>
        <v>3301.0408325195313</v>
      </c>
      <c r="H439" s="246"/>
      <c r="I439" s="282"/>
      <c r="J439" s="244">
        <f>'корпоративный баланс энергии'!AB448+'корпоративный баланс энергии'!AE448+'корпоративный баланс энергии'!AH448</f>
        <v>2655.5696411132813</v>
      </c>
      <c r="K439" s="246"/>
      <c r="L439" s="282"/>
      <c r="M439" s="244">
        <f>'корпоративный баланс энергии'!AK448+'корпоративный баланс энергии'!AN448+'корпоративный баланс энергии'!AQ448</f>
        <v>2435.3681640625</v>
      </c>
      <c r="N439" s="246"/>
      <c r="O439" s="282"/>
      <c r="P439" s="244">
        <f>D439+G439+J439+M439</f>
        <v>10527.841064453125</v>
      </c>
      <c r="Q439" s="283"/>
      <c r="R439" s="299"/>
      <c r="S439" s="261"/>
      <c r="T439" s="261"/>
    </row>
    <row r="440" spans="2:20">
      <c r="B440" s="127" t="str">
        <f>'корпоративный баланс энергии'!H449</f>
        <v>Самарская СЭС №2, 1 очередь (ООО "Солар Системс")</v>
      </c>
      <c r="C440" s="516" t="s">
        <v>364</v>
      </c>
      <c r="D440" s="281">
        <f>'корпоративный баланс энергии'!J449+'корпоративный баланс энергии'!M449+'корпоративный баланс энергии'!P449</f>
        <v>17.630000000000003</v>
      </c>
      <c r="E440" s="246"/>
      <c r="F440" s="282"/>
      <c r="G440" s="244">
        <f>'корпоративный баланс энергии'!S449+'корпоративный баланс энергии'!V449+'корпоративный баланс энергии'!Y449</f>
        <v>29.629999999999995</v>
      </c>
      <c r="H440" s="246"/>
      <c r="I440" s="282"/>
      <c r="J440" s="244">
        <f>'корпоративный баланс энергии'!AB449+'корпоративный баланс энергии'!AE449+'корпоративный баланс энергии'!AH449</f>
        <v>29.67</v>
      </c>
      <c r="K440" s="246"/>
      <c r="L440" s="282"/>
      <c r="M440" s="244">
        <f>'корпоративный баланс энергии'!AK449+'корпоративный баланс энергии'!AN449+'корпоративный баланс энергии'!AQ449</f>
        <v>12.959999999999999</v>
      </c>
      <c r="N440" s="246"/>
      <c r="O440" s="282"/>
      <c r="P440" s="244">
        <f>D440+G440+J440+M440</f>
        <v>89.89</v>
      </c>
      <c r="Q440" s="283"/>
      <c r="R440" s="299"/>
      <c r="S440" s="261"/>
      <c r="T440" s="261"/>
    </row>
    <row r="441" spans="2:20">
      <c r="B441" s="127" t="str">
        <f>'корпоративный баланс энергии'!H450</f>
        <v>Самарская СЭС №2, 2 очередь (ООО "Солар Системс")</v>
      </c>
      <c r="C441" s="516" t="s">
        <v>364</v>
      </c>
      <c r="D441" s="281">
        <f>'корпоративный баланс энергии'!J450+'корпоративный баланс энергии'!M450+'корпоративный баланс энергии'!P450</f>
        <v>0</v>
      </c>
      <c r="E441" s="246"/>
      <c r="F441" s="282"/>
      <c r="G441" s="244">
        <f>'корпоративный баланс энергии'!S450+'корпоративный баланс энергии'!V450+'корпоративный баланс энергии'!Y450</f>
        <v>0</v>
      </c>
      <c r="H441" s="246"/>
      <c r="I441" s="282"/>
      <c r="J441" s="244">
        <f>'корпоративный баланс энергии'!AB450+'корпоративный баланс энергии'!AE450+'корпоративный баланс энергии'!AH450</f>
        <v>0</v>
      </c>
      <c r="K441" s="246"/>
      <c r="L441" s="282"/>
      <c r="M441" s="244">
        <f>'корпоративный баланс энергии'!AK450+'корпоративный баланс энергии'!AN450+'корпоративный баланс энергии'!AQ450</f>
        <v>0</v>
      </c>
      <c r="N441" s="246"/>
      <c r="O441" s="282"/>
      <c r="P441" s="244">
        <f t="shared" ref="P441:P442" si="22">D441+G441+J441+M441</f>
        <v>0</v>
      </c>
      <c r="Q441" s="283"/>
      <c r="R441" s="299"/>
      <c r="S441" s="261"/>
      <c r="T441" s="261"/>
    </row>
    <row r="442" spans="2:20">
      <c r="B442" s="127" t="str">
        <f>'корпоративный баланс энергии'!H451</f>
        <v>Самарская СЭС №2, 3 очередь (ООО "Солар Системс")</v>
      </c>
      <c r="C442" s="516" t="s">
        <v>364</v>
      </c>
      <c r="D442" s="281">
        <f>'корпоративный баланс энергии'!J451+'корпоративный баланс энергии'!M451+'корпоративный баланс энергии'!P451</f>
        <v>0</v>
      </c>
      <c r="E442" s="246"/>
      <c r="F442" s="282"/>
      <c r="G442" s="244">
        <f>'корпоративный баланс энергии'!S451+'корпоративный баланс энергии'!V451+'корпоративный баланс энергии'!Y451</f>
        <v>0</v>
      </c>
      <c r="H442" s="246"/>
      <c r="I442" s="282"/>
      <c r="J442" s="244">
        <f>'корпоративный баланс энергии'!AB451+'корпоративный баланс энергии'!AE451+'корпоративный баланс энергии'!AH451</f>
        <v>0</v>
      </c>
      <c r="K442" s="246"/>
      <c r="L442" s="282"/>
      <c r="M442" s="244">
        <f>'корпоративный баланс энергии'!AK451+'корпоративный баланс энергии'!AN451+'корпоративный баланс энергии'!AQ451</f>
        <v>0</v>
      </c>
      <c r="N442" s="246"/>
      <c r="O442" s="282"/>
      <c r="P442" s="244">
        <f t="shared" si="22"/>
        <v>0</v>
      </c>
      <c r="Q442" s="283"/>
      <c r="R442" s="299"/>
      <c r="S442" s="261"/>
      <c r="T442" s="261"/>
    </row>
    <row r="443" spans="2:20">
      <c r="B443" s="138" t="s">
        <v>174</v>
      </c>
      <c r="C443" s="488"/>
      <c r="D443" s="287">
        <f>SUM(D444:D446)</f>
        <v>75.116924229999995</v>
      </c>
      <c r="E443" s="307"/>
      <c r="F443" s="308"/>
      <c r="G443" s="287">
        <f>SUM(G444:G446)</f>
        <v>42.210611379999996</v>
      </c>
      <c r="H443" s="307"/>
      <c r="I443" s="308"/>
      <c r="J443" s="287">
        <f>SUM(J444:J446)</f>
        <v>55.47257939</v>
      </c>
      <c r="K443" s="307"/>
      <c r="L443" s="308"/>
      <c r="M443" s="287">
        <f>SUM(M444:M446)</f>
        <v>72.321883280000009</v>
      </c>
      <c r="N443" s="307"/>
      <c r="O443" s="308"/>
      <c r="P443" s="287">
        <f>SUM(P444:P446)</f>
        <v>245.12199828000001</v>
      </c>
      <c r="Q443" s="288"/>
      <c r="R443" s="289"/>
      <c r="S443" s="261"/>
      <c r="T443" s="261"/>
    </row>
    <row r="444" spans="2:20">
      <c r="B444" s="135" t="str">
        <f>'корпоративный баланс энергии'!H453</f>
        <v>ГТЭС АО "Газэнергострой"</v>
      </c>
      <c r="C444" s="518" t="s">
        <v>365</v>
      </c>
      <c r="D444" s="293">
        <f>'корпоративный баланс энергии'!J453+'корпоративный баланс энергии'!M453+'корпоративный баланс энергии'!P453</f>
        <v>0</v>
      </c>
      <c r="E444" s="288"/>
      <c r="F444" s="289"/>
      <c r="G444" s="294">
        <f>'корпоративный баланс энергии'!S453+'корпоративный баланс энергии'!V453+'корпоративный баланс энергии'!Y453</f>
        <v>0</v>
      </c>
      <c r="H444" s="288"/>
      <c r="I444" s="289"/>
      <c r="J444" s="294">
        <f>'корпоративный баланс энергии'!AB453+'корпоративный баланс энергии'!AE453+'корпоративный баланс энергии'!AH453</f>
        <v>0</v>
      </c>
      <c r="K444" s="288"/>
      <c r="L444" s="289"/>
      <c r="M444" s="294">
        <f>'корпоративный баланс энергии'!AK453+'корпоративный баланс энергии'!AN453+'корпоративный баланс энергии'!AQ453</f>
        <v>0</v>
      </c>
      <c r="N444" s="288"/>
      <c r="O444" s="289"/>
      <c r="P444" s="294">
        <f>D444+G444+J444+M444</f>
        <v>0</v>
      </c>
      <c r="Q444" s="288"/>
      <c r="R444" s="289"/>
      <c r="S444" s="261"/>
      <c r="T444" s="261"/>
    </row>
    <row r="445" spans="2:20">
      <c r="B445" s="135" t="str">
        <f>'корпоративный баланс энергии'!H454</f>
        <v>ТЭЦ АО "Новокуйбышевский НПЗ"</v>
      </c>
      <c r="C445" s="518" t="s">
        <v>365</v>
      </c>
      <c r="D445" s="293">
        <f>'корпоративный баланс энергии'!J454+'корпоративный баланс энергии'!M454+'корпоративный баланс энергии'!P454</f>
        <v>32.4</v>
      </c>
      <c r="E445" s="288"/>
      <c r="F445" s="289"/>
      <c r="G445" s="294">
        <f>'корпоративный баланс энергии'!S454+'корпоративный баланс энергии'!V454+'корпоративный баланс энергии'!Y454</f>
        <v>14.5</v>
      </c>
      <c r="H445" s="288"/>
      <c r="I445" s="289"/>
      <c r="J445" s="294">
        <f>'корпоративный баланс энергии'!AB454+'корпоративный баланс энергии'!AE454+'корпоративный баланс энергии'!AH454</f>
        <v>18.5</v>
      </c>
      <c r="K445" s="288"/>
      <c r="L445" s="289"/>
      <c r="M445" s="294">
        <f>'корпоративный баланс энергии'!AK454+'корпоративный баланс энергии'!AN454+'корпоративный баланс энергии'!AQ454</f>
        <v>27</v>
      </c>
      <c r="N445" s="288"/>
      <c r="O445" s="289"/>
      <c r="P445" s="294">
        <f>D445+G445+J445+M445</f>
        <v>92.4</v>
      </c>
      <c r="Q445" s="288"/>
      <c r="R445" s="289"/>
      <c r="S445" s="261"/>
      <c r="T445" s="261"/>
    </row>
    <row r="446" spans="2:20">
      <c r="B446" s="135" t="str">
        <f>'корпоративный баланс энергии'!H455</f>
        <v>ТЭЦ-1,2 АО "Куйбышевский НПЗ"</v>
      </c>
      <c r="C446" s="518" t="s">
        <v>365</v>
      </c>
      <c r="D446" s="293">
        <f>'корпоративный баланс энергии'!J455+'корпоративный баланс энергии'!M455+'корпоративный баланс энергии'!P455</f>
        <v>42.716924230000004</v>
      </c>
      <c r="E446" s="288"/>
      <c r="F446" s="289"/>
      <c r="G446" s="294">
        <f>'корпоративный баланс энергии'!S455+'корпоративный баланс энергии'!V455+'корпоративный баланс энергии'!Y455</f>
        <v>27.710611379999996</v>
      </c>
      <c r="H446" s="288"/>
      <c r="I446" s="289"/>
      <c r="J446" s="294">
        <f>'корпоративный баланс энергии'!AB455+'корпоративный баланс энергии'!AE455+'корпоративный баланс энергии'!AH455</f>
        <v>36.97257939</v>
      </c>
      <c r="K446" s="288"/>
      <c r="L446" s="289"/>
      <c r="M446" s="294">
        <f>'корпоративный баланс энергии'!AK455+'корпоративный баланс энергии'!AN455+'корпоративный баланс энергии'!AQ455</f>
        <v>45.321883280000002</v>
      </c>
      <c r="N446" s="288"/>
      <c r="O446" s="289"/>
      <c r="P446" s="294">
        <f>D446+G446+J446+M446</f>
        <v>152.72199828000001</v>
      </c>
      <c r="Q446" s="288"/>
      <c r="R446" s="289"/>
      <c r="S446" s="261"/>
      <c r="T446" s="261"/>
    </row>
    <row r="447" spans="2:20" ht="18.75">
      <c r="B447" s="473" t="str">
        <f>'корпоративный баланс энергии'!H456</f>
        <v>Энергосистема Саратовской области</v>
      </c>
      <c r="C447" s="495"/>
      <c r="D447" s="274">
        <f>SUM(D448:D452)</f>
        <v>9700.8487111816394</v>
      </c>
      <c r="E447" s="275">
        <f>F447-D447</f>
        <v>-6214.119366311741</v>
      </c>
      <c r="F447" s="276">
        <f>'корпоративный баланс энергии'!L456+'корпоративный баланс энергии'!O456+'корпоративный баланс энергии'!R456</f>
        <v>3486.7293448698979</v>
      </c>
      <c r="G447" s="274">
        <f>SUM(G448:G452)</f>
        <v>10254.757325683593</v>
      </c>
      <c r="H447" s="275">
        <f>I447-G447</f>
        <v>-7174.8523228712638</v>
      </c>
      <c r="I447" s="276">
        <f>'корпоративный баланс энергии'!U456+'корпоративный баланс энергии'!X456+'корпоративный баланс энергии'!AA456</f>
        <v>3079.9050028123288</v>
      </c>
      <c r="J447" s="274">
        <f>SUM(J448:J452)</f>
        <v>10751.670661376953</v>
      </c>
      <c r="K447" s="275">
        <f>L447-J447</f>
        <v>-7612.7735845151838</v>
      </c>
      <c r="L447" s="276">
        <f>'корпоративный баланс энергии'!AD456+'корпоративный баланс энергии'!AG456+'корпоративный баланс энергии'!AJ456</f>
        <v>3138.8970768617692</v>
      </c>
      <c r="M447" s="274">
        <f>SUM(M448:M452)</f>
        <v>9474.3544970703133</v>
      </c>
      <c r="N447" s="275">
        <f>O447-M447</f>
        <v>-6034.4968309862097</v>
      </c>
      <c r="O447" s="276">
        <f>'корпоративный баланс энергии'!AM456+'корпоративный баланс энергии'!AP456+'корпоративный баланс энергии'!AS456</f>
        <v>3439.8576660841036</v>
      </c>
      <c r="P447" s="274">
        <f>SUM(P448:P452)</f>
        <v>40181.631195312504</v>
      </c>
      <c r="Q447" s="275">
        <f>R447-P447</f>
        <v>-27036.242104684407</v>
      </c>
      <c r="R447" s="276">
        <f>F447+I447+L447+O447</f>
        <v>13145.389090628098</v>
      </c>
      <c r="S447" s="261"/>
      <c r="T447" s="261"/>
    </row>
    <row r="448" spans="2:20">
      <c r="B448" s="10" t="s">
        <v>56</v>
      </c>
      <c r="C448" s="483"/>
      <c r="D448" s="270">
        <f>SUM(D453:D460)</f>
        <v>1405.0995</v>
      </c>
      <c r="E448" s="271"/>
      <c r="F448" s="224"/>
      <c r="G448" s="270">
        <f>SUM(G453:G460)</f>
        <v>541.70499999999993</v>
      </c>
      <c r="H448" s="271"/>
      <c r="I448" s="224"/>
      <c r="J448" s="270">
        <f>SUM(J453:J460)</f>
        <v>514.72</v>
      </c>
      <c r="K448" s="271"/>
      <c r="L448" s="224"/>
      <c r="M448" s="270">
        <f>SUM(M453:M460)</f>
        <v>1169.403</v>
      </c>
      <c r="N448" s="271"/>
      <c r="O448" s="224"/>
      <c r="P448" s="270">
        <f>SUM(P453:P460)</f>
        <v>3630.9274999999998</v>
      </c>
      <c r="Q448" s="271"/>
      <c r="R448" s="364"/>
      <c r="S448" s="261"/>
      <c r="T448" s="261"/>
    </row>
    <row r="449" spans="2:20" s="107" customFormat="1">
      <c r="B449" s="10" t="s">
        <v>55</v>
      </c>
      <c r="C449" s="483"/>
      <c r="D449" s="270">
        <f>D462</f>
        <v>1182.4352111816406</v>
      </c>
      <c r="E449" s="271"/>
      <c r="F449" s="224"/>
      <c r="G449" s="270">
        <f>G462</f>
        <v>1848.4213256835938</v>
      </c>
      <c r="H449" s="271"/>
      <c r="I449" s="224"/>
      <c r="J449" s="270">
        <f>J462</f>
        <v>1381.1716613769531</v>
      </c>
      <c r="K449" s="271"/>
      <c r="L449" s="224"/>
      <c r="M449" s="270">
        <f>M462</f>
        <v>1293.6094970703125</v>
      </c>
      <c r="N449" s="271"/>
      <c r="O449" s="224"/>
      <c r="P449" s="270">
        <f>P462</f>
        <v>5705.6376953125</v>
      </c>
      <c r="Q449" s="271"/>
      <c r="R449" s="364"/>
      <c r="S449" s="346"/>
      <c r="T449" s="346"/>
    </row>
    <row r="450" spans="2:20">
      <c r="B450" s="10" t="s">
        <v>98</v>
      </c>
      <c r="C450" s="483"/>
      <c r="D450" s="270">
        <f>D461</f>
        <v>7020</v>
      </c>
      <c r="E450" s="271"/>
      <c r="F450" s="224"/>
      <c r="G450" s="270">
        <f>G461</f>
        <v>7761</v>
      </c>
      <c r="H450" s="271"/>
      <c r="I450" s="224"/>
      <c r="J450" s="270">
        <f>J461</f>
        <v>8747</v>
      </c>
      <c r="K450" s="271"/>
      <c r="L450" s="224"/>
      <c r="M450" s="270">
        <f>M461</f>
        <v>6922</v>
      </c>
      <c r="N450" s="271"/>
      <c r="O450" s="224"/>
      <c r="P450" s="270">
        <f>P461</f>
        <v>30450</v>
      </c>
      <c r="Q450" s="271"/>
      <c r="R450" s="364"/>
      <c r="S450" s="261"/>
      <c r="T450" s="261"/>
    </row>
    <row r="451" spans="2:20">
      <c r="B451" s="10" t="s">
        <v>347</v>
      </c>
      <c r="C451" s="483"/>
      <c r="D451" s="270">
        <f>SUM(D463:D466)</f>
        <v>10.495999999999999</v>
      </c>
      <c r="E451" s="271"/>
      <c r="F451" s="224"/>
      <c r="G451" s="270">
        <f>SUM(G463:G466)</f>
        <v>21.527000000000001</v>
      </c>
      <c r="H451" s="271"/>
      <c r="I451" s="224"/>
      <c r="J451" s="270">
        <f>SUM(J463:J466)</f>
        <v>19.690999999999999</v>
      </c>
      <c r="K451" s="271"/>
      <c r="L451" s="224"/>
      <c r="M451" s="270">
        <f>SUM(M463:M466)</f>
        <v>2.9060000000000001</v>
      </c>
      <c r="N451" s="271"/>
      <c r="O451" s="224"/>
      <c r="P451" s="270">
        <f>SUM(P463:P466)</f>
        <v>54.620000000000005</v>
      </c>
      <c r="Q451" s="271"/>
      <c r="R451" s="364"/>
      <c r="S451" s="261"/>
      <c r="T451" s="261"/>
    </row>
    <row r="452" spans="2:20" s="107" customFormat="1">
      <c r="B452" s="10" t="s">
        <v>99</v>
      </c>
      <c r="C452" s="483"/>
      <c r="D452" s="270">
        <f>D467</f>
        <v>82.817999999999998</v>
      </c>
      <c r="E452" s="271"/>
      <c r="F452" s="224"/>
      <c r="G452" s="270">
        <f>G467</f>
        <v>82.103999999999999</v>
      </c>
      <c r="H452" s="271"/>
      <c r="I452" s="224"/>
      <c r="J452" s="270">
        <f>J467</f>
        <v>89.087999999999994</v>
      </c>
      <c r="K452" s="271"/>
      <c r="L452" s="224"/>
      <c r="M452" s="270">
        <f>M467</f>
        <v>86.436000000000007</v>
      </c>
      <c r="N452" s="271"/>
      <c r="O452" s="224"/>
      <c r="P452" s="270">
        <f>P467</f>
        <v>340.44600000000003</v>
      </c>
      <c r="Q452" s="271"/>
      <c r="R452" s="364"/>
      <c r="S452" s="346"/>
      <c r="T452" s="346"/>
    </row>
    <row r="453" spans="2:20" s="107" customFormat="1">
      <c r="B453" s="127" t="str">
        <f>'корпоративный баланс энергии'!H462</f>
        <v>Саратовская ГРЭС (Филиал Саратовский  ПАО "Т Плюс")</v>
      </c>
      <c r="C453" s="516" t="s">
        <v>364</v>
      </c>
      <c r="D453" s="281">
        <f>'корпоративный баланс энергии'!J462+'корпоративный баланс энергии'!M462+'корпоративный баланс энергии'!P462</f>
        <v>43.48</v>
      </c>
      <c r="E453" s="246"/>
      <c r="F453" s="282"/>
      <c r="G453" s="244">
        <f>'корпоративный баланс энергии'!S462+'корпоративный баланс энергии'!V462+'корпоративный баланс энергии'!Y462</f>
        <v>29.34</v>
      </c>
      <c r="H453" s="246"/>
      <c r="I453" s="282"/>
      <c r="J453" s="244">
        <f>'корпоративный баланс энергии'!AB462+'корпоративный баланс энергии'!AE462+'корпоративный баланс энергии'!AH462</f>
        <v>22.72</v>
      </c>
      <c r="K453" s="246"/>
      <c r="L453" s="282"/>
      <c r="M453" s="244">
        <f>'корпоративный баланс энергии'!AK462+'корпоративный баланс энергии'!AN462+'корпоративный баланс энергии'!AQ462</f>
        <v>43.518000000000001</v>
      </c>
      <c r="N453" s="246"/>
      <c r="O453" s="282"/>
      <c r="P453" s="244">
        <f t="shared" ref="P453:P462" si="23">D453+G453+J453+M453</f>
        <v>139.05799999999999</v>
      </c>
      <c r="Q453" s="283"/>
      <c r="R453" s="299"/>
      <c r="S453" s="346"/>
      <c r="T453" s="346"/>
    </row>
    <row r="454" spans="2:20" s="107" customFormat="1">
      <c r="B454" s="127" t="str">
        <f>'корпоративный баланс энергии'!H463</f>
        <v>Саратовская ТЭЦ-1 (ООО "Саратовская ТЭЦ-1")</v>
      </c>
      <c r="C454" s="519" t="s">
        <v>365</v>
      </c>
      <c r="D454" s="281">
        <f>'корпоративный баланс энергии'!J463+'корпоративный баланс энергии'!M463+'корпоративный баланс энергии'!P463</f>
        <v>0</v>
      </c>
      <c r="E454" s="246"/>
      <c r="F454" s="282"/>
      <c r="G454" s="244">
        <f>'корпоративный баланс энергии'!S463+'корпоративный баланс энергии'!V463+'корпоративный баланс энергии'!Y463</f>
        <v>0</v>
      </c>
      <c r="H454" s="246"/>
      <c r="I454" s="282"/>
      <c r="J454" s="244">
        <f>'корпоративный баланс энергии'!AB463+'корпоративный баланс энергии'!AE463+'корпоративный баланс энергии'!AH463</f>
        <v>0</v>
      </c>
      <c r="K454" s="246"/>
      <c r="L454" s="282"/>
      <c r="M454" s="244">
        <f>'корпоративный баланс энергии'!AK463+'корпоративный баланс энергии'!AN463+'корпоративный баланс энергии'!AQ463</f>
        <v>0</v>
      </c>
      <c r="N454" s="246"/>
      <c r="O454" s="282"/>
      <c r="P454" s="244">
        <f t="shared" si="23"/>
        <v>0</v>
      </c>
      <c r="Q454" s="283"/>
      <c r="R454" s="299"/>
      <c r="S454" s="346"/>
      <c r="T454" s="346"/>
    </row>
    <row r="455" spans="2:20" s="107" customFormat="1">
      <c r="B455" s="127" t="str">
        <f>'корпоративный баланс энергии'!H464</f>
        <v>Саратовская ТЭЦ-2 (Филиал Саратовский  ПАО "Т Плюс")</v>
      </c>
      <c r="C455" s="516" t="s">
        <v>364</v>
      </c>
      <c r="D455" s="281">
        <f>'корпоративный баланс энергии'!J464+'корпоративный баланс энергии'!M464+'корпоративный баланс энергии'!P464</f>
        <v>237.95999999999998</v>
      </c>
      <c r="E455" s="246"/>
      <c r="F455" s="282"/>
      <c r="G455" s="244">
        <f>'корпоративный баланс энергии'!S464+'корпоративный баланс энергии'!V464+'корпоративный баланс энергии'!Y464</f>
        <v>117.46</v>
      </c>
      <c r="H455" s="246"/>
      <c r="I455" s="282"/>
      <c r="J455" s="244">
        <f>'корпоративный баланс энергии'!AB464+'корпоративный баланс энергии'!AE464+'корпоративный баланс энергии'!AH464</f>
        <v>110.42</v>
      </c>
      <c r="K455" s="246"/>
      <c r="L455" s="282"/>
      <c r="M455" s="244">
        <f>'корпоративный баланс энергии'!AK464+'корпоративный баланс энергии'!AN464+'корпоративный баланс энергии'!AQ464</f>
        <v>224.77500000000001</v>
      </c>
      <c r="N455" s="246"/>
      <c r="O455" s="282"/>
      <c r="P455" s="244">
        <f t="shared" si="23"/>
        <v>690.61500000000001</v>
      </c>
      <c r="Q455" s="283"/>
      <c r="R455" s="299"/>
      <c r="S455" s="346"/>
      <c r="T455" s="346"/>
    </row>
    <row r="456" spans="2:20">
      <c r="B456" s="127" t="str">
        <f>'корпоративный баланс энергии'!H465</f>
        <v>Энгельская ТЭЦ-3 (Филиал Саратовский  ПАО "Т Плюс")</v>
      </c>
      <c r="C456" s="516" t="s">
        <v>364</v>
      </c>
      <c r="D456" s="281">
        <f>'корпоративный баланс энергии'!J465+'корпоративный баланс энергии'!M465+'корпоративный баланс энергии'!P465</f>
        <v>153.06950000000001</v>
      </c>
      <c r="E456" s="246"/>
      <c r="F456" s="282"/>
      <c r="G456" s="244">
        <f>'корпоративный баланс энергии'!S465+'корпоративный баланс энергии'!V465+'корпоративный баланс энергии'!Y465</f>
        <v>65.39500000000001</v>
      </c>
      <c r="H456" s="246"/>
      <c r="I456" s="282"/>
      <c r="J456" s="244">
        <f>'корпоративный баланс энергии'!AB465+'корпоративный баланс энергии'!AE465+'корпоративный баланс энергии'!AH465</f>
        <v>61.540000000000006</v>
      </c>
      <c r="K456" s="246"/>
      <c r="L456" s="282"/>
      <c r="M456" s="244">
        <f>'корпоративный баланс энергии'!AK465+'корпоративный баланс энергии'!AN465+'корпоративный баланс энергии'!AQ465</f>
        <v>127.57000000000001</v>
      </c>
      <c r="N456" s="246"/>
      <c r="O456" s="282"/>
      <c r="P456" s="244">
        <f t="shared" si="23"/>
        <v>407.5745</v>
      </c>
      <c r="Q456" s="283"/>
      <c r="R456" s="299"/>
      <c r="S456" s="261"/>
      <c r="T456" s="261"/>
    </row>
    <row r="457" spans="2:20">
      <c r="B457" s="127" t="str">
        <f>'корпоративный баланс энергии'!H466</f>
        <v>Балаковская ТЭЦ-4 (Филиал Саратовский  ПАО "Т Плюс")</v>
      </c>
      <c r="C457" s="516" t="s">
        <v>364</v>
      </c>
      <c r="D457" s="281">
        <f>'корпоративный баланс энергии'!J466+'корпоративный баланс энергии'!M466+'корпоративный баланс энергии'!P466</f>
        <v>370.58000000000004</v>
      </c>
      <c r="E457" s="246"/>
      <c r="F457" s="282"/>
      <c r="G457" s="244">
        <f>'корпоративный баланс энергии'!S466+'корпоративный баланс энергии'!V466+'корпоративный баланс энергии'!Y466</f>
        <v>108.5</v>
      </c>
      <c r="H457" s="246"/>
      <c r="I457" s="282"/>
      <c r="J457" s="244">
        <f>'корпоративный баланс энергии'!AB466+'корпоративный баланс энергии'!AE466+'корпоративный баланс энергии'!AH466</f>
        <v>102.89</v>
      </c>
      <c r="K457" s="246"/>
      <c r="L457" s="282"/>
      <c r="M457" s="244">
        <f>'корпоративный баланс энергии'!AK466+'корпоративный баланс энергии'!AN466+'корпоративный баланс энергии'!AQ466</f>
        <v>282.05</v>
      </c>
      <c r="N457" s="246"/>
      <c r="O457" s="282"/>
      <c r="P457" s="244">
        <f t="shared" si="23"/>
        <v>864.02</v>
      </c>
      <c r="Q457" s="283"/>
      <c r="R457" s="299"/>
      <c r="S457" s="261"/>
      <c r="T457" s="261"/>
    </row>
    <row r="458" spans="2:20">
      <c r="B458" s="127" t="str">
        <f>'корпоративный баланс энергии'!H467</f>
        <v>Саратовская ТЭЦ-5 (Филиал Саратовский  ПАО "Т Плюс")</v>
      </c>
      <c r="C458" s="516" t="s">
        <v>364</v>
      </c>
      <c r="D458" s="281">
        <f>'корпоративный баланс энергии'!J467+'корпоративный баланс энергии'!M467+'корпоративный баланс энергии'!P467</f>
        <v>600.01</v>
      </c>
      <c r="E458" s="246"/>
      <c r="F458" s="282"/>
      <c r="G458" s="244">
        <f>'корпоративный баланс энергии'!S467+'корпоративный баланс энергии'!V467+'корпоративный баланс энергии'!Y467</f>
        <v>221.01</v>
      </c>
      <c r="H458" s="246"/>
      <c r="I458" s="282"/>
      <c r="J458" s="244">
        <f>'корпоративный баланс энергии'!AB467+'корпоративный баланс энергии'!AE467+'корпоративный баланс энергии'!AH467</f>
        <v>217.15</v>
      </c>
      <c r="K458" s="246"/>
      <c r="L458" s="282"/>
      <c r="M458" s="244">
        <f>'корпоративный баланс энергии'!AK467+'корпоративный баланс энергии'!AN467+'корпоративный баланс энергии'!AQ467</f>
        <v>491.49</v>
      </c>
      <c r="N458" s="246"/>
      <c r="O458" s="282"/>
      <c r="P458" s="244">
        <f t="shared" si="23"/>
        <v>1529.66</v>
      </c>
      <c r="Q458" s="283"/>
      <c r="R458" s="299"/>
      <c r="S458" s="261"/>
      <c r="T458" s="261"/>
    </row>
    <row r="459" spans="2:20" s="107" customFormat="1" hidden="1">
      <c r="B459" s="127" t="str">
        <f>'корпоративный баланс энергии'!H468</f>
        <v>ОАО "ГТ-ТЭЦ Энерго" (ГТ-ТЭЦ "Саратовская - 1")  - новый ввод</v>
      </c>
      <c r="C459" s="516" t="s">
        <v>364</v>
      </c>
      <c r="D459" s="281">
        <f>'корпоративный баланс энергии'!J468+'корпоративный баланс энергии'!M468+'корпоративный баланс энергии'!P468</f>
        <v>0</v>
      </c>
      <c r="E459" s="246"/>
      <c r="F459" s="282"/>
      <c r="G459" s="244">
        <f>'корпоративный баланс энергии'!S468+'корпоративный баланс энергии'!V468+'корпоративный баланс энергии'!Y468</f>
        <v>0</v>
      </c>
      <c r="H459" s="246"/>
      <c r="I459" s="282"/>
      <c r="J459" s="244">
        <f>'корпоративный баланс энергии'!AB468+'корпоративный баланс энергии'!AE468+'корпоративный баланс энергии'!AH468</f>
        <v>0</v>
      </c>
      <c r="K459" s="246"/>
      <c r="L459" s="282"/>
      <c r="M459" s="244">
        <f>'корпоративный баланс энергии'!AK468+'корпоративный баланс энергии'!AN468+'корпоративный баланс энергии'!AQ468</f>
        <v>0</v>
      </c>
      <c r="N459" s="246"/>
      <c r="O459" s="282"/>
      <c r="P459" s="244">
        <f t="shared" si="23"/>
        <v>0</v>
      </c>
      <c r="Q459" s="352"/>
      <c r="R459" s="353"/>
      <c r="S459" s="346"/>
      <c r="T459" s="346"/>
    </row>
    <row r="460" spans="2:20" s="107" customFormat="1" hidden="1">
      <c r="B460" s="127" t="str">
        <f>'корпоративный баланс энергии'!H469</f>
        <v>ОАО "ГТ-ТЭЦ Энерго" (ГТ-ТЭЦ "Саратовская - 2") - новый ввод</v>
      </c>
      <c r="C460" s="516" t="s">
        <v>364</v>
      </c>
      <c r="D460" s="281">
        <f>'корпоративный баланс энергии'!J469+'корпоративный баланс энергии'!M469+'корпоративный баланс энергии'!P469</f>
        <v>0</v>
      </c>
      <c r="E460" s="246"/>
      <c r="F460" s="282"/>
      <c r="G460" s="244">
        <f>'корпоративный баланс энергии'!S469+'корпоративный баланс энергии'!V469+'корпоративный баланс энергии'!Y469</f>
        <v>0</v>
      </c>
      <c r="H460" s="246"/>
      <c r="I460" s="282"/>
      <c r="J460" s="244">
        <f>'корпоративный баланс энергии'!AB469+'корпоративный баланс энергии'!AE469+'корпоративный баланс энергии'!AH469</f>
        <v>0</v>
      </c>
      <c r="K460" s="246"/>
      <c r="L460" s="282"/>
      <c r="M460" s="244">
        <f>'корпоративный баланс энергии'!AK469+'корпоративный баланс энергии'!AN469+'корпоративный баланс энергии'!AQ469</f>
        <v>0</v>
      </c>
      <c r="N460" s="246"/>
      <c r="O460" s="282"/>
      <c r="P460" s="244">
        <f t="shared" si="23"/>
        <v>0</v>
      </c>
      <c r="Q460" s="352"/>
      <c r="R460" s="353"/>
      <c r="S460" s="346"/>
      <c r="T460" s="346"/>
    </row>
    <row r="461" spans="2:20">
      <c r="B461" s="127" t="str">
        <f>'корпоративный баланс энергии'!H470</f>
        <v>Балаковская АЭС (филиал АО "Концерн Росэнергоатом")</v>
      </c>
      <c r="C461" s="516" t="s">
        <v>364</v>
      </c>
      <c r="D461" s="281">
        <f>'корпоративный баланс энергии'!J470+'корпоративный баланс энергии'!M470+'корпоративный баланс энергии'!P470</f>
        <v>7020</v>
      </c>
      <c r="E461" s="246"/>
      <c r="F461" s="282"/>
      <c r="G461" s="244">
        <f>'корпоративный баланс энергии'!S470+'корпоративный баланс энергии'!V470+'корпоративный баланс энергии'!Y470</f>
        <v>7761</v>
      </c>
      <c r="H461" s="246"/>
      <c r="I461" s="282"/>
      <c r="J461" s="244">
        <f>'корпоративный баланс энергии'!AB470+'корпоративный баланс энергии'!AE470+'корпоративный баланс энергии'!AH470</f>
        <v>8747</v>
      </c>
      <c r="K461" s="246"/>
      <c r="L461" s="282"/>
      <c r="M461" s="244">
        <f>'корпоративный баланс энергии'!AK470+'корпоративный баланс энергии'!AN470+'корпоративный баланс энергии'!AQ470</f>
        <v>6922</v>
      </c>
      <c r="N461" s="246"/>
      <c r="O461" s="282"/>
      <c r="P461" s="244">
        <f t="shared" si="23"/>
        <v>30450</v>
      </c>
      <c r="Q461" s="283"/>
      <c r="R461" s="299"/>
      <c r="S461" s="261"/>
      <c r="T461" s="261"/>
    </row>
    <row r="462" spans="2:20">
      <c r="B462" s="127" t="str">
        <f>'корпоративный баланс энергии'!H471</f>
        <v>Саратовская ГЭС (филиал ПАО "РусГидро")</v>
      </c>
      <c r="C462" s="516" t="s">
        <v>364</v>
      </c>
      <c r="D462" s="281">
        <f>'корпоративный баланс энергии'!J471+'корпоративный баланс энергии'!M471+'корпоративный баланс энергии'!P471</f>
        <v>1182.4352111816406</v>
      </c>
      <c r="E462" s="246"/>
      <c r="F462" s="282"/>
      <c r="G462" s="244">
        <f>'корпоративный баланс энергии'!S471+'корпоративный баланс энергии'!V471+'корпоративный баланс энергии'!Y471</f>
        <v>1848.4213256835938</v>
      </c>
      <c r="H462" s="246"/>
      <c r="I462" s="282"/>
      <c r="J462" s="244">
        <f>'корпоративный баланс энергии'!AB471+'корпоративный баланс энергии'!AE471+'корпоративный баланс энергии'!AH471</f>
        <v>1381.1716613769531</v>
      </c>
      <c r="K462" s="246"/>
      <c r="L462" s="282"/>
      <c r="M462" s="244">
        <f>'корпоративный баланс энергии'!AK471+'корпоративный баланс энергии'!AN471+'корпоративный баланс энергии'!AQ471</f>
        <v>1293.6094970703125</v>
      </c>
      <c r="N462" s="246"/>
      <c r="O462" s="282"/>
      <c r="P462" s="244">
        <f t="shared" si="23"/>
        <v>5705.6376953125</v>
      </c>
      <c r="Q462" s="283"/>
      <c r="R462" s="299"/>
      <c r="S462" s="261"/>
      <c r="T462" s="261"/>
    </row>
    <row r="463" spans="2:20">
      <c r="B463" s="127" t="str">
        <f>'корпоративный баланс энергии'!H472</f>
        <v>АСТ-Орловгайская СЭС (ООО «АВЕЛАР СОЛАР ТЕХНОЛОДЖИ»)</v>
      </c>
      <c r="C463" s="516" t="s">
        <v>364</v>
      </c>
      <c r="D463" s="281">
        <f>'корпоративный баланс энергии'!J472+'корпоративный баланс энергии'!M472+'корпоративный баланс энергии'!P472</f>
        <v>4.0359999999999996</v>
      </c>
      <c r="E463" s="246"/>
      <c r="F463" s="282"/>
      <c r="G463" s="244">
        <f>'корпоративный баланс энергии'!S472+'корпоративный баланс энергии'!V472+'корпоративный баланс энергии'!Y472</f>
        <v>7.7010000000000005</v>
      </c>
      <c r="H463" s="246"/>
      <c r="I463" s="282"/>
      <c r="J463" s="244">
        <f>'корпоративный баланс энергии'!AB472+'корпоративный баланс энергии'!AE472+'корпоративный баланс энергии'!AH472</f>
        <v>6.1649999999999991</v>
      </c>
      <c r="K463" s="246"/>
      <c r="L463" s="282"/>
      <c r="M463" s="244">
        <f>'корпоративный баланс энергии'!AK472+'корпоративный баланс энергии'!AN472+'корпоративный баланс энергии'!AQ472</f>
        <v>0.997</v>
      </c>
      <c r="N463" s="246"/>
      <c r="O463" s="282"/>
      <c r="P463" s="244">
        <f t="shared" ref="P463:P465" si="24">D463+G463+J463+M463</f>
        <v>18.899000000000001</v>
      </c>
      <c r="Q463" s="283"/>
      <c r="R463" s="299"/>
      <c r="S463" s="261"/>
      <c r="T463" s="261"/>
    </row>
    <row r="464" spans="2:20">
      <c r="B464" s="127" t="str">
        <f>'корпоративный баланс энергии'!H473</f>
        <v>АСТ-Пугачевская СЭС (ООО «АВЕЛАР СОЛАР ТЕХНОЛОДЖИ»)</v>
      </c>
      <c r="C464" s="516" t="s">
        <v>364</v>
      </c>
      <c r="D464" s="281">
        <f>'корпоративный баланс энергии'!J473+'корпоративный баланс энергии'!M473+'корпоративный баланс энергии'!P473</f>
        <v>3.1160000000000001</v>
      </c>
      <c r="E464" s="246"/>
      <c r="F464" s="282"/>
      <c r="G464" s="244">
        <f>'корпоративный баланс энергии'!S473+'корпоративный баланс энергии'!V473+'корпоративный баланс энергии'!Y473</f>
        <v>6.9130000000000003</v>
      </c>
      <c r="H464" s="246"/>
      <c r="I464" s="282"/>
      <c r="J464" s="244">
        <f>'корпоративный баланс энергии'!AB473+'корпоративный баланс энергии'!AE473+'корпоративный баланс энергии'!AH473</f>
        <v>6.7629999999999999</v>
      </c>
      <c r="K464" s="246"/>
      <c r="L464" s="282"/>
      <c r="M464" s="244">
        <f>'корпоративный баланс энергии'!AK473+'корпоративный баланс энергии'!AN473+'корпоративный баланс энергии'!AQ473</f>
        <v>0.89600000000000002</v>
      </c>
      <c r="N464" s="246"/>
      <c r="O464" s="282"/>
      <c r="P464" s="244">
        <f t="shared" si="24"/>
        <v>17.688000000000002</v>
      </c>
      <c r="Q464" s="283"/>
      <c r="R464" s="299"/>
      <c r="S464" s="261"/>
      <c r="T464" s="261"/>
    </row>
    <row r="465" spans="2:20">
      <c r="B465" s="127" t="str">
        <f>'корпоративный баланс энергии'!H474</f>
        <v>АСТ-Новоузенская СЭС (ООО «АВЕЛАР СОЛАР ТЕХНОЛОДЖИ»)</v>
      </c>
      <c r="C465" s="516" t="s">
        <v>364</v>
      </c>
      <c r="D465" s="281">
        <f>'корпоративный баланс энергии'!J474+'корпоративный баланс энергии'!M474+'корпоративный баланс энергии'!P474</f>
        <v>3.3440000000000003</v>
      </c>
      <c r="E465" s="246"/>
      <c r="F465" s="282"/>
      <c r="G465" s="244">
        <f>'корпоративный баланс энергии'!S474+'корпоративный баланс энергии'!V474+'корпоративный баланс энергии'!Y474</f>
        <v>6.9130000000000003</v>
      </c>
      <c r="H465" s="246"/>
      <c r="I465" s="282"/>
      <c r="J465" s="244">
        <f>'корпоративный баланс энергии'!AB474+'корпоративный баланс энергии'!AE474+'корпоративный баланс энергии'!AH474</f>
        <v>6.7629999999999999</v>
      </c>
      <c r="K465" s="246"/>
      <c r="L465" s="282"/>
      <c r="M465" s="244">
        <f>'корпоративный баланс энергии'!AK474+'корпоративный баланс энергии'!AN474+'корпоративный баланс энергии'!AQ474</f>
        <v>0.89300000000000002</v>
      </c>
      <c r="N465" s="246"/>
      <c r="O465" s="282"/>
      <c r="P465" s="244">
        <f t="shared" si="24"/>
        <v>17.913000000000004</v>
      </c>
      <c r="Q465" s="283"/>
      <c r="R465" s="299"/>
      <c r="S465" s="261"/>
      <c r="T465" s="261"/>
    </row>
    <row r="466" spans="2:20">
      <c r="B466" s="127" t="str">
        <f>'корпоративный баланс энергии'!H475</f>
        <v>Дергачевская СЭС (ООО "ГРИН ЭНЕРДЖИ РУС")</v>
      </c>
      <c r="C466" s="839"/>
      <c r="D466" s="281">
        <f>'корпоративный баланс энергии'!J475+'корпоративный баланс энергии'!M475+'корпоративный баланс энергии'!P475</f>
        <v>0</v>
      </c>
      <c r="E466" s="246"/>
      <c r="F466" s="282"/>
      <c r="G466" s="244">
        <f>'корпоративный баланс энергии'!S475+'корпоративный баланс энергии'!V475+'корпоративный баланс энергии'!Y475</f>
        <v>0</v>
      </c>
      <c r="H466" s="246"/>
      <c r="I466" s="282"/>
      <c r="J466" s="244">
        <f>'корпоративный баланс энергии'!AB475+'корпоративный баланс энергии'!AE475+'корпоративный баланс энергии'!AH475</f>
        <v>0</v>
      </c>
      <c r="K466" s="246"/>
      <c r="L466" s="282"/>
      <c r="M466" s="244">
        <f>'корпоративный баланс энергии'!AK475+'корпоративный баланс энергии'!AN475+'корпоративный баланс энергии'!AQ475</f>
        <v>0.12</v>
      </c>
      <c r="N466" s="246"/>
      <c r="O466" s="282"/>
      <c r="P466" s="244">
        <f t="shared" ref="P466" si="25">D466+G466+J466+M466</f>
        <v>0.12</v>
      </c>
      <c r="Q466" s="283"/>
      <c r="R466" s="299"/>
      <c r="S466" s="261"/>
      <c r="T466" s="261"/>
    </row>
    <row r="467" spans="2:20" s="107" customFormat="1">
      <c r="B467" s="138" t="s">
        <v>174</v>
      </c>
      <c r="C467" s="488"/>
      <c r="D467" s="287">
        <f>D468</f>
        <v>82.817999999999998</v>
      </c>
      <c r="E467" s="288"/>
      <c r="F467" s="289"/>
      <c r="G467" s="287">
        <f>G468</f>
        <v>82.103999999999999</v>
      </c>
      <c r="H467" s="288"/>
      <c r="I467" s="289"/>
      <c r="J467" s="287">
        <f>J468</f>
        <v>89.087999999999994</v>
      </c>
      <c r="K467" s="288"/>
      <c r="L467" s="289"/>
      <c r="M467" s="287">
        <f>M468</f>
        <v>86.436000000000007</v>
      </c>
      <c r="N467" s="288"/>
      <c r="O467" s="289"/>
      <c r="P467" s="287">
        <f>P468</f>
        <v>340.44600000000003</v>
      </c>
      <c r="Q467" s="288"/>
      <c r="R467" s="289"/>
      <c r="S467" s="346"/>
      <c r="T467" s="346"/>
    </row>
    <row r="468" spans="2:20">
      <c r="B468" s="135" t="str">
        <f>'корпоративный баланс энергии'!H477</f>
        <v>ТЭЦ Балаковского филиала АО "Апатит"</v>
      </c>
      <c r="C468" s="518" t="s">
        <v>365</v>
      </c>
      <c r="D468" s="293">
        <f>'корпоративный баланс энергии'!J477+'корпоративный баланс энергии'!M477+'корпоративный баланс энергии'!P477</f>
        <v>82.817999999999998</v>
      </c>
      <c r="E468" s="288"/>
      <c r="F468" s="289"/>
      <c r="G468" s="294">
        <f>'корпоративный баланс энергии'!S477+'корпоративный баланс энергии'!V477+'корпоративный баланс энергии'!Y477</f>
        <v>82.103999999999999</v>
      </c>
      <c r="H468" s="288"/>
      <c r="I468" s="289"/>
      <c r="J468" s="294">
        <f>'корпоративный баланс энергии'!AB477+'корпоративный баланс энергии'!AE477+'корпоративный баланс энергии'!AH477</f>
        <v>89.087999999999994</v>
      </c>
      <c r="K468" s="288"/>
      <c r="L468" s="289"/>
      <c r="M468" s="294">
        <f>'корпоративный баланс энергии'!AK477+'корпоративный баланс энергии'!AN477+'корпоративный баланс энергии'!AQ477</f>
        <v>86.436000000000007</v>
      </c>
      <c r="N468" s="288"/>
      <c r="O468" s="289"/>
      <c r="P468" s="294">
        <f>D468+G468+J468+M468</f>
        <v>340.44600000000003</v>
      </c>
      <c r="Q468" s="288"/>
      <c r="R468" s="289"/>
      <c r="S468" s="261"/>
      <c r="T468" s="261"/>
    </row>
    <row r="469" spans="2:20" s="110" customFormat="1" ht="18.75">
      <c r="B469" s="473" t="str">
        <f>'корпоративный баланс энергии'!H478</f>
        <v>Энергосистема Республики Татарстан</v>
      </c>
      <c r="C469" s="495"/>
      <c r="D469" s="274">
        <f>SUM(D470:D472)</f>
        <v>6789.2325929713288</v>
      </c>
      <c r="E469" s="275">
        <f>F469-D469</f>
        <v>1442.0437282267385</v>
      </c>
      <c r="F469" s="276">
        <f>'корпоративный баланс энергии'!L478+'корпоративный баланс энергии'!O478+'корпоративный баланс энергии'!R478</f>
        <v>8231.2763211980673</v>
      </c>
      <c r="G469" s="274">
        <f>SUM(G470:G472)</f>
        <v>5477.3849898870985</v>
      </c>
      <c r="H469" s="275">
        <f>I469-G469</f>
        <v>1697.0565732409568</v>
      </c>
      <c r="I469" s="276">
        <f>'корпоративный баланс энергии'!U478+'корпоративный баланс энергии'!X478+'корпоративный баланс энергии'!AA478</f>
        <v>7174.4415631280553</v>
      </c>
      <c r="J469" s="274">
        <f>SUM(J470:J472)</f>
        <v>5812.9036310587344</v>
      </c>
      <c r="K469" s="275">
        <f>L469-J469</f>
        <v>1660.0932916279853</v>
      </c>
      <c r="L469" s="276">
        <f>'корпоративный баланс энергии'!AD478+'корпоративный баланс энергии'!AG478+'корпоративный баланс энергии'!AJ478</f>
        <v>7472.9969226867197</v>
      </c>
      <c r="M469" s="274">
        <f>SUM(M470:M472)</f>
        <v>6956.7960168143591</v>
      </c>
      <c r="N469" s="275">
        <f>O469-M469</f>
        <v>1618.0017668909686</v>
      </c>
      <c r="O469" s="276">
        <f>'корпоративный баланс энергии'!AM478+'корпоративный баланс энергии'!AP478+'корпоративный баланс энергии'!AS478</f>
        <v>8574.7977837053277</v>
      </c>
      <c r="P469" s="274">
        <f>SUM(P470:P472)</f>
        <v>25036.317230731522</v>
      </c>
      <c r="Q469" s="275">
        <f>R469-P469</f>
        <v>6417.1953599866501</v>
      </c>
      <c r="R469" s="276">
        <f>F469+I469+L469+O469</f>
        <v>31453.512590718172</v>
      </c>
      <c r="S469" s="356"/>
      <c r="T469" s="356"/>
    </row>
    <row r="470" spans="2:20" s="110" customFormat="1">
      <c r="B470" s="10" t="s">
        <v>56</v>
      </c>
      <c r="C470" s="483"/>
      <c r="D470" s="270">
        <f>D473+D474+D478+D481+D484+D485+D486+D490+D492</f>
        <v>5981.0330257716214</v>
      </c>
      <c r="E470" s="271"/>
      <c r="F470" s="224"/>
      <c r="G470" s="270">
        <f>G473+G474+G478+G481+G484+G485+G486+G490+G492</f>
        <v>4451.0143724798718</v>
      </c>
      <c r="H470" s="271"/>
      <c r="I470" s="224"/>
      <c r="J470" s="270">
        <f>J473+J474+J478+J481+J484+J485+J486+J490+J492</f>
        <v>5041.962405546039</v>
      </c>
      <c r="K470" s="271"/>
      <c r="L470" s="224"/>
      <c r="M470" s="270">
        <f>M473+M474+M478+M481+M484+M485+M486+M490+M492</f>
        <v>6099.1768694388711</v>
      </c>
      <c r="N470" s="271"/>
      <c r="O470" s="224"/>
      <c r="P470" s="270">
        <f>P473+P474+P478+P481+P484+P485+P486+P490+P492</f>
        <v>21573.186673236403</v>
      </c>
      <c r="Q470" s="271"/>
      <c r="R470" s="364"/>
      <c r="S470" s="356"/>
      <c r="T470" s="356"/>
    </row>
    <row r="471" spans="2:20" s="110" customFormat="1">
      <c r="B471" s="10" t="s">
        <v>55</v>
      </c>
      <c r="C471" s="483"/>
      <c r="D471" s="270">
        <f>D491</f>
        <v>355.02356719970703</v>
      </c>
      <c r="E471" s="271"/>
      <c r="F471" s="224"/>
      <c r="G471" s="270">
        <f>G491</f>
        <v>618.88221740722656</v>
      </c>
      <c r="H471" s="271"/>
      <c r="I471" s="224"/>
      <c r="J471" s="270">
        <f>J491</f>
        <v>405.08552551269531</v>
      </c>
      <c r="K471" s="271"/>
      <c r="L471" s="224"/>
      <c r="M471" s="270">
        <f>M491</f>
        <v>382.07074737548828</v>
      </c>
      <c r="N471" s="271"/>
      <c r="O471" s="224"/>
      <c r="P471" s="270">
        <f>P491</f>
        <v>1761.0620574951172</v>
      </c>
      <c r="Q471" s="271"/>
      <c r="R471" s="364"/>
      <c r="S471" s="356"/>
      <c r="T471" s="356"/>
    </row>
    <row r="472" spans="2:20" s="113" customFormat="1">
      <c r="B472" s="10" t="s">
        <v>99</v>
      </c>
      <c r="C472" s="483"/>
      <c r="D472" s="270">
        <f>D493</f>
        <v>453.17600000000004</v>
      </c>
      <c r="E472" s="271"/>
      <c r="F472" s="224"/>
      <c r="G472" s="270">
        <f>G493</f>
        <v>407.48839999999996</v>
      </c>
      <c r="H472" s="271"/>
      <c r="I472" s="224"/>
      <c r="J472" s="270">
        <f>J493</f>
        <v>365.85570000000001</v>
      </c>
      <c r="K472" s="271"/>
      <c r="L472" s="224"/>
      <c r="M472" s="270">
        <f>M493</f>
        <v>475.54840000000002</v>
      </c>
      <c r="N472" s="271"/>
      <c r="O472" s="224"/>
      <c r="P472" s="270">
        <f>P493</f>
        <v>1702.0685000000001</v>
      </c>
      <c r="Q472" s="271"/>
      <c r="R472" s="364"/>
      <c r="S472" s="355"/>
      <c r="T472" s="355"/>
    </row>
    <row r="473" spans="2:20" s="110" customFormat="1">
      <c r="B473" s="127" t="str">
        <f>'корпоративный баланс энергии'!H482</f>
        <v>Заинская ГРЭС (АО "Татэнерго")</v>
      </c>
      <c r="C473" s="516" t="s">
        <v>364</v>
      </c>
      <c r="D473" s="281">
        <f>'корпоративный баланс энергии'!J482+'корпоративный баланс энергии'!M482+'корпоративный баланс энергии'!P482</f>
        <v>703.22</v>
      </c>
      <c r="E473" s="246"/>
      <c r="F473" s="282"/>
      <c r="G473" s="244">
        <f>'корпоративный баланс энергии'!S482+'корпоративный баланс энергии'!V482+'корпоративный баланс энергии'!Y482</f>
        <v>841.53800000000001</v>
      </c>
      <c r="H473" s="246"/>
      <c r="I473" s="282"/>
      <c r="J473" s="244">
        <f>'корпоративный баланс энергии'!AB482+'корпоративный баланс энергии'!AE482+'корпоративный баланс энергии'!AH482</f>
        <v>1449.92</v>
      </c>
      <c r="K473" s="246"/>
      <c r="L473" s="282"/>
      <c r="M473" s="244">
        <f>'корпоративный баланс энергии'!AK482+'корпоративный баланс энергии'!AN482+'корпоративный баланс энергии'!AQ482</f>
        <v>1177.97</v>
      </c>
      <c r="N473" s="246"/>
      <c r="O473" s="282"/>
      <c r="P473" s="244">
        <f>D473+G473+J473+M473</f>
        <v>4172.6480000000001</v>
      </c>
      <c r="Q473" s="283"/>
      <c r="R473" s="299"/>
      <c r="S473" s="356"/>
      <c r="T473" s="356"/>
    </row>
    <row r="474" spans="2:20" s="110" customFormat="1">
      <c r="B474" s="132" t="str">
        <f>'корпоративный баланс энергии'!H483</f>
        <v>Казанская ТЭЦ-1 (АО "Татэнерго")</v>
      </c>
      <c r="C474" s="516" t="s">
        <v>364</v>
      </c>
      <c r="D474" s="317">
        <f>SUM(D475:D477)</f>
        <v>646.85928966795018</v>
      </c>
      <c r="E474" s="246"/>
      <c r="F474" s="282"/>
      <c r="G474" s="317">
        <f>SUM(G475:G477)</f>
        <v>507.54710329885745</v>
      </c>
      <c r="H474" s="246"/>
      <c r="I474" s="282"/>
      <c r="J474" s="317">
        <f>SUM(J475:J477)</f>
        <v>430.739898387587</v>
      </c>
      <c r="K474" s="246"/>
      <c r="L474" s="282"/>
      <c r="M474" s="317">
        <f>SUM(M475:M477)</f>
        <v>644.73775136069821</v>
      </c>
      <c r="N474" s="246"/>
      <c r="O474" s="282"/>
      <c r="P474" s="317">
        <f>SUM(P475:P477)</f>
        <v>2229.8840427150926</v>
      </c>
      <c r="Q474" s="283"/>
      <c r="R474" s="299"/>
      <c r="S474" s="356"/>
      <c r="T474" s="356"/>
    </row>
    <row r="475" spans="2:20" s="110" customFormat="1">
      <c r="B475" s="127" t="str">
        <f>'корпоративный баланс энергии'!H484</f>
        <v>Казанская ТЭЦ-1 (АО "Татэнерго") без ДПМ/НВ/ВР</v>
      </c>
      <c r="C475" s="516"/>
      <c r="D475" s="281">
        <f>'корпоративный баланс энергии'!J484+'корпоративный баланс энергии'!M484+'корпоративный баланс энергии'!P484</f>
        <v>182.74528966795029</v>
      </c>
      <c r="E475" s="246"/>
      <c r="F475" s="282"/>
      <c r="G475" s="244">
        <f>'корпоративный баланс энергии'!S484+'корпоративный баланс энергии'!V484+'корпоративный баланс энергии'!Y484</f>
        <v>111.79310329885749</v>
      </c>
      <c r="H475" s="246"/>
      <c r="I475" s="282"/>
      <c r="J475" s="244">
        <f>'корпоративный баланс энергии'!AB484+'корпоративный баланс энергии'!AE484+'корпоративный баланс энергии'!AH484</f>
        <v>121.09489838758699</v>
      </c>
      <c r="K475" s="246"/>
      <c r="L475" s="282"/>
      <c r="M475" s="244">
        <f>'корпоративный баланс энергии'!AK484+'корпоративный баланс энергии'!AN484+'корпоративный баланс энергии'!AQ484</f>
        <v>152.2137513606983</v>
      </c>
      <c r="N475" s="246"/>
      <c r="O475" s="282"/>
      <c r="P475" s="244">
        <f t="shared" ref="P475:P477" si="26">D475+G475+J475+M475</f>
        <v>567.84704271509315</v>
      </c>
      <c r="Q475" s="283"/>
      <c r="R475" s="299"/>
      <c r="S475" s="356"/>
      <c r="T475" s="356"/>
    </row>
    <row r="476" spans="2:20" s="110" customFormat="1">
      <c r="B476" s="127" t="str">
        <f>'корпоративный баланс энергии'!H485</f>
        <v>Казанская ТЭЦ-1 (АО "Татэнерго") БЛ -1 ПГУ ДПМ</v>
      </c>
      <c r="C476" s="516"/>
      <c r="D476" s="281">
        <f>'корпоративный баланс энергии'!J485+'корпоративный баланс энергии'!M485+'корпоративный баланс энергии'!P485</f>
        <v>228.35599999999999</v>
      </c>
      <c r="E476" s="246"/>
      <c r="F476" s="282"/>
      <c r="G476" s="244">
        <f>'корпоративный баланс энергии'!S485+'корпоративный баланс энергии'!V485+'корпоративный баланс энергии'!Y485</f>
        <v>199.43</v>
      </c>
      <c r="H476" s="246"/>
      <c r="I476" s="282"/>
      <c r="J476" s="244">
        <f>'корпоративный баланс энергии'!AB485+'корпоративный баланс энергии'!AE485+'корпоративный баланс энергии'!AH485</f>
        <v>177.15800000000002</v>
      </c>
      <c r="K476" s="246"/>
      <c r="L476" s="282"/>
      <c r="M476" s="244">
        <f>'корпоративный баланс энергии'!AK485+'корпоративный баланс энергии'!AN485+'корпоративный баланс энергии'!AQ485</f>
        <v>246.262</v>
      </c>
      <c r="N476" s="246"/>
      <c r="O476" s="282"/>
      <c r="P476" s="244">
        <f t="shared" si="26"/>
        <v>851.2059999999999</v>
      </c>
      <c r="Q476" s="283"/>
      <c r="R476" s="299"/>
      <c r="S476" s="356"/>
      <c r="T476" s="356"/>
    </row>
    <row r="477" spans="2:20" s="110" customFormat="1">
      <c r="B477" s="127" t="str">
        <f>'корпоративный баланс энергии'!H486</f>
        <v>Казанская ТЭЦ-1 (АО "Татэнерго") БЛ -2 ПГУ ДПМ</v>
      </c>
      <c r="C477" s="516"/>
      <c r="D477" s="281">
        <f>'корпоративный баланс энергии'!J486+'корпоративный баланс энергии'!M486+'корпоративный баланс энергии'!P486</f>
        <v>235.75799999999998</v>
      </c>
      <c r="E477" s="246"/>
      <c r="F477" s="282"/>
      <c r="G477" s="244">
        <f>'корпоративный баланс энергии'!S486+'корпоративный баланс энергии'!V486+'корпоративный баланс энергии'!Y486</f>
        <v>196.32399999999998</v>
      </c>
      <c r="H477" s="246"/>
      <c r="I477" s="282"/>
      <c r="J477" s="244">
        <f>'корпоративный баланс энергии'!AB486+'корпоративный баланс энергии'!AE486+'корпоративный баланс энергии'!AH486</f>
        <v>132.48699999999999</v>
      </c>
      <c r="K477" s="246"/>
      <c r="L477" s="282"/>
      <c r="M477" s="244">
        <f>'корпоративный баланс энергии'!AK486+'корпоративный баланс энергии'!AN486+'корпоративный баланс энергии'!AQ486</f>
        <v>246.262</v>
      </c>
      <c r="N477" s="246"/>
      <c r="O477" s="282"/>
      <c r="P477" s="244">
        <f t="shared" si="26"/>
        <v>810.8309999999999</v>
      </c>
      <c r="Q477" s="283"/>
      <c r="R477" s="299"/>
      <c r="S477" s="356"/>
      <c r="T477" s="356"/>
    </row>
    <row r="478" spans="2:20" s="110" customFormat="1">
      <c r="B478" s="132" t="str">
        <f>'корпоративный баланс энергии'!H487</f>
        <v>Казанская ТЭЦ-2 (АО "Татэнерго")</v>
      </c>
      <c r="C478" s="516" t="s">
        <v>364</v>
      </c>
      <c r="D478" s="317">
        <f>SUM(D479:D480)</f>
        <v>652.13373610367091</v>
      </c>
      <c r="E478" s="246"/>
      <c r="F478" s="282"/>
      <c r="G478" s="317">
        <f>SUM(G479:G480)</f>
        <v>527.65126918101441</v>
      </c>
      <c r="H478" s="246"/>
      <c r="I478" s="282"/>
      <c r="J478" s="317">
        <f>SUM(J479:J480)</f>
        <v>581.54250715845228</v>
      </c>
      <c r="K478" s="246"/>
      <c r="L478" s="282"/>
      <c r="M478" s="317">
        <f>SUM(M479:M480)</f>
        <v>628.77411807817293</v>
      </c>
      <c r="N478" s="246"/>
      <c r="O478" s="282"/>
      <c r="P478" s="317">
        <f>SUM(P479:P480)</f>
        <v>2390.1016305213107</v>
      </c>
      <c r="Q478" s="283"/>
      <c r="R478" s="299"/>
      <c r="S478" s="356"/>
      <c r="T478" s="356"/>
    </row>
    <row r="479" spans="2:20" s="110" customFormat="1">
      <c r="B479" s="127" t="str">
        <f>'корпоративный баланс энергии'!H488</f>
        <v>Казанская ТЭЦ-2 (АО "Татэнерго") без ДПМ/НВ/ВР</v>
      </c>
      <c r="C479" s="487"/>
      <c r="D479" s="281">
        <f>'корпоративный баланс энергии'!J488+'корпоративный баланс энергии'!M488+'корпоративный баланс энергии'!P488</f>
        <v>207.22173610367088</v>
      </c>
      <c r="E479" s="246"/>
      <c r="F479" s="282"/>
      <c r="G479" s="244">
        <f>'корпоративный баланс энергии'!S488+'корпоративный баланс энергии'!V488+'корпоративный баланс энергии'!Y488</f>
        <v>62.376269181014401</v>
      </c>
      <c r="H479" s="246"/>
      <c r="I479" s="282"/>
      <c r="J479" s="244">
        <f>'корпоративный баланс энергии'!AB488+'корпоративный баланс энергии'!AE488+'корпоративный баланс энергии'!AH488</f>
        <v>138.56750715845232</v>
      </c>
      <c r="K479" s="246"/>
      <c r="L479" s="282"/>
      <c r="M479" s="244">
        <f>'корпоративный баланс энергии'!AK488+'корпоративный баланс энергии'!AN488+'корпоративный баланс энергии'!AQ488</f>
        <v>194.74311807817281</v>
      </c>
      <c r="N479" s="246"/>
      <c r="O479" s="282"/>
      <c r="P479" s="244">
        <f>D479+G479+J479+M479</f>
        <v>602.90863052131044</v>
      </c>
      <c r="Q479" s="283"/>
      <c r="R479" s="299"/>
      <c r="S479" s="356"/>
      <c r="T479" s="356"/>
    </row>
    <row r="480" spans="2:20" s="110" customFormat="1">
      <c r="B480" s="127" t="str">
        <f>'корпоративный баланс энергии'!H489</f>
        <v>Казанская ТЭЦ-2 (АО "Татэнерго"), ПГУ-1, ПГУ-2 НВ 30.11.2014</v>
      </c>
      <c r="C480" s="487"/>
      <c r="D480" s="281">
        <f>'корпоративный баланс энергии'!J489+'корпоративный баланс энергии'!M489+'корпоративный баланс энергии'!P489</f>
        <v>444.91200000000003</v>
      </c>
      <c r="E480" s="246"/>
      <c r="F480" s="282"/>
      <c r="G480" s="244">
        <f>'корпоративный баланс энергии'!S489+'корпоративный баланс энергии'!V489+'корпоративный баланс энергии'!Y489</f>
        <v>465.27499999999998</v>
      </c>
      <c r="H480" s="246"/>
      <c r="I480" s="282"/>
      <c r="J480" s="244">
        <f>'корпоративный баланс энергии'!AB489+'корпоративный баланс энергии'!AE489+'корпоративный баланс энергии'!AH489</f>
        <v>442.97500000000002</v>
      </c>
      <c r="K480" s="246"/>
      <c r="L480" s="282"/>
      <c r="M480" s="244">
        <f>'корпоративный баланс энергии'!AK489+'корпоративный баланс энергии'!AN489+'корпоративный баланс энергии'!AQ489</f>
        <v>434.03100000000006</v>
      </c>
      <c r="N480" s="246"/>
      <c r="O480" s="282"/>
      <c r="P480" s="244">
        <f>D480+G480+J480+M480</f>
        <v>1787.1930000000002</v>
      </c>
      <c r="Q480" s="283"/>
      <c r="R480" s="299"/>
      <c r="S480" s="356"/>
      <c r="T480" s="356"/>
    </row>
    <row r="481" spans="2:20" s="110" customFormat="1">
      <c r="B481" s="132" t="str">
        <f>'корпоративный баланс энергии'!H490</f>
        <v>Казанская ТЭЦ-3 (филиал ОАО "ТГК-16")</v>
      </c>
      <c r="C481" s="516" t="s">
        <v>364</v>
      </c>
      <c r="D481" s="317">
        <f>SUM(D482:D483)</f>
        <v>932.06700000000001</v>
      </c>
      <c r="E481" s="246"/>
      <c r="F481" s="282"/>
      <c r="G481" s="317">
        <f>SUM(G482:G483)</f>
        <v>597.33999999999992</v>
      </c>
      <c r="H481" s="246"/>
      <c r="I481" s="282"/>
      <c r="J481" s="317">
        <f>SUM(J482:J483)</f>
        <v>610.625</v>
      </c>
      <c r="K481" s="246"/>
      <c r="L481" s="282"/>
      <c r="M481" s="317">
        <f>SUM(M482:M483)</f>
        <v>742.25200000000007</v>
      </c>
      <c r="N481" s="246"/>
      <c r="O481" s="282"/>
      <c r="P481" s="317">
        <f>SUM(P482:P483)</f>
        <v>2882.2840000000001</v>
      </c>
      <c r="Q481" s="283"/>
      <c r="R481" s="299"/>
      <c r="S481" s="356"/>
      <c r="T481" s="356"/>
    </row>
    <row r="482" spans="2:20" s="110" customFormat="1">
      <c r="B482" s="127" t="str">
        <f>'корпоративный баланс энергии'!H491</f>
        <v>Казанская ТЭЦ-3 (филиал ОАО "ТГК-16") без ДПМ/НВ/ВР</v>
      </c>
      <c r="C482" s="516"/>
      <c r="D482" s="281">
        <f>'корпоративный баланс энергии'!J491+'корпоративный баланс энергии'!M491+'корпоративный баланс энергии'!P491</f>
        <v>473.017</v>
      </c>
      <c r="E482" s="246"/>
      <c r="F482" s="282"/>
      <c r="G482" s="244">
        <f>'корпоративный баланс энергии'!S491+'корпоративный баланс энергии'!V491+'корпоративный баланс энергии'!Y491</f>
        <v>325.89400000000001</v>
      </c>
      <c r="H482" s="246"/>
      <c r="I482" s="282"/>
      <c r="J482" s="244">
        <f>'корпоративный баланс энергии'!AB491+'корпоративный баланс энергии'!AE491+'корпоративный баланс энергии'!AH491</f>
        <v>415.78899999999999</v>
      </c>
      <c r="K482" s="246"/>
      <c r="L482" s="282"/>
      <c r="M482" s="244">
        <f>'корпоративный баланс энергии'!AK491+'корпоративный баланс энергии'!AN491+'корпоративный баланс энергии'!AQ491</f>
        <v>324.79300000000001</v>
      </c>
      <c r="N482" s="246"/>
      <c r="O482" s="282"/>
      <c r="P482" s="244">
        <f>D482+G482+J482+M482</f>
        <v>1539.4929999999999</v>
      </c>
      <c r="Q482" s="283"/>
      <c r="R482" s="299"/>
      <c r="S482" s="356"/>
      <c r="T482" s="356"/>
    </row>
    <row r="483" spans="2:20" s="110" customFormat="1">
      <c r="B483" s="171" t="str">
        <f>'корпоративный баланс энергии'!H492</f>
        <v>Казанская ТЭЦ-3 (филиал ОАО "ТГК-16") (ТГ 7) НВ</v>
      </c>
      <c r="C483" s="516"/>
      <c r="D483" s="281">
        <f>'корпоративный баланс энергии'!J492+'корпоративный баланс энергии'!M492+'корпоративный баланс энергии'!P492</f>
        <v>459.05000000000007</v>
      </c>
      <c r="E483" s="246"/>
      <c r="F483" s="282"/>
      <c r="G483" s="244">
        <f>'корпоративный баланс энергии'!S492+'корпоративный баланс энергии'!V492+'корпоративный баланс энергии'!Y492</f>
        <v>271.44599999999997</v>
      </c>
      <c r="H483" s="246"/>
      <c r="I483" s="282"/>
      <c r="J483" s="244">
        <f>'корпоративный баланс энергии'!AB492+'корпоративный баланс энергии'!AE492+'корпоративный баланс энергии'!AH492</f>
        <v>194.83600000000001</v>
      </c>
      <c r="K483" s="246"/>
      <c r="L483" s="282"/>
      <c r="M483" s="244">
        <f>'корпоративный баланс энергии'!AK492+'корпоративный баланс энергии'!AN492+'корпоративный баланс энергии'!AQ492</f>
        <v>417.45900000000006</v>
      </c>
      <c r="N483" s="246"/>
      <c r="O483" s="282"/>
      <c r="P483" s="244">
        <f>D483+G483+J483+M483</f>
        <v>1342.7910000000002</v>
      </c>
      <c r="Q483" s="283"/>
      <c r="R483" s="299"/>
      <c r="S483" s="356"/>
      <c r="T483" s="356"/>
    </row>
    <row r="484" spans="2:20" s="24" customFormat="1">
      <c r="B484" s="127" t="str">
        <f>'корпоративный баланс энергии'!H493</f>
        <v>Набережночелнинская ТЭЦ (АО "Татэнерго")</v>
      </c>
      <c r="C484" s="516" t="s">
        <v>364</v>
      </c>
      <c r="D484" s="281">
        <f>'корпоративный баланс энергии'!J493+'корпоративный баланс энергии'!M493+'корпоративный баланс энергии'!P493</f>
        <v>1199.684</v>
      </c>
      <c r="E484" s="246"/>
      <c r="F484" s="282"/>
      <c r="G484" s="244">
        <f>'корпоративный баланс энергии'!S493+'корпоративный баланс энергии'!V493+'корпоративный баланс энергии'!Y493</f>
        <v>692.81600000000003</v>
      </c>
      <c r="H484" s="246"/>
      <c r="I484" s="282"/>
      <c r="J484" s="244">
        <f>'корпоративный баланс энергии'!AB493+'корпоративный баланс энергии'!AE493+'корпоративный баланс энергии'!AH493</f>
        <v>669.89599999999996</v>
      </c>
      <c r="K484" s="246"/>
      <c r="L484" s="282"/>
      <c r="M484" s="244">
        <f>'корпоративный баланс энергии'!AK493+'корпоративный баланс энергии'!AN493+'корпоративный баланс энергии'!AQ493</f>
        <v>1087.5899999999999</v>
      </c>
      <c r="N484" s="246"/>
      <c r="O484" s="282"/>
      <c r="P484" s="244">
        <f>D484+G484+J484+M484</f>
        <v>3649.9859999999999</v>
      </c>
      <c r="Q484" s="283"/>
      <c r="R484" s="299"/>
      <c r="S484" s="357"/>
      <c r="T484" s="357"/>
    </row>
    <row r="485" spans="2:20" s="24" customFormat="1">
      <c r="B485" s="127" t="str">
        <f>'корпоративный баланс энергии'!H494</f>
        <v>Нижнекамская ТЭЦ-1 (филиал ОАО "ТГК-16")</v>
      </c>
      <c r="C485" s="516" t="s">
        <v>364</v>
      </c>
      <c r="D485" s="281">
        <f>'корпоративный баланс энергии'!J494+'корпоративный баланс энергии'!M494+'корпоративный баланс энергии'!P494</f>
        <v>1420.6219999999998</v>
      </c>
      <c r="E485" s="246"/>
      <c r="F485" s="282"/>
      <c r="G485" s="244">
        <f>'корпоративный баланс энергии'!S494+'корпоративный баланс энергии'!V494+'корпоративный баланс энергии'!Y494</f>
        <v>998.05</v>
      </c>
      <c r="H485" s="246"/>
      <c r="I485" s="282"/>
      <c r="J485" s="244">
        <f>'корпоративный баланс энергии'!AB494+'корпоративный баланс энергии'!AE494+'корпоративный баланс энергии'!AH494</f>
        <v>1052.0929999999998</v>
      </c>
      <c r="K485" s="246"/>
      <c r="L485" s="282"/>
      <c r="M485" s="244">
        <f>'корпоративный баланс энергии'!AK494+'корпоративный баланс энергии'!AN494+'корпоративный баланс энергии'!AQ494</f>
        <v>1350.931</v>
      </c>
      <c r="N485" s="246"/>
      <c r="O485" s="282"/>
      <c r="P485" s="244">
        <f>D485+G485+J485+M485</f>
        <v>4821.6959999999999</v>
      </c>
      <c r="Q485" s="283"/>
      <c r="R485" s="299"/>
      <c r="S485" s="357"/>
      <c r="T485" s="357"/>
    </row>
    <row r="486" spans="2:20" s="24" customFormat="1">
      <c r="B486" s="132" t="str">
        <f>'корпоративный баланс энергии'!H495</f>
        <v>Нижнекамская ТЭЦ-2 (ООО "Нижнекамская ТЭЦ")</v>
      </c>
      <c r="C486" s="516" t="s">
        <v>364</v>
      </c>
      <c r="D486" s="317">
        <f>SUM(D487:D489)</f>
        <v>385.07800000000003</v>
      </c>
      <c r="E486" s="246"/>
      <c r="F486" s="282"/>
      <c r="G486" s="317">
        <f>SUM(G487:G489)</f>
        <v>256.33000000000004</v>
      </c>
      <c r="H486" s="246"/>
      <c r="I486" s="282"/>
      <c r="J486" s="317">
        <f>SUM(J487:J489)</f>
        <v>220.87</v>
      </c>
      <c r="K486" s="246"/>
      <c r="L486" s="282"/>
      <c r="M486" s="317">
        <f>SUM(M487:M489)</f>
        <v>424.85200000000003</v>
      </c>
      <c r="N486" s="246"/>
      <c r="O486" s="282"/>
      <c r="P486" s="317">
        <f>SUM(P487:P489)</f>
        <v>1287.1300000000001</v>
      </c>
      <c r="Q486" s="283"/>
      <c r="R486" s="299"/>
      <c r="S486" s="357"/>
      <c r="T486" s="357"/>
    </row>
    <row r="487" spans="2:20" s="24" customFormat="1">
      <c r="B487" s="127" t="str">
        <f>'корпоративный баланс энергии'!H496</f>
        <v>Нижнекамская ТЭЦ-2 (ООО "Нижнекамская ТЭЦ") без ДПМ/НВ/ВР</v>
      </c>
      <c r="C487" s="487"/>
      <c r="D487" s="281">
        <f>'корпоративный баланс энергии'!J496+'корпоративный баланс энергии'!M496+'корпоративный баланс энергии'!P496</f>
        <v>385.07800000000003</v>
      </c>
      <c r="E487" s="246"/>
      <c r="F487" s="282"/>
      <c r="G487" s="244">
        <f>'корпоративный баланс энергии'!S496+'корпоративный баланс энергии'!V496+'корпоративный баланс энергии'!Y496</f>
        <v>256.33000000000004</v>
      </c>
      <c r="H487" s="246"/>
      <c r="I487" s="282"/>
      <c r="J487" s="244">
        <f>'корпоративный баланс энергии'!AB496+'корпоративный баланс энергии'!AE496+'корпоративный баланс энергии'!AH496</f>
        <v>220.87</v>
      </c>
      <c r="K487" s="246"/>
      <c r="L487" s="282"/>
      <c r="M487" s="244">
        <f>'корпоративный баланс энергии'!AK496+'корпоративный баланс энергии'!AN496+'корпоративный баланс энергии'!AQ496</f>
        <v>424.85200000000003</v>
      </c>
      <c r="N487" s="246"/>
      <c r="O487" s="282"/>
      <c r="P487" s="244">
        <f t="shared" ref="P487:P492" si="27">D487+G487+J487+M487</f>
        <v>1287.1300000000001</v>
      </c>
      <c r="Q487" s="283"/>
      <c r="R487" s="299"/>
      <c r="S487" s="357"/>
      <c r="T487" s="357"/>
    </row>
    <row r="488" spans="2:20" s="24" customFormat="1">
      <c r="B488" s="127" t="str">
        <f>'корпоративный баланс энергии'!H497</f>
        <v>Нижнекамская ТЭЦ-2 (ООО "Нижнекамская ТЭЦ") ТГ- 5, 6 (97+110 МВт) НВ 19.12.2015</v>
      </c>
      <c r="C488" s="487"/>
      <c r="D488" s="281">
        <f>'корпоративный баланс энергии'!J497+'корпоративный баланс энергии'!M497+'корпоративный баланс энергии'!P497</f>
        <v>0</v>
      </c>
      <c r="E488" s="246"/>
      <c r="F488" s="282"/>
      <c r="G488" s="244">
        <f>'корпоративный баланс энергии'!S497+'корпоративный баланс энергии'!V497+'корпоративный баланс энергии'!Y497</f>
        <v>0</v>
      </c>
      <c r="H488" s="246"/>
      <c r="I488" s="282"/>
      <c r="J488" s="244">
        <f>'корпоративный баланс энергии'!AB497+'корпоративный баланс энергии'!AE497+'корпоративный баланс энергии'!AH497</f>
        <v>0</v>
      </c>
      <c r="K488" s="246"/>
      <c r="L488" s="282"/>
      <c r="M488" s="244">
        <f>'корпоративный баланс энергии'!AK497+'корпоративный баланс энергии'!AN497+'корпоративный баланс энергии'!AQ497</f>
        <v>0</v>
      </c>
      <c r="N488" s="246"/>
      <c r="O488" s="282"/>
      <c r="P488" s="244">
        <f t="shared" si="27"/>
        <v>0</v>
      </c>
      <c r="Q488" s="283"/>
      <c r="R488" s="299"/>
      <c r="S488" s="357"/>
      <c r="T488" s="357"/>
    </row>
    <row r="489" spans="2:20" s="24" customFormat="1">
      <c r="B489" s="127" t="str">
        <f>'корпоративный баланс энергии'!H498</f>
        <v>Нижнекамская ТЭЦ-2 (ООО "Нижнекамская ТЭЦ") ТГ- 4, 7 (97+110 МВт) НВ 01.04.2016</v>
      </c>
      <c r="C489" s="487"/>
      <c r="D489" s="281">
        <f>'корпоративный баланс энергии'!J498+'корпоративный баланс энергии'!M498+'корпоративный баланс энергии'!P498</f>
        <v>0</v>
      </c>
      <c r="E489" s="246"/>
      <c r="F489" s="282"/>
      <c r="G489" s="244">
        <f>'корпоративный баланс энергии'!S498+'корпоративный баланс энергии'!V498+'корпоративный баланс энергии'!Y498</f>
        <v>0</v>
      </c>
      <c r="H489" s="246"/>
      <c r="I489" s="282"/>
      <c r="J489" s="244">
        <f>'корпоративный баланс энергии'!AB498+'корпоративный баланс энергии'!AE498+'корпоративный баланс энергии'!AH498</f>
        <v>0</v>
      </c>
      <c r="K489" s="246"/>
      <c r="L489" s="282"/>
      <c r="M489" s="244">
        <f>'корпоративный баланс энергии'!AK498+'корпоративный баланс энергии'!AN498+'корпоративный баланс энергии'!AQ498</f>
        <v>0</v>
      </c>
      <c r="N489" s="246"/>
      <c r="O489" s="282"/>
      <c r="P489" s="244">
        <f t="shared" si="27"/>
        <v>0</v>
      </c>
      <c r="Q489" s="283"/>
      <c r="R489" s="299"/>
      <c r="S489" s="357"/>
      <c r="T489" s="357"/>
    </row>
    <row r="490" spans="2:20" s="24" customFormat="1">
      <c r="B490" s="127" t="str">
        <f>'корпоративный баланс энергии'!H499</f>
        <v>Уруссинская ГРЭС (ЗАО "ТГК Уруссинская ГРЭС")</v>
      </c>
      <c r="C490" s="487"/>
      <c r="D490" s="281">
        <f>'корпоративный баланс энергии'!J499+'корпоративный баланс энергии'!M499+'корпоративный баланс энергии'!P499</f>
        <v>0</v>
      </c>
      <c r="E490" s="246"/>
      <c r="F490" s="282"/>
      <c r="G490" s="244">
        <f>'корпоративный баланс энергии'!S499+'корпоративный баланс энергии'!V499+'корпоративный баланс энергии'!Y499</f>
        <v>0</v>
      </c>
      <c r="H490" s="246"/>
      <c r="I490" s="282"/>
      <c r="J490" s="244">
        <f>'корпоративный баланс энергии'!AB499+'корпоративный баланс энергии'!AE499+'корпоративный баланс энергии'!AH499</f>
        <v>0</v>
      </c>
      <c r="K490" s="246"/>
      <c r="L490" s="282"/>
      <c r="M490" s="244">
        <f>'корпоративный баланс энергии'!AK499+'корпоративный баланс энергии'!AN499+'корпоративный баланс энергии'!AQ499</f>
        <v>0</v>
      </c>
      <c r="N490" s="246"/>
      <c r="O490" s="282"/>
      <c r="P490" s="244">
        <f t="shared" si="27"/>
        <v>0</v>
      </c>
      <c r="Q490" s="283"/>
      <c r="R490" s="299"/>
      <c r="S490" s="357"/>
      <c r="T490" s="357"/>
    </row>
    <row r="491" spans="2:20" s="24" customFormat="1">
      <c r="B491" s="127" t="str">
        <f>'корпоративный баланс энергии'!H500</f>
        <v>Нижнекамская ГЭС (АО "Татэнерго")</v>
      </c>
      <c r="C491" s="516" t="s">
        <v>364</v>
      </c>
      <c r="D491" s="281">
        <f>'корпоративный баланс энергии'!J500+'корпоративный баланс энергии'!M500+'корпоративный баланс энергии'!P500</f>
        <v>355.02356719970703</v>
      </c>
      <c r="E491" s="246"/>
      <c r="F491" s="282"/>
      <c r="G491" s="244">
        <f>'корпоративный баланс энергии'!S500+'корпоративный баланс энергии'!V500+'корпоративный баланс энергии'!Y500</f>
        <v>618.88221740722656</v>
      </c>
      <c r="H491" s="246"/>
      <c r="I491" s="282"/>
      <c r="J491" s="244">
        <f>'корпоративный баланс энергии'!AB500+'корпоративный баланс энергии'!AE500+'корпоративный баланс энергии'!AH500</f>
        <v>405.08552551269531</v>
      </c>
      <c r="K491" s="246"/>
      <c r="L491" s="282"/>
      <c r="M491" s="244">
        <f>'корпоративный баланс энергии'!AK500+'корпоративный баланс энергии'!AN500+'корпоративный баланс энергии'!AQ500</f>
        <v>382.07074737548828</v>
      </c>
      <c r="N491" s="246"/>
      <c r="O491" s="282"/>
      <c r="P491" s="244">
        <f t="shared" si="27"/>
        <v>1761.0620574951172</v>
      </c>
      <c r="Q491" s="256"/>
      <c r="R491" s="302"/>
      <c r="S491" s="357"/>
      <c r="T491" s="357"/>
    </row>
    <row r="492" spans="2:20" s="24" customFormat="1">
      <c r="B492" s="127" t="str">
        <f>'корпоративный баланс энергии'!H501</f>
        <v>ГТУ-ТЭС г.Елабуга</v>
      </c>
      <c r="C492" s="516" t="s">
        <v>365</v>
      </c>
      <c r="D492" s="281">
        <f>'корпоративный баланс энергии'!J501+'корпоративный баланс энергии'!M501+'корпоративный баланс энергии'!P501</f>
        <v>41.369</v>
      </c>
      <c r="E492" s="246"/>
      <c r="F492" s="282"/>
      <c r="G492" s="244">
        <f>'корпоративный баланс энергии'!S501+'корпоративный баланс энергии'!V501+'корпоративный баланс энергии'!Y501</f>
        <v>29.742000000000004</v>
      </c>
      <c r="H492" s="246"/>
      <c r="I492" s="282"/>
      <c r="J492" s="244">
        <f>'корпоративный баланс энергии'!AB501+'корпоративный баланс энергии'!AE501+'корпоративный баланс энергии'!AH501</f>
        <v>26.275999999999996</v>
      </c>
      <c r="K492" s="246"/>
      <c r="L492" s="282"/>
      <c r="M492" s="244">
        <f>'корпоративный баланс энергии'!AK501+'корпоративный баланс энергии'!AN501+'корпоративный баланс энергии'!AQ501</f>
        <v>42.07</v>
      </c>
      <c r="N492" s="246"/>
      <c r="O492" s="282"/>
      <c r="P492" s="244">
        <f t="shared" si="27"/>
        <v>139.45699999999999</v>
      </c>
      <c r="Q492" s="256"/>
      <c r="R492" s="302"/>
      <c r="S492" s="357"/>
      <c r="T492" s="357"/>
    </row>
    <row r="493" spans="2:20" s="24" customFormat="1">
      <c r="B493" s="138" t="s">
        <v>174</v>
      </c>
      <c r="C493" s="488"/>
      <c r="D493" s="287">
        <f>SUM(D494:D506)</f>
        <v>453.17600000000004</v>
      </c>
      <c r="E493" s="288"/>
      <c r="F493" s="289"/>
      <c r="G493" s="287">
        <f>SUM(G494:G506)</f>
        <v>407.48839999999996</v>
      </c>
      <c r="H493" s="288"/>
      <c r="I493" s="289"/>
      <c r="J493" s="287">
        <f>SUM(J494:J506)</f>
        <v>365.85570000000001</v>
      </c>
      <c r="K493" s="288"/>
      <c r="L493" s="289"/>
      <c r="M493" s="287">
        <f>SUM(M494:M506)</f>
        <v>475.54840000000002</v>
      </c>
      <c r="N493" s="288"/>
      <c r="O493" s="289"/>
      <c r="P493" s="287">
        <f>SUM(P494:P506)</f>
        <v>1702.0685000000001</v>
      </c>
      <c r="Q493" s="288"/>
      <c r="R493" s="289"/>
      <c r="S493" s="357"/>
      <c r="T493" s="357"/>
    </row>
    <row r="494" spans="2:20" s="24" customFormat="1">
      <c r="B494" s="135" t="str">
        <f>'корпоративный баланс энергии'!H503</f>
        <v>ГПЭС ЗАО "Энергоцентр Майский"</v>
      </c>
      <c r="C494" s="518" t="s">
        <v>365</v>
      </c>
      <c r="D494" s="293">
        <f>'корпоративный баланс энергии'!J503+'корпоративный баланс энергии'!M503+'корпоративный баланс энергии'!P503</f>
        <v>39.299999999999997</v>
      </c>
      <c r="E494" s="288"/>
      <c r="F494" s="289"/>
      <c r="G494" s="294">
        <f>'корпоративный баланс энергии'!S503+'корпоративный баланс энергии'!V503+'корпоративный баланс энергии'!Y503</f>
        <v>18.5</v>
      </c>
      <c r="H494" s="288"/>
      <c r="I494" s="289"/>
      <c r="J494" s="294">
        <f>'корпоративный баланс энергии'!AB503+'корпоративный баланс энергии'!AE503+'корпоративный баланс энергии'!AH503</f>
        <v>18.7</v>
      </c>
      <c r="K494" s="288"/>
      <c r="L494" s="289"/>
      <c r="M494" s="294">
        <f>'корпоративный баланс энергии'!AK503+'корпоративный баланс энергии'!AN503+'корпоративный баланс энергии'!AQ503</f>
        <v>37</v>
      </c>
      <c r="N494" s="288"/>
      <c r="O494" s="289"/>
      <c r="P494" s="294">
        <f>D494+G494+J494+M494</f>
        <v>113.5</v>
      </c>
      <c r="Q494" s="288"/>
      <c r="R494" s="289"/>
      <c r="S494" s="357"/>
      <c r="T494" s="357"/>
    </row>
    <row r="495" spans="2:20" s="24" customFormat="1">
      <c r="B495" s="135" t="str">
        <f>'корпоративный баланс энергии'!H504</f>
        <v>ТЭЦ ПАО "Нижнекамскнефтехим"</v>
      </c>
      <c r="C495" s="518" t="s">
        <v>365</v>
      </c>
      <c r="D495" s="293">
        <f>'корпоративный баланс энергии'!J504+'корпоративный баланс энергии'!M504+'корпоративный баланс энергии'!P504</f>
        <v>157.61000000000001</v>
      </c>
      <c r="E495" s="288"/>
      <c r="F495" s="289"/>
      <c r="G495" s="294">
        <f>'корпоративный баланс энергии'!S504+'корпоративный баланс энергии'!V504+'корпоративный баланс энергии'!Y504</f>
        <v>138.51999999999998</v>
      </c>
      <c r="H495" s="288"/>
      <c r="I495" s="289"/>
      <c r="J495" s="294">
        <f>'корпоративный баланс энергии'!AB504+'корпоративный баланс энергии'!AE504+'корпоративный баланс энергии'!AH504</f>
        <v>107.14999999999999</v>
      </c>
      <c r="K495" s="288"/>
      <c r="L495" s="289"/>
      <c r="M495" s="294">
        <f>'корпоративный баланс энергии'!AK504+'корпоративный баланс энергии'!AN504+'корпоративный баланс энергии'!AQ504</f>
        <v>159.28</v>
      </c>
      <c r="N495" s="288"/>
      <c r="O495" s="289"/>
      <c r="P495" s="294">
        <f t="shared" ref="P495:P506" si="28">D495+G495+J495+M495</f>
        <v>562.55999999999995</v>
      </c>
      <c r="Q495" s="288"/>
      <c r="R495" s="289"/>
      <c r="S495" s="357"/>
      <c r="T495" s="357"/>
    </row>
    <row r="496" spans="2:20" s="24" customFormat="1">
      <c r="B496" s="135" t="str">
        <f>'корпоративный баланс энергии'!H505</f>
        <v>ТЭЦ ООО "Буинский сахар"</v>
      </c>
      <c r="C496" s="518" t="s">
        <v>365</v>
      </c>
      <c r="D496" s="293">
        <f>'корпоративный баланс энергии'!J505+'корпоративный баланс энергии'!M505+'корпоративный баланс энергии'!P505</f>
        <v>0</v>
      </c>
      <c r="E496" s="288"/>
      <c r="F496" s="289"/>
      <c r="G496" s="294">
        <f>'корпоративный баланс энергии'!S505+'корпоративный баланс энергии'!V505+'корпоративный баланс энергии'!Y505</f>
        <v>0</v>
      </c>
      <c r="H496" s="288"/>
      <c r="I496" s="289"/>
      <c r="J496" s="294">
        <f>'корпоративный баланс энергии'!AB505+'корпоративный баланс энергии'!AE505+'корпоративный баланс энергии'!AH505</f>
        <v>3</v>
      </c>
      <c r="K496" s="288"/>
      <c r="L496" s="289"/>
      <c r="M496" s="294">
        <f>'корпоративный баланс энергии'!AK505+'корпоративный баланс энергии'!AN505+'корпоративный баланс энергии'!AQ505</f>
        <v>18</v>
      </c>
      <c r="N496" s="288"/>
      <c r="O496" s="289"/>
      <c r="P496" s="294">
        <f t="shared" si="28"/>
        <v>21</v>
      </c>
      <c r="Q496" s="288"/>
      <c r="R496" s="289"/>
      <c r="S496" s="357"/>
      <c r="T496" s="357"/>
    </row>
    <row r="497" spans="2:20" s="24" customFormat="1">
      <c r="B497" s="135" t="str">
        <f>'корпоративный баланс энергии'!H506</f>
        <v>ТЭЦ АО «Нижнекамсктехуглерод»</v>
      </c>
      <c r="C497" s="518" t="s">
        <v>365</v>
      </c>
      <c r="D497" s="293">
        <f>'корпоративный баланс энергии'!J506+'корпоративный баланс энергии'!M506+'корпоративный баланс энергии'!P506</f>
        <v>18.100000000000001</v>
      </c>
      <c r="E497" s="288"/>
      <c r="F497" s="289"/>
      <c r="G497" s="294">
        <f>'корпоративный баланс энергии'!S506+'корпоративный баланс энергии'!V506+'корпоративный баланс энергии'!Y506</f>
        <v>17.700000000000003</v>
      </c>
      <c r="H497" s="288"/>
      <c r="I497" s="289"/>
      <c r="J497" s="294">
        <f>'корпоративный баланс энергии'!AB506+'корпоративный баланс энергии'!AE506+'корпоративный баланс энергии'!AH506</f>
        <v>13.7</v>
      </c>
      <c r="K497" s="288"/>
      <c r="L497" s="289"/>
      <c r="M497" s="294">
        <f>'корпоративный баланс энергии'!AK506+'корпоративный баланс энергии'!AN506+'корпоративный баланс энергии'!AQ506</f>
        <v>18.399999999999999</v>
      </c>
      <c r="N497" s="288"/>
      <c r="O497" s="289"/>
      <c r="P497" s="294">
        <f t="shared" si="28"/>
        <v>67.900000000000006</v>
      </c>
      <c r="Q497" s="288"/>
      <c r="R497" s="289"/>
      <c r="S497" s="357"/>
      <c r="T497" s="357"/>
    </row>
    <row r="498" spans="2:20" s="24" customFormat="1">
      <c r="B498" s="135" t="str">
        <f>'корпоративный баланс энергии'!H507</f>
        <v>Мини-ТЭЦ №2 АПТС</v>
      </c>
      <c r="C498" s="518" t="s">
        <v>365</v>
      </c>
      <c r="D498" s="293">
        <f>'корпоративный баланс энергии'!J507+'корпоративный баланс энергии'!M507+'корпоративный баланс энергии'!P507</f>
        <v>10.886800000000001</v>
      </c>
      <c r="E498" s="288"/>
      <c r="F498" s="289"/>
      <c r="G498" s="294">
        <f>'корпоративный баланс энергии'!S507+'корпоративный баланс энергии'!V507+'корпоративный баланс энергии'!Y507</f>
        <v>11.024699999999999</v>
      </c>
      <c r="H498" s="288"/>
      <c r="I498" s="289"/>
      <c r="J498" s="294">
        <f>'корпоративный баланс энергии'!AB507+'корпоративный баланс энергии'!AE507+'корпоративный баланс энергии'!AH507</f>
        <v>9.8971</v>
      </c>
      <c r="K498" s="288"/>
      <c r="L498" s="289"/>
      <c r="M498" s="294">
        <f>'корпоративный баланс энергии'!AK507+'корпоративный баланс энергии'!AN507+'корпоративный баланс энергии'!AQ507</f>
        <v>11.473800000000001</v>
      </c>
      <c r="N498" s="288"/>
      <c r="O498" s="289"/>
      <c r="P498" s="294">
        <f t="shared" si="28"/>
        <v>43.282399999999996</v>
      </c>
      <c r="Q498" s="288"/>
      <c r="R498" s="289"/>
      <c r="S498" s="357"/>
      <c r="T498" s="357"/>
    </row>
    <row r="499" spans="2:20" s="24" customFormat="1">
      <c r="B499" s="135" t="str">
        <f>'корпоративный баланс энергии'!H508</f>
        <v>Мини-ТЭЦ №3 АПТС</v>
      </c>
      <c r="C499" s="518" t="s">
        <v>365</v>
      </c>
      <c r="D499" s="293">
        <f>'корпоративный баланс энергии'!J508+'корпоративный баланс энергии'!M508+'корпоративный баланс энергии'!P508</f>
        <v>11.275200000000002</v>
      </c>
      <c r="E499" s="288"/>
      <c r="F499" s="289"/>
      <c r="G499" s="294">
        <f>'корпоративный баланс энергии'!S508+'корпоративный баланс энергии'!V508+'корпоративный баланс энергии'!Y508</f>
        <v>9.5213000000000001</v>
      </c>
      <c r="H499" s="288"/>
      <c r="I499" s="289"/>
      <c r="J499" s="294">
        <f>'корпоративный баланс энергии'!AB508+'корпоративный баланс энергии'!AE508+'корпоративный баланс энергии'!AH508</f>
        <v>11.5258</v>
      </c>
      <c r="K499" s="288"/>
      <c r="L499" s="289"/>
      <c r="M499" s="294">
        <f>'корпоративный баланс энергии'!AK508+'корпоративный баланс энергии'!AN508+'корпоративный баланс энергии'!AQ508</f>
        <v>11.5258</v>
      </c>
      <c r="N499" s="288"/>
      <c r="O499" s="289"/>
      <c r="P499" s="294">
        <f t="shared" si="28"/>
        <v>43.848100000000002</v>
      </c>
      <c r="Q499" s="288"/>
      <c r="R499" s="289"/>
      <c r="S499" s="357"/>
      <c r="T499" s="357"/>
    </row>
    <row r="500" spans="2:20" s="24" customFormat="1">
      <c r="B500" s="135" t="str">
        <f>'корпоративный баланс энергии'!H509</f>
        <v>Мини-ТЭЦ №4 АПТС</v>
      </c>
      <c r="C500" s="518" t="s">
        <v>365</v>
      </c>
      <c r="D500" s="293">
        <f>'корпоративный баланс энергии'!J509+'корпоративный баланс энергии'!M509+'корпоративный баланс энергии'!P509</f>
        <v>18.576000000000001</v>
      </c>
      <c r="E500" s="288"/>
      <c r="F500" s="289"/>
      <c r="G500" s="294">
        <f>'корпоративный баланс энергии'!S509+'корпоративный баланс энергии'!V509+'корпоративный баланс энергии'!Y509</f>
        <v>18.782399999999999</v>
      </c>
      <c r="H500" s="288"/>
      <c r="I500" s="289"/>
      <c r="J500" s="294">
        <f>'корпоративный баланс энергии'!AB509+'корпоративный баланс энергии'!AE509+'корпоративный баланс энергии'!AH509</f>
        <v>15.892800000000001</v>
      </c>
      <c r="K500" s="288"/>
      <c r="L500" s="289"/>
      <c r="M500" s="294">
        <f>'корпоративный баланс энергии'!AK509+'корпоративный баланс энергии'!AN509+'корпоративный баланс энергии'!AQ509</f>
        <v>18.988799999999998</v>
      </c>
      <c r="N500" s="288"/>
      <c r="O500" s="289"/>
      <c r="P500" s="294">
        <f t="shared" si="28"/>
        <v>72.240000000000009</v>
      </c>
      <c r="Q500" s="288"/>
      <c r="R500" s="289"/>
      <c r="S500" s="357"/>
      <c r="T500" s="357"/>
    </row>
    <row r="501" spans="2:20" s="24" customFormat="1">
      <c r="B501" s="135" t="str">
        <f>'корпоративный баланс энергии'!H510</f>
        <v>Мини-ТЭЦ Кастамону</v>
      </c>
      <c r="C501" s="518" t="s">
        <v>365</v>
      </c>
      <c r="D501" s="293">
        <f>'корпоративный баланс энергии'!J510+'корпоративный баланс энергии'!M510+'корпоративный баланс энергии'!P510</f>
        <v>88.9</v>
      </c>
      <c r="E501" s="288"/>
      <c r="F501" s="289"/>
      <c r="G501" s="294">
        <f>'корпоративный баланс энергии'!S510+'корпоративный баланс энергии'!V510+'корпоративный баланс энергии'!Y510</f>
        <v>85</v>
      </c>
      <c r="H501" s="288"/>
      <c r="I501" s="289"/>
      <c r="J501" s="294">
        <f>'корпоративный баланс энергии'!AB510+'корпоративный баланс энергии'!AE510+'корпоративный баланс энергии'!AH510</f>
        <v>83.7</v>
      </c>
      <c r="K501" s="288"/>
      <c r="L501" s="289"/>
      <c r="M501" s="294">
        <f>'корпоративный баланс энергии'!AK510+'корпоративный баланс энергии'!AN510+'корпоративный баланс энергии'!AQ510</f>
        <v>90.5</v>
      </c>
      <c r="N501" s="288"/>
      <c r="O501" s="289"/>
      <c r="P501" s="294">
        <f t="shared" si="28"/>
        <v>348.1</v>
      </c>
      <c r="Q501" s="288"/>
      <c r="R501" s="289"/>
      <c r="S501" s="357"/>
      <c r="T501" s="357"/>
    </row>
    <row r="502" spans="2:20" s="24" customFormat="1">
      <c r="B502" s="135" t="str">
        <f>'корпоративный баланс энергии'!H511</f>
        <v>ТЭЦ Хаят Кимья</v>
      </c>
      <c r="C502" s="518" t="s">
        <v>365</v>
      </c>
      <c r="D502" s="293">
        <f>'корпоративный баланс энергии'!J511+'корпоративный баланс энергии'!M511+'корпоративный баланс энергии'!P511</f>
        <v>37.128</v>
      </c>
      <c r="E502" s="288"/>
      <c r="F502" s="289"/>
      <c r="G502" s="294">
        <f>'корпоративный баланс энергии'!S511+'корпоративный баланс энергии'!V511+'корпоративный баланс энергии'!Y511</f>
        <v>34.94</v>
      </c>
      <c r="H502" s="288"/>
      <c r="I502" s="289"/>
      <c r="J502" s="294">
        <f>'корпоративный баланс энергии'!AB511+'корпоративный баланс энергии'!AE511+'корпоративный баланс энергии'!AH511</f>
        <v>33.090000000000003</v>
      </c>
      <c r="K502" s="288"/>
      <c r="L502" s="289"/>
      <c r="M502" s="294">
        <f>'корпоративный баланс энергии'!AK511+'корпоративный баланс энергии'!AN511+'корпоративный баланс энергии'!AQ511</f>
        <v>36.880000000000003</v>
      </c>
      <c r="N502" s="288"/>
      <c r="O502" s="289"/>
      <c r="P502" s="294">
        <f t="shared" si="28"/>
        <v>142.03800000000001</v>
      </c>
      <c r="Q502" s="288"/>
      <c r="R502" s="289"/>
      <c r="S502" s="357"/>
      <c r="T502" s="357"/>
    </row>
    <row r="503" spans="2:20" s="24" customFormat="1">
      <c r="B503" s="135" t="str">
        <f>'корпоративный баланс энергии'!H512</f>
        <v>ГТЭС Аммоний</v>
      </c>
      <c r="C503" s="518" t="s">
        <v>365</v>
      </c>
      <c r="D503" s="293">
        <f>'корпоративный баланс энергии'!J512+'корпоративный баланс энергии'!M512+'корпоративный баланс энергии'!P512</f>
        <v>51</v>
      </c>
      <c r="E503" s="288"/>
      <c r="F503" s="289"/>
      <c r="G503" s="294">
        <f>'корпоративный баланс энергии'!S512+'корпоративный баланс энергии'!V512+'корпоративный баланс энергии'!Y512</f>
        <v>51</v>
      </c>
      <c r="H503" s="288"/>
      <c r="I503" s="289"/>
      <c r="J503" s="294">
        <f>'корпоративный баланс энергии'!AB512+'корпоративный баланс энергии'!AE512+'корпоративный баланс энергии'!AH512</f>
        <v>51</v>
      </c>
      <c r="K503" s="288"/>
      <c r="L503" s="289"/>
      <c r="M503" s="294">
        <f>'корпоративный баланс энергии'!AK512+'корпоративный баланс энергии'!AN512+'корпоративный баланс энергии'!AQ512</f>
        <v>51</v>
      </c>
      <c r="N503" s="288"/>
      <c r="O503" s="289"/>
      <c r="P503" s="294">
        <f t="shared" si="28"/>
        <v>204</v>
      </c>
      <c r="Q503" s="288"/>
      <c r="R503" s="289"/>
      <c r="S503" s="357"/>
      <c r="T503" s="357"/>
    </row>
    <row r="504" spans="2:20" s="24" customFormat="1">
      <c r="B504" s="135" t="str">
        <f>'корпоративный баланс энергии'!H513</f>
        <v>Мини ТЭС  ГПУ-1 "Энергетическое партнерство"</v>
      </c>
      <c r="C504" s="518"/>
      <c r="D504" s="293">
        <f>'корпоративный баланс энергии'!J513+'корпоративный баланс энергии'!M513+'корпоративный баланс энергии'!P513</f>
        <v>7</v>
      </c>
      <c r="E504" s="288"/>
      <c r="F504" s="289"/>
      <c r="G504" s="294">
        <f>'корпоративный баланс энергии'!S513+'корпоративный баланс энергии'!V513+'корпоративный баланс энергии'!Y513</f>
        <v>7.5</v>
      </c>
      <c r="H504" s="288"/>
      <c r="I504" s="289"/>
      <c r="J504" s="294">
        <f>'корпоративный баланс энергии'!AB513+'корпоративный баланс энергии'!AE513+'корпоративный баланс энергии'!AH513</f>
        <v>6.2</v>
      </c>
      <c r="K504" s="288"/>
      <c r="L504" s="289"/>
      <c r="M504" s="294">
        <f>'корпоративный баланс энергии'!AK513+'корпоративный баланс энергии'!AN513+'корпоративный баланс энергии'!AQ513</f>
        <v>7.5</v>
      </c>
      <c r="N504" s="288"/>
      <c r="O504" s="289"/>
      <c r="P504" s="294">
        <f t="shared" si="28"/>
        <v>28.2</v>
      </c>
      <c r="Q504" s="288"/>
      <c r="R504" s="289"/>
      <c r="S504" s="357"/>
      <c r="T504" s="357"/>
    </row>
    <row r="505" spans="2:20" s="24" customFormat="1">
      <c r="B505" s="135" t="str">
        <f>'корпоративный баланс энергии'!H514</f>
        <v>Мини ТЭС  ГПУ-2  "Энергетическое партнерство"</v>
      </c>
      <c r="C505" s="518" t="s">
        <v>365</v>
      </c>
      <c r="D505" s="293">
        <f>'корпоративный баланс энергии'!J514+'корпоративный баланс энергии'!M514+'корпоративный баланс энергии'!P514</f>
        <v>6.6</v>
      </c>
      <c r="E505" s="288"/>
      <c r="F505" s="289"/>
      <c r="G505" s="294">
        <f>'корпоративный баланс энергии'!S514+'корпоративный баланс энергии'!V514+'корпоративный баланс энергии'!Y514</f>
        <v>7.5</v>
      </c>
      <c r="H505" s="288"/>
      <c r="I505" s="289"/>
      <c r="J505" s="294">
        <f>'корпоративный баланс энергии'!AB514+'корпоративный баланс энергии'!AE514+'корпоративный баланс энергии'!AH514</f>
        <v>5.8000000000000007</v>
      </c>
      <c r="K505" s="288"/>
      <c r="L505" s="289"/>
      <c r="M505" s="294">
        <f>'корпоративный баланс энергии'!AK514+'корпоративный баланс энергии'!AN514+'корпоративный баланс энергии'!AQ514</f>
        <v>7.5</v>
      </c>
      <c r="N505" s="288"/>
      <c r="O505" s="289"/>
      <c r="P505" s="294">
        <f t="shared" si="28"/>
        <v>27.4</v>
      </c>
      <c r="Q505" s="288"/>
      <c r="R505" s="289"/>
      <c r="S505" s="357"/>
      <c r="T505" s="357"/>
    </row>
    <row r="506" spans="2:20" s="24" customFormat="1">
      <c r="B506" s="135" t="str">
        <f>'корпоративный баланс энергии'!H515</f>
        <v>Мини ТЭС  ГПУ-3  "Энергетическое партнерство"</v>
      </c>
      <c r="C506" s="518" t="s">
        <v>365</v>
      </c>
      <c r="D506" s="293">
        <f>'корпоративный баланс энергии'!J515+'корпоративный баланс энергии'!M515+'корпоративный баланс энергии'!P515</f>
        <v>6.8</v>
      </c>
      <c r="E506" s="288"/>
      <c r="F506" s="289"/>
      <c r="G506" s="294">
        <f>'корпоративный баланс энергии'!S515+'корпоративный баланс энергии'!V515+'корпоративный баланс энергии'!Y515</f>
        <v>7.5</v>
      </c>
      <c r="H506" s="288"/>
      <c r="I506" s="289"/>
      <c r="J506" s="294">
        <f>'корпоративный баланс энергии'!AB515+'корпоративный баланс энергии'!AE515+'корпоративный баланс энергии'!AH515</f>
        <v>6.2</v>
      </c>
      <c r="K506" s="288"/>
      <c r="L506" s="289"/>
      <c r="M506" s="294">
        <f>'корпоративный баланс энергии'!AK515+'корпоративный баланс энергии'!AN515+'корпоративный баланс энергии'!AQ515</f>
        <v>7.5</v>
      </c>
      <c r="N506" s="288"/>
      <c r="O506" s="289"/>
      <c r="P506" s="294">
        <f t="shared" si="28"/>
        <v>28</v>
      </c>
      <c r="Q506" s="288"/>
      <c r="R506" s="289"/>
      <c r="S506" s="357"/>
      <c r="T506" s="357"/>
    </row>
    <row r="507" spans="2:20" ht="18.75">
      <c r="B507" s="473" t="str">
        <f>'корпоративный баланс энергии'!H516</f>
        <v>Энергосистема Ульяновской области</v>
      </c>
      <c r="C507" s="495"/>
      <c r="D507" s="274">
        <f>SUM(D508:D510)</f>
        <v>990.73498599999982</v>
      </c>
      <c r="E507" s="275">
        <f>F507-D507</f>
        <v>629.97018481338466</v>
      </c>
      <c r="F507" s="276">
        <f>'корпоративный баланс энергии'!L516+'корпоративный баланс энергии'!O516+'корпоративный баланс энергии'!R516</f>
        <v>1620.7051708133845</v>
      </c>
      <c r="G507" s="274">
        <f>SUM(G508:G510)</f>
        <v>499.94573266666663</v>
      </c>
      <c r="H507" s="275">
        <f>I507-G507</f>
        <v>808.17081494920853</v>
      </c>
      <c r="I507" s="276">
        <f>'корпоративный баланс энергии'!U516+'корпоративный баланс энергии'!X516+'корпоративный баланс энергии'!AA516</f>
        <v>1308.1165476158751</v>
      </c>
      <c r="J507" s="274">
        <f>SUM(J508:J510)</f>
        <v>388.770534</v>
      </c>
      <c r="K507" s="275">
        <f>L507-J507</f>
        <v>856.15421207597751</v>
      </c>
      <c r="L507" s="276">
        <f>'корпоративный баланс энергии'!AD516+'корпоративный баланс энергии'!AG516+'корпоративный баланс энергии'!AJ516</f>
        <v>1244.9247460759775</v>
      </c>
      <c r="M507" s="274">
        <f>SUM(M508:M510)</f>
        <v>882.86112000000003</v>
      </c>
      <c r="N507" s="275">
        <f>O507-M507</f>
        <v>702.31258678324889</v>
      </c>
      <c r="O507" s="276">
        <f>'корпоративный баланс энергии'!AM516+'корпоративный баланс энергии'!AP516+'корпоративный баланс энергии'!AS516</f>
        <v>1585.1737067832489</v>
      </c>
      <c r="P507" s="274">
        <f>SUM(P508:P510)</f>
        <v>2762.3123726666663</v>
      </c>
      <c r="Q507" s="275">
        <f>R507-P507</f>
        <v>2996.6077986218197</v>
      </c>
      <c r="R507" s="276">
        <f>F507+I507+L507+O507</f>
        <v>5758.920171288486</v>
      </c>
      <c r="S507" s="261"/>
      <c r="T507" s="261"/>
    </row>
    <row r="508" spans="2:20">
      <c r="B508" s="10" t="s">
        <v>56</v>
      </c>
      <c r="C508" s="483"/>
      <c r="D508" s="270">
        <f>SUM(D511:D512)</f>
        <v>821.11666666666656</v>
      </c>
      <c r="E508" s="271"/>
      <c r="F508" s="224"/>
      <c r="G508" s="270">
        <f>SUM(G511:G512)</f>
        <v>353.24466666666666</v>
      </c>
      <c r="H508" s="271"/>
      <c r="I508" s="224"/>
      <c r="J508" s="270">
        <f>SUM(J511:J512)</f>
        <v>302.23099999999999</v>
      </c>
      <c r="K508" s="271"/>
      <c r="L508" s="224"/>
      <c r="M508" s="270">
        <f>SUM(M511:M512)</f>
        <v>713.83100000000002</v>
      </c>
      <c r="N508" s="271"/>
      <c r="O508" s="224"/>
      <c r="P508" s="270">
        <f>SUM(P511:P512)</f>
        <v>2190.4233333333332</v>
      </c>
      <c r="Q508" s="271"/>
      <c r="R508" s="364"/>
      <c r="S508" s="261"/>
      <c r="T508" s="261"/>
    </row>
    <row r="509" spans="2:20">
      <c r="B509" s="10" t="s">
        <v>346</v>
      </c>
      <c r="C509" s="483"/>
      <c r="D509" s="270">
        <f>D513+D514+D515</f>
        <v>53.376999999999995</v>
      </c>
      <c r="E509" s="271"/>
      <c r="F509" s="224"/>
      <c r="G509" s="270">
        <f>G513+G514+G515</f>
        <v>65.940000000000012</v>
      </c>
      <c r="H509" s="271"/>
      <c r="I509" s="224"/>
      <c r="J509" s="270">
        <f>J513+J514+J515</f>
        <v>38.307000000000002</v>
      </c>
      <c r="K509" s="271"/>
      <c r="L509" s="224"/>
      <c r="M509" s="270">
        <f>M513+M514+M515</f>
        <v>43.970999999999997</v>
      </c>
      <c r="N509" s="271"/>
      <c r="O509" s="224"/>
      <c r="P509" s="270">
        <f>P513+P514+P515</f>
        <v>201.595</v>
      </c>
      <c r="Q509" s="271"/>
      <c r="R509" s="364"/>
      <c r="S509" s="261"/>
      <c r="T509" s="261"/>
    </row>
    <row r="510" spans="2:20" s="107" customFormat="1">
      <c r="B510" s="10" t="s">
        <v>99</v>
      </c>
      <c r="C510" s="483"/>
      <c r="D510" s="270">
        <f>D516</f>
        <v>116.24131933333331</v>
      </c>
      <c r="E510" s="271"/>
      <c r="F510" s="224"/>
      <c r="G510" s="270">
        <f>G516</f>
        <v>80.761065999999971</v>
      </c>
      <c r="H510" s="271"/>
      <c r="I510" s="224"/>
      <c r="J510" s="270">
        <f>J516</f>
        <v>48.232534000000001</v>
      </c>
      <c r="K510" s="271"/>
      <c r="L510" s="224"/>
      <c r="M510" s="270">
        <f>M516</f>
        <v>125.05912000000001</v>
      </c>
      <c r="N510" s="271"/>
      <c r="O510" s="224"/>
      <c r="P510" s="270">
        <f>P516</f>
        <v>370.29403933333333</v>
      </c>
      <c r="Q510" s="271"/>
      <c r="R510" s="364"/>
      <c r="S510" s="346"/>
      <c r="T510" s="346"/>
    </row>
    <row r="511" spans="2:20">
      <c r="B511" s="127" t="str">
        <f>'корпоративный баланс энергии'!H520</f>
        <v>Ульяновская ТЭЦ-1 (Филиал "Ульяновский" ПАО "Т Плюс")</v>
      </c>
      <c r="C511" s="516" t="s">
        <v>364</v>
      </c>
      <c r="D511" s="281">
        <f>'корпоративный баланс энергии'!J520+'корпоративный баланс энергии'!M520+'корпоративный баланс энергии'!P520</f>
        <v>505.18766666666659</v>
      </c>
      <c r="E511" s="246"/>
      <c r="F511" s="282"/>
      <c r="G511" s="244">
        <f>'корпоративный баланс энергии'!S520+'корпоративный баланс энергии'!V520+'корпоративный баланс энергии'!Y520</f>
        <v>189.53433333333331</v>
      </c>
      <c r="H511" s="246"/>
      <c r="I511" s="282"/>
      <c r="J511" s="244">
        <f>'корпоративный баланс энергии'!AB520+'корпоративный баланс энергии'!AE520+'корпоративный баланс энергии'!AH520</f>
        <v>122.40133333333333</v>
      </c>
      <c r="K511" s="246"/>
      <c r="L511" s="282"/>
      <c r="M511" s="244">
        <f>'корпоративный баланс энергии'!AK520+'корпоративный баланс энергии'!AN520+'корпоративный баланс энергии'!AQ520</f>
        <v>424.0146666666667</v>
      </c>
      <c r="N511" s="246"/>
      <c r="O511" s="282"/>
      <c r="P511" s="244">
        <f>D511+G511+J511+M511</f>
        <v>1241.1379999999999</v>
      </c>
      <c r="Q511" s="283"/>
      <c r="R511" s="299"/>
      <c r="S511" s="261"/>
      <c r="T511" s="261"/>
    </row>
    <row r="512" spans="2:20">
      <c r="B512" s="127" t="str">
        <f>'корпоративный баланс энергии'!H521</f>
        <v>Ульяновская ТЭЦ-2 (Филиал "Ульяновский" ПАО "Т Плюс")</v>
      </c>
      <c r="C512" s="516" t="s">
        <v>364</v>
      </c>
      <c r="D512" s="281">
        <f>'корпоративный баланс энергии'!J521+'корпоративный баланс энергии'!M521+'корпоративный баланс энергии'!P521</f>
        <v>315.92899999999997</v>
      </c>
      <c r="E512" s="246"/>
      <c r="F512" s="282"/>
      <c r="G512" s="244">
        <f>'корпоративный баланс энергии'!S521+'корпоративный баланс энергии'!V521+'корпоративный баланс энергии'!Y521</f>
        <v>163.71033333333335</v>
      </c>
      <c r="H512" s="246"/>
      <c r="I512" s="282"/>
      <c r="J512" s="244">
        <f>'корпоративный баланс энергии'!AB521+'корпоративный баланс энергии'!AE521+'корпоративный баланс энергии'!AH521</f>
        <v>179.8296666666667</v>
      </c>
      <c r="K512" s="246"/>
      <c r="L512" s="282"/>
      <c r="M512" s="244">
        <f>'корпоративный баланс энергии'!AK521+'корпоративный баланс энергии'!AN521+'корпоративный баланс энергии'!AQ521</f>
        <v>289.81633333333332</v>
      </c>
      <c r="N512" s="246"/>
      <c r="O512" s="282"/>
      <c r="P512" s="244">
        <f>D512+G512+J512+M512</f>
        <v>949.28533333333337</v>
      </c>
      <c r="Q512" s="283"/>
      <c r="R512" s="299"/>
      <c r="S512" s="261"/>
      <c r="T512" s="261"/>
    </row>
    <row r="513" spans="2:20">
      <c r="B513" s="127" t="str">
        <f>'корпоративный баланс энергии'!H522</f>
        <v>Ульяновская ВЭС (ПАО "Фортум")</v>
      </c>
      <c r="C513" s="516" t="s">
        <v>364</v>
      </c>
      <c r="D513" s="281">
        <f>'корпоративный баланс энергии'!J522+'корпоративный баланс энергии'!M522+'корпоративный баланс энергии'!P522</f>
        <v>21.978999999999999</v>
      </c>
      <c r="E513" s="246"/>
      <c r="F513" s="282"/>
      <c r="G513" s="244">
        <f>'корпоративный баланс энергии'!S522+'корпоративный баланс энергии'!V522+'корпоративный баланс энергии'!Y522</f>
        <v>27.152000000000001</v>
      </c>
      <c r="H513" s="246"/>
      <c r="I513" s="282"/>
      <c r="J513" s="244">
        <f>'корпоративный баланс энергии'!AB522+'корпоративный баланс энергии'!AE522+'корпоративный баланс энергии'!AH522</f>
        <v>15.773</v>
      </c>
      <c r="K513" s="246"/>
      <c r="L513" s="282"/>
      <c r="M513" s="244">
        <f>'корпоративный баланс энергии'!AK522+'корпоративный баланс энергии'!AN522+'корпоративный баланс энергии'!AQ522</f>
        <v>18.104999999999997</v>
      </c>
      <c r="N513" s="246"/>
      <c r="O513" s="282"/>
      <c r="P513" s="244">
        <f>D513+G513+J513+M513</f>
        <v>83.008999999999986</v>
      </c>
      <c r="Q513" s="283"/>
      <c r="R513" s="299"/>
      <c r="S513" s="261"/>
      <c r="T513" s="261"/>
    </row>
    <row r="514" spans="2:20">
      <c r="B514" s="127" t="str">
        <f>'корпоративный баланс энергии'!H523</f>
        <v>Ульяновская ВЭС -2 (Ветропарк- 1 НВ) (ООО "Ветропарки ФРВ")</v>
      </c>
      <c r="C514" s="516" t="s">
        <v>364</v>
      </c>
      <c r="D514" s="281">
        <f>'корпоративный баланс энергии'!J523+'корпоративный баланс энергии'!M523+'корпоративный баланс энергии'!P523</f>
        <v>15.699</v>
      </c>
      <c r="E514" s="246"/>
      <c r="F514" s="282"/>
      <c r="G514" s="244">
        <f>'корпоративный баланс энергии'!S523+'корпоративный баланс энергии'!V523+'корпоративный баланс энергии'!Y523</f>
        <v>19.394000000000002</v>
      </c>
      <c r="H514" s="246"/>
      <c r="I514" s="282"/>
      <c r="J514" s="244">
        <f>'корпоративный баланс энергии'!AB523+'корпоративный баланс энергии'!AE523+'корпоративный баланс энергии'!AH523</f>
        <v>11.266999999999999</v>
      </c>
      <c r="K514" s="246"/>
      <c r="L514" s="282"/>
      <c r="M514" s="244">
        <f>'корпоративный баланс энергии'!AK523+'корпоративный баланс энергии'!AN523+'корпоративный баланс энергии'!AQ523</f>
        <v>12.933</v>
      </c>
      <c r="N514" s="246"/>
      <c r="O514" s="282"/>
      <c r="P514" s="244">
        <f>D514+G514+J514+M514</f>
        <v>59.292999999999999</v>
      </c>
      <c r="Q514" s="283"/>
      <c r="R514" s="299"/>
      <c r="S514" s="261"/>
      <c r="T514" s="261"/>
    </row>
    <row r="515" spans="2:20">
      <c r="B515" s="127" t="str">
        <f>'корпоративный баланс энергии'!H524</f>
        <v>Ульяновская ВЭС -2 (Ветропарк- 6 НВ) (ООО "Ветропарки ФРВ")</v>
      </c>
      <c r="C515" s="516" t="s">
        <v>364</v>
      </c>
      <c r="D515" s="281">
        <f>'корпоративный баланс энергии'!J524+'корпоративный баланс энергии'!M524+'корпоративный баланс энергии'!P524</f>
        <v>15.699</v>
      </c>
      <c r="E515" s="246"/>
      <c r="F515" s="282"/>
      <c r="G515" s="244">
        <f>'корпоративный баланс энергии'!S524+'корпоративный баланс энергии'!V524+'корпоративный баланс энергии'!Y524</f>
        <v>19.394000000000002</v>
      </c>
      <c r="H515" s="246"/>
      <c r="I515" s="282"/>
      <c r="J515" s="244">
        <f>'корпоративный баланс энергии'!AB524+'корпоративный баланс энергии'!AE524+'корпоративный баланс энергии'!AH524</f>
        <v>11.266999999999999</v>
      </c>
      <c r="K515" s="246"/>
      <c r="L515" s="282"/>
      <c r="M515" s="244">
        <f>'корпоративный баланс энергии'!AK524+'корпоративный баланс энергии'!AN524+'корпоративный баланс энергии'!AQ524</f>
        <v>12.933</v>
      </c>
      <c r="N515" s="246"/>
      <c r="O515" s="282"/>
      <c r="P515" s="244">
        <f>D515+G515+J515+M515</f>
        <v>59.292999999999999</v>
      </c>
      <c r="Q515" s="283"/>
      <c r="R515" s="299"/>
      <c r="S515" s="261"/>
      <c r="T515" s="261"/>
    </row>
    <row r="516" spans="2:20">
      <c r="B516" s="138" t="s">
        <v>174</v>
      </c>
      <c r="C516" s="488"/>
      <c r="D516" s="287">
        <f>D517+D518</f>
        <v>116.24131933333331</v>
      </c>
      <c r="E516" s="288"/>
      <c r="F516" s="289"/>
      <c r="G516" s="287">
        <f>G517+G518</f>
        <v>80.761065999999971</v>
      </c>
      <c r="H516" s="288"/>
      <c r="I516" s="289"/>
      <c r="J516" s="287">
        <f>J517+J518</f>
        <v>48.232534000000001</v>
      </c>
      <c r="K516" s="288"/>
      <c r="L516" s="289"/>
      <c r="M516" s="287">
        <f>M517+M518</f>
        <v>125.05912000000001</v>
      </c>
      <c r="N516" s="288"/>
      <c r="O516" s="289"/>
      <c r="P516" s="287">
        <f>P517+P518</f>
        <v>370.29403933333333</v>
      </c>
      <c r="Q516" s="288"/>
      <c r="R516" s="289"/>
      <c r="S516" s="261"/>
      <c r="T516" s="261"/>
    </row>
    <row r="517" spans="2:20">
      <c r="B517" s="135" t="str">
        <f>'корпоративный баланс энергии'!H526</f>
        <v>ИЯУ АО "ГНЦ НИИАР"</v>
      </c>
      <c r="C517" s="518" t="s">
        <v>365</v>
      </c>
      <c r="D517" s="293">
        <f>'корпоративный баланс энергии'!J526+'корпоративный баланс энергии'!M526+'корпоративный баланс энергии'!P526</f>
        <v>83.79</v>
      </c>
      <c r="E517" s="288"/>
      <c r="F517" s="289"/>
      <c r="G517" s="294">
        <f>'корпоративный баланс энергии'!S526+'корпоративный баланс энергии'!V526+'корпоративный баланс энергии'!Y526</f>
        <v>60.41</v>
      </c>
      <c r="H517" s="288"/>
      <c r="I517" s="289"/>
      <c r="J517" s="294">
        <f>'корпоративный баланс энергии'!AB526+'корпоративный баланс энергии'!AE526+'корпоративный баланс энергии'!AH526</f>
        <v>33.94</v>
      </c>
      <c r="K517" s="288"/>
      <c r="L517" s="289"/>
      <c r="M517" s="294">
        <f>'корпоративный баланс энергии'!AK526+'корпоративный баланс энергии'!AN526+'корпоративный баланс энергии'!AQ526</f>
        <v>93.960000000000008</v>
      </c>
      <c r="N517" s="288"/>
      <c r="O517" s="289"/>
      <c r="P517" s="294">
        <f>D517+G517+J517+M517</f>
        <v>272.10000000000002</v>
      </c>
      <c r="Q517" s="288"/>
      <c r="R517" s="289"/>
      <c r="S517" s="261"/>
      <c r="T517" s="261"/>
    </row>
    <row r="518" spans="2:20">
      <c r="B518" s="135" t="str">
        <f>'корпоративный баланс энергии'!H527</f>
        <v>ТЭЦ ООО "НИИАР-ГЕНЕРАЦИЯ"</v>
      </c>
      <c r="C518" s="518" t="s">
        <v>365</v>
      </c>
      <c r="D518" s="293">
        <f>'корпоративный баланс энергии'!J527+'корпоративный баланс энергии'!M527+'корпоративный баланс энергии'!P527</f>
        <v>32.451319333333302</v>
      </c>
      <c r="E518" s="288"/>
      <c r="F518" s="289"/>
      <c r="G518" s="294">
        <f>'корпоративный баланс энергии'!S527+'корпоративный баланс энергии'!V527+'корпоративный баланс энергии'!Y527</f>
        <v>20.351065999999971</v>
      </c>
      <c r="H518" s="288"/>
      <c r="I518" s="289"/>
      <c r="J518" s="294">
        <f>'корпоративный баланс энергии'!AB527+'корпоративный баланс энергии'!AE527+'корпоративный баланс энергии'!AH527</f>
        <v>14.292534</v>
      </c>
      <c r="K518" s="288"/>
      <c r="L518" s="289"/>
      <c r="M518" s="294">
        <f>'корпоративный баланс энергии'!AK527+'корпоративный баланс энергии'!AN527+'корпоративный баланс энергии'!AQ527</f>
        <v>31.099119999999999</v>
      </c>
      <c r="N518" s="288"/>
      <c r="O518" s="289"/>
      <c r="P518" s="294">
        <f>D518+G518+J518+M518</f>
        <v>98.194039333333279</v>
      </c>
      <c r="Q518" s="288"/>
      <c r="R518" s="289"/>
      <c r="S518" s="261"/>
      <c r="T518" s="261"/>
    </row>
    <row r="519" spans="2:20" ht="18.75">
      <c r="B519" s="473" t="str">
        <f>'корпоративный баланс энергии'!H528</f>
        <v>Энергосистема Чувашской Республики</v>
      </c>
      <c r="C519" s="495"/>
      <c r="D519" s="274">
        <f>SUM(D520:D521)</f>
        <v>1351.0851000976561</v>
      </c>
      <c r="E519" s="275">
        <f>F519-D519</f>
        <v>119.31772345438912</v>
      </c>
      <c r="F519" s="276">
        <f>'корпоративный баланс энергии'!L528+'корпоративный баланс энергии'!O528+'корпоративный баланс энергии'!R528</f>
        <v>1470.4028235520452</v>
      </c>
      <c r="G519" s="274">
        <f>SUM(G520:G521)</f>
        <v>1184.5137957763673</v>
      </c>
      <c r="H519" s="275">
        <f>I519-G519</f>
        <v>5.6747546595374843</v>
      </c>
      <c r="I519" s="276">
        <f>'корпоративный баланс энергии'!U528+'корпоративный баланс энергии'!X528+'корпоративный баланс энергии'!AA528</f>
        <v>1190.1885504359047</v>
      </c>
      <c r="J519" s="274">
        <f>SUM(J520:J521)</f>
        <v>838.40480957031252</v>
      </c>
      <c r="K519" s="275">
        <f>L519-J519</f>
        <v>304.80067855632535</v>
      </c>
      <c r="L519" s="276">
        <f>'корпоративный баланс энергии'!AD528+'корпоративный баланс энергии'!AG528+'корпоративный баланс энергии'!AJ528</f>
        <v>1143.2054881266379</v>
      </c>
      <c r="M519" s="274">
        <f>SUM(M520:M521)</f>
        <v>1304.3471759033205</v>
      </c>
      <c r="N519" s="275">
        <f>O519-M519</f>
        <v>146.69606022807579</v>
      </c>
      <c r="O519" s="276">
        <f>'корпоративный баланс энергии'!AM528+'корпоративный баланс энергии'!AP528+'корпоративный баланс энергии'!AS528</f>
        <v>1451.0432361313963</v>
      </c>
      <c r="P519" s="274">
        <f>SUM(P520:P521)</f>
        <v>4678.3508813476565</v>
      </c>
      <c r="Q519" s="275">
        <f>R519-P519</f>
        <v>576.48921689832696</v>
      </c>
      <c r="R519" s="276">
        <f>F519+I519+L519+O519</f>
        <v>5254.8400982459834</v>
      </c>
      <c r="S519" s="261"/>
      <c r="T519" s="261"/>
    </row>
    <row r="520" spans="2:20">
      <c r="B520" s="10" t="s">
        <v>56</v>
      </c>
      <c r="C520" s="483"/>
      <c r="D520" s="270">
        <f>D522+D523</f>
        <v>847.91999999999985</v>
      </c>
      <c r="E520" s="271"/>
      <c r="F520" s="224"/>
      <c r="G520" s="270">
        <f>G522+G523</f>
        <v>401.92</v>
      </c>
      <c r="H520" s="271"/>
      <c r="I520" s="224"/>
      <c r="J520" s="270">
        <f>J522+J523</f>
        <v>384.1</v>
      </c>
      <c r="K520" s="271"/>
      <c r="L520" s="224"/>
      <c r="M520" s="270">
        <f>M522+M523</f>
        <v>815.32</v>
      </c>
      <c r="N520" s="271"/>
      <c r="O520" s="224"/>
      <c r="P520" s="270">
        <f>P522+P523</f>
        <v>2449.2600000000002</v>
      </c>
      <c r="Q520" s="271"/>
      <c r="R520" s="364"/>
      <c r="S520" s="261"/>
      <c r="T520" s="261"/>
    </row>
    <row r="521" spans="2:20">
      <c r="B521" s="10" t="s">
        <v>55</v>
      </c>
      <c r="C521" s="483"/>
      <c r="D521" s="270">
        <f>D528</f>
        <v>503.16510009765625</v>
      </c>
      <c r="E521" s="271"/>
      <c r="F521" s="224"/>
      <c r="G521" s="270">
        <f>G528</f>
        <v>782.59379577636719</v>
      </c>
      <c r="H521" s="271"/>
      <c r="I521" s="224"/>
      <c r="J521" s="270">
        <f>J528</f>
        <v>454.3048095703125</v>
      </c>
      <c r="K521" s="271"/>
      <c r="L521" s="224"/>
      <c r="M521" s="270">
        <f>M528</f>
        <v>489.02717590332031</v>
      </c>
      <c r="N521" s="271"/>
      <c r="O521" s="224"/>
      <c r="P521" s="270">
        <f>P528</f>
        <v>2229.0908813476563</v>
      </c>
      <c r="Q521" s="271"/>
      <c r="R521" s="364"/>
      <c r="S521" s="261"/>
      <c r="T521" s="261"/>
    </row>
    <row r="522" spans="2:20" s="92" customFormat="1">
      <c r="B522" s="127" t="str">
        <f>'корпоративный баланс энергии'!H531</f>
        <v>Чебоксарская ТЭЦ-2 (Филиал "Марий Эл и Чувашии" ПАО "Т Плюс")</v>
      </c>
      <c r="C522" s="516" t="s">
        <v>364</v>
      </c>
      <c r="D522" s="281">
        <f>'корпоративный баланс энергии'!J531+'корпоративный баланс энергии'!M531+'корпоративный баланс энергии'!P531</f>
        <v>496.47999999999996</v>
      </c>
      <c r="E522" s="246"/>
      <c r="F522" s="282"/>
      <c r="G522" s="244">
        <f>'корпоративный баланс энергии'!S531+'корпоративный баланс энергии'!V531+'корпоративный баланс энергии'!Y531</f>
        <v>196.24</v>
      </c>
      <c r="H522" s="246"/>
      <c r="I522" s="282"/>
      <c r="J522" s="244">
        <f>'корпоративный баланс энергии'!AB531+'корпоративный баланс энергии'!AE531+'корпоративный баланс энергии'!AH531</f>
        <v>189.32</v>
      </c>
      <c r="K522" s="246"/>
      <c r="L522" s="282"/>
      <c r="M522" s="244">
        <f>'корпоративный баланс энергии'!AK531+'корпоративный баланс энергии'!AN531+'корпоративный баланс энергии'!AQ531</f>
        <v>451.9</v>
      </c>
      <c r="N522" s="246"/>
      <c r="O522" s="282"/>
      <c r="P522" s="244">
        <f>D522+G522+J522+M522</f>
        <v>1333.94</v>
      </c>
      <c r="Q522" s="283"/>
      <c r="R522" s="299"/>
      <c r="S522" s="306"/>
      <c r="T522" s="306"/>
    </row>
    <row r="523" spans="2:20" s="92" customFormat="1">
      <c r="B523" s="132" t="str">
        <f>'корпоративный баланс энергии'!H532</f>
        <v>Новочебоксарская ТЭЦ-3  (Филиал "Марий Эл и Чувашии" ПАО "Т Плюс")</v>
      </c>
      <c r="C523" s="516" t="s">
        <v>364</v>
      </c>
      <c r="D523" s="317">
        <f>SUM(D524:D527)</f>
        <v>351.43999999999994</v>
      </c>
      <c r="E523" s="323"/>
      <c r="F523" s="324"/>
      <c r="G523" s="317">
        <f>SUM(G524:G527)</f>
        <v>205.68</v>
      </c>
      <c r="H523" s="323"/>
      <c r="I523" s="324"/>
      <c r="J523" s="317">
        <f>SUM(J524:J527)</f>
        <v>194.78</v>
      </c>
      <c r="K523" s="323"/>
      <c r="L523" s="324"/>
      <c r="M523" s="317">
        <f>SUM(M524:M527)</f>
        <v>363.42000000000007</v>
      </c>
      <c r="N523" s="323"/>
      <c r="O523" s="324"/>
      <c r="P523" s="317">
        <f>SUM(P524:P527)</f>
        <v>1115.32</v>
      </c>
      <c r="Q523" s="283"/>
      <c r="R523" s="299"/>
      <c r="S523" s="306"/>
      <c r="T523" s="306"/>
    </row>
    <row r="524" spans="2:20" s="92" customFormat="1">
      <c r="B524" s="148" t="str">
        <f>'корпоративный баланс энергии'!H533</f>
        <v>Новочебоксарская ТЭЦ-3  (Филиал "Марий Эл и Чувашии" ПАО "Т Плюс") без ДПМ/НВ/ВР</v>
      </c>
      <c r="C524" s="496"/>
      <c r="D524" s="281">
        <f>'корпоративный баланс энергии'!J533+'корпоративный баланс энергии'!M533+'корпоративный баланс энергии'!P533</f>
        <v>209.48</v>
      </c>
      <c r="E524" s="246"/>
      <c r="F524" s="282"/>
      <c r="G524" s="244">
        <f>'корпоративный баланс энергии'!S533+'корпоративный баланс энергии'!V533+'корпоративный баланс энергии'!Y533</f>
        <v>95.52</v>
      </c>
      <c r="H524" s="246"/>
      <c r="I524" s="282"/>
      <c r="J524" s="244">
        <f>'корпоративный баланс энергии'!AB533+'корпоративный баланс энергии'!AE533+'корпоративный баланс энергии'!AH533</f>
        <v>70.819999999999993</v>
      </c>
      <c r="K524" s="246"/>
      <c r="L524" s="282"/>
      <c r="M524" s="244">
        <f>'корпоративный баланс энергии'!AK533+'корпоративный баланс энергии'!AN533+'корпоративный баланс энергии'!AQ533</f>
        <v>233.94000000000003</v>
      </c>
      <c r="N524" s="246"/>
      <c r="O524" s="282"/>
      <c r="P524" s="244">
        <f>D524+G524+J524+M524</f>
        <v>609.76</v>
      </c>
      <c r="Q524" s="283"/>
      <c r="R524" s="299"/>
      <c r="S524" s="306"/>
      <c r="T524" s="306"/>
    </row>
    <row r="525" spans="2:20" s="92" customFormat="1">
      <c r="B525" s="148" t="str">
        <f>'корпоративный баланс энергии'!H534</f>
        <v xml:space="preserve">Новочебоксарская ТЭЦ-3 (Филиал "Марий Эл и Чувашии" ПАО "Т Плюс") (ТГ-5,6) ВР </v>
      </c>
      <c r="C525" s="496"/>
      <c r="D525" s="281">
        <f>'корпоративный баланс энергии'!J534+'корпоративный баланс энергии'!M534+'корпоративный баланс энергии'!P534</f>
        <v>0</v>
      </c>
      <c r="E525" s="246"/>
      <c r="F525" s="282"/>
      <c r="G525" s="244">
        <f>'корпоративный баланс энергии'!S534+'корпоративный баланс энергии'!V534+'корпоративный баланс энергии'!Y534</f>
        <v>0</v>
      </c>
      <c r="H525" s="246"/>
      <c r="I525" s="282"/>
      <c r="J525" s="244">
        <f>'корпоративный баланс энергии'!AB534+'корпоративный баланс энергии'!AE534+'корпоративный баланс энергии'!AH534</f>
        <v>0</v>
      </c>
      <c r="K525" s="246"/>
      <c r="L525" s="282"/>
      <c r="M525" s="244">
        <f>'корпоративный баланс энергии'!AK534+'корпоративный баланс энергии'!AN534+'корпоративный баланс энергии'!AQ534</f>
        <v>0</v>
      </c>
      <c r="N525" s="246"/>
      <c r="O525" s="282"/>
      <c r="P525" s="244">
        <f>D525+G525+J525+M525</f>
        <v>0</v>
      </c>
      <c r="Q525" s="283"/>
      <c r="R525" s="299"/>
      <c r="S525" s="306"/>
      <c r="T525" s="306"/>
    </row>
    <row r="526" spans="2:20" s="92" customFormat="1">
      <c r="B526" s="148" t="str">
        <f>'корпоративный баланс энергии'!H535</f>
        <v>Новочебоксарская ТЭЦ-3 (Филиал "Марий Эл и Чувашии" ПАО "Т Плюс") ТГ-7 ДПМ 01.06.2014</v>
      </c>
      <c r="C526" s="487"/>
      <c r="D526" s="281">
        <f>'корпоративный баланс энергии'!J535+'корпоративный баланс энергии'!M535+'корпоративный баланс энергии'!P535</f>
        <v>141.95999999999998</v>
      </c>
      <c r="E526" s="246"/>
      <c r="F526" s="282"/>
      <c r="G526" s="244">
        <f>'корпоративный баланс энергии'!S535+'корпоративный баланс энергии'!V535+'корпоративный баланс энергии'!Y535</f>
        <v>110.16</v>
      </c>
      <c r="H526" s="246"/>
      <c r="I526" s="282"/>
      <c r="J526" s="244">
        <f>'корпоративный баланс энергии'!AB535+'корпоративный баланс энергии'!AE535+'корпоративный баланс энергии'!AH535</f>
        <v>123.96000000000001</v>
      </c>
      <c r="K526" s="246"/>
      <c r="L526" s="282"/>
      <c r="M526" s="244">
        <f>'корпоративный баланс энергии'!AK535+'корпоративный баланс энергии'!AN535+'корпоративный баланс энергии'!AQ535</f>
        <v>129.48000000000002</v>
      </c>
      <c r="N526" s="246"/>
      <c r="O526" s="282"/>
      <c r="P526" s="244">
        <f>D526+G526+J526+M526</f>
        <v>505.56</v>
      </c>
      <c r="Q526" s="283"/>
      <c r="R526" s="299"/>
      <c r="S526" s="306"/>
      <c r="T526" s="306"/>
    </row>
    <row r="527" spans="2:20" s="92" customFormat="1" hidden="1">
      <c r="B527" s="148" t="str">
        <f>'корпоративный баланс энергии'!H536</f>
        <v>Чебоксарская ТЭЦ-1 (филиал ОАО "ТГК-5")</v>
      </c>
      <c r="C527" s="487"/>
      <c r="D527" s="281">
        <f>'корпоративный баланс энергии'!J536+'корпоративный баланс энергии'!M536+'корпоративный баланс энергии'!P536</f>
        <v>0</v>
      </c>
      <c r="E527" s="246"/>
      <c r="F527" s="282"/>
      <c r="G527" s="244">
        <f>'корпоративный баланс энергии'!S536+'корпоративный баланс энергии'!V536+'корпоративный баланс энергии'!Y536</f>
        <v>0</v>
      </c>
      <c r="H527" s="246"/>
      <c r="I527" s="282"/>
      <c r="J527" s="244">
        <f>'корпоративный баланс энергии'!AB536+'корпоративный баланс энергии'!AE536+'корпоративный баланс энергии'!AH536</f>
        <v>0</v>
      </c>
      <c r="K527" s="246"/>
      <c r="L527" s="282"/>
      <c r="M527" s="244">
        <f>'корпоративный баланс энергии'!AK536+'корпоративный баланс энергии'!AN536+'корпоративный баланс энергии'!AQ536</f>
        <v>0</v>
      </c>
      <c r="N527" s="246"/>
      <c r="O527" s="282"/>
      <c r="P527" s="244">
        <f>D527+G527+J527+M527</f>
        <v>0</v>
      </c>
      <c r="Q527" s="283"/>
      <c r="R527" s="299"/>
      <c r="S527" s="306"/>
      <c r="T527" s="306"/>
    </row>
    <row r="528" spans="2:20" s="113" customFormat="1" ht="16.5" thickBot="1">
      <c r="B528" s="148" t="str">
        <f>'корпоративный баланс энергии'!H537</f>
        <v>Чебоксарская ГЭС (филиал ПАО "РусГидро")</v>
      </c>
      <c r="C528" s="516" t="s">
        <v>364</v>
      </c>
      <c r="D528" s="281">
        <f>'корпоративный баланс энергии'!J537+'корпоративный баланс энергии'!M537+'корпоративный баланс энергии'!P537</f>
        <v>503.16510009765625</v>
      </c>
      <c r="E528" s="246"/>
      <c r="F528" s="282"/>
      <c r="G528" s="244">
        <f>'корпоративный баланс энергии'!S537+'корпоративный баланс энергии'!V537+'корпоративный баланс энергии'!Y537</f>
        <v>782.59379577636719</v>
      </c>
      <c r="H528" s="246"/>
      <c r="I528" s="282"/>
      <c r="J528" s="244">
        <f>'корпоративный баланс энергии'!AB537+'корпоративный баланс энергии'!AE537+'корпоративный баланс энергии'!AH537</f>
        <v>454.3048095703125</v>
      </c>
      <c r="K528" s="246"/>
      <c r="L528" s="282"/>
      <c r="M528" s="244">
        <f>'корпоративный баланс энергии'!AK537+'корпоративный баланс энергии'!AN537+'корпоративный баланс энергии'!AQ537</f>
        <v>489.02717590332031</v>
      </c>
      <c r="N528" s="246"/>
      <c r="O528" s="282"/>
      <c r="P528" s="244">
        <f>D528+G528+J528+M528</f>
        <v>2229.0908813476563</v>
      </c>
      <c r="Q528" s="256"/>
      <c r="R528" s="302"/>
      <c r="S528" s="355"/>
      <c r="T528" s="355"/>
    </row>
    <row r="529" spans="2:20" s="24" customFormat="1" ht="18.75">
      <c r="B529" s="472" t="s">
        <v>93</v>
      </c>
      <c r="C529" s="494"/>
      <c r="D529" s="263">
        <f>D536+D576+D590+D599+D634+D672+D780+D793+D720</f>
        <v>73288.137036618413</v>
      </c>
      <c r="E529" s="264">
        <f>F529-D529</f>
        <v>-1026.9982911645493</v>
      </c>
      <c r="F529" s="265">
        <f>F536+F576+F590+F599+F634+F672+F780+F793+F720</f>
        <v>72261.138745453864</v>
      </c>
      <c r="G529" s="266">
        <f>G536+G576+G590+G599+G634+G672+G780+G793+G720</f>
        <v>62253.031037965629</v>
      </c>
      <c r="H529" s="264">
        <f>I529-G529</f>
        <v>206.01223900598416</v>
      </c>
      <c r="I529" s="265">
        <f>I536+I576+I590+I599+I634+I672+I780+I793+I720</f>
        <v>62459.043276971614</v>
      </c>
      <c r="J529" s="266">
        <f>J536+J576+J590+J599+J634+J672+J780+J793+J720</f>
        <v>62263.351802345198</v>
      </c>
      <c r="K529" s="264">
        <f>L529-J529</f>
        <v>-1240.0192901533374</v>
      </c>
      <c r="L529" s="265">
        <f>L536+L576+L590+L599+L634+L672+L780+L793+L720</f>
        <v>61023.332512191861</v>
      </c>
      <c r="M529" s="266">
        <f>M536+M576+M590+M599+M634+M672+M780+M793+M720</f>
        <v>72904.574035529658</v>
      </c>
      <c r="N529" s="264">
        <f>O529-M529</f>
        <v>-1392.9991018695291</v>
      </c>
      <c r="O529" s="265">
        <f>O536+O576+O590+O599+O634+O672+O780+O793+O720</f>
        <v>71511.574933660129</v>
      </c>
      <c r="P529" s="266">
        <f>P536+P576+P590+P599+P634+P672+P780+P793+P720</f>
        <v>270709.09391245886</v>
      </c>
      <c r="Q529" s="264">
        <f>R529-P529</f>
        <v>-3454.0044441814534</v>
      </c>
      <c r="R529" s="414">
        <f>F529+I529+L529+O529</f>
        <v>267255.08946827741</v>
      </c>
      <c r="S529" s="357"/>
      <c r="T529" s="357"/>
    </row>
    <row r="530" spans="2:20" s="24" customFormat="1">
      <c r="B530" s="10" t="s">
        <v>56</v>
      </c>
      <c r="C530" s="483"/>
      <c r="D530" s="270">
        <f>D537+D577+D591+D600+D635+D673+D781+D794+D721</f>
        <v>61616.510618675842</v>
      </c>
      <c r="E530" s="271"/>
      <c r="F530" s="224"/>
      <c r="G530" s="223">
        <f>G537+G577+G591+G600+G635+G673+G781+G794+G721</f>
        <v>50580.951327923292</v>
      </c>
      <c r="H530" s="271"/>
      <c r="I530" s="224"/>
      <c r="J530" s="223">
        <f>J537+J577+J591+J600+J635+J673+J781+J794+J721</f>
        <v>51553.551153132343</v>
      </c>
      <c r="K530" s="271"/>
      <c r="L530" s="224"/>
      <c r="M530" s="223">
        <f>M537+M577+M591+M600+M635+M673+M781+M794+M721</f>
        <v>61520.13588904959</v>
      </c>
      <c r="N530" s="271"/>
      <c r="O530" s="224"/>
      <c r="P530" s="223">
        <f>P537+P577+P591+P600+P635+P673+P781+P794+P721</f>
        <v>225271.14898878103</v>
      </c>
      <c r="Q530" s="271"/>
      <c r="R530" s="364"/>
      <c r="S530" s="357"/>
      <c r="T530" s="357"/>
    </row>
    <row r="531" spans="2:20" s="24" customFormat="1">
      <c r="B531" s="124" t="s">
        <v>55</v>
      </c>
      <c r="C531" s="497"/>
      <c r="D531" s="362">
        <f>D538+D601+D636+D674</f>
        <v>918.2581280618906</v>
      </c>
      <c r="E531" s="363"/>
      <c r="F531" s="364"/>
      <c r="G531" s="365">
        <f>G538+G601+G636+G674</f>
        <v>2092.2438097223639</v>
      </c>
      <c r="H531" s="363"/>
      <c r="I531" s="364"/>
      <c r="J531" s="365">
        <f>J538+J601+J636+J674</f>
        <v>1297.4472927898169</v>
      </c>
      <c r="K531" s="363"/>
      <c r="L531" s="364"/>
      <c r="M531" s="365">
        <f>M538+M601+M636+M674</f>
        <v>1188.4450666755438</v>
      </c>
      <c r="N531" s="363"/>
      <c r="O531" s="364"/>
      <c r="P531" s="365">
        <f>P538+P601+P636+P674</f>
        <v>5496.3942972496152</v>
      </c>
      <c r="Q531" s="363"/>
      <c r="R531" s="364"/>
      <c r="S531" s="357"/>
      <c r="T531" s="357"/>
    </row>
    <row r="532" spans="2:20" s="24" customFormat="1">
      <c r="B532" s="10" t="s">
        <v>98</v>
      </c>
      <c r="C532" s="483"/>
      <c r="D532" s="270">
        <f>D675</f>
        <v>2881</v>
      </c>
      <c r="E532" s="271"/>
      <c r="F532" s="224"/>
      <c r="G532" s="223">
        <f>G675</f>
        <v>2613</v>
      </c>
      <c r="H532" s="271"/>
      <c r="I532" s="224"/>
      <c r="J532" s="223">
        <f>J675</f>
        <v>2515</v>
      </c>
      <c r="K532" s="271"/>
      <c r="L532" s="224"/>
      <c r="M532" s="223">
        <f>M675</f>
        <v>2238</v>
      </c>
      <c r="N532" s="271"/>
      <c r="O532" s="224"/>
      <c r="P532" s="223">
        <f>P675</f>
        <v>10247</v>
      </c>
      <c r="Q532" s="271"/>
      <c r="R532" s="364"/>
      <c r="S532" s="357"/>
      <c r="T532" s="357"/>
    </row>
    <row r="533" spans="2:20" s="24" customFormat="1">
      <c r="B533" s="10" t="s">
        <v>346</v>
      </c>
      <c r="C533" s="483"/>
      <c r="D533" s="270">
        <f>D539+D603</f>
        <v>0.84000000000000008</v>
      </c>
      <c r="E533" s="271"/>
      <c r="F533" s="224"/>
      <c r="G533" s="270">
        <f>G539+G603</f>
        <v>2.02</v>
      </c>
      <c r="H533" s="271"/>
      <c r="I533" s="224"/>
      <c r="J533" s="270">
        <f>J539+J603</f>
        <v>2.4899999999999998</v>
      </c>
      <c r="K533" s="271"/>
      <c r="L533" s="224"/>
      <c r="M533" s="270">
        <f>M539+M603</f>
        <v>2.06</v>
      </c>
      <c r="N533" s="271"/>
      <c r="O533" s="224"/>
      <c r="P533" s="270">
        <f>P539+P603</f>
        <v>7.410000000000001</v>
      </c>
      <c r="Q533" s="271"/>
      <c r="R533" s="364"/>
      <c r="S533" s="357"/>
      <c r="T533" s="357"/>
    </row>
    <row r="534" spans="2:20" s="24" customFormat="1">
      <c r="B534" s="10" t="s">
        <v>347</v>
      </c>
      <c r="C534" s="483"/>
      <c r="D534" s="270">
        <f>D540+D602</f>
        <v>77.403201666666661</v>
      </c>
      <c r="E534" s="271"/>
      <c r="F534" s="224"/>
      <c r="G534" s="270">
        <f>G540+G602</f>
        <v>151.49545516666666</v>
      </c>
      <c r="H534" s="271"/>
      <c r="I534" s="224"/>
      <c r="J534" s="270">
        <f>J540+J602</f>
        <v>165.95713058333331</v>
      </c>
      <c r="K534" s="271"/>
      <c r="L534" s="224"/>
      <c r="M534" s="270">
        <f>M540+M602</f>
        <v>47.913505000000001</v>
      </c>
      <c r="N534" s="271"/>
      <c r="O534" s="224"/>
      <c r="P534" s="270">
        <f>P540+P602</f>
        <v>442.7692924166667</v>
      </c>
      <c r="Q534" s="271"/>
      <c r="R534" s="364"/>
      <c r="S534" s="357"/>
      <c r="T534" s="357"/>
    </row>
    <row r="535" spans="2:20" s="24" customFormat="1" ht="16.5" thickBot="1">
      <c r="B535" s="121" t="s">
        <v>99</v>
      </c>
      <c r="C535" s="484"/>
      <c r="D535" s="272">
        <f>D541+D578+D592+D604+D637+D676+D782+D795+D722</f>
        <v>7794.1250882140193</v>
      </c>
      <c r="E535" s="273"/>
      <c r="F535" s="233"/>
      <c r="G535" s="272">
        <f>G541+G578+G592+G604+G637+G676+G782+G795+G722</f>
        <v>6813.3204451533056</v>
      </c>
      <c r="H535" s="273"/>
      <c r="I535" s="233"/>
      <c r="J535" s="272">
        <f>J541+J578+J592+J604+J637+J676+J782+J795+J722</f>
        <v>6728.9062258396998</v>
      </c>
      <c r="K535" s="273"/>
      <c r="L535" s="233"/>
      <c r="M535" s="272">
        <f>M541+M578+M592+M604+M637+M676+M782+M795+M722</f>
        <v>7908.0195748045153</v>
      </c>
      <c r="N535" s="273"/>
      <c r="O535" s="233"/>
      <c r="P535" s="272">
        <f>P541+P578+P592+P604+P637+P676+P782+P795+P722</f>
        <v>29244.371334011546</v>
      </c>
      <c r="Q535" s="273"/>
      <c r="R535" s="233"/>
      <c r="S535" s="357"/>
      <c r="T535" s="357"/>
    </row>
    <row r="536" spans="2:20" s="24" customFormat="1" ht="18.75">
      <c r="B536" s="473" t="str">
        <f>'корпоративный баланс энергии'!H545</f>
        <v>Энергосистема Республики Башкортостан</v>
      </c>
      <c r="C536" s="495"/>
      <c r="D536" s="274">
        <f>SUM(D537:D541)</f>
        <v>6646.2367719966178</v>
      </c>
      <c r="E536" s="275">
        <f>F536-D536</f>
        <v>1083.7607494182712</v>
      </c>
      <c r="F536" s="276">
        <f>'корпоративный баланс энергии'!L545+'корпоративный баланс энергии'!O545+'корпоративный баланс энергии'!R545</f>
        <v>7729.997521414889</v>
      </c>
      <c r="G536" s="274">
        <f>SUM(G537:G541)</f>
        <v>5940.7693339475991</v>
      </c>
      <c r="H536" s="275">
        <f>I536-G536</f>
        <v>506.92543013678369</v>
      </c>
      <c r="I536" s="276">
        <f>'корпоративный баланс энергии'!U545+'корпоративный баланс энергии'!X545+'корпоративный баланс энергии'!AA545</f>
        <v>6447.6947640843828</v>
      </c>
      <c r="J536" s="274">
        <f>SUM(J537:J541)</f>
        <v>5736.1968775027999</v>
      </c>
      <c r="K536" s="275">
        <f>L536-J536</f>
        <v>393.89785443583332</v>
      </c>
      <c r="L536" s="276">
        <f>'корпоративный баланс энергии'!AD545+'корпоративный баланс энергии'!AG545+'корпоративный баланс энергии'!AJ545</f>
        <v>6130.0947319386332</v>
      </c>
      <c r="M536" s="274">
        <f>SUM(M537:M541)</f>
        <v>7235.0139506882433</v>
      </c>
      <c r="N536" s="275">
        <f>O536-M536</f>
        <v>390.05208680644137</v>
      </c>
      <c r="O536" s="276">
        <f>'корпоративный баланс энергии'!AM545+'корпоративный баланс энергии'!AP545+'корпоративный баланс энергии'!AS545</f>
        <v>7625.0660374946847</v>
      </c>
      <c r="P536" s="274">
        <f>SUM(P537:P541)</f>
        <v>25558.216934135256</v>
      </c>
      <c r="Q536" s="275">
        <f>R536-P536</f>
        <v>2374.636120797335</v>
      </c>
      <c r="R536" s="276">
        <f>F536+I536+L536+O536</f>
        <v>27932.853054932591</v>
      </c>
      <c r="S536" s="357"/>
      <c r="T536" s="357"/>
    </row>
    <row r="537" spans="2:20" s="24" customFormat="1">
      <c r="B537" s="10" t="s">
        <v>56</v>
      </c>
      <c r="C537" s="483"/>
      <c r="D537" s="270">
        <f>SUM(D542:D559)</f>
        <v>6445.69</v>
      </c>
      <c r="E537" s="271"/>
      <c r="F537" s="224"/>
      <c r="G537" s="270">
        <f>SUM(G542:G559)</f>
        <v>5549.9900000000007</v>
      </c>
      <c r="H537" s="271"/>
      <c r="I537" s="224"/>
      <c r="J537" s="270">
        <f>SUM(J542:J559)</f>
        <v>5487.0000000000009</v>
      </c>
      <c r="K537" s="271"/>
      <c r="L537" s="224"/>
      <c r="M537" s="270">
        <f>SUM(M542:M559)</f>
        <v>7004.3099999999995</v>
      </c>
      <c r="N537" s="271"/>
      <c r="O537" s="224"/>
      <c r="P537" s="270">
        <f>SUM(P542:P559)</f>
        <v>24486.989999999998</v>
      </c>
      <c r="Q537" s="271"/>
      <c r="R537" s="364"/>
      <c r="S537" s="357"/>
      <c r="T537" s="357"/>
    </row>
    <row r="538" spans="2:20" s="24" customFormat="1">
      <c r="B538" s="10" t="s">
        <v>55</v>
      </c>
      <c r="C538" s="483"/>
      <c r="D538" s="270">
        <f>D560+D561+D563+D564</f>
        <v>135.00677199661732</v>
      </c>
      <c r="E538" s="271"/>
      <c r="F538" s="224"/>
      <c r="G538" s="270">
        <f>G560+G561+G563+G564</f>
        <v>320.67933394759893</v>
      </c>
      <c r="H538" s="271"/>
      <c r="I538" s="224"/>
      <c r="J538" s="270">
        <f>J560+J561+J563+J564</f>
        <v>178.40687750279903</v>
      </c>
      <c r="K538" s="271"/>
      <c r="L538" s="224"/>
      <c r="M538" s="270">
        <f>M560+M561+M563+M564</f>
        <v>169.45395068824291</v>
      </c>
      <c r="N538" s="271"/>
      <c r="O538" s="224"/>
      <c r="P538" s="270">
        <f>P560+P561+P563+P564</f>
        <v>803.5469341352582</v>
      </c>
      <c r="Q538" s="271"/>
      <c r="R538" s="364"/>
      <c r="S538" s="357"/>
      <c r="T538" s="357"/>
    </row>
    <row r="539" spans="2:20" s="24" customFormat="1">
      <c r="B539" s="10" t="s">
        <v>346</v>
      </c>
      <c r="C539" s="483"/>
      <c r="D539" s="270">
        <f>D562</f>
        <v>0.22</v>
      </c>
      <c r="E539" s="271"/>
      <c r="F539" s="224"/>
      <c r="G539" s="270">
        <f>G562</f>
        <v>0.31999999999999995</v>
      </c>
      <c r="H539" s="271"/>
      <c r="I539" s="224"/>
      <c r="J539" s="270">
        <f>J562</f>
        <v>0.19</v>
      </c>
      <c r="K539" s="271"/>
      <c r="L539" s="224"/>
      <c r="M539" s="270">
        <f>M562</f>
        <v>0.3</v>
      </c>
      <c r="N539" s="271"/>
      <c r="O539" s="224"/>
      <c r="P539" s="270">
        <f>P562</f>
        <v>1.03</v>
      </c>
      <c r="Q539" s="271"/>
      <c r="R539" s="364"/>
      <c r="S539" s="357"/>
      <c r="T539" s="357"/>
    </row>
    <row r="540" spans="2:20" s="24" customFormat="1">
      <c r="B540" s="10" t="s">
        <v>347</v>
      </c>
      <c r="C540" s="483"/>
      <c r="D540" s="270">
        <f>SUM(D565:D569)</f>
        <v>10.309999999999999</v>
      </c>
      <c r="E540" s="271"/>
      <c r="F540" s="224"/>
      <c r="G540" s="270">
        <f>SUM(G565:G569)</f>
        <v>27.54</v>
      </c>
      <c r="H540" s="271"/>
      <c r="I540" s="224"/>
      <c r="J540" s="270">
        <f>SUM(J565:J569)</f>
        <v>29.130000000000003</v>
      </c>
      <c r="K540" s="271"/>
      <c r="L540" s="224"/>
      <c r="M540" s="270">
        <f>SUM(M565:M569)</f>
        <v>10.100000000000001</v>
      </c>
      <c r="N540" s="271"/>
      <c r="O540" s="224"/>
      <c r="P540" s="270">
        <f>SUM(P565:P569)</f>
        <v>77.08</v>
      </c>
      <c r="Q540" s="271"/>
      <c r="R540" s="364"/>
      <c r="S540" s="357"/>
      <c r="T540" s="357"/>
    </row>
    <row r="541" spans="2:20" s="24" customFormat="1">
      <c r="B541" s="10" t="s">
        <v>99</v>
      </c>
      <c r="C541" s="483"/>
      <c r="D541" s="270">
        <f>D570</f>
        <v>55.01</v>
      </c>
      <c r="E541" s="271"/>
      <c r="F541" s="224"/>
      <c r="G541" s="270">
        <f>G570</f>
        <v>42.239999999999995</v>
      </c>
      <c r="H541" s="271"/>
      <c r="I541" s="224"/>
      <c r="J541" s="270">
        <f>J570</f>
        <v>41.470000000000006</v>
      </c>
      <c r="K541" s="271"/>
      <c r="L541" s="224"/>
      <c r="M541" s="270">
        <f>M570</f>
        <v>50.85</v>
      </c>
      <c r="N541" s="271"/>
      <c r="O541" s="224"/>
      <c r="P541" s="270">
        <f>P570</f>
        <v>189.57</v>
      </c>
      <c r="Q541" s="271"/>
      <c r="R541" s="364"/>
      <c r="S541" s="357"/>
      <c r="T541" s="357"/>
    </row>
    <row r="542" spans="2:20" s="24" customFormat="1">
      <c r="B542" s="122" t="str">
        <f>'корпоративный баланс энергии'!H551</f>
        <v>Кармановская ГРЭС  (ООО "Башкирская генерирующая компания")</v>
      </c>
      <c r="C542" s="516" t="s">
        <v>364</v>
      </c>
      <c r="D542" s="281">
        <f>'корпоративный баланс энергии'!J551+'корпоративный баланс энергии'!M551+'корпоративный баланс энергии'!P551</f>
        <v>1940.6799999999998</v>
      </c>
      <c r="E542" s="246"/>
      <c r="F542" s="282"/>
      <c r="G542" s="244">
        <f>'корпоративный баланс энергии'!S551+'корпоративный баланс энергии'!V551+'корпоративный баланс энергии'!Y551</f>
        <v>1940.06</v>
      </c>
      <c r="H542" s="246"/>
      <c r="I542" s="282"/>
      <c r="J542" s="244">
        <f>'корпоративный баланс энергии'!AB551+'корпоративный баланс энергии'!AE551+'корпоративный баланс энергии'!AH551</f>
        <v>1818.33</v>
      </c>
      <c r="K542" s="246"/>
      <c r="L542" s="282"/>
      <c r="M542" s="244">
        <f>'корпоративный баланс энергии'!AK551+'корпоративный баланс энергии'!AN551+'корпоративный баланс энергии'!AQ551</f>
        <v>2001.54</v>
      </c>
      <c r="N542" s="246"/>
      <c r="O542" s="282"/>
      <c r="P542" s="244">
        <f t="shared" ref="P542" si="29">D542+G542+J542+M542</f>
        <v>7700.61</v>
      </c>
      <c r="Q542" s="246"/>
      <c r="R542" s="282"/>
      <c r="S542" s="357"/>
      <c r="T542" s="357"/>
    </row>
    <row r="543" spans="2:20" s="24" customFormat="1">
      <c r="B543" s="122" t="str">
        <f>'корпоративный баланс энергии'!H552</f>
        <v>Уфимская ТЭЦ-1 (ООО "Башкирская генерирующая компания")</v>
      </c>
      <c r="C543" s="516" t="s">
        <v>364</v>
      </c>
      <c r="D543" s="281">
        <f>'корпоративный баланс энергии'!J552+'корпоративный баланс энергии'!M552+'корпоративный баланс энергии'!P552</f>
        <v>122.10999999999999</v>
      </c>
      <c r="E543" s="246"/>
      <c r="F543" s="282"/>
      <c r="G543" s="244">
        <f>'корпоративный баланс энергии'!S552+'корпоративный баланс энергии'!V552+'корпоративный баланс энергии'!Y552</f>
        <v>34.75</v>
      </c>
      <c r="H543" s="246"/>
      <c r="I543" s="282"/>
      <c r="J543" s="244">
        <f>'корпоративный баланс энергии'!AB552+'корпоративный баланс энергии'!AE552+'корпоративный баланс энергии'!AH552</f>
        <v>11.11</v>
      </c>
      <c r="K543" s="246"/>
      <c r="L543" s="282"/>
      <c r="M543" s="244">
        <f>'корпоративный баланс энергии'!AK552+'корпоративный баланс энергии'!AN552+'корпоративный баланс энергии'!AQ552</f>
        <v>103.7</v>
      </c>
      <c r="N543" s="246"/>
      <c r="O543" s="282"/>
      <c r="P543" s="244">
        <f t="shared" ref="P543:P569" si="30">D543+G543+J543+M543</f>
        <v>271.66999999999996</v>
      </c>
      <c r="Q543" s="246"/>
      <c r="R543" s="282"/>
      <c r="S543" s="357"/>
      <c r="T543" s="357"/>
    </row>
    <row r="544" spans="2:20" s="24" customFormat="1">
      <c r="B544" s="122" t="str">
        <f>'корпоративный баланс энергии'!H553</f>
        <v>Уфимская ТЭЦ-2 (ООО "Башкирская генерирующая компания")</v>
      </c>
      <c r="C544" s="516" t="s">
        <v>364</v>
      </c>
      <c r="D544" s="281">
        <f>'корпоративный баланс энергии'!J553+'корпоративный баланс энергии'!M553+'корпоративный баланс энергии'!P553</f>
        <v>937.31999999999994</v>
      </c>
      <c r="E544" s="246"/>
      <c r="F544" s="282"/>
      <c r="G544" s="244">
        <f>'корпоративный баланс энергии'!S553+'корпоративный баланс энергии'!V553+'корпоративный баланс энергии'!Y553</f>
        <v>654.52</v>
      </c>
      <c r="H544" s="246"/>
      <c r="I544" s="282"/>
      <c r="J544" s="244">
        <f>'корпоративный баланс энергии'!AB553+'корпоративный баланс энергии'!AE553+'корпоративный баланс энергии'!AH553</f>
        <v>616.18000000000006</v>
      </c>
      <c r="K544" s="246"/>
      <c r="L544" s="282"/>
      <c r="M544" s="244">
        <f>'корпоративный баланс энергии'!AK553+'корпоративный баланс энергии'!AN553+'корпоративный баланс энергии'!AQ553</f>
        <v>919.87</v>
      </c>
      <c r="N544" s="246"/>
      <c r="O544" s="282"/>
      <c r="P544" s="244">
        <f t="shared" si="30"/>
        <v>3127.89</v>
      </c>
      <c r="Q544" s="246"/>
      <c r="R544" s="282"/>
      <c r="S544" s="357"/>
      <c r="T544" s="357"/>
    </row>
    <row r="545" spans="2:20" s="13" customFormat="1">
      <c r="B545" s="122" t="str">
        <f>'корпоративный баланс энергии'!H554</f>
        <v>Уфимская ТЭЦ-3 (ООО "Башкирская генерирующая компания")</v>
      </c>
      <c r="C545" s="516" t="s">
        <v>364</v>
      </c>
      <c r="D545" s="281">
        <f>'корпоративный баланс энергии'!J554+'корпоративный баланс энергии'!M554+'корпоративный баланс энергии'!P554</f>
        <v>158.54</v>
      </c>
      <c r="E545" s="246"/>
      <c r="F545" s="282"/>
      <c r="G545" s="244">
        <f>'корпоративный баланс энергии'!S554+'корпоративный баланс энергии'!V554+'корпоративный баланс энергии'!Y554</f>
        <v>90.59</v>
      </c>
      <c r="H545" s="246"/>
      <c r="I545" s="282"/>
      <c r="J545" s="244">
        <f>'корпоративный баланс энергии'!AB554+'корпоративный баланс энергии'!AE554+'корпоративный баланс энергии'!AH554</f>
        <v>85.75</v>
      </c>
      <c r="K545" s="246"/>
      <c r="L545" s="282"/>
      <c r="M545" s="244">
        <f>'корпоративный баланс энергии'!AK554+'корпоративный баланс энергии'!AN554+'корпоративный баланс энергии'!AQ554</f>
        <v>145.31</v>
      </c>
      <c r="N545" s="246"/>
      <c r="O545" s="282"/>
      <c r="P545" s="244">
        <f t="shared" si="30"/>
        <v>480.19</v>
      </c>
      <c r="Q545" s="246"/>
      <c r="R545" s="282"/>
      <c r="S545" s="367"/>
      <c r="T545" s="367"/>
    </row>
    <row r="546" spans="2:20" s="13" customFormat="1">
      <c r="B546" s="122" t="str">
        <f>'корпоративный баланс энергии'!H555</f>
        <v>Уфимская ТЭЦ-4 (ООО "Башкирская генерирующая компания")</v>
      </c>
      <c r="C546" s="516" t="s">
        <v>364</v>
      </c>
      <c r="D546" s="281">
        <f>'корпоративный баланс энергии'!J555+'корпоративный баланс энергии'!M555+'корпоративный баланс энергии'!P555</f>
        <v>232.43</v>
      </c>
      <c r="E546" s="246"/>
      <c r="F546" s="282"/>
      <c r="G546" s="244">
        <f>'корпоративный баланс энергии'!S555+'корпоративный баланс энергии'!V555+'корпоративный баланс энергии'!Y555</f>
        <v>247.48</v>
      </c>
      <c r="H546" s="246"/>
      <c r="I546" s="282"/>
      <c r="J546" s="244">
        <f>'корпоративный баланс энергии'!AB555+'корпоративный баланс энергии'!AE555+'корпоративный баланс энергии'!AH555</f>
        <v>337.07</v>
      </c>
      <c r="K546" s="246"/>
      <c r="L546" s="282"/>
      <c r="M546" s="244">
        <f>'корпоративный баланс энергии'!AK555+'корпоративный баланс энергии'!AN555+'корпоративный баланс энергии'!AQ555</f>
        <v>272.14</v>
      </c>
      <c r="N546" s="246"/>
      <c r="O546" s="282"/>
      <c r="P546" s="244">
        <f t="shared" si="30"/>
        <v>1089.1199999999999</v>
      </c>
      <c r="Q546" s="246"/>
      <c r="R546" s="282"/>
      <c r="S546" s="367"/>
      <c r="T546" s="367"/>
    </row>
    <row r="547" spans="2:20" s="13" customFormat="1">
      <c r="B547" s="122" t="str">
        <f>'корпоративный баланс энергии'!H556</f>
        <v>Затонская ТЭЦ (ООО "Башкирская генерирующая компания")</v>
      </c>
      <c r="C547" s="516" t="s">
        <v>364</v>
      </c>
      <c r="D547" s="281">
        <f>'корпоративный баланс энергии'!J556+'корпоративный баланс энергии'!M556+'корпоративный баланс энергии'!P556</f>
        <v>281.74</v>
      </c>
      <c r="E547" s="246"/>
      <c r="F547" s="282"/>
      <c r="G547" s="244">
        <f>'корпоративный баланс энергии'!S556+'корпоративный баланс энергии'!V556+'корпоративный баланс энергии'!Y556</f>
        <v>444.15</v>
      </c>
      <c r="H547" s="246"/>
      <c r="I547" s="282"/>
      <c r="J547" s="244">
        <f>'корпоративный баланс энергии'!AB556+'корпоративный баланс энергии'!AE556+'корпоративный баланс энергии'!AH556</f>
        <v>596.77</v>
      </c>
      <c r="K547" s="246"/>
      <c r="L547" s="282"/>
      <c r="M547" s="244">
        <f>'корпоративный баланс энергии'!AK556+'корпоративный баланс энергии'!AN556+'корпоративный баланс энергии'!AQ556</f>
        <v>784.09</v>
      </c>
      <c r="N547" s="246"/>
      <c r="O547" s="282"/>
      <c r="P547" s="244">
        <f t="shared" si="30"/>
        <v>2106.75</v>
      </c>
      <c r="Q547" s="246"/>
      <c r="R547" s="282"/>
      <c r="S547" s="367"/>
      <c r="T547" s="367"/>
    </row>
    <row r="548" spans="2:20" s="13" customFormat="1">
      <c r="B548" s="122" t="str">
        <f>'корпоративный баланс энергии'!H557</f>
        <v>Салаватская ТЭЦ (ООО "Башкирская генерирующая компания")</v>
      </c>
      <c r="C548" s="516" t="s">
        <v>364</v>
      </c>
      <c r="D548" s="281">
        <f>'корпоративный баланс энергии'!J557+'корпоративный баланс энергии'!M557+'корпоративный баланс энергии'!P557</f>
        <v>240.86</v>
      </c>
      <c r="E548" s="246"/>
      <c r="F548" s="282"/>
      <c r="G548" s="244">
        <f>'корпоративный баланс энергии'!S557+'корпоративный баланс энергии'!V557+'корпоративный баланс энергии'!Y557</f>
        <v>133.78</v>
      </c>
      <c r="H548" s="246"/>
      <c r="I548" s="282"/>
      <c r="J548" s="244">
        <f>'корпоративный баланс энергии'!AB557+'корпоративный баланс энергии'!AE557+'корпоративный баланс энергии'!AH557</f>
        <v>117.03999999999999</v>
      </c>
      <c r="K548" s="246"/>
      <c r="L548" s="282"/>
      <c r="M548" s="244">
        <f>'корпоративный баланс энергии'!AK557+'корпоративный баланс энергии'!AN557+'корпоративный баланс энергии'!AQ557</f>
        <v>216.34</v>
      </c>
      <c r="N548" s="246"/>
      <c r="O548" s="282"/>
      <c r="P548" s="244">
        <f t="shared" si="30"/>
        <v>708.02</v>
      </c>
      <c r="Q548" s="246"/>
      <c r="R548" s="282"/>
      <c r="S548" s="367"/>
      <c r="T548" s="367"/>
    </row>
    <row r="549" spans="2:20" s="13" customFormat="1">
      <c r="B549" s="122" t="str">
        <f>'корпоративный баланс энергии'!H558</f>
        <v>Ново-Салаватская ТЭЦ (ООО "Ново-Салаватская ТЭЦ")</v>
      </c>
      <c r="C549" s="516" t="s">
        <v>364</v>
      </c>
      <c r="D549" s="281">
        <f>'корпоративный баланс энергии'!J558+'корпоративный баланс энергии'!M558+'корпоративный баланс энергии'!P558</f>
        <v>609.67999999999995</v>
      </c>
      <c r="E549" s="246"/>
      <c r="F549" s="282"/>
      <c r="G549" s="244">
        <f>'корпоративный баланс энергии'!S558+'корпоративный баланс энергии'!V558+'корпоративный баланс энергии'!Y558</f>
        <v>521.12</v>
      </c>
      <c r="H549" s="246"/>
      <c r="I549" s="282"/>
      <c r="J549" s="244">
        <f>'корпоративный баланс энергии'!AB558+'корпоративный баланс энергии'!AE558+'корпоративный баланс энергии'!AH558</f>
        <v>453.92999999999995</v>
      </c>
      <c r="K549" s="246"/>
      <c r="L549" s="282"/>
      <c r="M549" s="244">
        <f>'корпоративный баланс энергии'!AK558+'корпоративный баланс энергии'!AN558+'корпоративный баланс энергии'!AQ558</f>
        <v>575.93000000000006</v>
      </c>
      <c r="N549" s="246"/>
      <c r="O549" s="282"/>
      <c r="P549" s="244">
        <f t="shared" si="30"/>
        <v>2160.66</v>
      </c>
      <c r="Q549" s="246"/>
      <c r="R549" s="282"/>
      <c r="S549" s="367"/>
      <c r="T549" s="367"/>
    </row>
    <row r="550" spans="2:20" s="13" customFormat="1">
      <c r="B550" s="122" t="str">
        <f>'корпоративный баланс энергии'!H559</f>
        <v>Ново-Салаватская ТЭЦ (ООО "Ново-Салаватская ТЭЦ") ПГУ-410Т НВ 01.04.2016</v>
      </c>
      <c r="C550" s="516" t="s">
        <v>364</v>
      </c>
      <c r="D550" s="281">
        <f>'корпоративный баланс энергии'!J559+'корпоративный баланс энергии'!M559+'корпоративный баланс энергии'!P559</f>
        <v>758.25</v>
      </c>
      <c r="E550" s="246"/>
      <c r="F550" s="282"/>
      <c r="G550" s="244">
        <f>'корпоративный баланс энергии'!S559+'корпоративный баланс энергии'!V559+'корпоративный баланс энергии'!Y559</f>
        <v>750.18000000000006</v>
      </c>
      <c r="H550" s="246"/>
      <c r="I550" s="282"/>
      <c r="J550" s="244">
        <f>'корпоративный баланс энергии'!AB559+'корпоративный баланс энергии'!AE559+'корпоративный баланс энергии'!AH559</f>
        <v>551.25</v>
      </c>
      <c r="K550" s="246"/>
      <c r="L550" s="282"/>
      <c r="M550" s="244">
        <f>'корпоративный баланс энергии'!AK559+'корпоративный баланс энергии'!AN559+'корпоративный баланс энергии'!AQ559</f>
        <v>813.66</v>
      </c>
      <c r="N550" s="246"/>
      <c r="O550" s="282"/>
      <c r="P550" s="244">
        <f t="shared" si="30"/>
        <v>2873.34</v>
      </c>
      <c r="Q550" s="246"/>
      <c r="R550" s="282"/>
      <c r="S550" s="367"/>
      <c r="T550" s="367"/>
    </row>
    <row r="551" spans="2:20" s="13" customFormat="1">
      <c r="B551" s="122" t="str">
        <f>'корпоративный баланс энергии'!H560</f>
        <v>Стерлитамакская ТЭЦ (ООО "Башкирская генерирующая компания")</v>
      </c>
      <c r="C551" s="699" t="s">
        <v>364</v>
      </c>
      <c r="D551" s="281">
        <f>'корпоративный баланс энергии'!J560+'корпоративный баланс энергии'!M560+'корпоративный баланс энергии'!P560</f>
        <v>411.71</v>
      </c>
      <c r="E551" s="246"/>
      <c r="F551" s="282"/>
      <c r="G551" s="244">
        <f>'корпоративный баланс энергии'!S560+'корпоративный баланс энергии'!V560+'корпоративный баланс энергии'!Y560</f>
        <v>291.27999999999997</v>
      </c>
      <c r="H551" s="246"/>
      <c r="I551" s="282"/>
      <c r="J551" s="244">
        <f>'корпоративный баланс энергии'!AB560+'корпоративный баланс энергии'!AE560+'корпоративный баланс энергии'!AH560</f>
        <v>314.3</v>
      </c>
      <c r="K551" s="246"/>
      <c r="L551" s="282"/>
      <c r="M551" s="244">
        <f>'корпоративный баланс энергии'!AK560+'корпоративный баланс энергии'!AN560+'корпоративный баланс энергии'!AQ560</f>
        <v>413.78999999999996</v>
      </c>
      <c r="N551" s="246"/>
      <c r="O551" s="282"/>
      <c r="P551" s="244">
        <f t="shared" si="30"/>
        <v>1431.08</v>
      </c>
      <c r="Q551" s="246"/>
      <c r="R551" s="282"/>
      <c r="S551" s="367"/>
      <c r="T551" s="367"/>
    </row>
    <row r="552" spans="2:20" s="110" customFormat="1">
      <c r="B552" s="122" t="str">
        <f>'корпоративный баланс энергии'!H561</f>
        <v>Ново-Стерлитамакская ТЭЦ (ООО "Башкирская генерирующая компания")</v>
      </c>
      <c r="C552" s="699" t="s">
        <v>364</v>
      </c>
      <c r="D552" s="281">
        <f>'корпоративный баланс энергии'!J561+'корпоративный баланс энергии'!M561+'корпоративный баланс энергии'!P561</f>
        <v>422.88</v>
      </c>
      <c r="E552" s="246"/>
      <c r="F552" s="282"/>
      <c r="G552" s="244">
        <f>'корпоративный баланс энергии'!S561+'корпоративный баланс энергии'!V561+'корпоративный баланс энергии'!Y561</f>
        <v>227.31</v>
      </c>
      <c r="H552" s="246"/>
      <c r="I552" s="282"/>
      <c r="J552" s="244">
        <f>'корпоративный баланс энергии'!AB561+'корпоративный баланс энергии'!AE561+'корпоративный баланс энергии'!AH561</f>
        <v>294.51</v>
      </c>
      <c r="K552" s="246"/>
      <c r="L552" s="282"/>
      <c r="M552" s="244">
        <f>'корпоративный баланс энергии'!AK561+'корпоративный баланс энергии'!AN561+'корпоративный баланс энергии'!AQ561</f>
        <v>409.24</v>
      </c>
      <c r="N552" s="246"/>
      <c r="O552" s="282"/>
      <c r="P552" s="244">
        <f t="shared" si="30"/>
        <v>1353.94</v>
      </c>
      <c r="Q552" s="246"/>
      <c r="R552" s="282"/>
      <c r="S552" s="356"/>
      <c r="T552" s="356"/>
    </row>
    <row r="553" spans="2:20" s="110" customFormat="1">
      <c r="B553" s="122" t="str">
        <f>'корпоративный баланс энергии'!H562</f>
        <v>Кумертауская ТЭЦ (АО "Свердловская энергогазовая компания", г.Екатеринбург)</v>
      </c>
      <c r="C553" s="699" t="s">
        <v>364</v>
      </c>
      <c r="D553" s="281">
        <f>'корпоративный баланс энергии'!J562+'корпоративный баланс энергии'!M562+'корпоративный баланс энергии'!P562</f>
        <v>114.94999999999999</v>
      </c>
      <c r="E553" s="246"/>
      <c r="F553" s="282"/>
      <c r="G553" s="244">
        <f>'корпоративный баланс энергии'!S562+'корпоративный баланс энергии'!V562+'корпоративный баланс энергии'!Y562</f>
        <v>75.63000000000001</v>
      </c>
      <c r="H553" s="246"/>
      <c r="I553" s="282"/>
      <c r="J553" s="244">
        <f>'корпоративный баланс энергии'!AB562+'корпоративный баланс энергии'!AE562+'корпоративный баланс энергии'!AH562</f>
        <v>72.86</v>
      </c>
      <c r="K553" s="246"/>
      <c r="L553" s="282"/>
      <c r="M553" s="244">
        <f>'корпоративный баланс энергии'!AK562+'корпоративный баланс энергии'!AN562+'корпоративный баланс энергии'!AQ562</f>
        <v>104.3</v>
      </c>
      <c r="N553" s="246"/>
      <c r="O553" s="282"/>
      <c r="P553" s="244">
        <f t="shared" si="30"/>
        <v>367.74</v>
      </c>
      <c r="Q553" s="246"/>
      <c r="R553" s="282"/>
      <c r="S553" s="356"/>
      <c r="T553" s="356"/>
    </row>
    <row r="554" spans="2:20" s="24" customFormat="1">
      <c r="B554" s="122" t="str">
        <f>'корпоративный баланс энергии'!H563</f>
        <v>Приуфимская ТЭЦ (ООО "Башкирская генерирующая компания")</v>
      </c>
      <c r="C554" s="699" t="s">
        <v>364</v>
      </c>
      <c r="D554" s="281">
        <f>'корпоративный баланс энергии'!J563+'корпоративный баланс энергии'!M563+'корпоративный баланс энергии'!P563</f>
        <v>122.63999999999999</v>
      </c>
      <c r="E554" s="246"/>
      <c r="F554" s="282"/>
      <c r="G554" s="244">
        <f>'корпоративный баланс энергии'!S563+'корпоративный баланс энергии'!V563+'корпоративный баланс энергии'!Y563</f>
        <v>99.6</v>
      </c>
      <c r="H554" s="246"/>
      <c r="I554" s="282"/>
      <c r="J554" s="244">
        <f>'корпоративный баланс энергии'!AB563+'корпоративный баланс энергии'!AE563+'корпоративный баланс энергии'!AH563</f>
        <v>184.42000000000002</v>
      </c>
      <c r="K554" s="246"/>
      <c r="L554" s="282"/>
      <c r="M554" s="244">
        <f>'корпоративный баланс энергии'!AK563+'корпоративный баланс энергии'!AN563+'корпоративный баланс энергии'!AQ563</f>
        <v>147.53</v>
      </c>
      <c r="N554" s="246"/>
      <c r="O554" s="282"/>
      <c r="P554" s="244">
        <f t="shared" si="30"/>
        <v>554.18999999999994</v>
      </c>
      <c r="Q554" s="246"/>
      <c r="R554" s="282"/>
      <c r="S554" s="357"/>
      <c r="T554" s="357"/>
    </row>
    <row r="555" spans="2:20" s="24" customFormat="1">
      <c r="B555" s="122" t="str">
        <f>'корпоративный баланс энергии'!H564</f>
        <v>Зауральская ТЭЦ  (ООО "Башкирская генерирующая компания")</v>
      </c>
      <c r="C555" s="519" t="s">
        <v>365</v>
      </c>
      <c r="D555" s="281">
        <f>'корпоративный баланс энергии'!J564+'корпоративный баланс энергии'!M564+'корпоративный баланс энергии'!P564</f>
        <v>33.9</v>
      </c>
      <c r="E555" s="246"/>
      <c r="F555" s="282"/>
      <c r="G555" s="244">
        <f>'корпоративный баланс энергии'!S564+'корпоративный баланс энергии'!V564+'корпоративный баланс энергии'!Y564</f>
        <v>25.909999999999997</v>
      </c>
      <c r="H555" s="246"/>
      <c r="I555" s="282"/>
      <c r="J555" s="244">
        <f>'корпоративный баланс энергии'!AB564+'корпоративный баланс энергии'!AE564+'корпоративный баланс энергии'!AH564</f>
        <v>25.97</v>
      </c>
      <c r="K555" s="246"/>
      <c r="L555" s="282"/>
      <c r="M555" s="244">
        <f>'корпоративный баланс энергии'!AK564+'корпоративный баланс энергии'!AN564+'корпоративный баланс энергии'!AQ564</f>
        <v>33.840000000000003</v>
      </c>
      <c r="N555" s="246"/>
      <c r="O555" s="282"/>
      <c r="P555" s="244">
        <f t="shared" si="30"/>
        <v>119.62</v>
      </c>
      <c r="Q555" s="246"/>
      <c r="R555" s="282"/>
      <c r="S555" s="357"/>
      <c r="T555" s="357"/>
    </row>
    <row r="556" spans="2:20" s="110" customFormat="1">
      <c r="B556" s="122" t="str">
        <f>'корпоративный баланс энергии'!H565</f>
        <v>ГТЭС Агидель (ООО "Башкирские распределительные тепловые сети")</v>
      </c>
      <c r="C556" s="519" t="s">
        <v>365</v>
      </c>
      <c r="D556" s="281">
        <f>'корпоративный баланс энергии'!J565+'корпоративный баланс энергии'!M565+'корпоративный баланс энергии'!P565</f>
        <v>12.21</v>
      </c>
      <c r="E556" s="246"/>
      <c r="F556" s="282"/>
      <c r="G556" s="244">
        <f>'корпоративный баланс энергии'!S565+'корпоративный баланс энергии'!V565+'корпоративный баланс энергии'!Y565</f>
        <v>1.3</v>
      </c>
      <c r="H556" s="246"/>
      <c r="I556" s="282"/>
      <c r="J556" s="244">
        <f>'корпоративный баланс энергии'!AB565+'корпоративный баланс энергии'!AE565+'корпоративный баланс энергии'!AH565</f>
        <v>0</v>
      </c>
      <c r="K556" s="246"/>
      <c r="L556" s="282"/>
      <c r="M556" s="244">
        <f>'корпоративный баланс энергии'!AK565+'корпоративный баланс энергии'!AN565+'корпоративный баланс энергии'!AQ565</f>
        <v>12.74</v>
      </c>
      <c r="N556" s="246"/>
      <c r="O556" s="282"/>
      <c r="P556" s="244">
        <f t="shared" si="30"/>
        <v>26.25</v>
      </c>
      <c r="Q556" s="246"/>
      <c r="R556" s="282"/>
      <c r="S556" s="356"/>
      <c r="T556" s="356"/>
    </row>
    <row r="557" spans="2:20" s="109" customFormat="1">
      <c r="B557" s="122" t="str">
        <f>'корпоративный баланс энергии'!H566</f>
        <v>ГТУ Ишимбай (ООО "Башкирские распределительные тепловые сети")</v>
      </c>
      <c r="C557" s="519" t="s">
        <v>365</v>
      </c>
      <c r="D557" s="281">
        <f>'корпоративный баланс энергии'!J566+'корпоративный баланс энергии'!M566+'корпоративный баланс энергии'!P566</f>
        <v>11.440000000000001</v>
      </c>
      <c r="E557" s="246"/>
      <c r="F557" s="282"/>
      <c r="G557" s="244">
        <f>'корпоративный баланс энергии'!S566+'корпоративный баланс энергии'!V566+'корпоративный баланс энергии'!Y566</f>
        <v>10.65</v>
      </c>
      <c r="H557" s="246"/>
      <c r="I557" s="282"/>
      <c r="J557" s="244">
        <f>'корпоративный баланс энергии'!AB566+'корпоративный баланс энергии'!AE566+'корпоративный баланс энергии'!AH566</f>
        <v>7.51</v>
      </c>
      <c r="K557" s="246"/>
      <c r="L557" s="282"/>
      <c r="M557" s="244">
        <f>'корпоративный баланс энергии'!AK566+'корпоративный баланс энергии'!AN566+'корпоративный баланс энергии'!AQ566</f>
        <v>10.42</v>
      </c>
      <c r="N557" s="246"/>
      <c r="O557" s="282"/>
      <c r="P557" s="244">
        <f t="shared" si="30"/>
        <v>40.020000000000003</v>
      </c>
      <c r="Q557" s="246"/>
      <c r="R557" s="282"/>
      <c r="S557" s="368"/>
      <c r="T557" s="368"/>
    </row>
    <row r="558" spans="2:20" s="109" customFormat="1">
      <c r="B558" s="122" t="str">
        <f>'корпоративный баланс энергии'!H567</f>
        <v>ГТУ Шакша (ООО "Башкирские распределительные тепловые сети")</v>
      </c>
      <c r="C558" s="519" t="s">
        <v>365</v>
      </c>
      <c r="D558" s="281">
        <f>'корпоративный баланс энергии'!J567+'корпоративный баланс энергии'!M567+'корпоративный баланс энергии'!P567</f>
        <v>11.629999999999999</v>
      </c>
      <c r="E558" s="246"/>
      <c r="F558" s="282"/>
      <c r="G558" s="244">
        <f>'корпоративный баланс энергии'!S567+'корпоративный баланс энергии'!V567+'корпоративный баланс энергии'!Y567</f>
        <v>1.68</v>
      </c>
      <c r="H558" s="246"/>
      <c r="I558" s="282"/>
      <c r="J558" s="244">
        <f>'корпоративный баланс энергии'!AB567+'корпоративный баланс энергии'!AE567+'корпоративный баланс энергии'!AH567</f>
        <v>0</v>
      </c>
      <c r="K558" s="246"/>
      <c r="L558" s="282"/>
      <c r="M558" s="244">
        <f>'корпоративный баланс энергии'!AK567+'корпоративный баланс энергии'!AN567+'корпоративный баланс энергии'!AQ567</f>
        <v>9.17</v>
      </c>
      <c r="N558" s="246"/>
      <c r="O558" s="282"/>
      <c r="P558" s="244">
        <f t="shared" si="30"/>
        <v>22.479999999999997</v>
      </c>
      <c r="Q558" s="246"/>
      <c r="R558" s="282"/>
      <c r="S558" s="368"/>
      <c r="T558" s="368"/>
    </row>
    <row r="559" spans="2:20" s="24" customFormat="1">
      <c r="B559" s="122" t="str">
        <f>'корпоративный баланс энергии'!H568</f>
        <v>ГТУ-1 г. Сибай (ООО "Башкирская генерирующая компания")</v>
      </c>
      <c r="C559" s="519" t="s">
        <v>365</v>
      </c>
      <c r="D559" s="281">
        <f>'корпоративный баланс энергии'!J568+'корпоративный баланс энергии'!M568+'корпоративный баланс энергии'!P568</f>
        <v>22.72</v>
      </c>
      <c r="E559" s="246"/>
      <c r="F559" s="282"/>
      <c r="G559" s="244">
        <f>'корпоративный баланс энергии'!S568+'корпоративный баланс энергии'!V568+'корпоративный баланс энергии'!Y568</f>
        <v>0</v>
      </c>
      <c r="H559" s="246"/>
      <c r="I559" s="282"/>
      <c r="J559" s="244">
        <f>'корпоративный баланс энергии'!AB568+'корпоративный баланс энергии'!AE568+'корпоративный баланс энергии'!AH568</f>
        <v>0</v>
      </c>
      <c r="K559" s="246"/>
      <c r="L559" s="282"/>
      <c r="M559" s="244">
        <f>'корпоративный баланс энергии'!AK568+'корпоративный баланс энергии'!AN568+'корпоративный баланс энергии'!AQ568</f>
        <v>30.7</v>
      </c>
      <c r="N559" s="246"/>
      <c r="O559" s="282"/>
      <c r="P559" s="244">
        <f t="shared" si="30"/>
        <v>53.42</v>
      </c>
      <c r="Q559" s="246"/>
      <c r="R559" s="282"/>
      <c r="S559" s="357"/>
      <c r="T559" s="357"/>
    </row>
    <row r="560" spans="2:20" s="24" customFormat="1">
      <c r="B560" s="122" t="str">
        <f>'корпоративный баланс энергии'!H569</f>
        <v>Павловская ГЭС  (ООО "Башкирская генерирующая компания")</v>
      </c>
      <c r="C560" s="699" t="s">
        <v>364</v>
      </c>
      <c r="D560" s="281">
        <f>'корпоративный баланс энергии'!J569+'корпоративный баланс энергии'!M569+'корпоративный баланс энергии'!P569</f>
        <v>108.97125625610352</v>
      </c>
      <c r="E560" s="246"/>
      <c r="F560" s="282"/>
      <c r="G560" s="244">
        <f>'корпоративный баланс энергии'!S569+'корпоративный баланс энергии'!V569+'корпоративный баланс энергии'!Y569</f>
        <v>256.94832611083984</v>
      </c>
      <c r="H560" s="246"/>
      <c r="I560" s="282"/>
      <c r="J560" s="244">
        <f>'корпоративный баланс энергии'!AB569+'корпоративный баланс энергии'!AE569+'корпоративный баланс энергии'!AH569</f>
        <v>142.73494720458984</v>
      </c>
      <c r="K560" s="246"/>
      <c r="L560" s="282"/>
      <c r="M560" s="244">
        <f>'корпоративный баланс энергии'!AK569+'корпоративный баланс энергии'!AN569+'корпоративный баланс энергии'!AQ569</f>
        <v>131.9193229675293</v>
      </c>
      <c r="N560" s="246"/>
      <c r="O560" s="282"/>
      <c r="P560" s="244">
        <f t="shared" si="30"/>
        <v>640.5738525390625</v>
      </c>
      <c r="Q560" s="246"/>
      <c r="R560" s="282"/>
      <c r="S560" s="357"/>
      <c r="T560" s="357"/>
    </row>
    <row r="561" spans="2:20" s="24" customFormat="1">
      <c r="B561" s="122" t="str">
        <f>'корпоративный баланс энергии'!H570</f>
        <v xml:space="preserve">Юмагузинская ГЭС (ООО "Башкирская генерирующая компания") </v>
      </c>
      <c r="C561" s="699" t="s">
        <v>364</v>
      </c>
      <c r="D561" s="281">
        <f>'корпоративный баланс энергии'!J570+'корпоративный баланс энергии'!M570+'корпоративный баланс энергии'!P570</f>
        <v>18.636226177215576</v>
      </c>
      <c r="E561" s="246"/>
      <c r="F561" s="282"/>
      <c r="G561" s="244">
        <f>'корпоративный баланс энергии'!S570+'корпоративный баланс энергии'!V570+'корпоративный баланс энергии'!Y570</f>
        <v>53.339329719543457</v>
      </c>
      <c r="H561" s="246"/>
      <c r="I561" s="282"/>
      <c r="J561" s="244">
        <f>'корпоративный баланс энергии'!AB570+'корпоративный баланс энергии'!AE570+'корпоративный баланс энергии'!AH570</f>
        <v>30.79611873626709</v>
      </c>
      <c r="K561" s="246"/>
      <c r="L561" s="282"/>
      <c r="M561" s="244">
        <f>'корпоративный баланс энергии'!AK570+'корпоративный баланс энергии'!AN570+'корпоративный баланс энергии'!AQ570</f>
        <v>26.586473941802979</v>
      </c>
      <c r="N561" s="246"/>
      <c r="O561" s="282"/>
      <c r="P561" s="244">
        <f t="shared" si="30"/>
        <v>129.3581485748291</v>
      </c>
      <c r="Q561" s="246"/>
      <c r="R561" s="282"/>
      <c r="S561" s="357"/>
      <c r="T561" s="357"/>
    </row>
    <row r="562" spans="2:20" s="24" customFormat="1">
      <c r="B562" s="122" t="str">
        <f>'корпоративный баланс энергии'!H571</f>
        <v>ВЭС "Тюпкильды" (ООО "Башкирская генерирующая компания")</v>
      </c>
      <c r="C562" s="519" t="s">
        <v>365</v>
      </c>
      <c r="D562" s="281">
        <f>'корпоративный баланс энергии'!J571+'корпоративный баланс энергии'!M571+'корпоративный баланс энергии'!P571</f>
        <v>0.22</v>
      </c>
      <c r="E562" s="246"/>
      <c r="F562" s="282"/>
      <c r="G562" s="244">
        <f>'корпоративный баланс энергии'!S571+'корпоративный баланс энергии'!V571+'корпоративный баланс энергии'!Y571</f>
        <v>0.31999999999999995</v>
      </c>
      <c r="H562" s="246"/>
      <c r="I562" s="282"/>
      <c r="J562" s="244">
        <f>'корпоративный баланс энергии'!AB571+'корпоративный баланс энергии'!AE571+'корпоративный баланс энергии'!AH571</f>
        <v>0.19</v>
      </c>
      <c r="K562" s="246"/>
      <c r="L562" s="282"/>
      <c r="M562" s="244">
        <f>'корпоративный баланс энергии'!AK571+'корпоративный баланс энергии'!AN571+'корпоративный баланс энергии'!AQ571</f>
        <v>0.3</v>
      </c>
      <c r="N562" s="246"/>
      <c r="O562" s="282"/>
      <c r="P562" s="244">
        <f t="shared" si="30"/>
        <v>1.03</v>
      </c>
      <c r="Q562" s="246"/>
      <c r="R562" s="282"/>
      <c r="S562" s="357"/>
      <c r="T562" s="357"/>
    </row>
    <row r="563" spans="2:20" s="109" customFormat="1">
      <c r="B563" s="122" t="str">
        <f>'корпоративный баланс энергии'!H572</f>
        <v>Микро ГЭС (ООО "Башкирская генерирующая компания")</v>
      </c>
      <c r="C563" s="519" t="s">
        <v>365</v>
      </c>
      <c r="D563" s="281">
        <f>'корпоративный баланс энергии'!J572+'корпоративный баланс энергии'!M572+'корпоративный баланс энергии'!P572</f>
        <v>0.24724359810352325</v>
      </c>
      <c r="E563" s="246"/>
      <c r="F563" s="282"/>
      <c r="G563" s="244">
        <f>'корпоративный баланс энергии'!S572+'корпоративный баланс энергии'!V572+'корпоративный баланс энергии'!Y572</f>
        <v>0.46390535682439804</v>
      </c>
      <c r="H563" s="246"/>
      <c r="I563" s="282"/>
      <c r="J563" s="244">
        <f>'корпоративный баланс энергии'!AB572+'корпоративный баланс энергии'!AE572+'корпоративный баланс энергии'!AH572</f>
        <v>0.42205022275447845</v>
      </c>
      <c r="K563" s="246"/>
      <c r="L563" s="282"/>
      <c r="M563" s="244">
        <f>'корпоративный баланс энергии'!AK572+'корпоративный баланс энергии'!AN572+'корпоративный баланс энергии'!AQ572</f>
        <v>0.46168355643749237</v>
      </c>
      <c r="N563" s="246"/>
      <c r="O563" s="282"/>
      <c r="P563" s="244">
        <f t="shared" si="30"/>
        <v>1.5948827341198921</v>
      </c>
      <c r="Q563" s="246"/>
      <c r="R563" s="282"/>
      <c r="S563" s="368"/>
      <c r="T563" s="368"/>
    </row>
    <row r="564" spans="2:20" s="109" customFormat="1">
      <c r="B564" s="122" t="str">
        <f>'корпоративный баланс энергии'!H573</f>
        <v>Нугушская ГЭС (ООО "Нугушский гидротехнический узел")</v>
      </c>
      <c r="C564" s="699" t="s">
        <v>364</v>
      </c>
      <c r="D564" s="281">
        <f>'корпоративный баланс энергии'!J573+'корпоративный баланс энергии'!M573+'корпоративный баланс энергии'!P573</f>
        <v>7.1520459651947021</v>
      </c>
      <c r="E564" s="246"/>
      <c r="F564" s="282"/>
      <c r="G564" s="244">
        <f>'корпоративный баланс энергии'!S573+'корпоративный баланс энергии'!V573+'корпоративный баланс энергии'!Y573</f>
        <v>9.9277727603912354</v>
      </c>
      <c r="H564" s="246"/>
      <c r="I564" s="282"/>
      <c r="J564" s="244">
        <f>'корпоративный баланс энергии'!AB573+'корпоративный баланс энергии'!AE573+'корпоративный баланс энергии'!AH573</f>
        <v>4.4537613391876221</v>
      </c>
      <c r="K564" s="246"/>
      <c r="L564" s="282"/>
      <c r="M564" s="244">
        <f>'корпоративный баланс энергии'!AK573+'корпоративный баланс энергии'!AN573+'корпоративный баланс энергии'!AQ573</f>
        <v>10.486470222473145</v>
      </c>
      <c r="N564" s="246"/>
      <c r="O564" s="282"/>
      <c r="P564" s="244">
        <f t="shared" si="30"/>
        <v>32.020050287246704</v>
      </c>
      <c r="Q564" s="246"/>
      <c r="R564" s="282"/>
      <c r="S564" s="368"/>
      <c r="T564" s="368"/>
    </row>
    <row r="565" spans="2:20" s="109" customFormat="1">
      <c r="B565" s="122" t="str">
        <f>'корпоративный баланс энергии'!H574</f>
        <v>Бурибаевская СЭС (ООО "Авелар Солар Технолоджи")</v>
      </c>
      <c r="C565" s="699" t="s">
        <v>364</v>
      </c>
      <c r="D565" s="281">
        <f>'корпоративный баланс энергии'!J574+'корпоративный баланс энергии'!M574+'корпоративный баланс энергии'!P574</f>
        <v>4.71</v>
      </c>
      <c r="E565" s="246"/>
      <c r="F565" s="282"/>
      <c r="G565" s="244">
        <f>'корпоративный баланс энергии'!S574+'корпоративный баланс энергии'!V574+'корпоративный баланс энергии'!Y574</f>
        <v>8.56</v>
      </c>
      <c r="H565" s="246"/>
      <c r="I565" s="282"/>
      <c r="J565" s="244">
        <f>'корпоративный баланс энергии'!AB574+'корпоративный баланс энергии'!AE574+'корпоративный баланс энергии'!AH574</f>
        <v>8</v>
      </c>
      <c r="K565" s="246"/>
      <c r="L565" s="282"/>
      <c r="M565" s="244">
        <f>'корпоративный баланс энергии'!AK574+'корпоративный баланс энергии'!AN574+'корпоративный баланс энергии'!AQ574</f>
        <v>1.33</v>
      </c>
      <c r="N565" s="246"/>
      <c r="O565" s="282"/>
      <c r="P565" s="244">
        <f t="shared" si="30"/>
        <v>22.6</v>
      </c>
      <c r="Q565" s="246"/>
      <c r="R565" s="282"/>
      <c r="S565" s="368"/>
      <c r="T565" s="368"/>
    </row>
    <row r="566" spans="2:20" s="109" customFormat="1">
      <c r="B566" s="122" t="str">
        <f>'корпоративный баланс энергии'!H575</f>
        <v>Бугульчанская СЭС (ООО "Бугульчанская СЭС")</v>
      </c>
      <c r="C566" s="699" t="s">
        <v>364</v>
      </c>
      <c r="D566" s="281">
        <f>'корпоративный баланс энергии'!J575+'корпоративный баланс энергии'!M575+'корпоративный баланс энергии'!P575</f>
        <v>4.01</v>
      </c>
      <c r="E566" s="246"/>
      <c r="F566" s="282"/>
      <c r="G566" s="244">
        <f>'корпоративный баланс энергии'!S575+'корпоративный баланс энергии'!V575+'корпоративный баланс энергии'!Y575</f>
        <v>7.12</v>
      </c>
      <c r="H566" s="246"/>
      <c r="I566" s="282"/>
      <c r="J566" s="244">
        <f>'корпоративный баланс энергии'!AB575+'корпоративный баланс энергии'!AE575+'корпоративный баланс энергии'!AH575</f>
        <v>6.55</v>
      </c>
      <c r="K566" s="246"/>
      <c r="L566" s="282"/>
      <c r="M566" s="244">
        <f>'корпоративный баланс энергии'!AK575+'корпоративный баланс энергии'!AN575+'корпоративный баланс энергии'!AQ575</f>
        <v>0.74</v>
      </c>
      <c r="N566" s="246"/>
      <c r="O566" s="282"/>
      <c r="P566" s="244">
        <f t="shared" si="30"/>
        <v>18.419999999999998</v>
      </c>
      <c r="Q566" s="246"/>
      <c r="R566" s="282"/>
      <c r="S566" s="368"/>
      <c r="T566" s="368"/>
    </row>
    <row r="567" spans="2:20" s="109" customFormat="1">
      <c r="B567" s="122" t="str">
        <f>'корпоративный баланс энергии'!H576</f>
        <v>Исянгуловская СЭС (ООО "Авелар Солар Технолоджи")</v>
      </c>
      <c r="C567" s="699" t="s">
        <v>364</v>
      </c>
      <c r="D567" s="281">
        <f>'корпоративный баланс энергии'!J576+'корпоративный баланс энергии'!M576+'корпоративный баланс энергии'!P576</f>
        <v>1.5899999999999999</v>
      </c>
      <c r="E567" s="246"/>
      <c r="F567" s="282"/>
      <c r="G567" s="244">
        <f>'корпоративный баланс энергии'!S576+'корпоративный баланс энергии'!V576+'корпоративный баланс энергии'!Y576</f>
        <v>4.1899999999999995</v>
      </c>
      <c r="H567" s="246"/>
      <c r="I567" s="282"/>
      <c r="J567" s="244">
        <f>'корпоративный баланс энергии'!AB576+'корпоративный баланс энергии'!AE576+'корпоративный баланс энергии'!AH576</f>
        <v>3.48</v>
      </c>
      <c r="K567" s="246"/>
      <c r="L567" s="282"/>
      <c r="M567" s="244">
        <f>'корпоративный баланс энергии'!AK576+'корпоративный баланс энергии'!AN576+'корпоративный баланс энергии'!AQ576</f>
        <v>0.27</v>
      </c>
      <c r="N567" s="246"/>
      <c r="O567" s="282"/>
      <c r="P567" s="244">
        <f t="shared" si="30"/>
        <v>9.5299999999999994</v>
      </c>
      <c r="Q567" s="246"/>
      <c r="R567" s="282"/>
      <c r="S567" s="368"/>
      <c r="T567" s="368"/>
    </row>
    <row r="568" spans="2:20" s="109" customFormat="1">
      <c r="B568" s="122" t="str">
        <f>'корпоративный баланс энергии'!H577</f>
        <v>Калмыкская СЭС (ООО "Солар Системс")</v>
      </c>
      <c r="C568" s="699" t="s">
        <v>364</v>
      </c>
      <c r="D568" s="281">
        <f>'корпоративный баланс энергии'!J577+'корпоративный баланс энергии'!M577+'корпоративный баланс энергии'!P577</f>
        <v>0</v>
      </c>
      <c r="E568" s="246"/>
      <c r="F568" s="282"/>
      <c r="G568" s="244">
        <f>'корпоративный баланс энергии'!S577+'корпоративный баланс энергии'!V577+'корпоративный баланс энергии'!Y577</f>
        <v>7.67</v>
      </c>
      <c r="H568" s="246"/>
      <c r="I568" s="282"/>
      <c r="J568" s="244">
        <f>'корпоративный баланс энергии'!AB577+'корпоративный баланс энергии'!AE577+'корпоративный баланс энергии'!AH577</f>
        <v>11.1</v>
      </c>
      <c r="K568" s="246"/>
      <c r="L568" s="282"/>
      <c r="M568" s="244">
        <f>'корпоративный баланс энергии'!AK577+'корпоративный баланс энергии'!AN577+'корпоративный баланс энергии'!AQ577</f>
        <v>4.8500000000000005</v>
      </c>
      <c r="N568" s="246"/>
      <c r="O568" s="282"/>
      <c r="P568" s="244">
        <f t="shared" si="30"/>
        <v>23.62</v>
      </c>
      <c r="Q568" s="246"/>
      <c r="R568" s="282"/>
      <c r="S568" s="368"/>
      <c r="T568" s="368"/>
    </row>
    <row r="569" spans="2:20" s="109" customFormat="1">
      <c r="B569" s="122" t="str">
        <f>'корпоративный баланс энергии'!H578</f>
        <v>СЭС Сигма Дракона (ООО "Санлайн Энерджи")</v>
      </c>
      <c r="C569" s="699" t="s">
        <v>364</v>
      </c>
      <c r="D569" s="281">
        <f>'корпоративный баланс энергии'!J578+'корпоративный баланс энергии'!M578+'корпоративный баланс энергии'!P578</f>
        <v>0</v>
      </c>
      <c r="E569" s="246"/>
      <c r="F569" s="282"/>
      <c r="G569" s="244">
        <f>'корпоративный баланс энергии'!S578+'корпоративный баланс энергии'!V578+'корпоративный баланс энергии'!Y578</f>
        <v>0</v>
      </c>
      <c r="H569" s="246"/>
      <c r="I569" s="282"/>
      <c r="J569" s="244">
        <f>'корпоративный баланс энергии'!AB578+'корпоративный баланс энергии'!AE578+'корпоративный баланс энергии'!AH578</f>
        <v>0</v>
      </c>
      <c r="K569" s="246"/>
      <c r="L569" s="282"/>
      <c r="M569" s="244">
        <f>'корпоративный баланс энергии'!AK578+'корпоративный баланс энергии'!AN578+'корпоративный баланс энергии'!AQ578</f>
        <v>2.91</v>
      </c>
      <c r="N569" s="246"/>
      <c r="O569" s="282"/>
      <c r="P569" s="244">
        <f t="shared" si="30"/>
        <v>2.91</v>
      </c>
      <c r="Q569" s="246"/>
      <c r="R569" s="282"/>
      <c r="S569" s="368"/>
      <c r="T569" s="368"/>
    </row>
    <row r="570" spans="2:20" s="24" customFormat="1">
      <c r="B570" s="138" t="s">
        <v>174</v>
      </c>
      <c r="C570" s="488"/>
      <c r="D570" s="287">
        <f>SUM(D571:D575)</f>
        <v>55.01</v>
      </c>
      <c r="E570" s="288"/>
      <c r="F570" s="289"/>
      <c r="G570" s="287">
        <f>SUM(G571:G575)</f>
        <v>42.239999999999995</v>
      </c>
      <c r="H570" s="288"/>
      <c r="I570" s="289"/>
      <c r="J570" s="287">
        <f>SUM(J571:J575)</f>
        <v>41.470000000000006</v>
      </c>
      <c r="K570" s="288"/>
      <c r="L570" s="289"/>
      <c r="M570" s="287">
        <f>SUM(M571:M575)</f>
        <v>50.85</v>
      </c>
      <c r="N570" s="288"/>
      <c r="O570" s="289"/>
      <c r="P570" s="287">
        <f>SUM(P571:P575)</f>
        <v>189.57</v>
      </c>
      <c r="Q570" s="288"/>
      <c r="R570" s="289"/>
      <c r="S570" s="357"/>
      <c r="T570" s="357"/>
    </row>
    <row r="571" spans="2:20" s="24" customFormat="1">
      <c r="B571" s="135" t="str">
        <f>'корпоративный баланс энергии'!H580</f>
        <v>ТЭЦ ОАО "БСК" (Башкирский содовый комбинат)</v>
      </c>
      <c r="C571" s="701" t="s">
        <v>365</v>
      </c>
      <c r="D571" s="293">
        <f>'корпоративный баланс энергии'!J580+'корпоративный баланс энергии'!M580+'корпоративный баланс энергии'!P580</f>
        <v>35.1</v>
      </c>
      <c r="E571" s="288"/>
      <c r="F571" s="289"/>
      <c r="G571" s="294">
        <f>'корпоративный баланс энергии'!S580+'корпоративный баланс энергии'!V580+'корпоративный баланс энергии'!Y580</f>
        <v>25</v>
      </c>
      <c r="H571" s="288"/>
      <c r="I571" s="289"/>
      <c r="J571" s="294">
        <f>'корпоративный баланс энергии'!AB580+'корпоративный баланс энергии'!AE580+'корпоративный баланс энергии'!AH580</f>
        <v>25.200000000000003</v>
      </c>
      <c r="K571" s="288"/>
      <c r="L571" s="289"/>
      <c r="M571" s="294">
        <f>'корпоративный баланс энергии'!AK580+'корпоративный баланс энергии'!AN580+'корпоративный баланс энергии'!AQ580</f>
        <v>31.7</v>
      </c>
      <c r="N571" s="288"/>
      <c r="O571" s="289"/>
      <c r="P571" s="294">
        <f>D571+G571+J571+M571</f>
        <v>117.00000000000001</v>
      </c>
      <c r="Q571" s="288"/>
      <c r="R571" s="289"/>
      <c r="S571" s="357"/>
      <c r="T571" s="357"/>
    </row>
    <row r="572" spans="2:20" s="24" customFormat="1">
      <c r="B572" s="135" t="str">
        <f>'корпоративный баланс энергии'!H581</f>
        <v>ГТУ совхоза "Алексеевский"</v>
      </c>
      <c r="C572" s="518" t="s">
        <v>365</v>
      </c>
      <c r="D572" s="293">
        <f>'корпоративный баланс энергии'!J581+'корпоративный баланс энергии'!M581+'корпоративный баланс энергии'!P581</f>
        <v>0</v>
      </c>
      <c r="E572" s="288"/>
      <c r="F572" s="289"/>
      <c r="G572" s="294">
        <f>'корпоративный баланс энергии'!S581+'корпоративный баланс энергии'!V581+'корпоративный баланс энергии'!Y581</f>
        <v>0</v>
      </c>
      <c r="H572" s="288"/>
      <c r="I572" s="289"/>
      <c r="J572" s="294">
        <f>'корпоративный баланс энергии'!AB581+'корпоративный баланс энергии'!AE581+'корпоративный баланс энергии'!AH581</f>
        <v>0</v>
      </c>
      <c r="K572" s="288"/>
      <c r="L572" s="289"/>
      <c r="M572" s="294">
        <f>'корпоративный баланс энергии'!AK581+'корпоративный баланс энергии'!AN581+'корпоративный баланс энергии'!AQ581</f>
        <v>0</v>
      </c>
      <c r="N572" s="288"/>
      <c r="O572" s="289"/>
      <c r="P572" s="294">
        <f>D572+G572+J572+M572</f>
        <v>0</v>
      </c>
      <c r="Q572" s="288"/>
      <c r="R572" s="289"/>
      <c r="S572" s="357"/>
      <c r="T572" s="357"/>
    </row>
    <row r="573" spans="2:20" s="24" customFormat="1">
      <c r="B573" s="135" t="str">
        <f>'корпоративный баланс энергии'!H582</f>
        <v>ГПЭС "Метели"</v>
      </c>
      <c r="C573" s="518" t="s">
        <v>365</v>
      </c>
      <c r="D573" s="293">
        <f>'корпоративный баланс энергии'!J582+'корпоративный баланс энергии'!M582+'корпоративный баланс энергии'!P582</f>
        <v>16.959999999999997</v>
      </c>
      <c r="E573" s="288"/>
      <c r="F573" s="289"/>
      <c r="G573" s="294">
        <f>'корпоративный баланс энергии'!S582+'корпоративный баланс энергии'!V582+'корпоративный баланс энергии'!Y582</f>
        <v>14.430000000000001</v>
      </c>
      <c r="H573" s="288"/>
      <c r="I573" s="289"/>
      <c r="J573" s="294">
        <f>'корпоративный баланс энергии'!AB582+'корпоративный баланс энергии'!AE582+'корпоративный баланс энергии'!AH582</f>
        <v>13.59</v>
      </c>
      <c r="K573" s="288"/>
      <c r="L573" s="289"/>
      <c r="M573" s="294">
        <f>'корпоративный баланс энергии'!AK582+'корпоративный баланс энергии'!AN582+'корпоративный баланс энергии'!AQ582</f>
        <v>16.450000000000003</v>
      </c>
      <c r="N573" s="288"/>
      <c r="O573" s="289"/>
      <c r="P573" s="294">
        <f t="shared" ref="P573:P574" si="31">D573+G573+J573+M573</f>
        <v>61.430000000000007</v>
      </c>
      <c r="Q573" s="288"/>
      <c r="R573" s="289"/>
      <c r="S573" s="357"/>
      <c r="T573" s="357"/>
    </row>
    <row r="574" spans="2:20" s="24" customFormat="1">
      <c r="B574" s="135" t="str">
        <f>'корпоративный баланс энергии'!H583</f>
        <v>БКЭС "Искра"</v>
      </c>
      <c r="C574" s="518" t="s">
        <v>365</v>
      </c>
      <c r="D574" s="293">
        <f>'корпоративный баланс энергии'!J583+'корпоративный баланс энергии'!M583+'корпоративный баланс энергии'!P583</f>
        <v>1.47</v>
      </c>
      <c r="E574" s="288"/>
      <c r="F574" s="289"/>
      <c r="G574" s="294">
        <f>'корпоративный баланс энергии'!S583+'корпоративный баланс энергии'!V583+'корпоративный баланс энергии'!Y583</f>
        <v>1.48</v>
      </c>
      <c r="H574" s="288"/>
      <c r="I574" s="289"/>
      <c r="J574" s="294">
        <f>'корпоративный баланс энергии'!AB583+'корпоративный баланс энергии'!AE583+'корпоративный баланс энергии'!AH583</f>
        <v>1.47</v>
      </c>
      <c r="K574" s="288"/>
      <c r="L574" s="289"/>
      <c r="M574" s="294">
        <f>'корпоративный баланс энергии'!AK583+'корпоративный баланс энергии'!AN583+'корпоративный баланс энергии'!AQ583</f>
        <v>1.47</v>
      </c>
      <c r="N574" s="288"/>
      <c r="O574" s="289"/>
      <c r="P574" s="294">
        <f t="shared" si="31"/>
        <v>5.89</v>
      </c>
      <c r="Q574" s="288"/>
      <c r="R574" s="289"/>
      <c r="S574" s="357"/>
      <c r="T574" s="357"/>
    </row>
    <row r="575" spans="2:20" s="24" customFormat="1">
      <c r="B575" s="135" t="str">
        <f>'корпоративный баланс энергии'!H584</f>
        <v>БКЭС "Ильино"</v>
      </c>
      <c r="C575" s="518" t="s">
        <v>365</v>
      </c>
      <c r="D575" s="293">
        <f>'корпоративный баланс энергии'!J584+'корпоративный баланс энергии'!M584+'корпоративный баланс энергии'!P584</f>
        <v>1.48</v>
      </c>
      <c r="E575" s="288"/>
      <c r="F575" s="289"/>
      <c r="G575" s="294">
        <f>'корпоративный баланс энергии'!S584+'корпоративный баланс энергии'!V584+'корпоративный баланс энергии'!Y584</f>
        <v>1.33</v>
      </c>
      <c r="H575" s="288"/>
      <c r="I575" s="289"/>
      <c r="J575" s="294">
        <f>'корпоративный баланс энергии'!AB584+'корпоративный баланс энергии'!AE584+'корпоративный баланс энергии'!AH584</f>
        <v>1.21</v>
      </c>
      <c r="K575" s="288"/>
      <c r="L575" s="289"/>
      <c r="M575" s="294">
        <f>'корпоративный баланс энергии'!AK584+'корпоративный баланс энергии'!AN584+'корпоративный баланс энергии'!AQ584</f>
        <v>1.23</v>
      </c>
      <c r="N575" s="288"/>
      <c r="O575" s="289"/>
      <c r="P575" s="294">
        <f>D575+G575+J575+M575</f>
        <v>5.25</v>
      </c>
      <c r="Q575" s="288"/>
      <c r="R575" s="289"/>
      <c r="S575" s="357"/>
      <c r="T575" s="357"/>
    </row>
    <row r="576" spans="2:20" s="24" customFormat="1" ht="18.75">
      <c r="B576" s="473" t="str">
        <f>'корпоративный баланс энергии'!H585</f>
        <v>Энергосистема Кировской области</v>
      </c>
      <c r="C576" s="495"/>
      <c r="D576" s="274">
        <f>SUM(D577:D578)</f>
        <v>1430.5610000000001</v>
      </c>
      <c r="E576" s="275">
        <f>F576-D576</f>
        <v>582.35723915417202</v>
      </c>
      <c r="F576" s="276">
        <f>'корпоративный баланс энергии'!L585+'корпоративный баланс энергии'!O585+'корпоративный баланс энергии'!R585</f>
        <v>2012.9182391541722</v>
      </c>
      <c r="G576" s="274">
        <f>SUM(G577:G578)</f>
        <v>987.66056000000003</v>
      </c>
      <c r="H576" s="275">
        <f>I576-G576</f>
        <v>691.36611087820097</v>
      </c>
      <c r="I576" s="276">
        <f>'корпоративный баланс энергии'!U585+'корпоративный баланс энергии'!X585+'корпоративный баланс энергии'!AA585</f>
        <v>1679.026670878201</v>
      </c>
      <c r="J576" s="274">
        <f>SUM(J577:J578)</f>
        <v>833.83100000000013</v>
      </c>
      <c r="K576" s="275">
        <f>L576-J576</f>
        <v>781.51476321766063</v>
      </c>
      <c r="L576" s="276">
        <f>'корпоративный баланс энергии'!AD585+'корпоративный баланс энергии'!AG585+'корпоративный баланс энергии'!AJ585</f>
        <v>1615.3457632176608</v>
      </c>
      <c r="M576" s="274">
        <f>SUM(M577:M578)</f>
        <v>1316.58</v>
      </c>
      <c r="N576" s="275">
        <f>O576-M576</f>
        <v>671.88346922498567</v>
      </c>
      <c r="O576" s="276">
        <f>'корпоративный баланс энергии'!AM585+'корпоративный баланс энергии'!AP585+'корпоративный баланс энергии'!AS585</f>
        <v>1988.4634692249856</v>
      </c>
      <c r="P576" s="274">
        <f>SUM(P577:P578)</f>
        <v>4568.63256</v>
      </c>
      <c r="Q576" s="275">
        <f>R576-P576</f>
        <v>2727.1215824750197</v>
      </c>
      <c r="R576" s="276">
        <f>F576+I576+L576+O576</f>
        <v>7295.7541424750198</v>
      </c>
      <c r="S576" s="357"/>
      <c r="T576" s="357"/>
    </row>
    <row r="577" spans="2:20" s="24" customFormat="1">
      <c r="B577" s="124" t="s">
        <v>56</v>
      </c>
      <c r="C577" s="497"/>
      <c r="D577" s="362">
        <f>D579+D580+D583+D587</f>
        <v>1424.8610000000001</v>
      </c>
      <c r="E577" s="363"/>
      <c r="F577" s="364"/>
      <c r="G577" s="362">
        <f>G579+G580+G583+G587</f>
        <v>984.96055999999999</v>
      </c>
      <c r="H577" s="363"/>
      <c r="I577" s="364"/>
      <c r="J577" s="362">
        <f>J579+J580+J583+J587</f>
        <v>831.73100000000011</v>
      </c>
      <c r="K577" s="363"/>
      <c r="L577" s="364"/>
      <c r="M577" s="362">
        <f>M579+M580+M583+M587</f>
        <v>1312.28</v>
      </c>
      <c r="N577" s="363"/>
      <c r="O577" s="364"/>
      <c r="P577" s="362">
        <f>P579+P580+P583+P587</f>
        <v>4553.8325599999998</v>
      </c>
      <c r="Q577" s="363"/>
      <c r="R577" s="364"/>
      <c r="S577" s="357"/>
      <c r="T577" s="357"/>
    </row>
    <row r="578" spans="2:20" s="24" customFormat="1">
      <c r="B578" s="124" t="s">
        <v>99</v>
      </c>
      <c r="C578" s="497"/>
      <c r="D578" s="362">
        <f>D588</f>
        <v>5.7</v>
      </c>
      <c r="E578" s="363"/>
      <c r="F578" s="364"/>
      <c r="G578" s="362">
        <f>G588</f>
        <v>2.7</v>
      </c>
      <c r="H578" s="363"/>
      <c r="I578" s="364"/>
      <c r="J578" s="362">
        <f>J588</f>
        <v>2.1</v>
      </c>
      <c r="K578" s="363"/>
      <c r="L578" s="364"/>
      <c r="M578" s="362">
        <f>M588</f>
        <v>4.3</v>
      </c>
      <c r="N578" s="363"/>
      <c r="O578" s="364"/>
      <c r="P578" s="362">
        <f>P588</f>
        <v>14.8</v>
      </c>
      <c r="Q578" s="363"/>
      <c r="R578" s="364"/>
      <c r="S578" s="357"/>
      <c r="T578" s="357"/>
    </row>
    <row r="579" spans="2:20" s="24" customFormat="1">
      <c r="B579" s="123" t="str">
        <f>'корпоративный баланс энергии'!H588</f>
        <v>Кировская ТЭЦ-1 (Кировский филиал ПАО "Т Плюс")</v>
      </c>
      <c r="C579" s="519" t="s">
        <v>365</v>
      </c>
      <c r="D579" s="281">
        <f>'корпоративный баланс энергии'!J588+'корпоративный баланс энергии'!M588+'корпоративный баланс энергии'!P588</f>
        <v>14.454000000000001</v>
      </c>
      <c r="E579" s="246"/>
      <c r="F579" s="282"/>
      <c r="G579" s="244">
        <f>'корпоративный баланс энергии'!S588+'корпоративный баланс энергии'!V588+'корпоративный баланс энергии'!Y588</f>
        <v>3.9899999999999993</v>
      </c>
      <c r="H579" s="246"/>
      <c r="I579" s="282"/>
      <c r="J579" s="244">
        <f>'корпоративный баланс энергии'!AB588+'корпоративный баланс энергии'!AE588+'корпоративный баланс энергии'!AH588</f>
        <v>2.9690000000000003</v>
      </c>
      <c r="K579" s="246"/>
      <c r="L579" s="282"/>
      <c r="M579" s="244">
        <f>'корпоративный баланс энергии'!AK588+'корпоративный баланс энергии'!AN588+'корпоративный баланс энергии'!AQ588</f>
        <v>13.559999999999999</v>
      </c>
      <c r="N579" s="246"/>
      <c r="O579" s="282"/>
      <c r="P579" s="244">
        <f>D579+G579+J579+M579</f>
        <v>34.972999999999999</v>
      </c>
      <c r="Q579" s="246"/>
      <c r="R579" s="282"/>
      <c r="S579" s="357"/>
      <c r="T579" s="357"/>
    </row>
    <row r="580" spans="2:20" s="24" customFormat="1">
      <c r="B580" s="132" t="str">
        <f>'корпоративный баланс энергии'!H589</f>
        <v>Кировская ТЭЦ-3 (Кировский филиал ПАО "Т Плюс")</v>
      </c>
      <c r="C580" s="516" t="s">
        <v>364</v>
      </c>
      <c r="D580" s="317">
        <f>D581+D582</f>
        <v>438.22800000000001</v>
      </c>
      <c r="E580" s="246"/>
      <c r="F580" s="282"/>
      <c r="G580" s="317">
        <f>G581+G582</f>
        <v>407.19175999999999</v>
      </c>
      <c r="H580" s="246"/>
      <c r="I580" s="282"/>
      <c r="J580" s="317">
        <f>J581+J582</f>
        <v>338.27200000000005</v>
      </c>
      <c r="K580" s="246"/>
      <c r="L580" s="282"/>
      <c r="M580" s="317">
        <f>M581+M582</f>
        <v>405.66800000000001</v>
      </c>
      <c r="N580" s="246"/>
      <c r="O580" s="282"/>
      <c r="P580" s="317">
        <f>P581+P582</f>
        <v>1589.3597599999998</v>
      </c>
      <c r="Q580" s="246"/>
      <c r="R580" s="282"/>
      <c r="S580" s="357"/>
      <c r="T580" s="357"/>
    </row>
    <row r="581" spans="2:20" s="24" customFormat="1">
      <c r="B581" s="127" t="str">
        <f>'корпоративный баланс энергии'!H590</f>
        <v>Кировская ТЭЦ3 (Кировский филиал ПАО "Т Плюс") без ДПМ/НВ/ВР</v>
      </c>
      <c r="C581" s="487"/>
      <c r="D581" s="281">
        <f>'корпоративный баланс энергии'!J590+'корпоративный баланс энергии'!M590+'корпоративный баланс энергии'!P590</f>
        <v>47.411999999999999</v>
      </c>
      <c r="E581" s="246"/>
      <c r="F581" s="282"/>
      <c r="G581" s="244">
        <f>'корпоративный баланс энергии'!S590+'корпоративный баланс энергии'!V590+'корпоративный баланс энергии'!Y590</f>
        <v>32.049999999999997</v>
      </c>
      <c r="H581" s="246"/>
      <c r="I581" s="282"/>
      <c r="J581" s="244">
        <f>'корпоративный баланс энергии'!AB590+'корпоративный баланс энергии'!AE590+'корпоративный баланс энергии'!AH590</f>
        <v>43.744</v>
      </c>
      <c r="K581" s="246"/>
      <c r="L581" s="282"/>
      <c r="M581" s="244">
        <f>'корпоративный баланс энергии'!AK590+'корпоративный баланс энергии'!AN590+'корпоративный баланс энергии'!AQ590</f>
        <v>43.164000000000001</v>
      </c>
      <c r="N581" s="246"/>
      <c r="O581" s="282"/>
      <c r="P581" s="244">
        <f>D581+G581+J581+M581</f>
        <v>166.37</v>
      </c>
      <c r="Q581" s="246"/>
      <c r="R581" s="282"/>
      <c r="S581" s="357"/>
      <c r="T581" s="357"/>
    </row>
    <row r="582" spans="2:20" s="24" customFormat="1">
      <c r="B582" s="127" t="str">
        <f>'корпоративный баланс энергии'!H591</f>
        <v>Кировская ТЭЦ-3 (Кировский филиал ПАО "Т Плюс") ПГУ БЛ-1 ДПМ</v>
      </c>
      <c r="C582" s="487"/>
      <c r="D582" s="281">
        <f>'корпоративный баланс энергии'!J591+'корпоративный баланс энергии'!M591+'корпоративный баланс энергии'!P591</f>
        <v>390.81600000000003</v>
      </c>
      <c r="E582" s="246"/>
      <c r="F582" s="282"/>
      <c r="G582" s="244">
        <f>'корпоративный баланс энергии'!S591+'корпоративный баланс энергии'!V591+'корпоративный баланс энергии'!Y591</f>
        <v>375.14175999999998</v>
      </c>
      <c r="H582" s="246"/>
      <c r="I582" s="282"/>
      <c r="J582" s="244">
        <f>'корпоративный баланс энергии'!AB591+'корпоративный баланс энергии'!AE591+'корпоративный баланс энергии'!AH591</f>
        <v>294.52800000000002</v>
      </c>
      <c r="K582" s="246"/>
      <c r="L582" s="282"/>
      <c r="M582" s="244">
        <f>'корпоративный баланс энергии'!AK591+'корпоративный баланс энергии'!AN591+'корпоративный баланс энергии'!AQ591</f>
        <v>362.50400000000002</v>
      </c>
      <c r="N582" s="246"/>
      <c r="O582" s="282"/>
      <c r="P582" s="244">
        <f>D582+G582+J582+M582</f>
        <v>1422.9897599999999</v>
      </c>
      <c r="Q582" s="246"/>
      <c r="R582" s="282"/>
      <c r="S582" s="357"/>
      <c r="T582" s="357"/>
    </row>
    <row r="583" spans="2:20" s="24" customFormat="1">
      <c r="B583" s="132" t="str">
        <f>'корпоративный баланс энергии'!H592</f>
        <v>Кировская ТЭЦ-4 (Кировский филиал ПАО "Т Плюс")</v>
      </c>
      <c r="C583" s="516" t="s">
        <v>364</v>
      </c>
      <c r="D583" s="317">
        <f>SUM(D584:D586)</f>
        <v>403.02800000000002</v>
      </c>
      <c r="E583" s="246"/>
      <c r="F583" s="282"/>
      <c r="G583" s="317">
        <f>SUM(G584:G586)</f>
        <v>230.54480000000001</v>
      </c>
      <c r="H583" s="246"/>
      <c r="I583" s="282"/>
      <c r="J583" s="317">
        <f>SUM(J584:J586)</f>
        <v>254.28000000000003</v>
      </c>
      <c r="K583" s="246"/>
      <c r="L583" s="282"/>
      <c r="M583" s="317">
        <f>SUM(M584:M586)</f>
        <v>384.36</v>
      </c>
      <c r="N583" s="246"/>
      <c r="O583" s="282"/>
      <c r="P583" s="317">
        <f>SUM(P584:P586)</f>
        <v>1272.2128</v>
      </c>
      <c r="Q583" s="246"/>
      <c r="R583" s="282"/>
      <c r="S583" s="357"/>
      <c r="T583" s="357"/>
    </row>
    <row r="584" spans="2:20" s="24" customFormat="1">
      <c r="B584" s="127" t="str">
        <f>'корпоративный баланс энергии'!H593</f>
        <v>Кировская ТЭЦ-4 (Кировский филиал ПАО "Т Плюс") ТГ 1,3-5 без ДПМ/НВ/ВР</v>
      </c>
      <c r="C584" s="487"/>
      <c r="D584" s="281">
        <f>'корпоративный баланс энергии'!J593+'корпоративный баланс энергии'!M593+'корпоративный баланс энергии'!P593</f>
        <v>90.718000000000004</v>
      </c>
      <c r="E584" s="246"/>
      <c r="F584" s="282"/>
      <c r="G584" s="244">
        <f>'корпоративный баланс энергии'!S593+'корпоративный баланс энергии'!V593+'корпоративный баланс энергии'!Y593</f>
        <v>54.357999999999997</v>
      </c>
      <c r="H584" s="246"/>
      <c r="I584" s="282"/>
      <c r="J584" s="244">
        <f>'корпоративный баланс энергии'!AB593+'корпоративный баланс энергии'!AE593+'корпоративный баланс энергии'!AH593</f>
        <v>46.2</v>
      </c>
      <c r="K584" s="246"/>
      <c r="L584" s="282"/>
      <c r="M584" s="244">
        <f>'корпоративный баланс энергии'!AK593+'корпоративный баланс энергии'!AN593+'корпоративный баланс энергии'!AQ593</f>
        <v>91.04</v>
      </c>
      <c r="N584" s="246"/>
      <c r="O584" s="282"/>
      <c r="P584" s="244">
        <f>D584+G584+J584+M584</f>
        <v>282.31600000000003</v>
      </c>
      <c r="Q584" s="246"/>
      <c r="R584" s="282"/>
      <c r="S584" s="357"/>
      <c r="T584" s="357"/>
    </row>
    <row r="585" spans="2:20" s="24" customFormat="1">
      <c r="B585" s="127" t="str">
        <f>'корпоративный баланс энергии'!H594</f>
        <v>Кировская ТЭЦ-4 (Кировский филиал ПАО "Т Плюс") ТГ 2 ДПМ 21.03.2014</v>
      </c>
      <c r="C585" s="487"/>
      <c r="D585" s="281">
        <f>'корпоративный баланс энергии'!J594+'корпоративный баланс энергии'!M594+'корпоративный баланс энергии'!P594</f>
        <v>132.72</v>
      </c>
      <c r="E585" s="246"/>
      <c r="F585" s="282"/>
      <c r="G585" s="244">
        <f>'корпоративный баланс энергии'!S594+'корпоративный баланс энергии'!V594+'корпоративный баланс энергии'!Y594</f>
        <v>24.2468</v>
      </c>
      <c r="H585" s="246"/>
      <c r="I585" s="282"/>
      <c r="J585" s="244">
        <f>'корпоративный баланс энергии'!AB594+'корпоративный баланс энергии'!AE594+'корпоративный баланс энергии'!AH594</f>
        <v>87.77000000000001</v>
      </c>
      <c r="K585" s="246"/>
      <c r="L585" s="282"/>
      <c r="M585" s="244">
        <f>'корпоративный баланс энергии'!AK594+'корпоративный баланс энергии'!AN594+'корпоративный баланс энергии'!AQ594</f>
        <v>114.36</v>
      </c>
      <c r="N585" s="246"/>
      <c r="O585" s="282"/>
      <c r="P585" s="244">
        <f>D585+G585+J585+M585</f>
        <v>359.09680000000003</v>
      </c>
      <c r="Q585" s="246"/>
      <c r="R585" s="282"/>
      <c r="S585" s="357"/>
      <c r="T585" s="357"/>
    </row>
    <row r="586" spans="2:20" s="24" customFormat="1">
      <c r="B586" s="127" t="str">
        <f>'корпоративный баланс энергии'!H595</f>
        <v>Кировская ТЭЦ-4 (Кировский филиал ПАО "Т Плюс") ТГ-6 ДПМ 12.12.2014</v>
      </c>
      <c r="C586" s="487"/>
      <c r="D586" s="281">
        <f>'корпоративный баланс энергии'!J595+'корпоративный баланс энергии'!M595+'корпоративный баланс энергии'!P595</f>
        <v>179.59</v>
      </c>
      <c r="E586" s="246"/>
      <c r="F586" s="282"/>
      <c r="G586" s="244">
        <f>'корпоративный баланс энергии'!S595+'корпоративный баланс энергии'!V595+'корпоративный баланс энергии'!Y595</f>
        <v>151.94</v>
      </c>
      <c r="H586" s="246"/>
      <c r="I586" s="282"/>
      <c r="J586" s="244">
        <f>'корпоративный баланс энергии'!AB595+'корпоративный баланс энергии'!AE595+'корпоративный баланс энергии'!AH595</f>
        <v>120.31</v>
      </c>
      <c r="K586" s="246"/>
      <c r="L586" s="282"/>
      <c r="M586" s="244">
        <f>'корпоративный баланс энергии'!AK595+'корпоративный баланс энергии'!AN595+'корпоративный баланс энергии'!AQ595</f>
        <v>178.95999999999998</v>
      </c>
      <c r="N586" s="246"/>
      <c r="O586" s="282"/>
      <c r="P586" s="244">
        <f>D586+G586+J586+M586</f>
        <v>630.79999999999995</v>
      </c>
      <c r="Q586" s="246"/>
      <c r="R586" s="282"/>
      <c r="S586" s="357"/>
      <c r="T586" s="357"/>
    </row>
    <row r="587" spans="2:20" s="24" customFormat="1">
      <c r="B587" s="127" t="str">
        <f>'корпоративный баланс энергии'!H596</f>
        <v>Кировская ТЭЦ-5 (Кировский филиал ПАО "Т Плюс")</v>
      </c>
      <c r="C587" s="516" t="s">
        <v>364</v>
      </c>
      <c r="D587" s="281">
        <f>'корпоративный баланс энергии'!J596+'корпоративный баланс энергии'!M596+'корпоративный баланс энергии'!P596</f>
        <v>569.15100000000007</v>
      </c>
      <c r="E587" s="246"/>
      <c r="F587" s="282"/>
      <c r="G587" s="244">
        <f>'корпоративный баланс энергии'!S596+'корпоративный баланс энергии'!V596+'корпоративный баланс энергии'!Y596</f>
        <v>343.23399999999998</v>
      </c>
      <c r="H587" s="246"/>
      <c r="I587" s="282"/>
      <c r="J587" s="244">
        <f>'корпоративный баланс энергии'!AB596+'корпоративный баланс энергии'!AE596+'корпоративный баланс энергии'!AH596</f>
        <v>236.21</v>
      </c>
      <c r="K587" s="246"/>
      <c r="L587" s="282"/>
      <c r="M587" s="244">
        <f>'корпоративный баланс энергии'!AK596+'корпоративный баланс энергии'!AN596+'корпоративный баланс энергии'!AQ596</f>
        <v>508.69200000000001</v>
      </c>
      <c r="N587" s="246"/>
      <c r="O587" s="282"/>
      <c r="P587" s="244">
        <f>D587+G587+J587+M587</f>
        <v>1657.287</v>
      </c>
      <c r="Q587" s="246"/>
      <c r="R587" s="282"/>
      <c r="S587" s="357"/>
      <c r="T587" s="357"/>
    </row>
    <row r="588" spans="2:20" s="24" customFormat="1">
      <c r="B588" s="138" t="s">
        <v>174</v>
      </c>
      <c r="C588" s="488"/>
      <c r="D588" s="287">
        <f>D589</f>
        <v>5.7</v>
      </c>
      <c r="E588" s="288"/>
      <c r="F588" s="289"/>
      <c r="G588" s="287">
        <f>G589</f>
        <v>2.7</v>
      </c>
      <c r="H588" s="288"/>
      <c r="I588" s="289"/>
      <c r="J588" s="287">
        <f>J589</f>
        <v>2.1</v>
      </c>
      <c r="K588" s="288"/>
      <c r="L588" s="289"/>
      <c r="M588" s="287">
        <f>M589</f>
        <v>4.3</v>
      </c>
      <c r="N588" s="288"/>
      <c r="O588" s="289"/>
      <c r="P588" s="287">
        <f>P589</f>
        <v>14.8</v>
      </c>
      <c r="Q588" s="288"/>
      <c r="R588" s="289"/>
      <c r="S588" s="357"/>
      <c r="T588" s="357"/>
    </row>
    <row r="589" spans="2:20" s="24" customFormat="1">
      <c r="B589" s="135" t="str">
        <f>'корпоративный баланс энергии'!H598</f>
        <v>ТЭЦ АО "Омутнинский металлургический завод"</v>
      </c>
      <c r="C589" s="518" t="s">
        <v>365</v>
      </c>
      <c r="D589" s="293">
        <f>'корпоративный баланс энергии'!J598+'корпоративный баланс энергии'!M598+'корпоративный баланс энергии'!P598</f>
        <v>5.7</v>
      </c>
      <c r="E589" s="288"/>
      <c r="F589" s="289"/>
      <c r="G589" s="294">
        <f>'корпоративный баланс энергии'!S598+'корпоративный баланс энергии'!V598+'корпоративный баланс энергии'!Y598</f>
        <v>2.7</v>
      </c>
      <c r="H589" s="288"/>
      <c r="I589" s="289"/>
      <c r="J589" s="294">
        <f>'корпоративный баланс энергии'!AB598+'корпоративный баланс энергии'!AE598+'корпоративный баланс энергии'!AH598</f>
        <v>2.1</v>
      </c>
      <c r="K589" s="288"/>
      <c r="L589" s="289"/>
      <c r="M589" s="294">
        <f>'корпоративный баланс энергии'!AK598+'корпоративный баланс энергии'!AN598+'корпоративный баланс энергии'!AQ598</f>
        <v>4.3</v>
      </c>
      <c r="N589" s="288"/>
      <c r="O589" s="289"/>
      <c r="P589" s="294">
        <f>D589+G589+J589+M589</f>
        <v>14.8</v>
      </c>
      <c r="Q589" s="288"/>
      <c r="R589" s="289"/>
      <c r="S589" s="357"/>
      <c r="T589" s="357"/>
    </row>
    <row r="590" spans="2:20" s="24" customFormat="1" ht="18.75">
      <c r="B590" s="473" t="str">
        <f>'корпоративный баланс энергии'!H599</f>
        <v>Энергосистема Курганской области</v>
      </c>
      <c r="C590" s="495"/>
      <c r="D590" s="274">
        <f>SUM(D591:D592)</f>
        <v>998.71899999999994</v>
      </c>
      <c r="E590" s="275">
        <f>F590-D590</f>
        <v>308.6277296426257</v>
      </c>
      <c r="F590" s="276">
        <f>'корпоративный баланс энергии'!L599+'корпоративный баланс энергии'!O599+'корпоративный баланс энергии'!R599</f>
        <v>1307.3467296426256</v>
      </c>
      <c r="G590" s="274">
        <f>SUM(G591:G592)</f>
        <v>570.93000000000006</v>
      </c>
      <c r="H590" s="275">
        <f>I590-G590</f>
        <v>436.43041826898627</v>
      </c>
      <c r="I590" s="276">
        <f>'корпоративный баланс энергии'!U599+'корпоративный баланс энергии'!X599+'корпоративный баланс энергии'!AA599</f>
        <v>1007.3604182689863</v>
      </c>
      <c r="J590" s="274">
        <f>SUM(J591:J592)</f>
        <v>729.57299999999987</v>
      </c>
      <c r="K590" s="275">
        <f>L590-J590</f>
        <v>226.93599473347354</v>
      </c>
      <c r="L590" s="276">
        <f>'корпоративный баланс энергии'!AD599+'корпоративный баланс энергии'!AG599+'корпоративный баланс энергии'!AJ599</f>
        <v>956.5089947334734</v>
      </c>
      <c r="M590" s="274">
        <f>SUM(M591:M592)</f>
        <v>915.04</v>
      </c>
      <c r="N590" s="275">
        <f>O590-M590</f>
        <v>347.74385735491546</v>
      </c>
      <c r="O590" s="276">
        <f>'корпоративный баланс энергии'!AM599+'корпоративный баланс энергии'!AP599+'корпоративный баланс энергии'!AS599</f>
        <v>1262.7838573549154</v>
      </c>
      <c r="P590" s="274">
        <f>SUM(P591:P592)</f>
        <v>3214.2619999999997</v>
      </c>
      <c r="Q590" s="275">
        <f>R590-P590</f>
        <v>1319.7380000000012</v>
      </c>
      <c r="R590" s="276">
        <f>F590+I590+L590+O590</f>
        <v>4534.0000000000009</v>
      </c>
      <c r="S590" s="357"/>
      <c r="T590" s="357"/>
    </row>
    <row r="591" spans="2:20" s="24" customFormat="1">
      <c r="B591" s="124" t="s">
        <v>56</v>
      </c>
      <c r="C591" s="497"/>
      <c r="D591" s="362">
        <f>SUM(D593:D595)</f>
        <v>984.41899999999998</v>
      </c>
      <c r="E591" s="363"/>
      <c r="F591" s="364"/>
      <c r="G591" s="362">
        <f>SUM(G593:G595)</f>
        <v>560.48</v>
      </c>
      <c r="H591" s="363"/>
      <c r="I591" s="364"/>
      <c r="J591" s="362">
        <f>SUM(J593:J595)</f>
        <v>719.57299999999987</v>
      </c>
      <c r="K591" s="363"/>
      <c r="L591" s="364"/>
      <c r="M591" s="362">
        <f>SUM(M593:M595)</f>
        <v>901.58999999999992</v>
      </c>
      <c r="N591" s="363"/>
      <c r="O591" s="364"/>
      <c r="P591" s="362">
        <f>SUM(P593:P595)</f>
        <v>3166.0619999999999</v>
      </c>
      <c r="Q591" s="363"/>
      <c r="R591" s="364"/>
      <c r="S591" s="357"/>
      <c r="T591" s="357"/>
    </row>
    <row r="592" spans="2:20" s="110" customFormat="1">
      <c r="B592" s="124" t="s">
        <v>99</v>
      </c>
      <c r="C592" s="497"/>
      <c r="D592" s="362">
        <f>D596</f>
        <v>14.3</v>
      </c>
      <c r="E592" s="363"/>
      <c r="F592" s="364"/>
      <c r="G592" s="362">
        <f>G596</f>
        <v>10.450000000000001</v>
      </c>
      <c r="H592" s="363"/>
      <c r="I592" s="364"/>
      <c r="J592" s="362">
        <f>J596</f>
        <v>10</v>
      </c>
      <c r="K592" s="363"/>
      <c r="L592" s="364"/>
      <c r="M592" s="362">
        <f>M596</f>
        <v>13.45</v>
      </c>
      <c r="N592" s="363"/>
      <c r="O592" s="364"/>
      <c r="P592" s="362">
        <f>P596</f>
        <v>48.2</v>
      </c>
      <c r="Q592" s="363"/>
      <c r="R592" s="364"/>
      <c r="S592" s="356"/>
      <c r="T592" s="356"/>
    </row>
    <row r="593" spans="2:20" s="109" customFormat="1">
      <c r="B593" s="122" t="str">
        <f>'корпоративный баланс энергии'!H602</f>
        <v>Курганская ТЭЦ (ПАО "Курганская генерирующая компания")</v>
      </c>
      <c r="C593" s="516" t="s">
        <v>364</v>
      </c>
      <c r="D593" s="281">
        <f>'корпоративный баланс энергии'!J602+'корпоративный баланс энергии'!M602+'корпоративный баланс энергии'!P602</f>
        <v>461.58599999999996</v>
      </c>
      <c r="E593" s="246"/>
      <c r="F593" s="282"/>
      <c r="G593" s="244">
        <f>'корпоративный баланс энергии'!S602+'корпоративный баланс энергии'!V602+'корпоративный баланс энергии'!Y602</f>
        <v>275.65999999999997</v>
      </c>
      <c r="H593" s="246"/>
      <c r="I593" s="282"/>
      <c r="J593" s="244">
        <f>'корпоративный баланс энергии'!AB602+'корпоративный баланс энергии'!AE602+'корпоративный баланс энергии'!AH602</f>
        <v>278.66000000000003</v>
      </c>
      <c r="K593" s="246"/>
      <c r="L593" s="282"/>
      <c r="M593" s="244">
        <f>'корпоративный баланс энергии'!AK602+'корпоративный баланс энергии'!AN602+'корпоративный баланс энергии'!AQ602</f>
        <v>370.28</v>
      </c>
      <c r="N593" s="246"/>
      <c r="O593" s="282"/>
      <c r="P593" s="244">
        <f>D593+G593+J593+M593</f>
        <v>1386.1859999999999</v>
      </c>
      <c r="Q593" s="246"/>
      <c r="R593" s="282"/>
      <c r="S593" s="368"/>
      <c r="T593" s="368"/>
    </row>
    <row r="594" spans="2:20" s="109" customFormat="1">
      <c r="B594" s="122" t="str">
        <f>'корпоративный баланс энергии'!H603</f>
        <v>Курганская ТЭЦ - 2 (ООО "Курганская ТЭЦ") НВ</v>
      </c>
      <c r="C594" s="516" t="s">
        <v>364</v>
      </c>
      <c r="D594" s="281">
        <f>'корпоративный баланс энергии'!J603+'корпоративный баланс энергии'!M603+'корпоративный баланс энергии'!P603</f>
        <v>481.74</v>
      </c>
      <c r="E594" s="246"/>
      <c r="F594" s="282"/>
      <c r="G594" s="244">
        <f>'корпоративный баланс энергии'!S603+'корпоративный баланс энергии'!V603+'корпоративный баланс энергии'!Y603</f>
        <v>237.10000000000002</v>
      </c>
      <c r="H594" s="246"/>
      <c r="I594" s="282"/>
      <c r="J594" s="244">
        <f>'корпоративный баланс энергии'!AB603+'корпоративный баланс энергии'!AE603+'корпоративный баланс энергии'!AH603</f>
        <v>392.42999999999995</v>
      </c>
      <c r="K594" s="246"/>
      <c r="L594" s="282"/>
      <c r="M594" s="244">
        <f>'корпоративный баланс энергии'!AK603+'корпоративный баланс энергии'!AN603+'корпоративный баланс энергии'!AQ603</f>
        <v>485.62</v>
      </c>
      <c r="N594" s="246"/>
      <c r="O594" s="282"/>
      <c r="P594" s="244">
        <f>D594+G594+J594+M594</f>
        <v>1596.8899999999999</v>
      </c>
      <c r="Q594" s="246"/>
      <c r="R594" s="282"/>
      <c r="S594" s="368"/>
      <c r="T594" s="368"/>
    </row>
    <row r="595" spans="2:20" s="109" customFormat="1">
      <c r="B595" s="122" t="str">
        <f>'корпоративный баланс энергии'!H604</f>
        <v>Западная ТЭЦ (ПАО "Курганская генерирующая компания") НВ 01.03.2016</v>
      </c>
      <c r="C595" s="519" t="s">
        <v>365</v>
      </c>
      <c r="D595" s="281">
        <f>'корпоративный баланс энергии'!J604+'корпоративный баланс энергии'!M604+'корпоративный баланс энергии'!P604</f>
        <v>41.092999999999996</v>
      </c>
      <c r="E595" s="246"/>
      <c r="F595" s="282"/>
      <c r="G595" s="244">
        <f>'корпоративный баланс энергии'!S604+'корпоративный баланс энергии'!V604+'корпоративный баланс энергии'!Y604</f>
        <v>47.72</v>
      </c>
      <c r="H595" s="246"/>
      <c r="I595" s="282"/>
      <c r="J595" s="244">
        <f>'корпоративный баланс энергии'!AB604+'корпоративный баланс энергии'!AE604+'корпоративный баланс энергии'!AH604</f>
        <v>48.483000000000004</v>
      </c>
      <c r="K595" s="246"/>
      <c r="L595" s="282"/>
      <c r="M595" s="244">
        <f>'корпоративный баланс энергии'!AK604+'корпоративный баланс энергии'!AN604+'корпоративный баланс энергии'!AQ604</f>
        <v>45.69</v>
      </c>
      <c r="N595" s="246"/>
      <c r="O595" s="282"/>
      <c r="P595" s="244">
        <f>D595+G595+J595+M595</f>
        <v>182.98599999999999</v>
      </c>
      <c r="Q595" s="246"/>
      <c r="R595" s="282"/>
      <c r="S595" s="368"/>
      <c r="T595" s="368"/>
    </row>
    <row r="596" spans="2:20" s="109" customFormat="1">
      <c r="B596" s="138" t="s">
        <v>174</v>
      </c>
      <c r="C596" s="488"/>
      <c r="D596" s="287">
        <f>SUM(D597:D598)</f>
        <v>14.3</v>
      </c>
      <c r="E596" s="288"/>
      <c r="F596" s="289"/>
      <c r="G596" s="287">
        <f>SUM(G597:G598)</f>
        <v>10.450000000000001</v>
      </c>
      <c r="H596" s="288"/>
      <c r="I596" s="289"/>
      <c r="J596" s="287">
        <f>SUM(J597:J598)</f>
        <v>10</v>
      </c>
      <c r="K596" s="288"/>
      <c r="L596" s="289"/>
      <c r="M596" s="287">
        <f>SUM(M597:M598)</f>
        <v>13.45</v>
      </c>
      <c r="N596" s="288"/>
      <c r="O596" s="289"/>
      <c r="P596" s="287">
        <f>SUM(P597:P598)</f>
        <v>48.2</v>
      </c>
      <c r="Q596" s="288"/>
      <c r="R596" s="289"/>
      <c r="S596" s="368"/>
      <c r="T596" s="368"/>
    </row>
    <row r="597" spans="2:20" s="24" customFormat="1">
      <c r="B597" s="145" t="str">
        <f>'корпоративный баланс энергии'!H606</f>
        <v>ТЭЦ ШААЗ (ОАО "Шадринский автоагрегатный завод")</v>
      </c>
      <c r="C597" s="518" t="s">
        <v>365</v>
      </c>
      <c r="D597" s="293">
        <f>'корпоративный баланс энергии'!J606+'корпоративный баланс энергии'!M606+'корпоративный баланс энергии'!P606</f>
        <v>5.3999999999999995</v>
      </c>
      <c r="E597" s="288"/>
      <c r="F597" s="289"/>
      <c r="G597" s="294">
        <f>'корпоративный баланс энергии'!S606+'корпоративный баланс энергии'!V606+'корпоративный баланс энергии'!Y606</f>
        <v>1.55</v>
      </c>
      <c r="H597" s="288"/>
      <c r="I597" s="289"/>
      <c r="J597" s="294">
        <f>'корпоративный баланс энергии'!AB606+'корпоративный баланс энергии'!AE606+'корпоративный баланс энергии'!AH606</f>
        <v>1.0499999999999998</v>
      </c>
      <c r="K597" s="288"/>
      <c r="L597" s="289"/>
      <c r="M597" s="294">
        <f>'корпоративный баланс энергии'!AK606+'корпоративный баланс энергии'!AN606+'корпоративный баланс энергии'!AQ606</f>
        <v>4.5</v>
      </c>
      <c r="N597" s="288"/>
      <c r="O597" s="289"/>
      <c r="P597" s="294">
        <f>D597+G597+J597+M597</f>
        <v>12.5</v>
      </c>
      <c r="Q597" s="288"/>
      <c r="R597" s="289"/>
      <c r="S597" s="357"/>
      <c r="T597" s="357"/>
    </row>
    <row r="598" spans="2:20" s="24" customFormat="1">
      <c r="B598" s="145" t="str">
        <f>'корпоративный баланс энергии'!H607</f>
        <v>ГПЭС Энергоцентр "Далматовский"</v>
      </c>
      <c r="C598" s="689"/>
      <c r="D598" s="293">
        <f>'корпоративный баланс энергии'!J607+'корпоративный баланс энергии'!M607+'корпоративный баланс энергии'!P607</f>
        <v>8.9</v>
      </c>
      <c r="E598" s="288"/>
      <c r="F598" s="289"/>
      <c r="G598" s="294">
        <f>'корпоративный баланс энергии'!S607+'корпоративный баланс энергии'!V607+'корпоративный баланс энергии'!Y607</f>
        <v>8.9</v>
      </c>
      <c r="H598" s="288"/>
      <c r="I598" s="289"/>
      <c r="J598" s="294">
        <f>'корпоративный баланс энергии'!AB607+'корпоративный баланс энергии'!AE607+'корпоративный баланс энергии'!AH607</f>
        <v>8.9499999999999993</v>
      </c>
      <c r="K598" s="288"/>
      <c r="L598" s="289"/>
      <c r="M598" s="294">
        <f>'корпоративный баланс энергии'!AK607+'корпоративный баланс энергии'!AN607+'корпоративный баланс энергии'!AQ607</f>
        <v>8.9499999999999993</v>
      </c>
      <c r="N598" s="288"/>
      <c r="O598" s="289"/>
      <c r="P598" s="294">
        <f>D598+G598+J598+M598</f>
        <v>35.700000000000003</v>
      </c>
      <c r="Q598" s="288"/>
      <c r="R598" s="289"/>
      <c r="S598" s="357"/>
      <c r="T598" s="357"/>
    </row>
    <row r="599" spans="2:20" s="24" customFormat="1" ht="18.75">
      <c r="B599" s="473" t="str">
        <f>'корпоративный баланс энергии'!H608</f>
        <v>Энергосистема Оренбургской области</v>
      </c>
      <c r="C599" s="495"/>
      <c r="D599" s="274">
        <f>SUM(D600:D604)</f>
        <v>3446.0511812611085</v>
      </c>
      <c r="E599" s="275">
        <f>F599-D599</f>
        <v>927.07228609991762</v>
      </c>
      <c r="F599" s="276">
        <f>'корпоративный баланс энергии'!L608+'корпоративный баланс энергии'!O608+'корпоративный баланс энергии'!R608</f>
        <v>4373.1234673610261</v>
      </c>
      <c r="G599" s="274">
        <f>SUM(G600:G604)</f>
        <v>2838.407422574473</v>
      </c>
      <c r="H599" s="275">
        <f>I599-G599</f>
        <v>899.1337845449525</v>
      </c>
      <c r="I599" s="276">
        <f>'корпоративный баланс энергии'!U608+'корпоративный баланс энергии'!X608+'корпоративный баланс энергии'!AA608</f>
        <v>3737.5412071194255</v>
      </c>
      <c r="J599" s="274">
        <f>SUM(J600:J604)</f>
        <v>2820.9405709271955</v>
      </c>
      <c r="K599" s="275">
        <f>L599-J599</f>
        <v>955.79585422375249</v>
      </c>
      <c r="L599" s="276">
        <f>'корпоративный баланс энергии'!AD608+'корпоративный баланс энергии'!AG608+'корпоративный баланс энергии'!AJ608</f>
        <v>3776.736425150948</v>
      </c>
      <c r="M599" s="274">
        <f>SUM(M600:M604)</f>
        <v>3514.5300222718915</v>
      </c>
      <c r="N599" s="275">
        <f>O599-M599</f>
        <v>755.06887809670843</v>
      </c>
      <c r="O599" s="276">
        <f>'корпоративный баланс энергии'!AM608+'корпоративный баланс энергии'!AP608+'корпоративный баланс энергии'!AS608</f>
        <v>4269.5989003686</v>
      </c>
      <c r="P599" s="274">
        <f>SUM(P600:P604)</f>
        <v>12619.929197034668</v>
      </c>
      <c r="Q599" s="275">
        <f>R599-P599</f>
        <v>3537.0708029653324</v>
      </c>
      <c r="R599" s="276">
        <f>F599+I599+L599+O599</f>
        <v>16157</v>
      </c>
      <c r="S599" s="357"/>
      <c r="T599" s="357"/>
    </row>
    <row r="600" spans="2:20" s="24" customFormat="1">
      <c r="B600" s="124" t="s">
        <v>56</v>
      </c>
      <c r="C600" s="497"/>
      <c r="D600" s="362">
        <f>SUM(D605:D606)+SUM(D610:D612)</f>
        <v>2943.8734963333336</v>
      </c>
      <c r="E600" s="363"/>
      <c r="F600" s="364"/>
      <c r="G600" s="362">
        <f>SUM(G605:G606)+SUM(G610:G612)</f>
        <v>2482.8319390073857</v>
      </c>
      <c r="H600" s="363"/>
      <c r="I600" s="364"/>
      <c r="J600" s="362">
        <f>SUM(J605:J606)+SUM(J610:J612)</f>
        <v>2459.0283553333334</v>
      </c>
      <c r="K600" s="363"/>
      <c r="L600" s="364"/>
      <c r="M600" s="362">
        <f>SUM(M605:M606)+SUM(M610:M612)</f>
        <v>3077.6215906666666</v>
      </c>
      <c r="N600" s="363"/>
      <c r="O600" s="364"/>
      <c r="P600" s="362">
        <f>SUM(P605:P606)+SUM(P610:P612)</f>
        <v>10963.35538134072</v>
      </c>
      <c r="Q600" s="363"/>
      <c r="R600" s="364"/>
      <c r="S600" s="357"/>
      <c r="T600" s="357"/>
    </row>
    <row r="601" spans="2:20" s="24" customFormat="1">
      <c r="B601" s="124" t="s">
        <v>55</v>
      </c>
      <c r="C601" s="497"/>
      <c r="D601" s="362">
        <f>D613</f>
        <v>24.464483261108398</v>
      </c>
      <c r="E601" s="363"/>
      <c r="F601" s="364"/>
      <c r="G601" s="362">
        <f>G613</f>
        <v>20.220028400421143</v>
      </c>
      <c r="H601" s="363"/>
      <c r="I601" s="364"/>
      <c r="J601" s="362">
        <f>J613</f>
        <v>14.985085010528564</v>
      </c>
      <c r="K601" s="363"/>
      <c r="L601" s="364"/>
      <c r="M601" s="362">
        <f>M613</f>
        <v>14.334926605224609</v>
      </c>
      <c r="N601" s="363"/>
      <c r="O601" s="364"/>
      <c r="P601" s="362">
        <f>P613</f>
        <v>74.004523277282715</v>
      </c>
      <c r="Q601" s="363"/>
      <c r="R601" s="364"/>
      <c r="S601" s="357"/>
      <c r="T601" s="357"/>
    </row>
    <row r="602" spans="2:20" s="24" customFormat="1">
      <c r="B602" s="124" t="s">
        <v>347</v>
      </c>
      <c r="C602" s="497"/>
      <c r="D602" s="362">
        <f>SUM(D614:D629)</f>
        <v>67.093201666666658</v>
      </c>
      <c r="E602" s="363"/>
      <c r="F602" s="364"/>
      <c r="G602" s="362">
        <f>SUM(G614:G629)</f>
        <v>123.95545516666667</v>
      </c>
      <c r="H602" s="363"/>
      <c r="I602" s="364"/>
      <c r="J602" s="362">
        <f>SUM(J614:J629)</f>
        <v>136.82713058333331</v>
      </c>
      <c r="K602" s="363"/>
      <c r="L602" s="364"/>
      <c r="M602" s="362">
        <f>SUM(M614:M629)</f>
        <v>37.813504999999999</v>
      </c>
      <c r="N602" s="363"/>
      <c r="O602" s="364"/>
      <c r="P602" s="362">
        <f>SUM(P614:P629)</f>
        <v>365.68929241666672</v>
      </c>
      <c r="Q602" s="363"/>
      <c r="R602" s="364"/>
      <c r="S602" s="357"/>
      <c r="T602" s="357"/>
    </row>
    <row r="603" spans="2:20" s="24" customFormat="1">
      <c r="B603" s="124" t="s">
        <v>346</v>
      </c>
      <c r="C603" s="497"/>
      <c r="D603" s="362">
        <f>D630</f>
        <v>0.62000000000000011</v>
      </c>
      <c r="E603" s="363"/>
      <c r="F603" s="364"/>
      <c r="G603" s="362">
        <f>G630</f>
        <v>1.7</v>
      </c>
      <c r="H603" s="363"/>
      <c r="I603" s="364"/>
      <c r="J603" s="362">
        <f>J630</f>
        <v>2.2999999999999998</v>
      </c>
      <c r="K603" s="363"/>
      <c r="L603" s="364"/>
      <c r="M603" s="362">
        <f>M630</f>
        <v>1.7600000000000002</v>
      </c>
      <c r="N603" s="363"/>
      <c r="O603" s="364"/>
      <c r="P603" s="362">
        <f>P630</f>
        <v>6.3800000000000008</v>
      </c>
      <c r="Q603" s="363"/>
      <c r="R603" s="364"/>
      <c r="S603" s="357"/>
      <c r="T603" s="357"/>
    </row>
    <row r="604" spans="2:20" s="24" customFormat="1">
      <c r="B604" s="126" t="s">
        <v>99</v>
      </c>
      <c r="C604" s="500"/>
      <c r="D604" s="362">
        <f>D631</f>
        <v>410</v>
      </c>
      <c r="E604" s="363"/>
      <c r="F604" s="364"/>
      <c r="G604" s="362">
        <f>G631</f>
        <v>209.7</v>
      </c>
      <c r="H604" s="363"/>
      <c r="I604" s="364"/>
      <c r="J604" s="362">
        <f>J631</f>
        <v>207.8</v>
      </c>
      <c r="K604" s="363"/>
      <c r="L604" s="364"/>
      <c r="M604" s="362">
        <f>M631</f>
        <v>383</v>
      </c>
      <c r="N604" s="363"/>
      <c r="O604" s="364"/>
      <c r="P604" s="362">
        <f>P631</f>
        <v>1210.5</v>
      </c>
      <c r="Q604" s="363"/>
      <c r="R604" s="364"/>
      <c r="S604" s="357"/>
      <c r="T604" s="357"/>
    </row>
    <row r="605" spans="2:20" s="24" customFormat="1">
      <c r="B605" s="127" t="str">
        <f>'корпоративный баланс энергии'!H614</f>
        <v>Орская ТЭЦ-1 (Оренбургский филиал ПАО "Т Плюс")</v>
      </c>
      <c r="C605" s="516" t="s">
        <v>364</v>
      </c>
      <c r="D605" s="281">
        <f>'корпоративный баланс энергии'!J614+'корпоративный баланс энергии'!M614+'корпоративный баланс энергии'!P614</f>
        <v>365.54199999999997</v>
      </c>
      <c r="E605" s="246"/>
      <c r="F605" s="282"/>
      <c r="G605" s="244">
        <f>'корпоративный баланс энергии'!S614+'корпоративный баланс энергии'!V614+'корпоративный баланс энергии'!Y614</f>
        <v>146.91899999999998</v>
      </c>
      <c r="H605" s="246"/>
      <c r="I605" s="282"/>
      <c r="J605" s="244">
        <f>'корпоративный баланс энергии'!AB614+'корпоративный баланс энергии'!AE614+'корпоративный баланс энергии'!AH614</f>
        <v>136.92000000000002</v>
      </c>
      <c r="K605" s="246"/>
      <c r="L605" s="282"/>
      <c r="M605" s="244">
        <f>'корпоративный баланс энергии'!AK614+'корпоративный баланс энергии'!AN614+'корпоративный баланс энергии'!AQ614</f>
        <v>336.08100000000002</v>
      </c>
      <c r="N605" s="246"/>
      <c r="O605" s="282"/>
      <c r="P605" s="244">
        <f>D605+G605+J605+M605</f>
        <v>985.4620000000001</v>
      </c>
      <c r="Q605" s="246"/>
      <c r="R605" s="282"/>
      <c r="S605" s="357"/>
      <c r="T605" s="357"/>
    </row>
    <row r="606" spans="2:20" s="24" customFormat="1">
      <c r="B606" s="132" t="str">
        <f>'корпоративный баланс энергии'!H615</f>
        <v>Сакмарская ТЭЦ (Оренбургский филиал ПАО "Т Плюс")</v>
      </c>
      <c r="C606" s="516" t="s">
        <v>364</v>
      </c>
      <c r="D606" s="317">
        <f>SUM(D607:D609)</f>
        <v>759.25370300000009</v>
      </c>
      <c r="E606" s="246"/>
      <c r="F606" s="282"/>
      <c r="G606" s="317">
        <f>SUM(G607:G609)</f>
        <v>437.15217034071941</v>
      </c>
      <c r="H606" s="246"/>
      <c r="I606" s="282"/>
      <c r="J606" s="317">
        <f>SUM(J607:J609)</f>
        <v>308.5723733333333</v>
      </c>
      <c r="K606" s="246"/>
      <c r="L606" s="282"/>
      <c r="M606" s="317">
        <f>SUM(M607:M609)</f>
        <v>683.06280600000002</v>
      </c>
      <c r="N606" s="246"/>
      <c r="O606" s="282"/>
      <c r="P606" s="317">
        <f>SUM(P607:P609)</f>
        <v>2188.0410526740529</v>
      </c>
      <c r="Q606" s="246"/>
      <c r="R606" s="282"/>
      <c r="S606" s="357"/>
      <c r="T606" s="357"/>
    </row>
    <row r="607" spans="2:20" s="24" customFormat="1">
      <c r="B607" s="127" t="str">
        <f>'корпоративный баланс энергии'!H616</f>
        <v>Сакмарская ТЭЦ (Оренбургский филиал ПАО "Т Плюс") без ДПМ/НВ/ВР</v>
      </c>
      <c r="C607" s="516"/>
      <c r="D607" s="281">
        <f>'корпоративный баланс энергии'!J616+'корпоративный баланс энергии'!M616+'корпоративный баланс энергии'!P616</f>
        <v>526.58077700000001</v>
      </c>
      <c r="E607" s="246"/>
      <c r="F607" s="282"/>
      <c r="G607" s="244">
        <f>'корпоративный баланс энергии'!S616+'корпоративный баланс энергии'!V616+'корпоративный баланс энергии'!Y616</f>
        <v>295.27660634071941</v>
      </c>
      <c r="H607" s="246"/>
      <c r="I607" s="282"/>
      <c r="J607" s="244">
        <f>'корпоративный баланс энергии'!AB616+'корпоративный баланс энергии'!AE616+'корпоративный баланс энергии'!AH616</f>
        <v>177.9447403333333</v>
      </c>
      <c r="K607" s="246"/>
      <c r="L607" s="282"/>
      <c r="M607" s="244">
        <f>'корпоративный баланс энергии'!AK616+'корпоративный баланс энергии'!AN616+'корпоративный баланс энергии'!AQ616</f>
        <v>449.37685299999998</v>
      </c>
      <c r="N607" s="246"/>
      <c r="O607" s="282"/>
      <c r="P607" s="244">
        <f t="shared" ref="P607:P615" si="32">D607+G607+J607+M607</f>
        <v>1449.1789766740528</v>
      </c>
      <c r="Q607" s="246"/>
      <c r="R607" s="282"/>
      <c r="S607" s="357"/>
      <c r="T607" s="357"/>
    </row>
    <row r="608" spans="2:20" s="24" customFormat="1">
      <c r="B608" s="127" t="str">
        <f>'корпоративный баланс энергии'!H617</f>
        <v>Сакмарская ТЭЦ (Оренбургский филиал ПАО "Т Плюс") ТГ-1 отказ от ДПМ НВ</v>
      </c>
      <c r="C608" s="516"/>
      <c r="D608" s="281">
        <f>'корпоративный баланс энергии'!J617+'корпоративный баланс энергии'!M617+'корпоративный баланс энергии'!P617</f>
        <v>103.40822499999999</v>
      </c>
      <c r="E608" s="246"/>
      <c r="F608" s="282"/>
      <c r="G608" s="244">
        <f>'корпоративный баланс энергии'!S617+'корпоративный баланс энергии'!V617+'корпоративный баланс энергии'!Y617</f>
        <v>60.429062999999999</v>
      </c>
      <c r="H608" s="246"/>
      <c r="I608" s="282"/>
      <c r="J608" s="244">
        <f>'корпоративный баланс энергии'!AB617+'корпоративный баланс энергии'!AE617+'корпоративный баланс энергии'!AH617</f>
        <v>76.239399000000006</v>
      </c>
      <c r="K608" s="246"/>
      <c r="L608" s="282"/>
      <c r="M608" s="244">
        <f>'корпоративный баланс энергии'!AK617+'корпоративный баланс энергии'!AN617+'корпоративный баланс энергии'!AQ617</f>
        <v>101.57536899999999</v>
      </c>
      <c r="N608" s="246"/>
      <c r="O608" s="282"/>
      <c r="P608" s="244">
        <f t="shared" si="32"/>
        <v>341.65205600000002</v>
      </c>
      <c r="Q608" s="246"/>
      <c r="R608" s="282"/>
      <c r="S608" s="357"/>
      <c r="T608" s="357"/>
    </row>
    <row r="609" spans="2:20" s="24" customFormat="1">
      <c r="B609" s="127" t="str">
        <f>'корпоративный баланс энергии'!H618</f>
        <v>Сакмарская ТЭЦ (Оренбургский филиал ПАО "Т Плюс") ТГ-4 отказ от ДПМ НВ</v>
      </c>
      <c r="C609" s="516"/>
      <c r="D609" s="281">
        <f>'корпоративный баланс энергии'!J618+'корпоративный баланс энергии'!M618+'корпоративный баланс энергии'!P618</f>
        <v>129.264701</v>
      </c>
      <c r="E609" s="246"/>
      <c r="F609" s="282"/>
      <c r="G609" s="244">
        <f>'корпоративный баланс энергии'!S618+'корпоративный баланс энергии'!V618+'корпоративный баланс энергии'!Y618</f>
        <v>81.446500999999998</v>
      </c>
      <c r="H609" s="246"/>
      <c r="I609" s="282"/>
      <c r="J609" s="244">
        <f>'корпоративный баланс энергии'!AB618+'корпоративный баланс энергии'!AE618+'корпоративный баланс энергии'!AH618</f>
        <v>54.388233999999997</v>
      </c>
      <c r="K609" s="246"/>
      <c r="L609" s="282"/>
      <c r="M609" s="244">
        <f>'корпоративный баланс энергии'!AK618+'корпоративный баланс энергии'!AN618+'корпоративный баланс энергии'!AQ618</f>
        <v>132.11058400000002</v>
      </c>
      <c r="N609" s="246"/>
      <c r="O609" s="282"/>
      <c r="P609" s="244">
        <f t="shared" si="32"/>
        <v>397.21002000000004</v>
      </c>
      <c r="Q609" s="246"/>
      <c r="R609" s="282"/>
      <c r="S609" s="357"/>
      <c r="T609" s="357"/>
    </row>
    <row r="610" spans="2:20" s="24" customFormat="1">
      <c r="B610" s="127" t="str">
        <f>'корпоративный баланс энергии'!H619</f>
        <v>Каргалинская ТЭЦ (Оренбургский филиал ПАО "Т Плюс")</v>
      </c>
      <c r="C610" s="516" t="s">
        <v>364</v>
      </c>
      <c r="D610" s="281">
        <f>'корпоративный баланс энергии'!J619+'корпоративный баланс энергии'!M619+'корпоративный баланс энергии'!P619</f>
        <v>337.35399999999998</v>
      </c>
      <c r="E610" s="246"/>
      <c r="F610" s="282"/>
      <c r="G610" s="244">
        <f>'корпоративный баланс энергии'!S619+'корпоративный баланс энергии'!V619+'корпоративный баланс энергии'!Y619</f>
        <v>249.24600000000004</v>
      </c>
      <c r="H610" s="246"/>
      <c r="I610" s="282"/>
      <c r="J610" s="244">
        <f>'корпоративный баланс энергии'!AB619+'корпоративный баланс энергии'!AE619+'корпоративный баланс энергии'!AH619</f>
        <v>230.85399999999998</v>
      </c>
      <c r="K610" s="246"/>
      <c r="L610" s="282"/>
      <c r="M610" s="244">
        <f>'корпоративный баланс энергии'!AK619+'корпоративный баланс энергии'!AN619+'корпоративный баланс энергии'!AQ619</f>
        <v>318.90800000000002</v>
      </c>
      <c r="N610" s="246"/>
      <c r="O610" s="282"/>
      <c r="P610" s="244">
        <f t="shared" si="32"/>
        <v>1136.3620000000001</v>
      </c>
      <c r="Q610" s="246"/>
      <c r="R610" s="282"/>
      <c r="S610" s="357"/>
      <c r="T610" s="357"/>
    </row>
    <row r="611" spans="2:20" s="24" customFormat="1">
      <c r="B611" s="127" t="str">
        <f>'корпоративный баланс энергии'!H620</f>
        <v>Медногорская ТЭЦ (Оренбургский филиал ПАО "Т Плюс")</v>
      </c>
      <c r="C611" s="519" t="s">
        <v>365</v>
      </c>
      <c r="D611" s="281">
        <f>'корпоративный баланс энергии'!J620+'корпоративный баланс энергии'!M620+'корпоративный баланс энергии'!P620</f>
        <v>8.7237933333333295</v>
      </c>
      <c r="E611" s="246"/>
      <c r="F611" s="282"/>
      <c r="G611" s="244">
        <f>'корпоративный баланс энергии'!S620+'корпоративный баланс энергии'!V620+'корпоративный баланс энергии'!Y620</f>
        <v>2.7147686666666631</v>
      </c>
      <c r="H611" s="246"/>
      <c r="I611" s="282"/>
      <c r="J611" s="244">
        <f>'корпоративный баланс энергии'!AB620+'корпоративный баланс энергии'!AE620+'корпоративный баланс энергии'!AH620</f>
        <v>1.081982</v>
      </c>
      <c r="K611" s="246"/>
      <c r="L611" s="282"/>
      <c r="M611" s="244">
        <f>'корпоративный баланс энергии'!AK620+'корпоративный баланс энергии'!AN620+'корпоративный баланс энергии'!AQ620</f>
        <v>7.5697846666666671</v>
      </c>
      <c r="N611" s="246"/>
      <c r="O611" s="282"/>
      <c r="P611" s="244">
        <f t="shared" si="32"/>
        <v>20.090328666666657</v>
      </c>
      <c r="Q611" s="246"/>
      <c r="R611" s="282"/>
      <c r="S611" s="357"/>
      <c r="T611" s="357"/>
    </row>
    <row r="612" spans="2:20" s="24" customFormat="1">
      <c r="B612" s="127" t="str">
        <f>'корпоративный баланс энергии'!H621</f>
        <v>Ириклинская ГРЭС АО ""Интер РАО-электрогенерация"")</v>
      </c>
      <c r="C612" s="516" t="s">
        <v>364</v>
      </c>
      <c r="D612" s="281">
        <f>'корпоративный баланс энергии'!J621+'корпоративный баланс энергии'!M621+'корпоративный баланс энергии'!P621</f>
        <v>1473</v>
      </c>
      <c r="E612" s="246"/>
      <c r="F612" s="282"/>
      <c r="G612" s="244">
        <f>'корпоративный баланс энергии'!S621+'корпоративный баланс энергии'!V621+'корпоративный баланс энергии'!Y621</f>
        <v>1646.8</v>
      </c>
      <c r="H612" s="246"/>
      <c r="I612" s="282"/>
      <c r="J612" s="244">
        <f>'корпоративный баланс энергии'!AB621+'корпоративный баланс энергии'!AE621+'корпоративный баланс энергии'!AH621</f>
        <v>1781.6</v>
      </c>
      <c r="K612" s="246"/>
      <c r="L612" s="282"/>
      <c r="M612" s="244">
        <f>'корпоративный баланс энергии'!AK621+'корпоративный баланс энергии'!AN621+'корпоративный баланс энергии'!AQ621</f>
        <v>1732</v>
      </c>
      <c r="N612" s="246"/>
      <c r="O612" s="282"/>
      <c r="P612" s="244">
        <f t="shared" si="32"/>
        <v>6633.4</v>
      </c>
      <c r="Q612" s="246"/>
      <c r="R612" s="282"/>
      <c r="S612" s="357"/>
      <c r="T612" s="357"/>
    </row>
    <row r="613" spans="2:20" s="24" customFormat="1">
      <c r="B613" s="127" t="str">
        <f>'корпоративный баланс энергии'!H622</f>
        <v>Ириклинская ГЭС (АО ""Интер РАО-электрогенерация"") ГГ 2-5</v>
      </c>
      <c r="C613" s="516" t="s">
        <v>364</v>
      </c>
      <c r="D613" s="281">
        <f>'корпоративный баланс энергии'!J622+'корпоративный баланс энергии'!M622+'корпоративный баланс энергии'!P622</f>
        <v>24.464483261108398</v>
      </c>
      <c r="E613" s="246"/>
      <c r="F613" s="282"/>
      <c r="G613" s="244">
        <f>'корпоративный баланс энергии'!S622+'корпоративный баланс энергии'!V622+'корпоративный баланс энергии'!Y622</f>
        <v>20.220028400421143</v>
      </c>
      <c r="H613" s="246"/>
      <c r="I613" s="282"/>
      <c r="J613" s="244">
        <f>'корпоративный баланс энергии'!AB622+'корпоративный баланс энергии'!AE622+'корпоративный баланс энергии'!AH622</f>
        <v>14.985085010528564</v>
      </c>
      <c r="K613" s="246"/>
      <c r="L613" s="282"/>
      <c r="M613" s="244">
        <f>'корпоративный баланс энергии'!AK622+'корпоративный баланс энергии'!AN622+'корпоративный баланс энергии'!AQ622</f>
        <v>14.334926605224609</v>
      </c>
      <c r="N613" s="246"/>
      <c r="O613" s="282"/>
      <c r="P613" s="244">
        <f t="shared" si="32"/>
        <v>74.004523277282715</v>
      </c>
      <c r="Q613" s="246"/>
      <c r="R613" s="282"/>
      <c r="S613" s="357"/>
      <c r="T613" s="357"/>
    </row>
    <row r="614" spans="2:20" s="24" customFormat="1">
      <c r="B614" s="127" t="str">
        <f>'корпоративный баланс энергии'!H623</f>
        <v>Сакмарская СЭС (АО " Солнечный ветер") НВ 01.01.2016</v>
      </c>
      <c r="C614" s="516" t="s">
        <v>364</v>
      </c>
      <c r="D614" s="281">
        <f>'корпоративный баланс энергии'!J623+'корпоративный баланс энергии'!M623+'корпоративный баланс энергии'!P623</f>
        <v>6.1354509999999998</v>
      </c>
      <c r="E614" s="246"/>
      <c r="F614" s="282"/>
      <c r="G614" s="244">
        <f>'корпоративный баланс энергии'!S623+'корпоративный баланс энергии'!V623+'корпоративный баланс энергии'!Y623</f>
        <v>12.256525</v>
      </c>
      <c r="H614" s="246"/>
      <c r="I614" s="282"/>
      <c r="J614" s="244">
        <f>'корпоративный баланс энергии'!AB623+'корпоративный баланс энергии'!AE623+'корпоративный баланс энергии'!AH623</f>
        <v>10.994484</v>
      </c>
      <c r="K614" s="246"/>
      <c r="L614" s="282"/>
      <c r="M614" s="244">
        <f>'корпоративный баланс энергии'!AK623+'корпоративный баланс энергии'!AN623+'корпоративный баланс энергии'!AQ623</f>
        <v>3.628876</v>
      </c>
      <c r="N614" s="246"/>
      <c r="O614" s="282"/>
      <c r="P614" s="244">
        <f t="shared" si="32"/>
        <v>33.015335999999998</v>
      </c>
      <c r="Q614" s="246"/>
      <c r="R614" s="282"/>
      <c r="S614" s="357"/>
      <c r="T614" s="357"/>
    </row>
    <row r="615" spans="2:20" s="24" customFormat="1">
      <c r="B615" s="127" t="str">
        <f>'корпоративный баланс энергии'!H624</f>
        <v>Державинская СЭС  (Оренбургский филиал ПАО "Т Плюс")</v>
      </c>
      <c r="C615" s="516" t="s">
        <v>364</v>
      </c>
      <c r="D615" s="281">
        <f>'корпоративный баланс энергии'!J624+'корпоративный баланс энергии'!M624+'корпоративный баланс энергии'!P624</f>
        <v>1.3730340000000001</v>
      </c>
      <c r="E615" s="246"/>
      <c r="F615" s="282"/>
      <c r="G615" s="244">
        <f>'корпоративный баланс энергии'!S624+'корпоративный баланс энергии'!V624+'корпоративный баланс энергии'!Y624</f>
        <v>2.351899</v>
      </c>
      <c r="H615" s="246"/>
      <c r="I615" s="282"/>
      <c r="J615" s="244">
        <f>'корпоративный баланс энергии'!AB624+'корпоративный баланс энергии'!AE624+'корпоративный баланс энергии'!AH624</f>
        <v>2.1320459999999999</v>
      </c>
      <c r="K615" s="246"/>
      <c r="L615" s="282"/>
      <c r="M615" s="244">
        <f>'корпоративный баланс энергии'!AK624+'корпоративный баланс энергии'!AN624+'корпоративный баланс энергии'!AQ624</f>
        <v>0.80446099999999998</v>
      </c>
      <c r="N615" s="246"/>
      <c r="O615" s="282"/>
      <c r="P615" s="244">
        <f t="shared" si="32"/>
        <v>6.6614399999999998</v>
      </c>
      <c r="Q615" s="397"/>
      <c r="R615" s="412"/>
      <c r="S615" s="357"/>
      <c r="T615" s="357"/>
    </row>
    <row r="616" spans="2:20" s="24" customFormat="1">
      <c r="B616" s="127" t="str">
        <f>'корпоративный баланс энергии'!H625</f>
        <v>Оренбургская СЭС (Оренбургская  СЭС-1 (Филиал "Оренбургский" ПАО "Т Плюс"))</v>
      </c>
      <c r="C616" s="516" t="s">
        <v>364</v>
      </c>
      <c r="D616" s="281">
        <f>'корпоративный баланс энергии'!J625+'корпоративный баланс энергии'!M625+'корпоративный баланс энергии'!P625</f>
        <v>11.228999999999999</v>
      </c>
      <c r="E616" s="246"/>
      <c r="F616" s="282"/>
      <c r="G616" s="244">
        <f>'корпоративный баланс энергии'!S625+'корпоративный баланс энергии'!V625+'корпоративный баланс энергии'!Y625</f>
        <v>19.990000000000002</v>
      </c>
      <c r="H616" s="246"/>
      <c r="I616" s="282"/>
      <c r="J616" s="244">
        <f>'корпоративный баланс энергии'!AB625+'корпоративный баланс энергии'!AE625+'корпоративный баланс энергии'!AH625</f>
        <v>18.707000000000001</v>
      </c>
      <c r="K616" s="246"/>
      <c r="L616" s="282"/>
      <c r="M616" s="244">
        <f>'корпоративный баланс энергии'!AK625+'корпоративный баланс энергии'!AN625+'корпоративный баланс энергии'!AQ625</f>
        <v>8.0779999999999994</v>
      </c>
      <c r="N616" s="246"/>
      <c r="O616" s="282"/>
      <c r="P616" s="244">
        <f>D616+G616+J616+M616</f>
        <v>58.004000000000005</v>
      </c>
      <c r="Q616" s="397"/>
      <c r="R616" s="412"/>
      <c r="S616" s="357"/>
      <c r="T616" s="357"/>
    </row>
    <row r="617" spans="2:20" s="24" customFormat="1">
      <c r="B617" s="127" t="str">
        <f>'корпоративный баланс энергии'!H626</f>
        <v>Сорочинская СЭС (Оренбургская  СЭС-3 (Филиал "Оренбургский" ПАО "Т Плюс"))</v>
      </c>
      <c r="C617" s="516" t="s">
        <v>364</v>
      </c>
      <c r="D617" s="281">
        <f>'корпоративный баланс энергии'!J626+'корпоративный баланс энергии'!M626+'корпоративный баланс энергии'!P626</f>
        <v>14.205</v>
      </c>
      <c r="E617" s="246"/>
      <c r="F617" s="282"/>
      <c r="G617" s="244">
        <f>'корпоративный баланс энергии'!S626+'корпоративный баланс энергии'!V626+'корпоративный баланс энергии'!Y626</f>
        <v>25.849999999999998</v>
      </c>
      <c r="H617" s="246"/>
      <c r="I617" s="282"/>
      <c r="J617" s="244">
        <f>'корпоративный баланс энергии'!AB626+'корпоративный баланс энергии'!AE626+'корпоративный баланс энергии'!AH626</f>
        <v>23.903000000000002</v>
      </c>
      <c r="K617" s="246"/>
      <c r="L617" s="282"/>
      <c r="M617" s="244">
        <f>'корпоративный баланс энергии'!AK626+'корпоративный баланс энергии'!AN626+'корпоративный баланс энергии'!AQ626</f>
        <v>9.8350000000000009</v>
      </c>
      <c r="N617" s="246"/>
      <c r="O617" s="282"/>
      <c r="P617" s="244">
        <f>D617+G617+J617+M617</f>
        <v>73.793000000000006</v>
      </c>
      <c r="Q617" s="397"/>
      <c r="R617" s="412"/>
      <c r="S617" s="357"/>
      <c r="T617" s="357"/>
    </row>
    <row r="618" spans="2:20" s="24" customFormat="1">
      <c r="B618" s="127" t="str">
        <f>'корпоративный баланс энергии'!H627</f>
        <v>Оренбургская СЭС-4 (Новосергиевская СЭС) (Филиал "Оренбургский" ПАО "Т Плюс"))НВ</v>
      </c>
      <c r="C618" s="516" t="s">
        <v>364</v>
      </c>
      <c r="D618" s="281">
        <f>'корпоративный баланс энергии'!J627+'корпоративный баланс энергии'!M627+'корпоративный баланс энергии'!P627</f>
        <v>0</v>
      </c>
      <c r="E618" s="246"/>
      <c r="F618" s="282"/>
      <c r="G618" s="244">
        <f>'корпоративный баланс энергии'!S627+'корпоративный баланс энергии'!V627+'корпоративный баланс энергии'!Y627</f>
        <v>0</v>
      </c>
      <c r="H618" s="246"/>
      <c r="I618" s="282"/>
      <c r="J618" s="244">
        <f>'корпоративный баланс энергии'!AB627+'корпоративный баланс энергии'!AE627+'корпоративный баланс энергии'!AH627</f>
        <v>6.4350000000000005</v>
      </c>
      <c r="K618" s="246"/>
      <c r="L618" s="282"/>
      <c r="M618" s="244">
        <f>'корпоративный баланс энергии'!AK627+'корпоративный баланс энергии'!AN627+'корпоративный баланс энергии'!AQ627</f>
        <v>2.7479999999999998</v>
      </c>
      <c r="N618" s="246"/>
      <c r="O618" s="282"/>
      <c r="P618" s="244">
        <f>D618+G618+J618+M618</f>
        <v>9.1829999999999998</v>
      </c>
      <c r="Q618" s="397"/>
      <c r="R618" s="412"/>
      <c r="S618" s="357"/>
      <c r="T618" s="357"/>
    </row>
    <row r="619" spans="2:20" s="24" customFormat="1">
      <c r="B619" s="127" t="str">
        <f>'корпоративный баланс энергии'!H628</f>
        <v>Оренбургская  СЭС-5 (Оренбургский филиал ПАО "Т Плюс")</v>
      </c>
      <c r="C619" s="516" t="s">
        <v>364</v>
      </c>
      <c r="D619" s="281">
        <f>'корпоративный баланс энергии'!J628+'корпоративный баланс энергии'!M628+'корпоративный баланс энергии'!P628</f>
        <v>2.6055060000000001</v>
      </c>
      <c r="E619" s="246"/>
      <c r="F619" s="282"/>
      <c r="G619" s="244">
        <f>'корпоративный баланс энергии'!S628+'корпоративный баланс энергии'!V628+'корпоративный баланс энергии'!Y628</f>
        <v>4.6046849999999999</v>
      </c>
      <c r="H619" s="246"/>
      <c r="I619" s="282"/>
      <c r="J619" s="244">
        <f>'корпоративный баланс энергии'!AB628+'корпоративный баланс энергии'!AE628+'корпоративный баланс энергии'!AH628</f>
        <v>4.157578</v>
      </c>
      <c r="K619" s="246"/>
      <c r="L619" s="282"/>
      <c r="M619" s="244">
        <f>'корпоративный баланс энергии'!AK628+'корпоративный баланс энергии'!AN628+'корпоративный баланс энергии'!AQ628</f>
        <v>1.557531</v>
      </c>
      <c r="N619" s="246"/>
      <c r="O619" s="282"/>
      <c r="P619" s="244">
        <f>D619+G619+J619+M619</f>
        <v>12.9253</v>
      </c>
      <c r="Q619" s="397"/>
      <c r="R619" s="412"/>
      <c r="S619" s="357"/>
      <c r="T619" s="357"/>
    </row>
    <row r="620" spans="2:20" s="24" customFormat="1">
      <c r="B620" s="127" t="str">
        <f>'корпоративный баланс энергии'!H629</f>
        <v>Самарская СЭС-4 (Светлинская СЭС )(Филиал "Оренбургский" ПАО "Т Плюс"))НВ</v>
      </c>
      <c r="C620" s="516" t="s">
        <v>364</v>
      </c>
      <c r="D620" s="281">
        <f>'корпоративный баланс энергии'!J629+'корпоративный баланс энергии'!M629+'корпоративный баланс энергии'!P629</f>
        <v>0</v>
      </c>
      <c r="E620" s="246"/>
      <c r="F620" s="282"/>
      <c r="G620" s="244">
        <f>'корпоративный баланс энергии'!S629+'корпоративный баланс энергии'!V629+'корпоративный баланс энергии'!Y629</f>
        <v>0</v>
      </c>
      <c r="H620" s="246"/>
      <c r="I620" s="282"/>
      <c r="J620" s="244">
        <f>'корпоративный баланс энергии'!AB629+'корпоративный баланс энергии'!AE629+'корпоративный баланс энергии'!AH629</f>
        <v>12.257999999999999</v>
      </c>
      <c r="K620" s="246"/>
      <c r="L620" s="282"/>
      <c r="M620" s="244">
        <f>'корпоративный баланс энергии'!AK629+'корпоративный баланс энергии'!AN629+'корпоративный баланс энергии'!AQ629</f>
        <v>4.8434999999999997</v>
      </c>
      <c r="N620" s="246"/>
      <c r="O620" s="282"/>
      <c r="P620" s="244">
        <f t="shared" ref="P620:P622" si="33">D620+G620+J620+M620</f>
        <v>17.101499999999998</v>
      </c>
      <c r="Q620" s="397"/>
      <c r="R620" s="412"/>
      <c r="S620" s="357"/>
      <c r="T620" s="357"/>
    </row>
    <row r="621" spans="2:20" s="24" customFormat="1">
      <c r="B621" s="127" t="str">
        <f>'корпоративный баланс энергии'!H630</f>
        <v>Переволоцкая СЭС (ООО "Авелар Солар Технолоджи")</v>
      </c>
      <c r="C621" s="516" t="s">
        <v>364</v>
      </c>
      <c r="D621" s="281">
        <f>'корпоративный баланс энергии'!J630+'корпоративный баланс энергии'!M630+'корпоративный баланс энергии'!P630</f>
        <v>0.93905441666666656</v>
      </c>
      <c r="E621" s="246"/>
      <c r="F621" s="282"/>
      <c r="G621" s="244">
        <f>'корпоративный баланс энергии'!S630+'корпоративный баланс энергии'!V630+'корпоративный баланс энергии'!Y630</f>
        <v>2.2924576666666665</v>
      </c>
      <c r="H621" s="246"/>
      <c r="I621" s="282"/>
      <c r="J621" s="244">
        <f>'корпоративный баланс энергии'!AB630+'корпоративный баланс энергии'!AE630+'корпоративный баланс энергии'!AH630</f>
        <v>2.1621933333333332</v>
      </c>
      <c r="K621" s="246"/>
      <c r="L621" s="282"/>
      <c r="M621" s="244">
        <f>'корпоративный баланс энергии'!AK630+'корпоративный баланс энергии'!AN630+'корпоративный баланс энергии'!AQ630</f>
        <v>0.175954</v>
      </c>
      <c r="N621" s="246"/>
      <c r="O621" s="282"/>
      <c r="P621" s="244">
        <f t="shared" si="33"/>
        <v>5.5696594166666662</v>
      </c>
      <c r="Q621" s="397"/>
      <c r="R621" s="412"/>
      <c r="S621" s="357"/>
      <c r="T621" s="357"/>
    </row>
    <row r="622" spans="2:20" s="24" customFormat="1">
      <c r="B622" s="127" t="str">
        <f>'корпоративный баланс энергии'!H631</f>
        <v>Григорьевская СЭС (ООО "Авелар Солар Технолоджи")</v>
      </c>
      <c r="C622" s="516" t="s">
        <v>364</v>
      </c>
      <c r="D622" s="281">
        <f>'корпоративный баланс энергии'!J631+'корпоративный баланс энергии'!M631+'корпоративный баланс энергии'!P631</f>
        <v>2.2386175000000001</v>
      </c>
      <c r="E622" s="246"/>
      <c r="F622" s="282"/>
      <c r="G622" s="244">
        <f>'корпоративный баланс энергии'!S631+'корпоративный баланс энергии'!V631+'корпоративный баланс энергии'!Y631</f>
        <v>4.3508940000000003</v>
      </c>
      <c r="H622" s="246"/>
      <c r="I622" s="282"/>
      <c r="J622" s="244">
        <f>'корпоративный баланс энергии'!AB631+'корпоративный баланс энергии'!AE631+'корпоративный баланс энергии'!AH631</f>
        <v>4.1778244999999998</v>
      </c>
      <c r="K622" s="246"/>
      <c r="L622" s="282"/>
      <c r="M622" s="244">
        <f>'корпоративный баланс энергии'!AK631+'корпоративный баланс энергии'!AN631+'корпоративный баланс энергии'!AQ631</f>
        <v>0.36815200000000003</v>
      </c>
      <c r="N622" s="246"/>
      <c r="O622" s="282"/>
      <c r="P622" s="244">
        <f t="shared" si="33"/>
        <v>11.135488</v>
      </c>
      <c r="Q622" s="397"/>
      <c r="R622" s="412"/>
      <c r="S622" s="357"/>
      <c r="T622" s="357"/>
    </row>
    <row r="623" spans="2:20" s="24" customFormat="1">
      <c r="B623" s="127" t="str">
        <f>'корпоративный баланс энергии'!H632</f>
        <v>Чкаловская СЭС (ООО "Авелар Солар Технолоджи")</v>
      </c>
      <c r="C623" s="516" t="s">
        <v>364</v>
      </c>
      <c r="D623" s="281">
        <f>'корпоративный баланс энергии'!J632+'корпоративный баланс энергии'!M632+'корпоративный баланс энергии'!P632</f>
        <v>6.7158524999999996</v>
      </c>
      <c r="E623" s="246"/>
      <c r="F623" s="282"/>
      <c r="G623" s="244">
        <f>'корпоративный баланс энергии'!S632+'корпоративный баланс энергии'!V632+'корпоративный баланс энергии'!Y632</f>
        <v>13.052681999999999</v>
      </c>
      <c r="H623" s="246"/>
      <c r="I623" s="282"/>
      <c r="J623" s="244">
        <f>'корпоративный баланс энергии'!AB632+'корпоративный баланс энергии'!AE632+'корпоративный баланс энергии'!AH632</f>
        <v>12.533473499999999</v>
      </c>
      <c r="K623" s="246"/>
      <c r="L623" s="282"/>
      <c r="M623" s="244">
        <f>'корпоративный баланс энергии'!AK632+'корпоративный баланс энергии'!AN632+'корпоративный баланс энергии'!AQ632</f>
        <v>1.1044559999999999</v>
      </c>
      <c r="N623" s="246"/>
      <c r="O623" s="282"/>
      <c r="P623" s="244">
        <f t="shared" ref="P623:P626" si="34">D623+G623+J623+M623</f>
        <v>33.406464</v>
      </c>
      <c r="Q623" s="397"/>
      <c r="R623" s="412"/>
      <c r="S623" s="357"/>
      <c r="T623" s="357"/>
    </row>
    <row r="624" spans="2:20" s="24" customFormat="1">
      <c r="B624" s="127" t="str">
        <f>'корпоративный баланс энергии'!H633</f>
        <v>Елшанская  1-ая очередь СЭС (ООО "Авелар Солар Технолоджи")НВ</v>
      </c>
      <c r="C624" s="516" t="s">
        <v>364</v>
      </c>
      <c r="D624" s="281">
        <f>'корпоративный баланс энергии'!J633+'корпоративный баланс энергии'!M633+'корпоративный баланс энергии'!P633</f>
        <v>5.59</v>
      </c>
      <c r="E624" s="246"/>
      <c r="F624" s="282"/>
      <c r="G624" s="244">
        <f>'корпоративный баланс энергии'!S633+'корпоративный баланс энергии'!V633+'корпоративный баланс энергии'!Y633</f>
        <v>10.89</v>
      </c>
      <c r="H624" s="246"/>
      <c r="I624" s="282"/>
      <c r="J624" s="244">
        <f>'корпоративный баланс энергии'!AB633+'корпоративный баланс энергии'!AE633+'корпоративный баланс энергии'!AH633</f>
        <v>10.45</v>
      </c>
      <c r="K624" s="246"/>
      <c r="L624" s="282"/>
      <c r="M624" s="244">
        <f>'корпоративный баланс энергии'!AK633+'корпоративный баланс энергии'!AN633+'корпоративный баланс энергии'!AQ633</f>
        <v>0.92999999999999994</v>
      </c>
      <c r="N624" s="246"/>
      <c r="O624" s="282"/>
      <c r="P624" s="244">
        <f t="shared" si="34"/>
        <v>27.86</v>
      </c>
      <c r="Q624" s="397"/>
      <c r="R624" s="412"/>
      <c r="S624" s="357"/>
      <c r="T624" s="357"/>
    </row>
    <row r="625" spans="2:20" s="24" customFormat="1">
      <c r="B625" s="127" t="str">
        <f>'корпоративный баланс энергии'!H634</f>
        <v>Елшанская  2-ая очередьСЭС (ООО "Авелар Солар Технолоджи") НВ</v>
      </c>
      <c r="C625" s="516" t="s">
        <v>364</v>
      </c>
      <c r="D625" s="281">
        <f>'корпоративный баланс энергии'!J634+'корпоративный баланс энергии'!M634+'корпоративный баланс энергии'!P634</f>
        <v>0</v>
      </c>
      <c r="E625" s="246"/>
      <c r="F625" s="282"/>
      <c r="G625" s="244">
        <f>'корпоративный баланс энергии'!S634+'корпоративный баланс энергии'!V634+'корпоративный баланс энергии'!Y634</f>
        <v>0</v>
      </c>
      <c r="H625" s="246"/>
      <c r="I625" s="282"/>
      <c r="J625" s="244">
        <f>'корпоративный баланс энергии'!AB634+'корпоративный баланс энергии'!AE634+'корпоративный баланс энергии'!AH634</f>
        <v>0</v>
      </c>
      <c r="K625" s="246"/>
      <c r="L625" s="282"/>
      <c r="M625" s="244">
        <f>'корпоративный баланс энергии'!AK634+'корпоративный баланс энергии'!AN634+'корпоративный баланс энергии'!AQ634</f>
        <v>0</v>
      </c>
      <c r="N625" s="246"/>
      <c r="O625" s="282"/>
      <c r="P625" s="244">
        <f t="shared" si="34"/>
        <v>0</v>
      </c>
      <c r="Q625" s="397"/>
      <c r="R625" s="412"/>
      <c r="S625" s="357"/>
      <c r="T625" s="357"/>
    </row>
    <row r="626" spans="2:20" s="24" customFormat="1">
      <c r="B626" s="127" t="str">
        <f>'корпоративный баланс энергии'!H635</f>
        <v>Соль- Илецкая СЭС (ООО "Авелар Солар Технолоджи")</v>
      </c>
      <c r="C626" s="516" t="s">
        <v>364</v>
      </c>
      <c r="D626" s="281">
        <f>'корпоративный баланс энергии'!J635+'корпоративный баланс энергии'!M635+'корпоративный баланс энергии'!P635</f>
        <v>5.2561424999999993</v>
      </c>
      <c r="E626" s="246"/>
      <c r="F626" s="282"/>
      <c r="G626" s="244">
        <f>'корпоративный баланс энергии'!S635+'корпоративный баланс энергии'!V635+'корпоративный баланс энергии'!Y635</f>
        <v>7.7960774999999991</v>
      </c>
      <c r="H626" s="246"/>
      <c r="I626" s="282"/>
      <c r="J626" s="244">
        <f>'корпоративный баланс энергии'!AB635+'корпоративный баланс энергии'!AE635+'корпоративный баланс энергии'!AH635</f>
        <v>9.8739699999999999</v>
      </c>
      <c r="K626" s="246"/>
      <c r="L626" s="282"/>
      <c r="M626" s="244">
        <f>'корпоративный баланс энергии'!AK635+'корпоративный баланс энергии'!AN635+'корпоративный баланс энергии'!AQ635</f>
        <v>1.6741950000000001</v>
      </c>
      <c r="N626" s="246"/>
      <c r="O626" s="282"/>
      <c r="P626" s="244">
        <f t="shared" si="34"/>
        <v>24.600384999999999</v>
      </c>
      <c r="Q626" s="397"/>
      <c r="R626" s="412"/>
      <c r="S626" s="357"/>
      <c r="T626" s="357"/>
    </row>
    <row r="627" spans="2:20" s="24" customFormat="1">
      <c r="B627" s="127" t="str">
        <f>'корпоративный баланс энергии'!H636</f>
        <v>Домбаровская СЭС  (ООО "Авелар Солар Технолоджи")</v>
      </c>
      <c r="C627" s="516" t="s">
        <v>364</v>
      </c>
      <c r="D627" s="281">
        <f>'корпоративный баланс энергии'!J636+'корпоративный баланс энергии'!M636+'корпоративный баланс энергии'!P636</f>
        <v>5.5965437499999995</v>
      </c>
      <c r="E627" s="246"/>
      <c r="F627" s="282"/>
      <c r="G627" s="244">
        <f>'корпоративный баланс энергии'!S636+'корпоративный баланс энергии'!V636+'корпоративный баланс энергии'!Y636</f>
        <v>10.877234999999999</v>
      </c>
      <c r="H627" s="246"/>
      <c r="I627" s="282"/>
      <c r="J627" s="244">
        <f>'корпоративный баланс энергии'!AB636+'корпоративный баланс энергии'!AE636+'корпоративный баланс энергии'!AH636</f>
        <v>10.44456125</v>
      </c>
      <c r="K627" s="246"/>
      <c r="L627" s="282"/>
      <c r="M627" s="244">
        <f>'корпоративный баланс энергии'!AK636+'корпоративный баланс энергии'!AN636+'корпоративный баланс энергии'!AQ636</f>
        <v>0.92037999999999998</v>
      </c>
      <c r="N627" s="246"/>
      <c r="O627" s="282"/>
      <c r="P627" s="244">
        <f t="shared" ref="P627" si="35">D627+G627+J627+M627</f>
        <v>27.838719999999999</v>
      </c>
      <c r="Q627" s="397"/>
      <c r="R627" s="412"/>
      <c r="S627" s="357"/>
      <c r="T627" s="357"/>
    </row>
    <row r="628" spans="2:20" s="24" customFormat="1">
      <c r="B628" s="127" t="str">
        <f>'корпоративный баланс энергии'!H637</f>
        <v>Плешановская СЭС (ПАО "Фортум")</v>
      </c>
      <c r="C628" s="516" t="s">
        <v>364</v>
      </c>
      <c r="D628" s="281">
        <f>'корпоративный баланс энергии'!J637+'корпоративный баланс энергии'!M637+'корпоративный баланс энергии'!P637</f>
        <v>2.5670000000000002</v>
      </c>
      <c r="E628" s="246"/>
      <c r="F628" s="282"/>
      <c r="G628" s="244">
        <f>'корпоративный баланс энергии'!S637+'корпоративный баланс энергии'!V637+'корпоративный баланс энергии'!Y637</f>
        <v>4.9310000000000009</v>
      </c>
      <c r="H628" s="246"/>
      <c r="I628" s="282"/>
      <c r="J628" s="244">
        <f>'корпоративный баланс энергии'!AB637+'корпоративный баланс энергии'!AE637+'корпоративный баланс энергии'!AH637</f>
        <v>4.2720000000000002</v>
      </c>
      <c r="K628" s="246"/>
      <c r="L628" s="282"/>
      <c r="M628" s="244">
        <f>'корпоративный баланс энергии'!AK637+'корпоративный баланс энергии'!AN637+'корпоративный баланс энергии'!AQ637</f>
        <v>0.52700000000000002</v>
      </c>
      <c r="N628" s="246"/>
      <c r="O628" s="282"/>
      <c r="P628" s="244">
        <f t="shared" ref="P628:P630" si="36">D628+G628+J628+M628</f>
        <v>12.297000000000001</v>
      </c>
      <c r="Q628" s="397"/>
      <c r="R628" s="412"/>
      <c r="S628" s="357"/>
      <c r="T628" s="357"/>
    </row>
    <row r="629" spans="2:20" s="24" customFormat="1">
      <c r="B629" s="127" t="str">
        <f>'корпоративный баланс энергии'!H638</f>
        <v>Грачёвская СЭС (ПАО "Фортум")</v>
      </c>
      <c r="C629" s="516" t="s">
        <v>364</v>
      </c>
      <c r="D629" s="281">
        <f>'корпоративный баланс энергии'!J638+'корпоративный баланс энергии'!M638+'корпоративный баланс энергии'!P638</f>
        <v>2.6419999999999999</v>
      </c>
      <c r="E629" s="246"/>
      <c r="F629" s="282"/>
      <c r="G629" s="244">
        <f>'корпоративный баланс энергии'!S638+'корпоративный баланс энергии'!V638+'корпоративный баланс энергии'!Y638</f>
        <v>4.7119999999999997</v>
      </c>
      <c r="H629" s="246"/>
      <c r="I629" s="282"/>
      <c r="J629" s="244">
        <f>'корпоративный баланс энергии'!AB638+'корпоративный баланс энергии'!AE638+'корпоративный баланс энергии'!AH638</f>
        <v>4.3259999999999996</v>
      </c>
      <c r="K629" s="246"/>
      <c r="L629" s="282"/>
      <c r="M629" s="244">
        <f>'корпоративный баланс энергии'!AK638+'корпоративный баланс энергии'!AN638+'корпоративный баланс энергии'!AQ638</f>
        <v>0.61799999999999999</v>
      </c>
      <c r="N629" s="246"/>
      <c r="O629" s="282"/>
      <c r="P629" s="244">
        <f t="shared" si="36"/>
        <v>12.298</v>
      </c>
      <c r="Q629" s="397"/>
      <c r="R629" s="412"/>
      <c r="S629" s="357"/>
      <c r="T629" s="357"/>
    </row>
    <row r="630" spans="2:20" s="24" customFormat="1">
      <c r="B630" s="127" t="str">
        <f>'корпоративный баланс энергии'!H639</f>
        <v>ВЭС ООО "ЭкоСельЭнерго"</v>
      </c>
      <c r="C630" s="519" t="s">
        <v>365</v>
      </c>
      <c r="D630" s="281">
        <f>'корпоративный баланс энергии'!J639+'корпоративный баланс энергии'!M639+'корпоративный баланс энергии'!P639</f>
        <v>0.62000000000000011</v>
      </c>
      <c r="E630" s="246"/>
      <c r="F630" s="282"/>
      <c r="G630" s="244">
        <f>'корпоративный баланс энергии'!S639+'корпоративный баланс энергии'!V639+'корпоративный баланс энергии'!Y639</f>
        <v>1.7</v>
      </c>
      <c r="H630" s="246"/>
      <c r="I630" s="282"/>
      <c r="J630" s="244">
        <f>'корпоративный баланс энергии'!AB639+'корпоративный баланс энергии'!AE639+'корпоративный баланс энергии'!AH639</f>
        <v>2.2999999999999998</v>
      </c>
      <c r="K630" s="246"/>
      <c r="L630" s="282"/>
      <c r="M630" s="244">
        <f>'корпоративный баланс энергии'!AK639+'корпоративный баланс энергии'!AN639+'корпоративный баланс энергии'!AQ639</f>
        <v>1.7600000000000002</v>
      </c>
      <c r="N630" s="246"/>
      <c r="O630" s="282"/>
      <c r="P630" s="244">
        <f t="shared" si="36"/>
        <v>6.3800000000000008</v>
      </c>
      <c r="Q630" s="397"/>
      <c r="R630" s="412"/>
      <c r="S630" s="357"/>
      <c r="T630" s="357"/>
    </row>
    <row r="631" spans="2:20" s="24" customFormat="1">
      <c r="B631" s="138" t="s">
        <v>174</v>
      </c>
      <c r="C631" s="488"/>
      <c r="D631" s="287">
        <f>SUM(D632:D633)</f>
        <v>410</v>
      </c>
      <c r="E631" s="288"/>
      <c r="F631" s="289"/>
      <c r="G631" s="287">
        <f>SUM(G632:G633)</f>
        <v>209.7</v>
      </c>
      <c r="H631" s="288"/>
      <c r="I631" s="289"/>
      <c r="J631" s="287">
        <f>SUM(J632:J633)</f>
        <v>207.8</v>
      </c>
      <c r="K631" s="288"/>
      <c r="L631" s="289"/>
      <c r="M631" s="287">
        <f>SUM(M632:M633)</f>
        <v>383</v>
      </c>
      <c r="N631" s="288"/>
      <c r="O631" s="289"/>
      <c r="P631" s="287">
        <f>SUM(P632:P633)</f>
        <v>1210.5</v>
      </c>
      <c r="Q631" s="288"/>
      <c r="R631" s="289"/>
      <c r="S631" s="357"/>
      <c r="T631" s="357"/>
    </row>
    <row r="632" spans="2:20" s="24" customFormat="1">
      <c r="B632" s="144" t="str">
        <f>'корпоративный баланс энергии'!H641</f>
        <v>ТЭЦ ПАО "Гайский горно-обогатительный комбинат"  (ЗАО "ЭПК")</v>
      </c>
      <c r="C632" s="518" t="s">
        <v>365</v>
      </c>
      <c r="D632" s="293">
        <f>'корпоративный баланс энергии'!J641+'корпоративный баланс энергии'!M641+'корпоративный баланс энергии'!P641</f>
        <v>47</v>
      </c>
      <c r="E632" s="288"/>
      <c r="F632" s="289"/>
      <c r="G632" s="294">
        <f>'корпоративный баланс энергии'!S641+'корпоративный баланс энергии'!V641+'корпоративный баланс энергии'!Y641</f>
        <v>17.7</v>
      </c>
      <c r="H632" s="288"/>
      <c r="I632" s="289"/>
      <c r="J632" s="294">
        <f>'корпоративный баланс энергии'!AB641+'корпоративный баланс энергии'!AE641+'корпоративный баланс энергии'!AH641</f>
        <v>7.8000000000000007</v>
      </c>
      <c r="K632" s="288"/>
      <c r="L632" s="289"/>
      <c r="M632" s="294">
        <f>'корпоративный баланс энергии'!AK641+'корпоративный баланс энергии'!AN641+'корпоративный баланс энергии'!AQ641</f>
        <v>40</v>
      </c>
      <c r="N632" s="288"/>
      <c r="O632" s="289"/>
      <c r="P632" s="294">
        <f>D632+G632+J632+M632</f>
        <v>112.5</v>
      </c>
      <c r="Q632" s="288"/>
      <c r="R632" s="289"/>
      <c r="S632" s="357"/>
      <c r="T632" s="357"/>
    </row>
    <row r="633" spans="2:20" s="24" customFormat="1">
      <c r="B633" s="144" t="str">
        <f>'корпоративный баланс энергии'!H642</f>
        <v>ТЭЦ АО "Уральская сталь"</v>
      </c>
      <c r="C633" s="518" t="s">
        <v>365</v>
      </c>
      <c r="D633" s="293">
        <f>'корпоративный баланс энергии'!J642+'корпоративный баланс энергии'!M642+'корпоративный баланс энергии'!P642</f>
        <v>363</v>
      </c>
      <c r="E633" s="288"/>
      <c r="F633" s="289"/>
      <c r="G633" s="294">
        <f>'корпоративный баланс энергии'!S642+'корпоративный баланс энергии'!V642+'корпоративный баланс энергии'!Y642</f>
        <v>192</v>
      </c>
      <c r="H633" s="288"/>
      <c r="I633" s="289"/>
      <c r="J633" s="294">
        <f>'корпоративный баланс энергии'!AB642+'корпоративный баланс энергии'!AE642+'корпоративный баланс энергии'!AH642</f>
        <v>200</v>
      </c>
      <c r="K633" s="288"/>
      <c r="L633" s="289"/>
      <c r="M633" s="294">
        <f>'корпоративный баланс энергии'!AK642+'корпоративный баланс энергии'!AN642+'корпоративный баланс энергии'!AQ642</f>
        <v>343</v>
      </c>
      <c r="N633" s="288"/>
      <c r="O633" s="289"/>
      <c r="P633" s="294">
        <f>D633+G633+J633+M633</f>
        <v>1098</v>
      </c>
      <c r="Q633" s="288"/>
      <c r="R633" s="289"/>
      <c r="S633" s="357"/>
      <c r="T633" s="357"/>
    </row>
    <row r="634" spans="2:20" s="24" customFormat="1" ht="18.75">
      <c r="B634" s="474" t="str">
        <f>'корпоративный баланс энергии'!H643</f>
        <v>Энергосистема Пермского края</v>
      </c>
      <c r="C634" s="501"/>
      <c r="D634" s="274">
        <f>SUM(D635:D637)</f>
        <v>8129.802951053618</v>
      </c>
      <c r="E634" s="275">
        <f>F634-D634</f>
        <v>-1370.8565217250252</v>
      </c>
      <c r="F634" s="276">
        <f>'корпоративный баланс энергии'!L643+'корпоративный баланс энергии'!O643+'корпоративный баланс энергии'!R643</f>
        <v>6758.9464293285928</v>
      </c>
      <c r="G634" s="274">
        <f>SUM(G635:G637)</f>
        <v>8383.7347024269111</v>
      </c>
      <c r="H634" s="275">
        <f>I634-G634</f>
        <v>-2683.2245771258176</v>
      </c>
      <c r="I634" s="276">
        <f>'корпоративный баланс энергии'!U643+'корпоративный баланс энергии'!X643+'корпоративный баланс энергии'!AA643</f>
        <v>5700.5101253010935</v>
      </c>
      <c r="J634" s="274">
        <f>SUM(J635:J637)</f>
        <v>7583.6016247367861</v>
      </c>
      <c r="K634" s="275">
        <f>L634-J634</f>
        <v>-2153.996434153396</v>
      </c>
      <c r="L634" s="276">
        <f>'корпоративный баланс энергии'!AD643+'корпоративный баланс энергии'!AG643+'корпоративный баланс энергии'!AJ643</f>
        <v>5429.6051905833901</v>
      </c>
      <c r="M634" s="274">
        <f>SUM(M635:M637)</f>
        <v>8655.3946011886601</v>
      </c>
      <c r="N634" s="275">
        <f>O634-M634</f>
        <v>-2041.8640321788171</v>
      </c>
      <c r="O634" s="276">
        <f>'корпоративный баланс энергии'!AM643+'корпоративный баланс энергии'!AP643+'корпоративный баланс энергии'!AS643</f>
        <v>6613.530569009843</v>
      </c>
      <c r="P634" s="274">
        <f>SUM(P635:P637)</f>
        <v>32752.533879405979</v>
      </c>
      <c r="Q634" s="275">
        <f>R634-P634</f>
        <v>-8249.9415651830604</v>
      </c>
      <c r="R634" s="276">
        <f>F634+I634+L634+O634</f>
        <v>24502.592314222919</v>
      </c>
      <c r="S634" s="357"/>
      <c r="T634" s="357"/>
    </row>
    <row r="635" spans="2:20" s="24" customFormat="1">
      <c r="B635" s="124" t="s">
        <v>56</v>
      </c>
      <c r="C635" s="497"/>
      <c r="D635" s="362">
        <f>SUM(D638:D642)+D645+D648+D649+D652+D653+D654+D657</f>
        <v>6668.6829999999991</v>
      </c>
      <c r="E635" s="363"/>
      <c r="F635" s="364"/>
      <c r="G635" s="362">
        <f>SUM(G638:G642)+G645+G648+G649+G652+G653+G654+G657</f>
        <v>6009.5590000000002</v>
      </c>
      <c r="H635" s="363"/>
      <c r="I635" s="364"/>
      <c r="J635" s="362">
        <f>SUM(J638:J642)+J645+J648+J649+J652+J653+J654+J657</f>
        <v>5856.1</v>
      </c>
      <c r="K635" s="363"/>
      <c r="L635" s="364"/>
      <c r="M635" s="362">
        <f>SUM(M638:M642)+M645+M648+M649+M652+M653+M654+M657</f>
        <v>6939.67</v>
      </c>
      <c r="N635" s="363"/>
      <c r="O635" s="364"/>
      <c r="P635" s="362">
        <f>SUM(P638:P642)+P645+P648+P649+P652+P653+P654+P657</f>
        <v>25474.012000000002</v>
      </c>
      <c r="Q635" s="363"/>
      <c r="R635" s="364"/>
      <c r="S635" s="357"/>
      <c r="T635" s="357"/>
    </row>
    <row r="636" spans="2:20" s="24" customFormat="1">
      <c r="B636" s="124" t="s">
        <v>55</v>
      </c>
      <c r="C636" s="497"/>
      <c r="D636" s="362">
        <f>SUM(D660:D662)</f>
        <v>756.89895105361938</v>
      </c>
      <c r="E636" s="363"/>
      <c r="F636" s="364"/>
      <c r="G636" s="362">
        <f>SUM(G660:G662)</f>
        <v>1741.4277024269104</v>
      </c>
      <c r="H636" s="363"/>
      <c r="I636" s="364"/>
      <c r="J636" s="362">
        <f>SUM(J660:J662)</f>
        <v>1098.5916247367859</v>
      </c>
      <c r="K636" s="363"/>
      <c r="L636" s="364"/>
      <c r="M636" s="362">
        <f>SUM(M660:M662)</f>
        <v>1000.7586011886597</v>
      </c>
      <c r="N636" s="363"/>
      <c r="O636" s="364"/>
      <c r="P636" s="362">
        <f>SUM(P660:P662)</f>
        <v>4597.6768794059753</v>
      </c>
      <c r="Q636" s="363"/>
      <c r="R636" s="364"/>
      <c r="S636" s="357"/>
      <c r="T636" s="357"/>
    </row>
    <row r="637" spans="2:20" s="24" customFormat="1">
      <c r="B637" s="126" t="s">
        <v>99</v>
      </c>
      <c r="C637" s="500"/>
      <c r="D637" s="362">
        <f>D663</f>
        <v>704.221</v>
      </c>
      <c r="E637" s="363"/>
      <c r="F637" s="364"/>
      <c r="G637" s="362">
        <f>G663</f>
        <v>632.74799999999993</v>
      </c>
      <c r="H637" s="363"/>
      <c r="I637" s="364"/>
      <c r="J637" s="362">
        <f>J663</f>
        <v>628.91</v>
      </c>
      <c r="K637" s="363"/>
      <c r="L637" s="364"/>
      <c r="M637" s="362">
        <f>M663</f>
        <v>714.96600000000001</v>
      </c>
      <c r="N637" s="363"/>
      <c r="O637" s="364"/>
      <c r="P637" s="362">
        <f>P663</f>
        <v>2680.8449999999998</v>
      </c>
      <c r="Q637" s="363"/>
      <c r="R637" s="364"/>
      <c r="S637" s="357"/>
      <c r="T637" s="357"/>
    </row>
    <row r="638" spans="2:20" s="24" customFormat="1">
      <c r="B638" s="127" t="str">
        <f>'корпоративный баланс энергии'!H647</f>
        <v>Березниковская ТЭЦ-2 (Пермский филиал ПАО "Т Плюс")</v>
      </c>
      <c r="C638" s="516" t="s">
        <v>364</v>
      </c>
      <c r="D638" s="281">
        <f>'корпоративный баланс энергии'!J647+'корпоративный баланс энергии'!M647+'корпоративный баланс энергии'!P647</f>
        <v>78.289999999999992</v>
      </c>
      <c r="E638" s="246"/>
      <c r="F638" s="282"/>
      <c r="G638" s="244">
        <f>'корпоративный баланс энергии'!S647+'корпоративный баланс энергии'!V647+'корпоративный баланс энергии'!Y647</f>
        <v>51.699999999999996</v>
      </c>
      <c r="H638" s="246"/>
      <c r="I638" s="282"/>
      <c r="J638" s="244">
        <f>'корпоративный баланс энергии'!AB647+'корпоративный баланс энергии'!AE647+'корпоративный баланс энергии'!AH647</f>
        <v>33.79</v>
      </c>
      <c r="K638" s="246"/>
      <c r="L638" s="282"/>
      <c r="M638" s="244">
        <f>'корпоративный баланс энергии'!AK647+'корпоративный баланс энергии'!AN647+'корпоративный баланс энергии'!AQ647</f>
        <v>79.58</v>
      </c>
      <c r="N638" s="246"/>
      <c r="O638" s="282"/>
      <c r="P638" s="244">
        <f>D638+G638+J638+M638</f>
        <v>243.35999999999996</v>
      </c>
      <c r="Q638" s="246"/>
      <c r="R638" s="282"/>
      <c r="S638" s="357"/>
      <c r="T638" s="357"/>
    </row>
    <row r="639" spans="2:20" s="24" customFormat="1">
      <c r="B639" s="127" t="str">
        <f>'корпоративный баланс энергии'!H648</f>
        <v>Кизеловская ГРЭС-3 (Пермский филиал ПАО "Т Плюс")</v>
      </c>
      <c r="C639" s="519" t="s">
        <v>365</v>
      </c>
      <c r="D639" s="281">
        <f>'корпоративный баланс энергии'!J648+'корпоративный баланс энергии'!M648+'корпоративный баланс энергии'!P648</f>
        <v>0</v>
      </c>
      <c r="E639" s="246"/>
      <c r="F639" s="282"/>
      <c r="G639" s="244">
        <f>'корпоративный баланс энергии'!S648+'корпоративный баланс энергии'!V648+'корпоративный баланс энергии'!Y648</f>
        <v>0</v>
      </c>
      <c r="H639" s="246"/>
      <c r="I639" s="282"/>
      <c r="J639" s="244">
        <f>'корпоративный баланс энергии'!AB648+'корпоративный баланс энергии'!AE648+'корпоративный баланс энергии'!AH648</f>
        <v>0</v>
      </c>
      <c r="K639" s="246"/>
      <c r="L639" s="282"/>
      <c r="M639" s="244">
        <f>'корпоративный баланс энергии'!AK648+'корпоративный баланс энергии'!AN648+'корпоративный баланс энергии'!AQ648</f>
        <v>0</v>
      </c>
      <c r="N639" s="246"/>
      <c r="O639" s="282"/>
      <c r="P639" s="244">
        <f>D639+G639+J639+M639</f>
        <v>0</v>
      </c>
      <c r="Q639" s="246"/>
      <c r="R639" s="282"/>
      <c r="S639" s="357"/>
      <c r="T639" s="357"/>
    </row>
    <row r="640" spans="2:20" s="24" customFormat="1">
      <c r="B640" s="127" t="str">
        <f>'корпоративный баланс энергии'!H649</f>
        <v>Березниковская ТЭЦ-4 (Пермский филиал ПАО "Т Плюс")</v>
      </c>
      <c r="C640" s="519" t="s">
        <v>365</v>
      </c>
      <c r="D640" s="281">
        <f>'корпоративный баланс энергии'!J649+'корпоративный баланс энергии'!M649+'корпоративный баланс энергии'!P649</f>
        <v>15.64</v>
      </c>
      <c r="E640" s="246"/>
      <c r="F640" s="282"/>
      <c r="G640" s="244">
        <f>'корпоративный баланс энергии'!S649+'корпоративный баланс энергии'!V649+'корпоративный баланс энергии'!Y649</f>
        <v>13.43</v>
      </c>
      <c r="H640" s="246"/>
      <c r="I640" s="282"/>
      <c r="J640" s="244">
        <f>'корпоративный баланс энергии'!AB649+'корпоративный баланс энергии'!AE649+'корпоративный баланс энергии'!AH649</f>
        <v>14.57</v>
      </c>
      <c r="K640" s="246"/>
      <c r="L640" s="282"/>
      <c r="M640" s="244">
        <f>'корпоративный баланс энергии'!AK649+'корпоративный баланс энергии'!AN649+'корпоративный баланс энергии'!AQ649</f>
        <v>15.58</v>
      </c>
      <c r="N640" s="246"/>
      <c r="O640" s="282"/>
      <c r="P640" s="244">
        <f>D640+G640+J640+M640</f>
        <v>59.22</v>
      </c>
      <c r="Q640" s="246"/>
      <c r="R640" s="282"/>
      <c r="S640" s="357"/>
      <c r="T640" s="357"/>
    </row>
    <row r="641" spans="2:20" s="24" customFormat="1">
      <c r="B641" s="127" t="str">
        <f>'корпоративный баланс энергии'!H650</f>
        <v>Закамская ТЭЦ-5 (Пермский филиал ПАО "Т Плюс")</v>
      </c>
      <c r="C641" s="516" t="s">
        <v>364</v>
      </c>
      <c r="D641" s="281">
        <f>'корпоративный баланс энергии'!J650+'корпоративный баланс энергии'!M650+'корпоративный баланс энергии'!P650</f>
        <v>51.545000000000002</v>
      </c>
      <c r="E641" s="246"/>
      <c r="F641" s="282"/>
      <c r="G641" s="244">
        <f>'корпоративный баланс энергии'!S650+'корпоративный баланс энергии'!V650+'корпоративный баланс энергии'!Y650</f>
        <v>33.983000000000004</v>
      </c>
      <c r="H641" s="246"/>
      <c r="I641" s="282"/>
      <c r="J641" s="244">
        <f>'корпоративный баланс энергии'!AB650+'корпоративный баланс энергии'!AE650+'корпоративный баланс энергии'!AH650</f>
        <v>20.39</v>
      </c>
      <c r="K641" s="246"/>
      <c r="L641" s="282"/>
      <c r="M641" s="244">
        <f>'корпоративный баланс энергии'!AK650+'корпоративный баланс энергии'!AN650+'корпоративный баланс энергии'!AQ650</f>
        <v>45.314999999999998</v>
      </c>
      <c r="N641" s="246"/>
      <c r="O641" s="282"/>
      <c r="P641" s="244">
        <f>D641+G641+J641+M641</f>
        <v>151.233</v>
      </c>
      <c r="Q641" s="246"/>
      <c r="R641" s="282"/>
      <c r="S641" s="357"/>
      <c r="T641" s="357"/>
    </row>
    <row r="642" spans="2:20" s="24" customFormat="1">
      <c r="B642" s="132" t="str">
        <f>'корпоративный баланс энергии'!H651</f>
        <v>Пермская ТЭЦ-6 (Пермский филиал ПАО "Т Плюс")</v>
      </c>
      <c r="C642" s="516" t="s">
        <v>364</v>
      </c>
      <c r="D642" s="317">
        <f>SUM(D643:D644)</f>
        <v>306.87</v>
      </c>
      <c r="E642" s="246"/>
      <c r="F642" s="282"/>
      <c r="G642" s="317">
        <f>SUM(G643:G644)</f>
        <v>186.40000000000003</v>
      </c>
      <c r="H642" s="246"/>
      <c r="I642" s="282"/>
      <c r="J642" s="317">
        <f>SUM(J643:J644)</f>
        <v>194.69</v>
      </c>
      <c r="K642" s="246"/>
      <c r="L642" s="282"/>
      <c r="M642" s="317">
        <f>SUM(M643:M644)</f>
        <v>273.04499999999996</v>
      </c>
      <c r="N642" s="246"/>
      <c r="O642" s="282"/>
      <c r="P642" s="317">
        <f>SUM(P643:P644)</f>
        <v>961.00500000000011</v>
      </c>
      <c r="Q642" s="246"/>
      <c r="R642" s="282"/>
      <c r="S642" s="357"/>
      <c r="T642" s="357"/>
    </row>
    <row r="643" spans="2:20" s="24" customFormat="1">
      <c r="B643" s="127" t="str">
        <f>'корпоративный баланс энергии'!H652</f>
        <v>Пермская ТЭЦ-6 (Пермский филиал ПАО "Т Плюс") без ДПМ/НВ/ВР</v>
      </c>
      <c r="C643" s="487"/>
      <c r="D643" s="281">
        <f>'корпоративный баланс энергии'!J652+'корпоративный баланс энергии'!M652+'корпоративный баланс энергии'!P652</f>
        <v>100.59</v>
      </c>
      <c r="E643" s="246"/>
      <c r="F643" s="282"/>
      <c r="G643" s="244">
        <f>'корпоративный баланс энергии'!S652+'корпоративный баланс энергии'!V652+'корпоративный баланс энергии'!Y652</f>
        <v>16.920000000000002</v>
      </c>
      <c r="H643" s="246"/>
      <c r="I643" s="282"/>
      <c r="J643" s="244">
        <f>'корпоративный баланс энергии'!AB652+'корпоративный баланс энергии'!AE652+'корпоративный баланс энергии'!AH652</f>
        <v>0</v>
      </c>
      <c r="K643" s="246"/>
      <c r="L643" s="282"/>
      <c r="M643" s="244">
        <f>'корпоративный баланс энергии'!AK652+'корпоративный баланс энергии'!AN652+'корпоративный баланс энергии'!AQ652</f>
        <v>79.03</v>
      </c>
      <c r="N643" s="246"/>
      <c r="O643" s="282"/>
      <c r="P643" s="244">
        <f>D643+G643+J643+M643</f>
        <v>196.54000000000002</v>
      </c>
      <c r="Q643" s="246"/>
      <c r="R643" s="282"/>
      <c r="S643" s="357"/>
      <c r="T643" s="357"/>
    </row>
    <row r="644" spans="2:20" s="24" customFormat="1">
      <c r="B644" s="127" t="str">
        <f>'корпоративный баланс энергии'!H653</f>
        <v>Пермская ТЭЦ-6 ПГУ (Пермский филиал ПАО "Т Плюс") ПГУ-124 НВ, ДПМ 27.02.2012</v>
      </c>
      <c r="C644" s="487"/>
      <c r="D644" s="281">
        <f>'корпоративный баланс энергии'!J653+'корпоративный баланс энергии'!M653+'корпоративный баланс энергии'!P653</f>
        <v>206.28</v>
      </c>
      <c r="E644" s="246"/>
      <c r="F644" s="282"/>
      <c r="G644" s="244">
        <f>'корпоративный баланс энергии'!S653+'корпоративный баланс энергии'!V653+'корпоративный баланс энергии'!Y653</f>
        <v>169.48000000000002</v>
      </c>
      <c r="H644" s="246"/>
      <c r="I644" s="282"/>
      <c r="J644" s="244">
        <f>'корпоративный баланс энергии'!AB653+'корпоративный баланс энергии'!AE653+'корпоративный баланс энергии'!AH653</f>
        <v>194.69</v>
      </c>
      <c r="K644" s="246"/>
      <c r="L644" s="282"/>
      <c r="M644" s="244">
        <f>'корпоративный баланс энергии'!AK653+'корпоративный баланс энергии'!AN653+'корпоративный баланс энергии'!AQ653</f>
        <v>194.01499999999999</v>
      </c>
      <c r="N644" s="246"/>
      <c r="O644" s="282"/>
      <c r="P644" s="244">
        <f>D644+G644+J644+M644</f>
        <v>764.46500000000003</v>
      </c>
      <c r="Q644" s="246"/>
      <c r="R644" s="282"/>
      <c r="S644" s="357"/>
      <c r="T644" s="357"/>
    </row>
    <row r="645" spans="2:20" s="24" customFormat="1">
      <c r="B645" s="132" t="str">
        <f>'корпоративный баланс энергии'!H654</f>
        <v>Пермская ТЭЦ-9 (Пермский филиал ПАО "Т Плюс")</v>
      </c>
      <c r="C645" s="516" t="s">
        <v>364</v>
      </c>
      <c r="D645" s="317">
        <f>SUM(D646:D647)</f>
        <v>783.3</v>
      </c>
      <c r="E645" s="246"/>
      <c r="F645" s="282"/>
      <c r="G645" s="317">
        <f>SUM(G646:G647)</f>
        <v>535.66</v>
      </c>
      <c r="H645" s="246"/>
      <c r="I645" s="282"/>
      <c r="J645" s="317">
        <f>SUM(J646:J647)</f>
        <v>484.82000000000005</v>
      </c>
      <c r="K645" s="246"/>
      <c r="L645" s="282"/>
      <c r="M645" s="317">
        <f>SUM(M646:M647)</f>
        <v>658.3</v>
      </c>
      <c r="N645" s="246"/>
      <c r="O645" s="282"/>
      <c r="P645" s="317">
        <f>SUM(P646:P647)</f>
        <v>2462.08</v>
      </c>
      <c r="Q645" s="246"/>
      <c r="R645" s="282"/>
      <c r="S645" s="357"/>
      <c r="T645" s="357"/>
    </row>
    <row r="646" spans="2:20" s="24" customFormat="1">
      <c r="B646" s="127" t="str">
        <f>'корпоративный баланс энергии'!H655</f>
        <v>Пермская ТЭЦ-9 (Пермский филиал ПАО "Т Плюс") без ДПМ/НВ/ВР</v>
      </c>
      <c r="C646" s="487"/>
      <c r="D646" s="281">
        <f>'корпоративный баланс энергии'!J655+'корпоративный баланс энергии'!M655+'корпоративный баланс энергии'!P655</f>
        <v>553.62</v>
      </c>
      <c r="E646" s="246"/>
      <c r="F646" s="282"/>
      <c r="G646" s="244">
        <f>'корпоративный баланс энергии'!S655+'корпоративный баланс энергии'!V655+'корпоративный баланс энергии'!Y655</f>
        <v>224.13</v>
      </c>
      <c r="H646" s="246"/>
      <c r="I646" s="282"/>
      <c r="J646" s="244">
        <f>'корпоративный баланс энергии'!AB655+'корпоративный баланс энергии'!AE655+'корпоративный баланс энергии'!AH655</f>
        <v>260.04000000000002</v>
      </c>
      <c r="K646" s="246"/>
      <c r="L646" s="282"/>
      <c r="M646" s="244">
        <f>'корпоративный баланс энергии'!AK655+'корпоративный баланс энергии'!AN655+'корпоративный баланс энергии'!AQ655</f>
        <v>404.86</v>
      </c>
      <c r="N646" s="246"/>
      <c r="O646" s="282"/>
      <c r="P646" s="244">
        <f>D646+G646+J646+M646</f>
        <v>1442.65</v>
      </c>
      <c r="Q646" s="246"/>
      <c r="R646" s="282"/>
      <c r="S646" s="357"/>
      <c r="T646" s="357"/>
    </row>
    <row r="647" spans="2:20" s="24" customFormat="1">
      <c r="B647" s="127" t="str">
        <f>'корпоративный баланс энергии'!H656</f>
        <v>Пермская ТЭЦ-9 (Пермский филиал ПАО "Т Плюс") ПГУ 165 НВ, ДПМ 01.12.2013</v>
      </c>
      <c r="C647" s="487"/>
      <c r="D647" s="281">
        <f>'корпоративный баланс энергии'!J656+'корпоративный баланс энергии'!M656+'корпоративный баланс энергии'!P656</f>
        <v>229.68</v>
      </c>
      <c r="E647" s="246"/>
      <c r="F647" s="282"/>
      <c r="G647" s="244">
        <f>'корпоративный баланс энергии'!S656+'корпоративный баланс энергии'!V656+'корпоративный баланс энергии'!Y656</f>
        <v>311.52999999999997</v>
      </c>
      <c r="H647" s="246"/>
      <c r="I647" s="282"/>
      <c r="J647" s="244">
        <f>'корпоративный баланс энергии'!AB656+'корпоративный баланс энергии'!AE656+'корпоративный баланс энергии'!AH656</f>
        <v>224.78</v>
      </c>
      <c r="K647" s="246"/>
      <c r="L647" s="282"/>
      <c r="M647" s="244">
        <f>'корпоративный баланс энергии'!AK656+'корпоративный баланс энергии'!AN656+'корпоративный баланс энергии'!AQ656</f>
        <v>253.44</v>
      </c>
      <c r="N647" s="246"/>
      <c r="O647" s="282"/>
      <c r="P647" s="244">
        <f>D647+G647+J647+M647</f>
        <v>1019.4300000000001</v>
      </c>
      <c r="Q647" s="246"/>
      <c r="R647" s="282"/>
      <c r="S647" s="357"/>
      <c r="T647" s="357"/>
    </row>
    <row r="648" spans="2:20" s="24" customFormat="1">
      <c r="B648" s="127" t="str">
        <f>'корпоративный баланс энергии'!H657</f>
        <v>Березниковская ТЭЦ-10 (Пермский филиал ПАО "Т Плюс")</v>
      </c>
      <c r="C648" s="519" t="s">
        <v>365</v>
      </c>
      <c r="D648" s="281">
        <f>'корпоративный баланс энергии'!J657+'корпоративный баланс энергии'!M657+'корпоративный баланс энергии'!P657</f>
        <v>0</v>
      </c>
      <c r="E648" s="246"/>
      <c r="F648" s="282"/>
      <c r="G648" s="244">
        <f>'корпоративный баланс энергии'!S657+'корпоративный баланс энергии'!V657+'корпоративный баланс энергии'!Y657</f>
        <v>0</v>
      </c>
      <c r="H648" s="246"/>
      <c r="I648" s="282"/>
      <c r="J648" s="244">
        <f>'корпоративный баланс энергии'!AB657+'корпоративный баланс энергии'!AE657+'корпоративный баланс энергии'!AH657</f>
        <v>0</v>
      </c>
      <c r="K648" s="246"/>
      <c r="L648" s="282"/>
      <c r="M648" s="244">
        <f>'корпоративный баланс энергии'!AK657+'корпоративный баланс энергии'!AN657+'корпоративный баланс энергии'!AQ657</f>
        <v>0</v>
      </c>
      <c r="N648" s="246"/>
      <c r="O648" s="282"/>
      <c r="P648" s="244">
        <f>D648+G648+J648+M648</f>
        <v>0</v>
      </c>
      <c r="Q648" s="246"/>
      <c r="R648" s="282"/>
      <c r="S648" s="357"/>
      <c r="T648" s="357"/>
    </row>
    <row r="649" spans="2:20" s="24" customFormat="1">
      <c r="B649" s="132" t="str">
        <f>'корпоративный баланс энергии'!H658</f>
        <v>Пермская ТЭЦ-14 (Пермский филиал ПАО "Т Плюс")</v>
      </c>
      <c r="C649" s="516" t="s">
        <v>364</v>
      </c>
      <c r="D649" s="317">
        <f>D650+D651</f>
        <v>333.27</v>
      </c>
      <c r="E649" s="246"/>
      <c r="F649" s="282"/>
      <c r="G649" s="317">
        <f>G650+G651</f>
        <v>208.99</v>
      </c>
      <c r="H649" s="246"/>
      <c r="I649" s="282"/>
      <c r="J649" s="317">
        <f>J650+J651</f>
        <v>213.32</v>
      </c>
      <c r="K649" s="246"/>
      <c r="L649" s="282"/>
      <c r="M649" s="317">
        <f>M650+M651</f>
        <v>318.31</v>
      </c>
      <c r="N649" s="246"/>
      <c r="O649" s="282"/>
      <c r="P649" s="317">
        <f>P650+P651</f>
        <v>1073.8899999999999</v>
      </c>
      <c r="Q649" s="246"/>
      <c r="R649" s="282"/>
      <c r="S649" s="357"/>
      <c r="T649" s="357"/>
    </row>
    <row r="650" spans="2:20" s="24" customFormat="1">
      <c r="B650" s="127" t="str">
        <f>'корпоративный баланс энергии'!H659</f>
        <v>Пермская ТЭЦ-14 ((Пермский филиал ПАО "Т Плюс") без ДПМ/НВ/ВР</v>
      </c>
      <c r="C650" s="487"/>
      <c r="D650" s="281">
        <f>'корпоративный баланс энергии'!J659+'корпоративный баланс энергии'!M659+'корпоративный баланс энергии'!P659</f>
        <v>289.3</v>
      </c>
      <c r="E650" s="246"/>
      <c r="F650" s="282"/>
      <c r="G650" s="244">
        <f>'корпоративный баланс энергии'!S659+'корпоративный баланс энергии'!V659+'корпоративный баланс энергии'!Y659</f>
        <v>183.65</v>
      </c>
      <c r="H650" s="246"/>
      <c r="I650" s="282"/>
      <c r="J650" s="244">
        <f>'корпоративный баланс энергии'!AB659+'корпоративный баланс энергии'!AE659+'корпоративный баланс энергии'!AH659</f>
        <v>172.32999999999998</v>
      </c>
      <c r="K650" s="246"/>
      <c r="L650" s="282"/>
      <c r="M650" s="244">
        <f>'корпоративный баланс энергии'!AK659+'корпоративный баланс энергии'!AN659+'корпоративный баланс энергии'!AQ659</f>
        <v>272.73</v>
      </c>
      <c r="N650" s="246"/>
      <c r="O650" s="282"/>
      <c r="P650" s="244">
        <f>D650+G650+J650+M650</f>
        <v>918.01</v>
      </c>
      <c r="Q650" s="246"/>
      <c r="R650" s="282"/>
      <c r="S650" s="357"/>
      <c r="T650" s="357"/>
    </row>
    <row r="651" spans="2:20" s="24" customFormat="1">
      <c r="B651" s="127" t="str">
        <f>'корпоративный баланс энергии'!H660</f>
        <v>Пермская ТЭЦ-14 (Пермский филиал ПАО "Т Плюс") ТГ 2 НВ</v>
      </c>
      <c r="C651" s="487"/>
      <c r="D651" s="281">
        <f>'корпоративный баланс энергии'!J660+'корпоративный баланс энергии'!M660+'корпоративный баланс энергии'!P660</f>
        <v>43.97</v>
      </c>
      <c r="E651" s="246"/>
      <c r="F651" s="282"/>
      <c r="G651" s="244">
        <f>'корпоративный баланс энергии'!S660+'корпоративный баланс энергии'!V660+'корпоративный баланс энергии'!Y660</f>
        <v>25.340000000000003</v>
      </c>
      <c r="H651" s="246"/>
      <c r="I651" s="282"/>
      <c r="J651" s="244">
        <f>'корпоративный баланс энергии'!AB660+'корпоративный баланс энергии'!AE660+'корпоративный баланс энергии'!AH660</f>
        <v>40.989999999999995</v>
      </c>
      <c r="K651" s="246"/>
      <c r="L651" s="282"/>
      <c r="M651" s="244">
        <f>'корпоративный баланс энергии'!AK660+'корпоративный баланс энергии'!AN660+'корпоративный баланс энергии'!AQ660</f>
        <v>45.58</v>
      </c>
      <c r="N651" s="246"/>
      <c r="O651" s="282"/>
      <c r="P651" s="244">
        <f>D651+G651+J651+M651</f>
        <v>155.88</v>
      </c>
      <c r="Q651" s="246"/>
      <c r="R651" s="282"/>
      <c r="S651" s="357"/>
      <c r="T651" s="357"/>
    </row>
    <row r="652" spans="2:20" s="110" customFormat="1">
      <c r="B652" s="127" t="str">
        <f>'корпоративный баланс энергии'!H661</f>
        <v>Чайковская ТЭЦ-18 (Пермский филиал ПАО "Т Плюс")</v>
      </c>
      <c r="C652" s="516" t="s">
        <v>364</v>
      </c>
      <c r="D652" s="281">
        <f>'корпоративный баланс энергии'!J661+'корпоративный баланс энергии'!M661+'корпоративный баланс энергии'!P661</f>
        <v>196.01</v>
      </c>
      <c r="E652" s="246"/>
      <c r="F652" s="282"/>
      <c r="G652" s="244">
        <f>'корпоративный баланс энергии'!S661+'корпоративный баланс энергии'!V661+'корпоративный баланс энергии'!Y661</f>
        <v>94.740000000000009</v>
      </c>
      <c r="H652" s="246"/>
      <c r="I652" s="282"/>
      <c r="J652" s="244">
        <f>'корпоративный баланс энергии'!AB661+'корпоративный баланс энергии'!AE661+'корпоративный баланс энергии'!AH661</f>
        <v>95.509999999999991</v>
      </c>
      <c r="K652" s="246"/>
      <c r="L652" s="282"/>
      <c r="M652" s="244">
        <f>'корпоративный баланс энергии'!AK661+'корпоративный баланс энергии'!AN661+'корпоративный баланс энергии'!AQ661</f>
        <v>208.24</v>
      </c>
      <c r="N652" s="246"/>
      <c r="O652" s="282"/>
      <c r="P652" s="244">
        <f>D652+G652+J652+M652</f>
        <v>594.5</v>
      </c>
      <c r="Q652" s="246"/>
      <c r="R652" s="282"/>
      <c r="S652" s="356"/>
      <c r="T652" s="356"/>
    </row>
    <row r="653" spans="2:20" s="110" customFormat="1">
      <c r="B653" s="127" t="str">
        <f>'корпоративный баланс энергии'!H662</f>
        <v>Пермская ТЭЦ-13 (Пермский филиал ПАО "Т Плюс")</v>
      </c>
      <c r="C653" s="516" t="s">
        <v>364</v>
      </c>
      <c r="D653" s="281">
        <f>'корпоративный баланс энергии'!J662+'корпоративный баланс энергии'!M662+'корпоративный баланс энергии'!P662</f>
        <v>38.718000000000004</v>
      </c>
      <c r="E653" s="246"/>
      <c r="F653" s="282"/>
      <c r="G653" s="244">
        <f>'корпоративный баланс энергии'!S662+'корпоративный баланс энергии'!V662+'корпоративный баланс энергии'!Y662</f>
        <v>26.066000000000003</v>
      </c>
      <c r="H653" s="246"/>
      <c r="I653" s="282"/>
      <c r="J653" s="244">
        <f>'корпоративный баланс энергии'!AB662+'корпоративный баланс энергии'!AE662+'корпоративный баланс энергии'!AH662</f>
        <v>11.280000000000001</v>
      </c>
      <c r="K653" s="246"/>
      <c r="L653" s="282"/>
      <c r="M653" s="244">
        <f>'корпоративный баланс энергии'!AK662+'корпоративный баланс энергии'!AN662+'корпоративный баланс энергии'!AQ662</f>
        <v>38.36</v>
      </c>
      <c r="N653" s="246"/>
      <c r="O653" s="282"/>
      <c r="P653" s="244">
        <f>D653+G653+J653+M653</f>
        <v>114.42400000000001</v>
      </c>
      <c r="Q653" s="246"/>
      <c r="R653" s="282"/>
      <c r="S653" s="356"/>
      <c r="T653" s="356"/>
    </row>
    <row r="654" spans="2:20" s="110" customFormat="1">
      <c r="B654" s="132" t="str">
        <f>'корпоративный баланс энергии'!H663</f>
        <v>Пермская ГРЭС (АО "ИНТЕР РАО - Электрогенерация")</v>
      </c>
      <c r="C654" s="516" t="s">
        <v>364</v>
      </c>
      <c r="D654" s="317">
        <f>SUM(D655:D656)</f>
        <v>3392.4</v>
      </c>
      <c r="E654" s="246"/>
      <c r="F654" s="282"/>
      <c r="G654" s="317">
        <f>SUM(G655:G656)</f>
        <v>3541.8</v>
      </c>
      <c r="H654" s="246"/>
      <c r="I654" s="282"/>
      <c r="J654" s="317">
        <f>SUM(J655:J656)</f>
        <v>3631.1000000000004</v>
      </c>
      <c r="K654" s="246"/>
      <c r="L654" s="282"/>
      <c r="M654" s="317">
        <f>SUM(M655:M656)</f>
        <v>3845</v>
      </c>
      <c r="N654" s="246"/>
      <c r="O654" s="282"/>
      <c r="P654" s="317">
        <f>SUM(P655:P656)</f>
        <v>14410.300000000001</v>
      </c>
      <c r="Q654" s="246"/>
      <c r="R654" s="282"/>
      <c r="S654" s="356"/>
      <c r="T654" s="356"/>
    </row>
    <row r="655" spans="2:20" s="110" customFormat="1">
      <c r="B655" s="127" t="str">
        <f>'корпоративный баланс энергии'!H664</f>
        <v>Пермская ГРЭС (АО "ИНТЕР РАО - Электрогенерация") без ДПМ/НВ/ВР</v>
      </c>
      <c r="C655" s="516"/>
      <c r="D655" s="281">
        <f>'корпоративный баланс энергии'!J664+'корпоративный баланс энергии'!M664+'корпоративный баланс энергии'!P664</f>
        <v>1711</v>
      </c>
      <c r="E655" s="246"/>
      <c r="F655" s="282"/>
      <c r="G655" s="244">
        <f>'корпоративный баланс энергии'!S664+'корпоративный баланс энергии'!V664+'корпоративный баланс энергии'!Y664</f>
        <v>2205.4</v>
      </c>
      <c r="H655" s="246"/>
      <c r="I655" s="282"/>
      <c r="J655" s="244">
        <f>'корпоративный баланс энергии'!AB664+'корпоративный баланс энергии'!AE664+'корпоративный баланс энергии'!AH664</f>
        <v>2229.8000000000002</v>
      </c>
      <c r="K655" s="246"/>
      <c r="L655" s="282"/>
      <c r="M655" s="244">
        <f>'корпоративный баланс энергии'!AK664+'корпоративный баланс энергии'!AN664+'корпоративный баланс энергии'!AQ664</f>
        <v>2290.5</v>
      </c>
      <c r="N655" s="246"/>
      <c r="O655" s="282"/>
      <c r="P655" s="244">
        <f>D655+G655+J655+M655</f>
        <v>8436.7000000000007</v>
      </c>
      <c r="Q655" s="246"/>
      <c r="R655" s="282"/>
      <c r="S655" s="356"/>
      <c r="T655" s="356"/>
    </row>
    <row r="656" spans="2:20" s="110" customFormat="1">
      <c r="B656" s="127" t="str">
        <f>'корпоративный баланс энергии'!H665</f>
        <v>Пермская ГРЭС (АО "ИНТЕР РАО - Электрогенерация") Бл № 4 ПГУ-800 НВ, ДПМ 01.07.2017</v>
      </c>
      <c r="C656" s="516"/>
      <c r="D656" s="281">
        <f>'корпоративный баланс энергии'!J665+'корпоративный баланс энергии'!M665+'корпоративный баланс энергии'!P665</f>
        <v>1681.4</v>
      </c>
      <c r="E656" s="246"/>
      <c r="F656" s="282"/>
      <c r="G656" s="244">
        <f>'корпоративный баланс энергии'!S665+'корпоративный баланс энергии'!V665+'корпоративный баланс энергии'!Y665</f>
        <v>1336.4</v>
      </c>
      <c r="H656" s="246"/>
      <c r="I656" s="282"/>
      <c r="J656" s="244">
        <f>'корпоративный баланс энергии'!AB665+'корпоративный баланс энергии'!AE665+'корпоративный баланс энергии'!AH665</f>
        <v>1401.3000000000002</v>
      </c>
      <c r="K656" s="246"/>
      <c r="L656" s="282"/>
      <c r="M656" s="244">
        <f>'корпоративный баланс энергии'!AK665+'корпоративный баланс энергии'!AN665+'корпоративный баланс энергии'!AQ665</f>
        <v>1554.5</v>
      </c>
      <c r="N656" s="246"/>
      <c r="O656" s="282"/>
      <c r="P656" s="244">
        <f>D656+G656+J656+M656</f>
        <v>5973.6</v>
      </c>
      <c r="Q656" s="246"/>
      <c r="R656" s="282"/>
      <c r="S656" s="356"/>
      <c r="T656" s="356"/>
    </row>
    <row r="657" spans="2:20" s="24" customFormat="1">
      <c r="B657" s="132" t="str">
        <f>'корпоративный баланс энергии'!H666</f>
        <v>Яйвинская ГРЭС (филиал ПАО "Юнипро")</v>
      </c>
      <c r="C657" s="516" t="s">
        <v>364</v>
      </c>
      <c r="D657" s="317">
        <f>SUM(D658:D659)</f>
        <v>1472.6399999999999</v>
      </c>
      <c r="E657" s="246"/>
      <c r="F657" s="282"/>
      <c r="G657" s="317">
        <f>SUM(G658:G659)</f>
        <v>1316.79</v>
      </c>
      <c r="H657" s="246"/>
      <c r="I657" s="282"/>
      <c r="J657" s="317">
        <f>SUM(J658:J659)</f>
        <v>1156.6300000000001</v>
      </c>
      <c r="K657" s="246"/>
      <c r="L657" s="282"/>
      <c r="M657" s="317">
        <f>SUM(M658:M659)</f>
        <v>1457.94</v>
      </c>
      <c r="N657" s="246"/>
      <c r="O657" s="282"/>
      <c r="P657" s="317">
        <f>SUM(P658:P659)</f>
        <v>5404</v>
      </c>
      <c r="Q657" s="246"/>
      <c r="R657" s="282"/>
      <c r="S657" s="357"/>
      <c r="T657" s="357"/>
    </row>
    <row r="658" spans="2:20" s="24" customFormat="1">
      <c r="B658" s="127" t="str">
        <f>'корпоративный баланс энергии'!H667</f>
        <v>Яйвинская ГРЭС (филиал ПАО "Юнипро") без ДПМ/НВ/ВР</v>
      </c>
      <c r="C658" s="487"/>
      <c r="D658" s="281">
        <f>'корпоративный баланс энергии'!J667+'корпоративный баланс энергии'!M667+'корпоративный баланс энергии'!P667</f>
        <v>608.79</v>
      </c>
      <c r="E658" s="246"/>
      <c r="F658" s="282"/>
      <c r="G658" s="244">
        <f>'корпоративный баланс энергии'!S667+'корпоративный баланс энергии'!V667+'корпоративный баланс энергии'!Y667</f>
        <v>512.04</v>
      </c>
      <c r="H658" s="246"/>
      <c r="I658" s="282"/>
      <c r="J658" s="244">
        <f>'корпоративный баланс энергии'!AB667+'корпоративный баланс энергии'!AE667+'корпоративный баланс энергии'!AH667</f>
        <v>762.28</v>
      </c>
      <c r="K658" s="246"/>
      <c r="L658" s="282"/>
      <c r="M658" s="244">
        <f>'корпоративный баланс энергии'!AK667+'корпоративный баланс энергии'!AN667+'корпоративный баланс энергии'!AQ667</f>
        <v>603.89</v>
      </c>
      <c r="N658" s="246"/>
      <c r="O658" s="282"/>
      <c r="P658" s="244">
        <f>D658+G658+J658+M658</f>
        <v>2487</v>
      </c>
      <c r="Q658" s="246"/>
      <c r="R658" s="282"/>
      <c r="S658" s="357"/>
      <c r="T658" s="357"/>
    </row>
    <row r="659" spans="2:20" s="24" customFormat="1">
      <c r="B659" s="127" t="str">
        <f>'корпоративный баланс энергии'!H668</f>
        <v>Яйвинская ГРЭС ПГУ (филиал ПАО "Юнипро") ПГУ-400 НВ, ДПМ 01.08.2011</v>
      </c>
      <c r="C659" s="487"/>
      <c r="D659" s="281">
        <f>'корпоративный баланс энергии'!J668+'корпоративный баланс энергии'!M668+'корпоративный баланс энергии'!P668</f>
        <v>863.84999999999991</v>
      </c>
      <c r="E659" s="246"/>
      <c r="F659" s="282"/>
      <c r="G659" s="244">
        <f>'корпоративный баланс энергии'!S668+'корпоративный баланс энергии'!V668+'корпоративный баланс энергии'!Y668</f>
        <v>804.75000000000011</v>
      </c>
      <c r="H659" s="246"/>
      <c r="I659" s="282"/>
      <c r="J659" s="244">
        <f>'корпоративный баланс энергии'!AB668+'корпоративный баланс энергии'!AE668+'корпоративный баланс энергии'!AH668</f>
        <v>394.35</v>
      </c>
      <c r="K659" s="246"/>
      <c r="L659" s="282"/>
      <c r="M659" s="244">
        <f>'корпоративный баланс энергии'!AK668+'корпоративный баланс энергии'!AN668+'корпоративный баланс энергии'!AQ668</f>
        <v>854.05</v>
      </c>
      <c r="N659" s="246"/>
      <c r="O659" s="282"/>
      <c r="P659" s="244">
        <f>D659+G659+J659+M659</f>
        <v>2917</v>
      </c>
      <c r="Q659" s="246"/>
      <c r="R659" s="282"/>
      <c r="S659" s="357"/>
      <c r="T659" s="357"/>
    </row>
    <row r="660" spans="2:20" s="24" customFormat="1">
      <c r="B660" s="127" t="str">
        <f>'корпоративный баланс энергии'!H669</f>
        <v>Воткинская ГЭС( филиал ПАО "РусГидро")</v>
      </c>
      <c r="C660" s="516" t="s">
        <v>364</v>
      </c>
      <c r="D660" s="281">
        <f>'корпоративный баланс энергии'!J669+'корпоративный баланс энергии'!M669+'корпоративный баланс энергии'!P669</f>
        <v>443.13786315917969</v>
      </c>
      <c r="E660" s="246"/>
      <c r="F660" s="282"/>
      <c r="G660" s="244">
        <f>'корпоративный баланс энергии'!S669+'корпоративный баланс энергии'!V669+'корпоративный баланс энергии'!Y669</f>
        <v>986.12255859375</v>
      </c>
      <c r="H660" s="246"/>
      <c r="I660" s="282"/>
      <c r="J660" s="244">
        <f>'корпоративный баланс энергии'!AB669+'корпоративный баланс энергии'!AE669+'корпоративный баланс энергии'!AH669</f>
        <v>602.3778076171875</v>
      </c>
      <c r="K660" s="246"/>
      <c r="L660" s="282"/>
      <c r="M660" s="244">
        <f>'корпоративный баланс энергии'!AK669+'корпоративный баланс энергии'!AN669+'корпоративный баланс энергии'!AQ669</f>
        <v>536.747802734375</v>
      </c>
      <c r="N660" s="246"/>
      <c r="O660" s="282"/>
      <c r="P660" s="244">
        <f>D660+G660+J660+M660</f>
        <v>2568.3860321044922</v>
      </c>
      <c r="Q660" s="246"/>
      <c r="R660" s="282"/>
      <c r="S660" s="357"/>
      <c r="T660" s="357"/>
    </row>
    <row r="661" spans="2:20" s="24" customFormat="1">
      <c r="B661" s="127" t="str">
        <f>'корпоративный баланс энергии'!H670</f>
        <v>Камская ГЭС (филиал ПАО "РусГидро")</v>
      </c>
      <c r="C661" s="516" t="s">
        <v>364</v>
      </c>
      <c r="D661" s="281">
        <f>'корпоративный баланс энергии'!J670+'корпоративный баланс энергии'!M670+'корпоративный баланс энергии'!P670</f>
        <v>300.77311706542969</v>
      </c>
      <c r="E661" s="246"/>
      <c r="F661" s="282"/>
      <c r="G661" s="244">
        <f>'корпоративный баланс энергии'!S670+'корпоративный баланс энергии'!V670+'корпоративный баланс энергии'!Y670</f>
        <v>714.83725738525391</v>
      </c>
      <c r="H661" s="246"/>
      <c r="I661" s="282"/>
      <c r="J661" s="244">
        <f>'корпоративный баланс энергии'!AB670+'корпоративный баланс энергии'!AE670+'корпоративный баланс энергии'!AH670</f>
        <v>472.25726318359375</v>
      </c>
      <c r="K661" s="246"/>
      <c r="L661" s="282"/>
      <c r="M661" s="244">
        <f>'корпоративный баланс энергии'!AK670+'корпоративный баланс энергии'!AN670+'корпоративный баланс энергии'!AQ670</f>
        <v>442.74507141113281</v>
      </c>
      <c r="N661" s="246"/>
      <c r="O661" s="282"/>
      <c r="P661" s="244">
        <f>D661+G661+J661+M661</f>
        <v>1930.6127090454102</v>
      </c>
      <c r="Q661" s="246"/>
      <c r="R661" s="282"/>
      <c r="S661" s="357"/>
      <c r="T661" s="357"/>
    </row>
    <row r="662" spans="2:20" s="24" customFormat="1">
      <c r="B662" s="127" t="str">
        <f>'корпоративный баланс энергии'!H671</f>
        <v>Широковская ГЭС (ООО "ГЭК")</v>
      </c>
      <c r="C662" s="516" t="s">
        <v>364</v>
      </c>
      <c r="D662" s="281">
        <f>'корпоративный баланс энергии'!J671+'корпоративный баланс энергии'!M671+'корпоративный баланс энергии'!P671</f>
        <v>12.98797082901001</v>
      </c>
      <c r="E662" s="246"/>
      <c r="F662" s="282"/>
      <c r="G662" s="244">
        <f>'корпоративный баланс энергии'!S671+'корпоративный баланс энергии'!V671+'корпоративный баланс энергии'!Y671</f>
        <v>40.467886447906494</v>
      </c>
      <c r="H662" s="246"/>
      <c r="I662" s="282"/>
      <c r="J662" s="244">
        <f>'корпоративный баланс энергии'!AB671+'корпоративный баланс энергии'!AE671+'корпоративный баланс энергии'!AH671</f>
        <v>23.956553936004639</v>
      </c>
      <c r="K662" s="246"/>
      <c r="L662" s="282"/>
      <c r="M662" s="244">
        <f>'корпоративный баланс энергии'!AK671+'корпоративный баланс энергии'!AN671+'корпоративный баланс энергии'!AQ671</f>
        <v>21.265727043151855</v>
      </c>
      <c r="N662" s="246"/>
      <c r="O662" s="282"/>
      <c r="P662" s="244">
        <f>D662+G662+J662+M662</f>
        <v>98.678138256072998</v>
      </c>
      <c r="Q662" s="246"/>
      <c r="R662" s="282"/>
      <c r="S662" s="357"/>
      <c r="T662" s="357"/>
    </row>
    <row r="663" spans="2:20" s="24" customFormat="1">
      <c r="B663" s="138" t="s">
        <v>174</v>
      </c>
      <c r="C663" s="488"/>
      <c r="D663" s="287">
        <f>SUM(D664:D671)</f>
        <v>704.221</v>
      </c>
      <c r="E663" s="288"/>
      <c r="F663" s="289"/>
      <c r="G663" s="287">
        <f>SUM(G664:G671)</f>
        <v>632.74799999999993</v>
      </c>
      <c r="H663" s="288"/>
      <c r="I663" s="289"/>
      <c r="J663" s="287">
        <f>SUM(J664:J671)</f>
        <v>628.91</v>
      </c>
      <c r="K663" s="288"/>
      <c r="L663" s="289"/>
      <c r="M663" s="287">
        <f>SUM(M664:M671)</f>
        <v>714.96600000000001</v>
      </c>
      <c r="N663" s="288"/>
      <c r="O663" s="289"/>
      <c r="P663" s="287">
        <f>SUM(P664:P671)</f>
        <v>2680.8449999999998</v>
      </c>
      <c r="Q663" s="288"/>
      <c r="R663" s="289"/>
      <c r="S663" s="357"/>
      <c r="T663" s="357"/>
    </row>
    <row r="664" spans="2:20" s="24" customFormat="1">
      <c r="B664" s="145" t="str">
        <f>'корпоративный баланс энергии'!H673</f>
        <v>ГТЭС БКПРУ-4 (ПАО "Уралкалий")</v>
      </c>
      <c r="C664" s="518" t="s">
        <v>365</v>
      </c>
      <c r="D664" s="293">
        <f>'корпоративный баланс энергии'!J673+'корпоративный баланс энергии'!M673+'корпоративный баланс энергии'!P673</f>
        <v>52.91</v>
      </c>
      <c r="E664" s="288"/>
      <c r="F664" s="289"/>
      <c r="G664" s="294">
        <f>'корпоративный баланс энергии'!S673+'корпоративный баланс энергии'!V673+'корпоративный баланс энергии'!Y673</f>
        <v>70.97999999999999</v>
      </c>
      <c r="H664" s="288"/>
      <c r="I664" s="289"/>
      <c r="J664" s="294">
        <f>'корпоративный баланс энергии'!AB673+'корпоративный баланс энергии'!AE673+'корпоративный баланс энергии'!AH673</f>
        <v>62.120000000000005</v>
      </c>
      <c r="K664" s="288"/>
      <c r="L664" s="289"/>
      <c r="M664" s="294">
        <f>'корпоративный баланс энергии'!AK673+'корпоративный баланс энергии'!AN673+'корпоративный баланс энергии'!AQ673</f>
        <v>54.39</v>
      </c>
      <c r="N664" s="288"/>
      <c r="O664" s="289"/>
      <c r="P664" s="294">
        <f t="shared" ref="P664:P670" si="37">D664+G664+J664+M664</f>
        <v>240.39999999999998</v>
      </c>
      <c r="Q664" s="288"/>
      <c r="R664" s="289"/>
      <c r="S664" s="357"/>
      <c r="T664" s="357"/>
    </row>
    <row r="665" spans="2:20" s="24" customFormat="1">
      <c r="B665" s="145" t="str">
        <f>'корпоративный баланс энергии'!H674</f>
        <v>ГТУ- ТЭЦ КТЦ СКРУ-1 (ПАО "Уралкалий")</v>
      </c>
      <c r="C665" s="518" t="s">
        <v>365</v>
      </c>
      <c r="D665" s="293">
        <f>'корпоративный баланс энергии'!J674+'корпоративный баланс энергии'!M674+'корпоративный баланс энергии'!P674</f>
        <v>19.68</v>
      </c>
      <c r="E665" s="288"/>
      <c r="F665" s="289"/>
      <c r="G665" s="294">
        <f>'корпоративный баланс энергии'!S674+'корпоративный баланс энергии'!V674+'корпоративный баланс энергии'!Y674</f>
        <v>20.16</v>
      </c>
      <c r="H665" s="288"/>
      <c r="I665" s="289"/>
      <c r="J665" s="294">
        <f>'корпоративный баланс энергии'!AB674+'корпоративный баланс энергии'!AE674+'корпоративный баланс энергии'!AH674</f>
        <v>19.439999999999998</v>
      </c>
      <c r="K665" s="288"/>
      <c r="L665" s="289"/>
      <c r="M665" s="294">
        <f>'корпоративный баланс энергии'!AK674+'корпоративный баланс энергии'!AN674+'корпоративный баланс энергии'!AQ674</f>
        <v>19.920000000000002</v>
      </c>
      <c r="N665" s="288"/>
      <c r="O665" s="289"/>
      <c r="P665" s="294">
        <f t="shared" si="37"/>
        <v>79.2</v>
      </c>
      <c r="Q665" s="288"/>
      <c r="R665" s="289"/>
      <c r="S665" s="357"/>
      <c r="T665" s="357"/>
    </row>
    <row r="666" spans="2:20" s="24" customFormat="1">
      <c r="B666" s="145" t="str">
        <f>'корпоративный баланс энергии'!H675</f>
        <v>ТЭЦ ООО «Лысьва-Теплоэнерго»</v>
      </c>
      <c r="C666" s="518" t="s">
        <v>365</v>
      </c>
      <c r="D666" s="293">
        <f>'корпоративный баланс энергии'!J675+'корпоративный баланс энергии'!M675+'корпоративный баланс энергии'!P675</f>
        <v>29.229999999999997</v>
      </c>
      <c r="E666" s="288"/>
      <c r="F666" s="289"/>
      <c r="G666" s="294">
        <f>'корпоративный баланс энергии'!S675+'корпоративный баланс энергии'!V675+'корпоративный баланс энергии'!Y675</f>
        <v>28.59</v>
      </c>
      <c r="H666" s="288"/>
      <c r="I666" s="289"/>
      <c r="J666" s="294">
        <f>'корпоративный баланс энергии'!AB675+'корпоративный баланс энергии'!AE675+'корпоративный баланс энергии'!AH675</f>
        <v>25.189999999999998</v>
      </c>
      <c r="K666" s="288"/>
      <c r="L666" s="289"/>
      <c r="M666" s="294">
        <f>'корпоративный баланс энергии'!AK675+'корпоративный баланс энергии'!AN675+'корпоративный баланс энергии'!AQ675</f>
        <v>31.119999999999997</v>
      </c>
      <c r="N666" s="288"/>
      <c r="O666" s="289"/>
      <c r="P666" s="294">
        <f t="shared" si="37"/>
        <v>114.13</v>
      </c>
      <c r="Q666" s="288"/>
      <c r="R666" s="289"/>
      <c r="S666" s="357"/>
      <c r="T666" s="357"/>
    </row>
    <row r="667" spans="2:20" s="24" customFormat="1">
      <c r="B667" s="145" t="str">
        <f>'корпоративный баланс энергии'!H676</f>
        <v>ООО "Соликамская ТЭЦ"</v>
      </c>
      <c r="C667" s="518" t="s">
        <v>365</v>
      </c>
      <c r="D667" s="293">
        <f>'корпоративный баланс энергии'!J676+'корпоративный баланс энергии'!M676+'корпоративный баланс энергии'!P676</f>
        <v>229.87</v>
      </c>
      <c r="E667" s="288"/>
      <c r="F667" s="289"/>
      <c r="G667" s="294">
        <f>'корпоративный баланс энергии'!S676+'корпоративный баланс энергии'!V676+'корпоративный баланс энергии'!Y676</f>
        <v>168.44</v>
      </c>
      <c r="H667" s="288"/>
      <c r="I667" s="289"/>
      <c r="J667" s="294">
        <f>'корпоративный баланс энергии'!AB676+'корпоративный баланс энергии'!AE676+'корпоративный баланс энергии'!AH676</f>
        <v>142.1</v>
      </c>
      <c r="K667" s="288"/>
      <c r="L667" s="289"/>
      <c r="M667" s="294">
        <f>'корпоративный баланс энергии'!AK676+'корпоративный баланс энергии'!AN676+'корпоративный баланс энергии'!AQ676</f>
        <v>223.23000000000002</v>
      </c>
      <c r="N667" s="288"/>
      <c r="O667" s="289"/>
      <c r="P667" s="294">
        <f t="shared" si="37"/>
        <v>763.64</v>
      </c>
      <c r="Q667" s="288"/>
      <c r="R667" s="289"/>
      <c r="S667" s="357"/>
      <c r="T667" s="357"/>
    </row>
    <row r="668" spans="2:20" s="24" customFormat="1">
      <c r="B668" s="145" t="str">
        <f>'корпоративный баланс энергии'!H677</f>
        <v>ТЭЦ ОАО «Вишерабумпром»</v>
      </c>
      <c r="C668" s="518" t="s">
        <v>365</v>
      </c>
      <c r="D668" s="293">
        <f>'корпоративный баланс энергии'!J677+'корпоративный баланс энергии'!M677+'корпоративный баланс энергии'!P677</f>
        <v>0</v>
      </c>
      <c r="E668" s="288"/>
      <c r="F668" s="289"/>
      <c r="G668" s="294">
        <f>'корпоративный баланс энергии'!S677+'корпоративный баланс энергии'!V677+'корпоративный баланс энергии'!Y677</f>
        <v>0</v>
      </c>
      <c r="H668" s="288"/>
      <c r="I668" s="289"/>
      <c r="J668" s="294">
        <f>'корпоративный баланс энергии'!AB677+'корпоративный баланс энергии'!AE677+'корпоративный баланс энергии'!AH677</f>
        <v>0</v>
      </c>
      <c r="K668" s="288"/>
      <c r="L668" s="289"/>
      <c r="M668" s="294">
        <f>'корпоративный баланс энергии'!AK677+'корпоративный баланс энергии'!AN677+'корпоративный баланс энергии'!AQ677</f>
        <v>0</v>
      </c>
      <c r="N668" s="288"/>
      <c r="O668" s="289"/>
      <c r="P668" s="294">
        <f t="shared" si="37"/>
        <v>0</v>
      </c>
      <c r="Q668" s="288"/>
      <c r="R668" s="289"/>
      <c r="S668" s="357"/>
      <c r="T668" s="357"/>
    </row>
    <row r="669" spans="2:20" s="24" customFormat="1">
      <c r="B669" s="145" t="str">
        <f>'корпоративный баланс энергии'!H678</f>
        <v>ГТЭС Сибур-Химпром (АО "Сибурэнергоменеджмент")</v>
      </c>
      <c r="C669" s="518" t="s">
        <v>365</v>
      </c>
      <c r="D669" s="293">
        <f>'корпоративный баланс энергии'!J678+'корпоративный баланс энергии'!M678+'корпоративный баланс энергии'!P678</f>
        <v>24.625999999999998</v>
      </c>
      <c r="E669" s="288"/>
      <c r="F669" s="289"/>
      <c r="G669" s="294">
        <f>'корпоративный баланс энергии'!S678+'корпоративный баланс энергии'!V678+'корпоративный баланс энергии'!Y678</f>
        <v>23.654</v>
      </c>
      <c r="H669" s="288"/>
      <c r="I669" s="289"/>
      <c r="J669" s="294">
        <f>'корпоративный баланс энергии'!AB678+'корпоративный баланс энергии'!AE678+'корпоративный баланс энергии'!AH678</f>
        <v>24.91</v>
      </c>
      <c r="K669" s="288"/>
      <c r="L669" s="289"/>
      <c r="M669" s="294">
        <f>'корпоративный баланс энергии'!AK678+'корпоративный баланс энергии'!AN678+'корпоративный баланс энергии'!AQ678</f>
        <v>25.975999999999999</v>
      </c>
      <c r="N669" s="288"/>
      <c r="O669" s="289"/>
      <c r="P669" s="294">
        <f t="shared" si="37"/>
        <v>99.165999999999997</v>
      </c>
      <c r="Q669" s="288"/>
      <c r="R669" s="289"/>
      <c r="S669" s="357"/>
      <c r="T669" s="357"/>
    </row>
    <row r="670" spans="2:20" s="24" customFormat="1">
      <c r="B670" s="145" t="str">
        <f>'корпоративный баланс энергии'!H679</f>
        <v>ТЭС ЛУКОЙЛ-ПНОС (ООО "ЛУКОЙЛ-Пермнефтеоргсинтез") НВ 01.12.2015</v>
      </c>
      <c r="C670" s="518" t="s">
        <v>365</v>
      </c>
      <c r="D670" s="293">
        <f>'корпоративный баланс энергии'!J679+'корпоративный баланс энергии'!M679+'корпоративный баланс энергии'!P679</f>
        <v>327.28200000000004</v>
      </c>
      <c r="E670" s="288"/>
      <c r="F670" s="289"/>
      <c r="G670" s="294">
        <f>'корпоративный баланс энергии'!S679+'корпоративный баланс энергии'!V679+'корпоративный баланс энергии'!Y679</f>
        <v>300.07399999999996</v>
      </c>
      <c r="H670" s="288"/>
      <c r="I670" s="289"/>
      <c r="J670" s="294">
        <f>'корпоративный баланс энергии'!AB679+'корпоративный баланс энергии'!AE679+'корпоративный баланс энергии'!AH679</f>
        <v>334.06900000000002</v>
      </c>
      <c r="K670" s="288"/>
      <c r="L670" s="289"/>
      <c r="M670" s="294">
        <f>'корпоративный баланс энергии'!AK679+'корпоративный баланс энергии'!AN679+'корпоративный баланс энергии'!AQ679</f>
        <v>339.24700000000001</v>
      </c>
      <c r="N670" s="288"/>
      <c r="O670" s="289"/>
      <c r="P670" s="294">
        <f t="shared" si="37"/>
        <v>1300.672</v>
      </c>
      <c r="Q670" s="288"/>
      <c r="R670" s="289"/>
      <c r="S670" s="357"/>
      <c r="T670" s="357"/>
    </row>
    <row r="671" spans="2:20" s="24" customFormat="1">
      <c r="B671" s="145" t="str">
        <f>'корпоративный баланс энергии'!H680</f>
        <v>ГТЭС "Ильичевская"</v>
      </c>
      <c r="C671" s="518" t="s">
        <v>365</v>
      </c>
      <c r="D671" s="293">
        <f>'корпоративный баланс энергии'!J680+'корпоративный баланс энергии'!M680+'корпоративный баланс энергии'!P680</f>
        <v>20.623000000000001</v>
      </c>
      <c r="E671" s="288"/>
      <c r="F671" s="289"/>
      <c r="G671" s="294">
        <f>'корпоративный баланс энергии'!S680+'корпоративный баланс энергии'!V680+'корпоративный баланс энергии'!Y680</f>
        <v>20.85</v>
      </c>
      <c r="H671" s="288"/>
      <c r="I671" s="289"/>
      <c r="J671" s="294">
        <f>'корпоративный баланс энергии'!AB680+'корпоративный баланс энергии'!AE680+'корпоративный баланс энергии'!AH680</f>
        <v>21.081</v>
      </c>
      <c r="K671" s="288"/>
      <c r="L671" s="289"/>
      <c r="M671" s="294">
        <f>'корпоративный баланс энергии'!AK680+'корпоративный баланс энергии'!AN680+'корпоративный баланс энергии'!AQ680</f>
        <v>21.082999999999998</v>
      </c>
      <c r="N671" s="288"/>
      <c r="O671" s="289"/>
      <c r="P671" s="294">
        <f t="shared" ref="P671" si="38">D671+G671+J671+M671</f>
        <v>83.637</v>
      </c>
      <c r="Q671" s="288"/>
      <c r="R671" s="289"/>
      <c r="S671" s="357"/>
      <c r="T671" s="357"/>
    </row>
    <row r="672" spans="2:20" s="24" customFormat="1" ht="18.75">
      <c r="B672" s="474" t="str">
        <f>'корпоративный баланс энергии'!H681</f>
        <v>Энергосистема Свердловской области</v>
      </c>
      <c r="C672" s="501"/>
      <c r="D672" s="274">
        <f>SUM(D673:D676)</f>
        <v>15969.437921750547</v>
      </c>
      <c r="E672" s="275">
        <f>F672-D672</f>
        <v>-4046.0742313884311</v>
      </c>
      <c r="F672" s="276">
        <f>'корпоративный баланс энергии'!L681+'корпоративный баланс энергии'!O681+'корпоративный баланс энергии'!R681</f>
        <v>11923.363690362115</v>
      </c>
      <c r="G672" s="274">
        <f>SUM(G673:G676)</f>
        <v>13136.419744947432</v>
      </c>
      <c r="H672" s="275">
        <f>I672-G672</f>
        <v>-3021.5618134656197</v>
      </c>
      <c r="I672" s="276">
        <f>'корпоративный баланс энергии'!U681+'корпоративный баланс энергии'!X681+'корпоративный баланс энергии'!AA681</f>
        <v>10114.857931481813</v>
      </c>
      <c r="J672" s="274">
        <f>SUM(J673:J676)</f>
        <v>13501.473705539702</v>
      </c>
      <c r="K672" s="275">
        <f>L672-J672</f>
        <v>-3561.5182957085544</v>
      </c>
      <c r="L672" s="276">
        <f>'корпоративный баланс энергии'!AD681+'корпоративный баланс энергии'!AG681+'корпоративный баланс энергии'!AJ681</f>
        <v>9939.9554098311473</v>
      </c>
      <c r="M672" s="274">
        <f>SUM(M673:M676)</f>
        <v>15916.147588193417</v>
      </c>
      <c r="N672" s="275">
        <f>O672-M672</f>
        <v>-4057.7046758141696</v>
      </c>
      <c r="O672" s="276">
        <f>'корпоративный баланс энергии'!AM681+'корпоративный баланс энергии'!AP681+'корпоративный баланс энергии'!AS681</f>
        <v>11858.442912379247</v>
      </c>
      <c r="P672" s="274">
        <f>SUM(P673:P676)</f>
        <v>58523.478960431101</v>
      </c>
      <c r="Q672" s="275">
        <f>R672-P672</f>
        <v>-14686.859016376773</v>
      </c>
      <c r="R672" s="276">
        <f>F672+I672+L672+O672</f>
        <v>43836.619944054328</v>
      </c>
      <c r="S672" s="357"/>
      <c r="T672" s="357"/>
    </row>
    <row r="673" spans="2:20" s="24" customFormat="1">
      <c r="B673" s="124" t="s">
        <v>56</v>
      </c>
      <c r="C673" s="497"/>
      <c r="D673" s="362">
        <f>D677+SUM(D680:D681)+SUM(D683:D685)+SUM(D688:D699)</f>
        <v>12262.470000000001</v>
      </c>
      <c r="E673" s="363"/>
      <c r="F673" s="364"/>
      <c r="G673" s="362">
        <f>G677+SUM(G680:G681)+SUM(G683:G685)+SUM(G688:G699)</f>
        <v>9908.8729999999996</v>
      </c>
      <c r="H673" s="363"/>
      <c r="I673" s="364"/>
      <c r="J673" s="362">
        <f>J677+SUM(J680:J681)+SUM(J683:J685)+SUM(J688:J699)</f>
        <v>10476.339999999998</v>
      </c>
      <c r="K673" s="363"/>
      <c r="L673" s="364"/>
      <c r="M673" s="362">
        <f>M677+SUM(M680:M681)+SUM(M683:M685)+SUM(M688:M699)</f>
        <v>12851.65</v>
      </c>
      <c r="N673" s="363"/>
      <c r="O673" s="364"/>
      <c r="P673" s="362">
        <f>P677+SUM(P680:P681)+SUM(P683:P685)+SUM(P688:P699)</f>
        <v>45499.332999999999</v>
      </c>
      <c r="Q673" s="363"/>
      <c r="R673" s="364"/>
      <c r="S673" s="357"/>
      <c r="T673" s="357"/>
    </row>
    <row r="674" spans="2:20" s="24" customFormat="1">
      <c r="B674" s="124" t="s">
        <v>55</v>
      </c>
      <c r="C674" s="497"/>
      <c r="D674" s="362">
        <f>D700</f>
        <v>1.8879217505455017</v>
      </c>
      <c r="E674" s="363"/>
      <c r="F674" s="364"/>
      <c r="G674" s="362">
        <f>G700</f>
        <v>9.9167449474334717</v>
      </c>
      <c r="H674" s="363"/>
      <c r="I674" s="364"/>
      <c r="J674" s="362">
        <f>J700</f>
        <v>5.4637055397033691</v>
      </c>
      <c r="K674" s="363"/>
      <c r="L674" s="364"/>
      <c r="M674" s="362">
        <f>M700</f>
        <v>3.8975881934165955</v>
      </c>
      <c r="N674" s="363"/>
      <c r="O674" s="364"/>
      <c r="P674" s="362">
        <f>P700</f>
        <v>21.165960431098938</v>
      </c>
      <c r="Q674" s="363"/>
      <c r="R674" s="364"/>
      <c r="S674" s="357"/>
      <c r="T674" s="357"/>
    </row>
    <row r="675" spans="2:20" s="24" customFormat="1">
      <c r="B675" s="124" t="s">
        <v>98</v>
      </c>
      <c r="C675" s="497"/>
      <c r="D675" s="362">
        <f>D701</f>
        <v>2881</v>
      </c>
      <c r="E675" s="363"/>
      <c r="F675" s="364"/>
      <c r="G675" s="362">
        <f>G701</f>
        <v>2613</v>
      </c>
      <c r="H675" s="363"/>
      <c r="I675" s="364"/>
      <c r="J675" s="362">
        <f>J701</f>
        <v>2515</v>
      </c>
      <c r="K675" s="363"/>
      <c r="L675" s="364"/>
      <c r="M675" s="362">
        <f>M701</f>
        <v>2238</v>
      </c>
      <c r="N675" s="363"/>
      <c r="O675" s="364"/>
      <c r="P675" s="362">
        <f>P701</f>
        <v>10247</v>
      </c>
      <c r="Q675" s="363"/>
      <c r="R675" s="364"/>
      <c r="S675" s="357"/>
      <c r="T675" s="357"/>
    </row>
    <row r="676" spans="2:20" s="24" customFormat="1">
      <c r="B676" s="126" t="s">
        <v>99</v>
      </c>
      <c r="C676" s="500"/>
      <c r="D676" s="362">
        <f>D704</f>
        <v>824.08</v>
      </c>
      <c r="E676" s="363"/>
      <c r="F676" s="364"/>
      <c r="G676" s="362">
        <f>G704</f>
        <v>604.63</v>
      </c>
      <c r="H676" s="363"/>
      <c r="I676" s="364"/>
      <c r="J676" s="362">
        <f>J704</f>
        <v>504.67000000000007</v>
      </c>
      <c r="K676" s="363"/>
      <c r="L676" s="364"/>
      <c r="M676" s="362">
        <f>M704</f>
        <v>822.6</v>
      </c>
      <c r="N676" s="363"/>
      <c r="O676" s="364"/>
      <c r="P676" s="362">
        <f>P704</f>
        <v>2755.98</v>
      </c>
      <c r="Q676" s="363"/>
      <c r="R676" s="364"/>
      <c r="S676" s="357"/>
      <c r="T676" s="357"/>
    </row>
    <row r="677" spans="2:20" s="24" customFormat="1">
      <c r="B677" s="134" t="str">
        <f>'корпоративный баланс энергии'!H686</f>
        <v>Среднеуральская ГРЭС (филиал ПАО "Энел Россия")</v>
      </c>
      <c r="C677" s="516" t="s">
        <v>364</v>
      </c>
      <c r="D677" s="317">
        <f>SUM(D678:D679)</f>
        <v>1974.08</v>
      </c>
      <c r="E677" s="246"/>
      <c r="F677" s="282"/>
      <c r="G677" s="317">
        <f>SUM(G678:G679)</f>
        <v>1463.95</v>
      </c>
      <c r="H677" s="246"/>
      <c r="I677" s="282"/>
      <c r="J677" s="317">
        <f>SUM(J678:J679)</f>
        <v>1441.56</v>
      </c>
      <c r="K677" s="246"/>
      <c r="L677" s="282"/>
      <c r="M677" s="317">
        <f>SUM(M678:M679)</f>
        <v>2132.4499999999998</v>
      </c>
      <c r="N677" s="246"/>
      <c r="O677" s="282"/>
      <c r="P677" s="317">
        <f>SUM(P678:P679)</f>
        <v>7012.0399999999991</v>
      </c>
      <c r="Q677" s="246"/>
      <c r="R677" s="282"/>
      <c r="S677" s="357"/>
      <c r="T677" s="357"/>
    </row>
    <row r="678" spans="2:20" s="24" customFormat="1">
      <c r="B678" s="122" t="str">
        <f>'корпоративный баланс энергии'!H687</f>
        <v>Среднеуральская ГРЭС (филиал ПАО "Энел Россия") без ДПМ/НВ/ВР</v>
      </c>
      <c r="C678" s="486"/>
      <c r="D678" s="281">
        <f>'корпоративный баланс энергии'!J687+'корпоративный баланс энергии'!M687+'корпоративный баланс энергии'!P687</f>
        <v>1170.3599999999999</v>
      </c>
      <c r="E678" s="246"/>
      <c r="F678" s="282"/>
      <c r="G678" s="244">
        <f>'корпоративный баланс энергии'!S687+'корпоративный баланс энергии'!V687+'корпоративный баланс энергии'!Y687</f>
        <v>1154.01</v>
      </c>
      <c r="H678" s="246"/>
      <c r="I678" s="282"/>
      <c r="J678" s="244">
        <f>'корпоративный баланс энергии'!AB687+'корпоративный баланс энергии'!AE687+'корпоративный баланс энергии'!AH687</f>
        <v>579.1</v>
      </c>
      <c r="K678" s="246"/>
      <c r="L678" s="282"/>
      <c r="M678" s="244">
        <f>'корпоративный баланс энергии'!AK687+'корпоративный баланс энергии'!AN687+'корпоративный баланс энергии'!AQ687</f>
        <v>1239.5</v>
      </c>
      <c r="N678" s="246"/>
      <c r="O678" s="282"/>
      <c r="P678" s="244">
        <f>D678+G678+J678+M678</f>
        <v>4142.9699999999993</v>
      </c>
      <c r="Q678" s="246"/>
      <c r="R678" s="282"/>
      <c r="S678" s="357"/>
      <c r="T678" s="357"/>
    </row>
    <row r="679" spans="2:20" s="24" customFormat="1">
      <c r="B679" s="122" t="str">
        <f>'корпоративный баланс энергии'!H688</f>
        <v>Среднеуральская ГРЭС (филиал ПАО "Энел Россия") ПГУ блок №12  01.12.2011</v>
      </c>
      <c r="C679" s="486"/>
      <c r="D679" s="281">
        <f>'корпоративный баланс энергии'!J688+'корпоративный баланс энергии'!M688+'корпоративный баланс энергии'!P688</f>
        <v>803.72</v>
      </c>
      <c r="E679" s="246"/>
      <c r="F679" s="282"/>
      <c r="G679" s="244">
        <f>'корпоративный баланс энергии'!S688+'корпоративный баланс энергии'!V688+'корпоративный баланс энергии'!Y688</f>
        <v>309.94</v>
      </c>
      <c r="H679" s="246"/>
      <c r="I679" s="282"/>
      <c r="J679" s="244">
        <f>'корпоративный баланс энергии'!AB688+'корпоративный баланс энергии'!AE688+'корпоративный баланс энергии'!AH688</f>
        <v>862.45999999999992</v>
      </c>
      <c r="K679" s="246"/>
      <c r="L679" s="282"/>
      <c r="M679" s="244">
        <f>'корпоративный баланс энергии'!AK688+'корпоративный баланс энергии'!AN688+'корпоративный баланс энергии'!AQ688</f>
        <v>892.94999999999993</v>
      </c>
      <c r="N679" s="246"/>
      <c r="O679" s="282"/>
      <c r="P679" s="244">
        <f>D679+G679+J679+M679</f>
        <v>2869.0699999999997</v>
      </c>
      <c r="Q679" s="246"/>
      <c r="R679" s="282"/>
      <c r="S679" s="357"/>
      <c r="T679" s="357"/>
    </row>
    <row r="680" spans="2:20" s="24" customFormat="1">
      <c r="B680" s="122" t="str">
        <f>'корпоративный баланс энергии'!H689</f>
        <v>Рефтинская ГРЭС (филиал ПАО "Энел Россия")</v>
      </c>
      <c r="C680" s="516" t="s">
        <v>364</v>
      </c>
      <c r="D680" s="281">
        <f>'корпоративный баланс энергии'!J689+'корпоративный баланс энергии'!M689+'корпоративный баланс энергии'!P689</f>
        <v>5192.0200000000004</v>
      </c>
      <c r="E680" s="246"/>
      <c r="F680" s="282"/>
      <c r="G680" s="244">
        <f>'корпоративный баланс энергии'!S689+'корпоративный баланс энергии'!V689+'корпоративный баланс энергии'!Y689</f>
        <v>4851.13</v>
      </c>
      <c r="H680" s="246"/>
      <c r="I680" s="282"/>
      <c r="J680" s="244">
        <f>'корпоративный баланс энергии'!AB689+'корпоративный баланс энергии'!AE689+'корпоративный баланс энергии'!AH689</f>
        <v>5538.24</v>
      </c>
      <c r="K680" s="246"/>
      <c r="L680" s="282"/>
      <c r="M680" s="244">
        <f>'корпоративный баланс энергии'!AK689+'корпоративный баланс энергии'!AN689+'корпоративный баланс энергии'!AQ689</f>
        <v>5562.79</v>
      </c>
      <c r="N680" s="246"/>
      <c r="O680" s="282"/>
      <c r="P680" s="244">
        <f>D680+G680+J680+M680</f>
        <v>21144.18</v>
      </c>
      <c r="Q680" s="246"/>
      <c r="R680" s="282"/>
      <c r="S680" s="357"/>
      <c r="T680" s="357"/>
    </row>
    <row r="681" spans="2:20" s="24" customFormat="1">
      <c r="B681" s="122" t="str">
        <f>'корпоративный баланс энергии'!H690</f>
        <v>Серовская ГРЭС  (Филиал ПАО "ОГК-2") БЛ-1 ПГУ-420 НВ, ДПМ 01.12.2015</v>
      </c>
      <c r="C681" s="516" t="s">
        <v>364</v>
      </c>
      <c r="D681" s="281">
        <f>'корпоративный баланс энергии'!J690+'корпоративный баланс энергии'!M690+'корпоративный баланс энергии'!P690</f>
        <v>919</v>
      </c>
      <c r="E681" s="246"/>
      <c r="F681" s="282"/>
      <c r="G681" s="244">
        <f>'корпоративный баланс энергии'!S690+'корпоративный баланс энергии'!V690+'корпоративный баланс энергии'!Y690</f>
        <v>793</v>
      </c>
      <c r="H681" s="246"/>
      <c r="I681" s="282"/>
      <c r="J681" s="244">
        <f>'корпоративный баланс энергии'!AB690+'корпоративный баланс энергии'!AE690+'корпоративный баланс энергии'!AH690</f>
        <v>554</v>
      </c>
      <c r="K681" s="246"/>
      <c r="L681" s="282"/>
      <c r="M681" s="244">
        <f>'корпоративный баланс энергии'!AK690+'корпоративный баланс энергии'!AN690+'корпоративный баланс энергии'!AQ690</f>
        <v>930</v>
      </c>
      <c r="N681" s="246"/>
      <c r="O681" s="282"/>
      <c r="P681" s="244">
        <f>D681+G681+J681+M681</f>
        <v>3196</v>
      </c>
      <c r="Q681" s="246"/>
      <c r="R681" s="282"/>
      <c r="S681" s="357"/>
      <c r="T681" s="357"/>
    </row>
    <row r="682" spans="2:20" s="24" customFormat="1">
      <c r="B682" s="132" t="str">
        <f>'корпоративный баланс энергии'!H691</f>
        <v>Верхнетагильская ГРЭС (АО "ИНТЕР РАО - Электрогенерация")</v>
      </c>
      <c r="C682" s="487"/>
      <c r="D682" s="317">
        <f>SUM(D683:D684)</f>
        <v>1647.14</v>
      </c>
      <c r="E682" s="246"/>
      <c r="F682" s="282"/>
      <c r="G682" s="317">
        <f>SUM(G683:G684)</f>
        <v>1283.76</v>
      </c>
      <c r="H682" s="246"/>
      <c r="I682" s="282"/>
      <c r="J682" s="317">
        <f>SUM(J683:J684)</f>
        <v>1250.74</v>
      </c>
      <c r="K682" s="246"/>
      <c r="L682" s="282"/>
      <c r="M682" s="317">
        <f>SUM(M683:M684)</f>
        <v>1711.04</v>
      </c>
      <c r="N682" s="246"/>
      <c r="O682" s="282"/>
      <c r="P682" s="317">
        <f>SUM(P683:P684)</f>
        <v>5892.68</v>
      </c>
      <c r="Q682" s="246"/>
      <c r="R682" s="282"/>
      <c r="S682" s="357"/>
      <c r="T682" s="357"/>
    </row>
    <row r="683" spans="2:20" s="24" customFormat="1">
      <c r="B683" s="127" t="str">
        <f>'корпоративный баланс энергии'!H692</f>
        <v>Верхнетагильская ГРЭС (АО "ИНТЕР РАО - Электрогенерация") без ДПМ/НВ</v>
      </c>
      <c r="C683" s="487"/>
      <c r="D683" s="281">
        <f>'корпоративный баланс энергии'!J692+'корпоративный баланс энергии'!M692+'корпоративный баланс энергии'!P692</f>
        <v>731.54000000000008</v>
      </c>
      <c r="E683" s="246"/>
      <c r="F683" s="282"/>
      <c r="G683" s="244">
        <f>'корпоративный баланс энергии'!S692+'корпоративный баланс энергии'!V692+'корпоративный баланс энергии'!Y692</f>
        <v>496.96</v>
      </c>
      <c r="H683" s="246"/>
      <c r="I683" s="282"/>
      <c r="J683" s="244">
        <f>'корпоративный баланс энергии'!AB692+'корпоративный баланс энергии'!AE692+'корпоративный баланс энергии'!AH692</f>
        <v>512.96</v>
      </c>
      <c r="K683" s="246"/>
      <c r="L683" s="282"/>
      <c r="M683" s="244">
        <f>'корпоративный баланс энергии'!AK692+'корпоративный баланс энергии'!AN692+'корпоративный баланс энергии'!AQ692</f>
        <v>818.24000000000012</v>
      </c>
      <c r="N683" s="246"/>
      <c r="O683" s="282"/>
      <c r="P683" s="244">
        <f>D683+G683+J683+M683</f>
        <v>2559.7000000000003</v>
      </c>
      <c r="Q683" s="246"/>
      <c r="R683" s="282"/>
      <c r="S683" s="357"/>
      <c r="T683" s="357"/>
    </row>
    <row r="684" spans="2:20" s="24" customFormat="1">
      <c r="B684" s="127" t="str">
        <f>'корпоративный баланс энергии'!H693</f>
        <v>Верхнетагильская ГРЭС (АО "ИНТЕР РАО - Электрогенерация") блок 12 ДПМ НВ</v>
      </c>
      <c r="C684" s="487"/>
      <c r="D684" s="281">
        <f>'корпоративный баланс энергии'!J693+'корпоративный баланс энергии'!M693+'корпоративный баланс энергии'!P693</f>
        <v>915.6</v>
      </c>
      <c r="E684" s="246"/>
      <c r="F684" s="282"/>
      <c r="G684" s="244">
        <f>'корпоративный баланс энергии'!S693+'корпоративный баланс энергии'!V693+'корпоративный баланс энергии'!Y693</f>
        <v>786.8</v>
      </c>
      <c r="H684" s="246"/>
      <c r="I684" s="282"/>
      <c r="J684" s="244">
        <f>'корпоративный баланс энергии'!AB693+'корпоративный баланс энергии'!AE693+'корпоративный баланс энергии'!AH693</f>
        <v>737.78</v>
      </c>
      <c r="K684" s="246"/>
      <c r="L684" s="282"/>
      <c r="M684" s="244">
        <f>'корпоративный баланс энергии'!AK693+'корпоративный баланс энергии'!AN693+'корпоративный баланс энергии'!AQ693</f>
        <v>892.8</v>
      </c>
      <c r="N684" s="246"/>
      <c r="O684" s="282"/>
      <c r="P684" s="244">
        <f>D684+G684+J684+M684</f>
        <v>3332.9800000000005</v>
      </c>
      <c r="Q684" s="246"/>
      <c r="R684" s="282"/>
      <c r="S684" s="357"/>
      <c r="T684" s="357"/>
    </row>
    <row r="685" spans="2:20" s="24" customFormat="1">
      <c r="B685" s="132" t="str">
        <f>'корпоративный баланс энергии'!H694</f>
        <v>Нижнетуринская ГРЭС (Свердловский филиал ПАО "Т Плюс")</v>
      </c>
      <c r="C685" s="516" t="s">
        <v>364</v>
      </c>
      <c r="D685" s="317">
        <f>SUM(D686:D687)</f>
        <v>763.84999999999991</v>
      </c>
      <c r="E685" s="246"/>
      <c r="F685" s="282"/>
      <c r="G685" s="317">
        <f>SUM(G686:G687)</f>
        <v>569.64</v>
      </c>
      <c r="H685" s="246"/>
      <c r="I685" s="282"/>
      <c r="J685" s="317">
        <f>SUM(J686:J687)</f>
        <v>785</v>
      </c>
      <c r="K685" s="246"/>
      <c r="L685" s="282"/>
      <c r="M685" s="317">
        <f>SUM(M686:M687)</f>
        <v>827</v>
      </c>
      <c r="N685" s="246"/>
      <c r="O685" s="282"/>
      <c r="P685" s="317">
        <f>SUM(P686:P687)</f>
        <v>2945.49</v>
      </c>
      <c r="Q685" s="246"/>
      <c r="R685" s="282"/>
      <c r="S685" s="357"/>
      <c r="T685" s="357"/>
    </row>
    <row r="686" spans="2:20" s="24" customFormat="1">
      <c r="B686" s="127" t="str">
        <f>'корпоративный баланс энергии'!H695</f>
        <v>Нижнетуринская ГРЭС (Свердловский филиал ПАО "Т Плюс") БЛ-1 ПГУ-230 НВ, ДПМ 01.01.2016</v>
      </c>
      <c r="C686" s="487"/>
      <c r="D686" s="281">
        <f>'корпоративный баланс энергии'!J695+'корпоративный баланс энергии'!M695+'корпоративный баланс энергии'!P695</f>
        <v>316.45999999999998</v>
      </c>
      <c r="E686" s="246"/>
      <c r="F686" s="282"/>
      <c r="G686" s="244">
        <f>'корпоративный баланс энергии'!S695+'корпоративный баланс энергии'!V695+'корпоративный баланс энергии'!Y695</f>
        <v>332.82</v>
      </c>
      <c r="H686" s="246"/>
      <c r="I686" s="282"/>
      <c r="J686" s="244">
        <f>'корпоративный баланс энергии'!AB695+'корпоративный баланс энергии'!AE695+'корпоративный баланс энергии'!AH695</f>
        <v>400</v>
      </c>
      <c r="K686" s="246"/>
      <c r="L686" s="282"/>
      <c r="M686" s="244">
        <f>'корпоративный баланс энергии'!AK695+'корпоративный баланс энергии'!AN695+'корпоративный баланс энергии'!AQ695</f>
        <v>413</v>
      </c>
      <c r="N686" s="246"/>
      <c r="O686" s="282"/>
      <c r="P686" s="244">
        <f t="shared" ref="P686:P700" si="39">D686+G686+J686+M686</f>
        <v>1462.28</v>
      </c>
      <c r="Q686" s="246"/>
      <c r="R686" s="282"/>
      <c r="S686" s="357"/>
      <c r="T686" s="357"/>
    </row>
    <row r="687" spans="2:20" s="24" customFormat="1">
      <c r="B687" s="127" t="str">
        <f>'корпоративный баланс энергии'!H696</f>
        <v>Нижнетуринская ГРЭС (Свердловский филиал ПАО "Т Плюс") БЛ-2 ПГУ-230 НВ, ДПМ 01.01.2016</v>
      </c>
      <c r="C687" s="487"/>
      <c r="D687" s="281">
        <f>'корпоративный баланс энергии'!J696+'корпоративный баланс энергии'!M696+'корпоративный баланс энергии'!P696</f>
        <v>447.39</v>
      </c>
      <c r="E687" s="246"/>
      <c r="F687" s="282"/>
      <c r="G687" s="244">
        <f>'корпоративный баланс энергии'!S696+'корпоративный баланс энергии'!V696+'корпоративный баланс энергии'!Y696</f>
        <v>236.82</v>
      </c>
      <c r="H687" s="246"/>
      <c r="I687" s="282"/>
      <c r="J687" s="244">
        <f>'корпоративный баланс энергии'!AB696+'корпоративный баланс энергии'!AE696+'корпоративный баланс энергии'!AH696</f>
        <v>385</v>
      </c>
      <c r="K687" s="246"/>
      <c r="L687" s="282"/>
      <c r="M687" s="244">
        <f>'корпоративный баланс энергии'!AK696+'корпоративный баланс энергии'!AN696+'корпоративный баланс энергии'!AQ696</f>
        <v>414</v>
      </c>
      <c r="N687" s="246"/>
      <c r="O687" s="282"/>
      <c r="P687" s="244">
        <f t="shared" si="39"/>
        <v>1483.21</v>
      </c>
      <c r="Q687" s="246"/>
      <c r="R687" s="282"/>
      <c r="S687" s="357"/>
      <c r="T687" s="357"/>
    </row>
    <row r="688" spans="2:20" s="24" customFormat="1">
      <c r="B688" s="127" t="str">
        <f>'корпоративный баланс энергии'!H697</f>
        <v>Ново-Свердловская ТЭЦ (Свердловский филиал ПАО "Т Плюс")</v>
      </c>
      <c r="C688" s="699" t="s">
        <v>364</v>
      </c>
      <c r="D688" s="281">
        <f>'корпоративный баланс энергии'!J697+'корпоративный баланс энергии'!M697+'корпоративный баланс энергии'!P697</f>
        <v>835.74</v>
      </c>
      <c r="E688" s="246"/>
      <c r="F688" s="282"/>
      <c r="G688" s="244">
        <f>'корпоративный баланс энергии'!S697+'корпоративный баланс энергии'!V697+'корпоративный баланс энергии'!Y697</f>
        <v>324.8</v>
      </c>
      <c r="H688" s="246"/>
      <c r="I688" s="282"/>
      <c r="J688" s="244">
        <f>'корпоративный баланс энергии'!AB697+'корпоративный баланс энергии'!AE697+'корпоративный баланс энергии'!AH697</f>
        <v>281</v>
      </c>
      <c r="K688" s="246"/>
      <c r="L688" s="282"/>
      <c r="M688" s="244">
        <f>'корпоративный баланс энергии'!AK697+'корпоративный баланс энергии'!AN697+'корпоративный баланс энергии'!AQ697</f>
        <v>790.81999999999994</v>
      </c>
      <c r="N688" s="246"/>
      <c r="O688" s="282"/>
      <c r="P688" s="244">
        <f t="shared" si="39"/>
        <v>2232.3599999999997</v>
      </c>
      <c r="Q688" s="246"/>
      <c r="R688" s="282"/>
      <c r="S688" s="357"/>
      <c r="T688" s="357"/>
    </row>
    <row r="689" spans="2:20" s="24" customFormat="1">
      <c r="B689" s="127" t="str">
        <f>'корпоративный баланс энергии'!H698</f>
        <v>Богословская ТЭЦ (Филиал ОАО «СУАЛ» «БАЗ-СУАЛ»)</v>
      </c>
      <c r="C689" s="519" t="s">
        <v>365</v>
      </c>
      <c r="D689" s="281">
        <f>'корпоративный баланс энергии'!J698+'корпоративный баланс энергии'!M698+'корпоративный баланс энергии'!P698</f>
        <v>150.38999999999999</v>
      </c>
      <c r="E689" s="246"/>
      <c r="F689" s="282"/>
      <c r="G689" s="244">
        <f>'корпоративный баланс энергии'!S698+'корпоративный баланс энергии'!V698+'корпоративный баланс энергии'!Y698</f>
        <v>111.77</v>
      </c>
      <c r="H689" s="246"/>
      <c r="I689" s="282"/>
      <c r="J689" s="244">
        <f>'корпоративный баланс энергии'!AB698+'корпоративный баланс энергии'!AE698+'корпоративный баланс энергии'!AH698</f>
        <v>93.44</v>
      </c>
      <c r="K689" s="246"/>
      <c r="L689" s="282"/>
      <c r="M689" s="244">
        <f>'корпоративный баланс энергии'!AK698+'корпоративный баланс энергии'!AN698+'корпоративный баланс энергии'!AQ698</f>
        <v>146.35</v>
      </c>
      <c r="N689" s="246"/>
      <c r="O689" s="282"/>
      <c r="P689" s="244">
        <f t="shared" si="39"/>
        <v>501.94999999999993</v>
      </c>
      <c r="Q689" s="246"/>
      <c r="R689" s="282"/>
      <c r="S689" s="357"/>
      <c r="T689" s="357"/>
    </row>
    <row r="690" spans="2:20" s="24" customFormat="1">
      <c r="B690" s="127" t="str">
        <f>'корпоративный баланс энергии'!H699</f>
        <v>Красногорская ТЭЦ (АО «РУСАЛ Урал» филиал «РУСАЛ Каменск-Уральский»)</v>
      </c>
      <c r="C690" s="699" t="s">
        <v>364</v>
      </c>
      <c r="D690" s="281">
        <f>'корпоративный баланс энергии'!J699+'корпоративный баланс энергии'!M699+'корпоративный баланс энергии'!P699</f>
        <v>109.79</v>
      </c>
      <c r="E690" s="246"/>
      <c r="F690" s="282"/>
      <c r="G690" s="244">
        <f>'корпоративный баланс энергии'!S699+'корпоративный баланс энергии'!V699+'корпоративный баланс энергии'!Y699</f>
        <v>50.47</v>
      </c>
      <c r="H690" s="246"/>
      <c r="I690" s="282"/>
      <c r="J690" s="244">
        <f>'корпоративный баланс энергии'!AB699+'корпоративный баланс энергии'!AE699+'корпоративный баланс энергии'!AH699</f>
        <v>37.72</v>
      </c>
      <c r="K690" s="246"/>
      <c r="L690" s="282"/>
      <c r="M690" s="244">
        <f>'корпоративный баланс энергии'!AK699+'корпоративный баланс энергии'!AN699+'корпоративный баланс энергии'!AQ699</f>
        <v>104</v>
      </c>
      <c r="N690" s="246"/>
      <c r="O690" s="282"/>
      <c r="P690" s="244">
        <f t="shared" si="39"/>
        <v>301.98</v>
      </c>
      <c r="Q690" s="246"/>
      <c r="R690" s="282"/>
      <c r="S690" s="357"/>
      <c r="T690" s="357"/>
    </row>
    <row r="691" spans="2:20" s="24" customFormat="1">
      <c r="B691" s="127" t="str">
        <f>'корпоративный баланс энергии'!H700</f>
        <v>Свердловская ТЭЦ (Свердловский филиал ПАО "Т Плюс")</v>
      </c>
      <c r="C691" s="699" t="s">
        <v>364</v>
      </c>
      <c r="D691" s="281">
        <f>'корпоративный баланс энергии'!J700+'корпоративный баланс энергии'!M700+'корпоративный баланс энергии'!P700</f>
        <v>52.42</v>
      </c>
      <c r="E691" s="246"/>
      <c r="F691" s="282"/>
      <c r="G691" s="244">
        <f>'корпоративный баланс энергии'!S700+'корпоративный баланс энергии'!V700+'корпоративный баланс энергии'!Y700</f>
        <v>42.730000000000004</v>
      </c>
      <c r="H691" s="246"/>
      <c r="I691" s="282"/>
      <c r="J691" s="244">
        <f>'корпоративный баланс энергии'!AB700+'корпоративный баланс энергии'!AE700+'корпоративный баланс энергии'!AH700</f>
        <v>34.980000000000004</v>
      </c>
      <c r="K691" s="246"/>
      <c r="L691" s="282"/>
      <c r="M691" s="244">
        <f>'корпоративный баланс энергии'!AK700+'корпоративный баланс энергии'!AN700+'корпоративный баланс энергии'!AQ700</f>
        <v>53</v>
      </c>
      <c r="N691" s="246"/>
      <c r="O691" s="282"/>
      <c r="P691" s="244">
        <f t="shared" si="39"/>
        <v>183.13</v>
      </c>
      <c r="Q691" s="246"/>
      <c r="R691" s="282"/>
      <c r="S691" s="357"/>
      <c r="T691" s="357"/>
    </row>
    <row r="692" spans="2:20" s="24" customFormat="1">
      <c r="B692" s="127" t="str">
        <f>'корпоративный баланс энергии'!H701</f>
        <v>Первоуральская ТЭЦ (Свердловский филиал ПАО "Т Плюс")</v>
      </c>
      <c r="C692" s="699" t="s">
        <v>364</v>
      </c>
      <c r="D692" s="281">
        <f>'корпоративный баланс энергии'!J701+'корпоративный баланс энергии'!M701+'корпоративный баланс энергии'!P701</f>
        <v>52.42</v>
      </c>
      <c r="E692" s="246"/>
      <c r="F692" s="282"/>
      <c r="G692" s="244">
        <f>'корпоративный баланс энергии'!S701+'корпоративный баланс энергии'!V701+'корпоративный баланс энергии'!Y701</f>
        <v>39.393000000000001</v>
      </c>
      <c r="H692" s="246"/>
      <c r="I692" s="282"/>
      <c r="J692" s="244">
        <f>'корпоративный баланс энергии'!AB701+'корпоративный баланс энергии'!AE701+'корпоративный баланс энергии'!AH701</f>
        <v>23.82</v>
      </c>
      <c r="K692" s="246"/>
      <c r="L692" s="282"/>
      <c r="M692" s="244">
        <f>'корпоративный баланс энергии'!AK701+'корпоративный баланс энергии'!AN701+'корпоративный баланс энергии'!AQ701</f>
        <v>53</v>
      </c>
      <c r="N692" s="246"/>
      <c r="O692" s="282"/>
      <c r="P692" s="244">
        <f t="shared" si="39"/>
        <v>168.63300000000001</v>
      </c>
      <c r="Q692" s="246"/>
      <c r="R692" s="282"/>
      <c r="S692" s="357"/>
      <c r="T692" s="357"/>
    </row>
    <row r="693" spans="2:20" s="24" customFormat="1">
      <c r="B693" s="127" t="str">
        <f>'корпоративный баланс энергии'!H702</f>
        <v>ТЭЦ "Академическая" объект 8 ПГУ (Свердловский филиал ПАО "Т Плюс")</v>
      </c>
      <c r="C693" s="699"/>
      <c r="D693" s="281">
        <f>'корпоративный баланс энергии'!J702+'корпоративный баланс энергии'!M702+'корпоративный баланс энергии'!P702</f>
        <v>354.68</v>
      </c>
      <c r="E693" s="246"/>
      <c r="F693" s="282"/>
      <c r="G693" s="244">
        <f>'корпоративный баланс энергии'!S702+'корпоративный баланс энергии'!V702+'корпоративный баланс энергии'!Y702</f>
        <v>275</v>
      </c>
      <c r="H693" s="246"/>
      <c r="I693" s="282"/>
      <c r="J693" s="244">
        <f>'корпоративный баланс энергии'!AB702+'корпоративный баланс энергии'!AE702+'корпоративный баланс энергии'!AH702</f>
        <v>353.15999999999997</v>
      </c>
      <c r="K693" s="246"/>
      <c r="L693" s="282"/>
      <c r="M693" s="244">
        <f>'корпоративный баланс энергии'!AK702+'корпоративный баланс энергии'!AN702+'корпоративный баланс энергии'!AQ702</f>
        <v>350.11</v>
      </c>
      <c r="N693" s="246"/>
      <c r="O693" s="282"/>
      <c r="P693" s="244">
        <f>D693+G693+J693+M693</f>
        <v>1332.95</v>
      </c>
      <c r="Q693" s="246"/>
      <c r="R693" s="282"/>
      <c r="S693" s="357"/>
      <c r="T693" s="357"/>
    </row>
    <row r="694" spans="2:20" s="24" customFormat="1">
      <c r="B694" s="127" t="str">
        <f>'корпоративный баланс энергии'!H703</f>
        <v>Режевская ГТ-ТЭЦ (АО "ГТ Энерго")</v>
      </c>
      <c r="C694" s="699" t="s">
        <v>364</v>
      </c>
      <c r="D694" s="281">
        <f>'корпоративный баланс энергии'!J703+'корпоративный баланс энергии'!M703+'корпоративный баланс энергии'!P703</f>
        <v>36.81</v>
      </c>
      <c r="E694" s="246"/>
      <c r="F694" s="282"/>
      <c r="G694" s="244">
        <f>'корпоративный баланс энергии'!S703+'корпоративный баланс энергии'!V703+'корпоративный баланс энергии'!Y703</f>
        <v>20.97</v>
      </c>
      <c r="H694" s="246"/>
      <c r="I694" s="282"/>
      <c r="J694" s="244">
        <f>'корпоративный баланс энергии'!AB703+'корпоративный баланс энергии'!AE703+'корпоративный баланс энергии'!AH703</f>
        <v>20.45</v>
      </c>
      <c r="K694" s="246"/>
      <c r="L694" s="282"/>
      <c r="M694" s="244">
        <f>'корпоративный баланс энергии'!AK703+'корпоративный баланс энергии'!AN703+'корпоративный баланс энергии'!AQ703</f>
        <v>30.63</v>
      </c>
      <c r="N694" s="246"/>
      <c r="O694" s="282"/>
      <c r="P694" s="244">
        <f t="shared" si="39"/>
        <v>108.86</v>
      </c>
      <c r="Q694" s="246"/>
      <c r="R694" s="282"/>
      <c r="S694" s="357"/>
      <c r="T694" s="357"/>
    </row>
    <row r="695" spans="2:20" s="110" customFormat="1">
      <c r="B695" s="127" t="str">
        <f>'корпоративный баланс энергии'!H704</f>
        <v>Екатеринбургская ГТ-ТЭЦ (АО "ГТ Энерго")</v>
      </c>
      <c r="C695" s="699" t="s">
        <v>364</v>
      </c>
      <c r="D695" s="281">
        <f>'корпоративный баланс энергии'!J704+'корпоративный баланс энергии'!M704+'корпоративный баланс энергии'!P704</f>
        <v>14.94</v>
      </c>
      <c r="E695" s="246"/>
      <c r="F695" s="282"/>
      <c r="G695" s="244">
        <f>'корпоративный баланс энергии'!S704+'корпоративный баланс энергии'!V704+'корпоративный баланс энергии'!Y704</f>
        <v>3.29</v>
      </c>
      <c r="H695" s="246"/>
      <c r="I695" s="282"/>
      <c r="J695" s="244">
        <f>'корпоративный баланс энергии'!AB704+'корпоративный баланс энергии'!AE704+'корпоративный баланс энергии'!AH704</f>
        <v>2.88</v>
      </c>
      <c r="K695" s="246"/>
      <c r="L695" s="282"/>
      <c r="M695" s="244">
        <f>'корпоративный баланс энергии'!AK704+'корпоративный баланс энергии'!AN704+'корпоративный баланс энергии'!AQ704</f>
        <v>15.8</v>
      </c>
      <c r="N695" s="246"/>
      <c r="O695" s="282"/>
      <c r="P695" s="244">
        <f t="shared" si="39"/>
        <v>36.909999999999997</v>
      </c>
      <c r="Q695" s="246"/>
      <c r="R695" s="282"/>
      <c r="S695" s="356"/>
      <c r="T695" s="356"/>
    </row>
    <row r="696" spans="2:20" s="109" customFormat="1">
      <c r="B696" s="127" t="str">
        <f>'корпоративный баланс энергии'!H705</f>
        <v>Ревдинская ГТ ТЭЦ (АО "ГТ Энерго") блок №1 НВ 01.04.2016</v>
      </c>
      <c r="C696" s="519" t="s">
        <v>365</v>
      </c>
      <c r="D696" s="281">
        <f>'корпоративный баланс энергии'!J705+'корпоративный баланс энергии'!M705+'корпоративный баланс энергии'!P705</f>
        <v>50.730000000000004</v>
      </c>
      <c r="E696" s="246"/>
      <c r="F696" s="282"/>
      <c r="G696" s="244">
        <f>'корпоративный баланс энергии'!S705+'корпоративный баланс энергии'!V705+'корпоративный баланс энергии'!Y705</f>
        <v>35.53</v>
      </c>
      <c r="H696" s="246"/>
      <c r="I696" s="282"/>
      <c r="J696" s="244">
        <f>'корпоративный баланс энергии'!AB705+'корпоративный баланс энергии'!AE705+'корпоративный баланс энергии'!AH705</f>
        <v>37.33</v>
      </c>
      <c r="K696" s="246"/>
      <c r="L696" s="282"/>
      <c r="M696" s="244">
        <f>'корпоративный баланс энергии'!AK705+'корпоративный баланс энергии'!AN705+'корпоративный баланс энергии'!AQ705</f>
        <v>48.68</v>
      </c>
      <c r="N696" s="246"/>
      <c r="O696" s="282"/>
      <c r="P696" s="244">
        <f t="shared" si="39"/>
        <v>172.27</v>
      </c>
      <c r="Q696" s="246"/>
      <c r="R696" s="282"/>
      <c r="S696" s="368"/>
      <c r="T696" s="368"/>
    </row>
    <row r="697" spans="2:20" s="24" customFormat="1">
      <c r="B697" s="127" t="str">
        <f>'корпоративный баланс энергии'!H706</f>
        <v>Качканарская ТЭЦ (ОАО "ЕВРАЗ Качканарский ГОК")</v>
      </c>
      <c r="C697" s="519" t="s">
        <v>365</v>
      </c>
      <c r="D697" s="281">
        <f>'корпоративный баланс энергии'!J706+'корпоративный баланс энергии'!M706+'корпоративный баланс энергии'!P706</f>
        <v>87.2</v>
      </c>
      <c r="E697" s="246"/>
      <c r="F697" s="282"/>
      <c r="G697" s="244">
        <f>'корпоративный баланс энергии'!S706+'корпоративный баланс энергии'!V706+'корпоративный баланс энергии'!Y706</f>
        <v>24.96</v>
      </c>
      <c r="H697" s="246"/>
      <c r="I697" s="282"/>
      <c r="J697" s="244">
        <f>'корпоративный баланс энергии'!AB706+'корпоративный баланс энергии'!AE706+'корпоративный баланс энергии'!AH706</f>
        <v>3.5</v>
      </c>
      <c r="K697" s="246"/>
      <c r="L697" s="282"/>
      <c r="M697" s="244">
        <f>'корпоративный баланс энергии'!AK706+'корпоративный баланс энергии'!AN706+'корпоративный баланс энергии'!AQ706</f>
        <v>74.3</v>
      </c>
      <c r="N697" s="246"/>
      <c r="O697" s="282"/>
      <c r="P697" s="244">
        <f t="shared" si="39"/>
        <v>189.95999999999998</v>
      </c>
      <c r="Q697" s="246"/>
      <c r="R697" s="282"/>
      <c r="S697" s="357"/>
      <c r="T697" s="357"/>
    </row>
    <row r="698" spans="2:20" s="24" customFormat="1">
      <c r="B698" s="127" t="str">
        <f>'корпоративный баланс энергии'!H707</f>
        <v>Богдановическая ТЭЦ (ОАО "Богдановичская генерирующая компания") НВ 01.06.2016</v>
      </c>
      <c r="C698" s="519" t="s">
        <v>365</v>
      </c>
      <c r="D698" s="281">
        <f>'корпоративный баланс энергии'!J707+'корпоративный баланс энергии'!M707+'корпоративный баланс энергии'!P707</f>
        <v>17.600000000000001</v>
      </c>
      <c r="E698" s="246"/>
      <c r="F698" s="282"/>
      <c r="G698" s="244">
        <f>'корпоративный баланс энергии'!S707+'корпоративный баланс энергии'!V707+'корпоративный баланс энергии'!Y707</f>
        <v>14.780000000000001</v>
      </c>
      <c r="H698" s="246"/>
      <c r="I698" s="282"/>
      <c r="J698" s="244">
        <f>'корпоративный баланс энергии'!AB707+'корпоративный баланс энергии'!AE707+'корпоративный баланс энергии'!AH707</f>
        <v>14.780000000000001</v>
      </c>
      <c r="K698" s="246"/>
      <c r="L698" s="282"/>
      <c r="M698" s="244">
        <f>'корпоративный баланс энергии'!AK707+'корпоративный баланс энергии'!AN707+'корпоративный баланс энергии'!AQ707</f>
        <v>17.940000000000001</v>
      </c>
      <c r="N698" s="246"/>
      <c r="O698" s="282"/>
      <c r="P698" s="244">
        <f t="shared" ref="P698" si="40">D698+G698+J698+M698</f>
        <v>65.100000000000009</v>
      </c>
      <c r="Q698" s="246"/>
      <c r="R698" s="282"/>
      <c r="S698" s="357"/>
      <c r="T698" s="357"/>
    </row>
    <row r="699" spans="2:20" s="24" customFormat="1">
      <c r="B699" s="127" t="str">
        <f>'корпоративный баланс энергии'!H708</f>
        <v>ООО "Вирео Энерджи Урал", г. Екатеринбург</v>
      </c>
      <c r="C699" s="519"/>
      <c r="D699" s="281">
        <f>'корпоративный баланс энергии'!J708+'корпоративный баланс энергии'!M708+'корпоративный баланс энергии'!P708</f>
        <v>3.66</v>
      </c>
      <c r="E699" s="246"/>
      <c r="F699" s="282"/>
      <c r="G699" s="244">
        <f>'корпоративный баланс энергии'!S708+'корпоративный баланс энергии'!V708+'корпоративный баланс энергии'!Y708</f>
        <v>3.7</v>
      </c>
      <c r="H699" s="246"/>
      <c r="I699" s="282"/>
      <c r="J699" s="244">
        <f>'корпоративный баланс энергии'!AB708+'корпоративный баланс энергии'!AE708+'корпоративный баланс энергии'!AH708</f>
        <v>3.74</v>
      </c>
      <c r="K699" s="246"/>
      <c r="L699" s="282"/>
      <c r="M699" s="244">
        <f>'корпоративный баланс энергии'!AK708+'корпоративный баланс энергии'!AN708+'корпоративный баланс энергии'!AQ708</f>
        <v>3.74</v>
      </c>
      <c r="N699" s="246"/>
      <c r="O699" s="282"/>
      <c r="P699" s="244">
        <f t="shared" ref="P699" si="41">D699+G699+J699+M699</f>
        <v>14.840000000000002</v>
      </c>
      <c r="Q699" s="246"/>
      <c r="R699" s="282"/>
      <c r="S699" s="357"/>
      <c r="T699" s="357"/>
    </row>
    <row r="700" spans="2:20" s="24" customFormat="1">
      <c r="B700" s="127" t="str">
        <f>'корпоративный баланс энергии'!H709</f>
        <v>Верхотурская ГЭС (Свердловский филиал ПАО "Т Плюс")</v>
      </c>
      <c r="C700" s="519" t="s">
        <v>365</v>
      </c>
      <c r="D700" s="281">
        <f>'корпоративный баланс энергии'!J709+'корпоративный баланс энергии'!M709+'корпоративный баланс энергии'!P709</f>
        <v>1.8879217505455017</v>
      </c>
      <c r="E700" s="246"/>
      <c r="F700" s="282"/>
      <c r="G700" s="244">
        <f>'корпоративный баланс энергии'!S709+'корпоративный баланс энергии'!V709+'корпоративный баланс энергии'!Y709</f>
        <v>9.9167449474334717</v>
      </c>
      <c r="H700" s="246"/>
      <c r="I700" s="282"/>
      <c r="J700" s="244">
        <f>'корпоративный баланс энергии'!AB709+'корпоративный баланс энергии'!AE709+'корпоративный баланс энергии'!AH709</f>
        <v>5.4637055397033691</v>
      </c>
      <c r="K700" s="246"/>
      <c r="L700" s="282"/>
      <c r="M700" s="244">
        <f>'корпоративный баланс энергии'!AK709+'корпоративный баланс энергии'!AN709+'корпоративный баланс энергии'!AQ709</f>
        <v>3.8975881934165955</v>
      </c>
      <c r="N700" s="246"/>
      <c r="O700" s="282"/>
      <c r="P700" s="244">
        <f t="shared" si="39"/>
        <v>21.165960431098938</v>
      </c>
      <c r="Q700" s="246"/>
      <c r="R700" s="282"/>
      <c r="S700" s="357"/>
      <c r="T700" s="357"/>
    </row>
    <row r="701" spans="2:20" s="24" customFormat="1">
      <c r="B701" s="132" t="str">
        <f>'корпоративный баланс энергии'!H710</f>
        <v>Белоярская АЭС (филиал АО "Концерн Росэнергоатом")</v>
      </c>
      <c r="C701" s="503"/>
      <c r="D701" s="317">
        <f>D702+D703</f>
        <v>2881</v>
      </c>
      <c r="E701" s="246"/>
      <c r="F701" s="282"/>
      <c r="G701" s="317">
        <f>G702+G703</f>
        <v>2613</v>
      </c>
      <c r="H701" s="246"/>
      <c r="I701" s="282"/>
      <c r="J701" s="317">
        <f>J702+J703</f>
        <v>2515</v>
      </c>
      <c r="K701" s="246"/>
      <c r="L701" s="282"/>
      <c r="M701" s="317">
        <f>M702+M703</f>
        <v>2238</v>
      </c>
      <c r="N701" s="246"/>
      <c r="O701" s="282"/>
      <c r="P701" s="317">
        <f>P702+P703</f>
        <v>10247</v>
      </c>
      <c r="Q701" s="246"/>
      <c r="R701" s="282"/>
      <c r="S701" s="357"/>
      <c r="T701" s="357"/>
    </row>
    <row r="702" spans="2:20" s="24" customFormat="1">
      <c r="B702" s="127" t="str">
        <f>'корпоративный баланс энергии'!H711</f>
        <v>Белоярская АЭС (АО "Концерн Росэнергоатом") без ДПМ/НВ/ВР</v>
      </c>
      <c r="C702" s="516" t="s">
        <v>364</v>
      </c>
      <c r="D702" s="281">
        <f>'корпоративный баланс энергии'!J711+'корпоративный баланс энергии'!M711+'корпоративный баланс энергии'!P711</f>
        <v>1038</v>
      </c>
      <c r="E702" s="246"/>
      <c r="F702" s="282"/>
      <c r="G702" s="244">
        <f>'корпоративный баланс энергии'!S711+'корпоративный баланс энергии'!V711+'корпоративный баланс энергии'!Y711</f>
        <v>1273</v>
      </c>
      <c r="H702" s="246"/>
      <c r="I702" s="282"/>
      <c r="J702" s="244">
        <f>'корпоративный баланс энергии'!AB711+'корпоративный баланс энергии'!AE711+'корпоративный баланс энергии'!AH711</f>
        <v>650</v>
      </c>
      <c r="K702" s="246"/>
      <c r="L702" s="282"/>
      <c r="M702" s="244">
        <f>'корпоративный баланс энергии'!AK711+'корпоративный баланс энергии'!AN711+'корпоративный баланс энергии'!AQ711</f>
        <v>1286</v>
      </c>
      <c r="N702" s="246"/>
      <c r="O702" s="282"/>
      <c r="P702" s="244">
        <f>D702+G702+J702+M702</f>
        <v>4247</v>
      </c>
      <c r="Q702" s="246"/>
      <c r="R702" s="282"/>
      <c r="S702" s="357"/>
      <c r="T702" s="357"/>
    </row>
    <row r="703" spans="2:20" s="24" customFormat="1">
      <c r="B703" s="127" t="str">
        <f>'корпоративный баланс энергии'!H712</f>
        <v>Белоярская АЭС  (АО "Концерн Росэнергоатом") энергоблок №4 НВ 01.10.2015</v>
      </c>
      <c r="C703" s="516" t="s">
        <v>364</v>
      </c>
      <c r="D703" s="281">
        <f>'корпоративный баланс энергии'!J712+'корпоративный баланс энергии'!M712+'корпоративный баланс энергии'!P712</f>
        <v>1843</v>
      </c>
      <c r="E703" s="246"/>
      <c r="F703" s="282"/>
      <c r="G703" s="244">
        <f>'корпоративный баланс энергии'!S712+'корпоративный баланс энергии'!V712+'корпоративный баланс энергии'!Y712</f>
        <v>1340</v>
      </c>
      <c r="H703" s="246"/>
      <c r="I703" s="282"/>
      <c r="J703" s="244">
        <f>'корпоративный баланс энергии'!AB712+'корпоративный баланс энергии'!AE712+'корпоративный баланс энергии'!AH712</f>
        <v>1865</v>
      </c>
      <c r="K703" s="246"/>
      <c r="L703" s="282"/>
      <c r="M703" s="244">
        <f>'корпоративный баланс энергии'!AK712+'корпоративный баланс энергии'!AN712+'корпоративный баланс энергии'!AQ712</f>
        <v>952</v>
      </c>
      <c r="N703" s="246"/>
      <c r="O703" s="282"/>
      <c r="P703" s="244">
        <f>D703+G703+J703+M703</f>
        <v>6000</v>
      </c>
      <c r="Q703" s="246"/>
      <c r="R703" s="282"/>
      <c r="S703" s="357"/>
      <c r="T703" s="357"/>
    </row>
    <row r="704" spans="2:20" s="24" customFormat="1">
      <c r="B704" s="138" t="s">
        <v>174</v>
      </c>
      <c r="C704" s="488"/>
      <c r="D704" s="287">
        <f>SUM(D705:D719)</f>
        <v>824.08</v>
      </c>
      <c r="E704" s="288"/>
      <c r="F704" s="289"/>
      <c r="G704" s="287">
        <f>SUM(G705:G719)</f>
        <v>604.63</v>
      </c>
      <c r="H704" s="288"/>
      <c r="I704" s="289"/>
      <c r="J704" s="287">
        <f>SUM(J705:J719)</f>
        <v>504.67000000000007</v>
      </c>
      <c r="K704" s="288"/>
      <c r="L704" s="289"/>
      <c r="M704" s="287">
        <f>SUM(M705:M719)</f>
        <v>822.6</v>
      </c>
      <c r="N704" s="288"/>
      <c r="O704" s="289"/>
      <c r="P704" s="287">
        <f>SUM(P705:P719)</f>
        <v>2755.98</v>
      </c>
      <c r="Q704" s="288"/>
      <c r="R704" s="289"/>
      <c r="S704" s="357"/>
      <c r="T704" s="357"/>
    </row>
    <row r="705" spans="2:20" s="24" customFormat="1">
      <c r="B705" s="135" t="str">
        <f>'корпоративный баланс энергии'!H714</f>
        <v>ТЭЦ НТМК (АО "ЕВРАЗ Нижнетагильский металлургический комбинат", г.Нижний Тагил)</v>
      </c>
      <c r="C705" s="518" t="s">
        <v>365</v>
      </c>
      <c r="D705" s="293">
        <f>'корпоративный баланс энергии'!J714+'корпоративный баланс энергии'!M714+'корпоративный баланс энергии'!P714</f>
        <v>324.53999999999996</v>
      </c>
      <c r="E705" s="288"/>
      <c r="F705" s="289"/>
      <c r="G705" s="294">
        <f>'корпоративный баланс энергии'!S714+'корпоративный баланс энергии'!V714+'корпоративный баланс энергии'!Y714</f>
        <v>257.07</v>
      </c>
      <c r="H705" s="288"/>
      <c r="I705" s="289"/>
      <c r="J705" s="294">
        <f>'корпоративный баланс энергии'!AB714+'корпоративный баланс энергии'!AE714+'корпоративный баланс энергии'!AH714</f>
        <v>227</v>
      </c>
      <c r="K705" s="288"/>
      <c r="L705" s="289"/>
      <c r="M705" s="294">
        <f>'корпоративный баланс энергии'!AK714+'корпоративный баланс энергии'!AN714+'корпоративный баланс энергии'!AQ714</f>
        <v>328.48</v>
      </c>
      <c r="N705" s="288"/>
      <c r="O705" s="289"/>
      <c r="P705" s="294">
        <f t="shared" ref="P705" si="42">D705+G705+J705+M705</f>
        <v>1137.0899999999999</v>
      </c>
      <c r="Q705" s="288"/>
      <c r="R705" s="289"/>
      <c r="S705" s="357"/>
      <c r="T705" s="357"/>
    </row>
    <row r="706" spans="2:20" s="24" customFormat="1">
      <c r="B706" s="135" t="str">
        <f>'корпоративный баланс энергии'!H715</f>
        <v>ТЭЦ ПАО "Надеждинский металлургический завод ", г.Серов</v>
      </c>
      <c r="C706" s="518" t="s">
        <v>365</v>
      </c>
      <c r="D706" s="293">
        <f>'корпоративный баланс энергии'!J715+'корпоративный баланс энергии'!M715+'корпоративный баланс энергии'!P715</f>
        <v>17.28</v>
      </c>
      <c r="E706" s="288"/>
      <c r="F706" s="289"/>
      <c r="G706" s="294">
        <f>'корпоративный баланс энергии'!S715+'корпоративный баланс энергии'!V715+'корпоративный баланс энергии'!Y715</f>
        <v>11.74</v>
      </c>
      <c r="H706" s="288"/>
      <c r="I706" s="289"/>
      <c r="J706" s="294">
        <f>'корпоративный баланс энергии'!AB715+'корпоративный баланс энергии'!AE715+'корпоративный баланс энергии'!AH715</f>
        <v>9.25</v>
      </c>
      <c r="K706" s="288"/>
      <c r="L706" s="289"/>
      <c r="M706" s="294">
        <f>'корпоративный баланс энергии'!AK715+'корпоративный баланс энергии'!AN715+'корпоративный баланс энергии'!AQ715</f>
        <v>17.07</v>
      </c>
      <c r="N706" s="288"/>
      <c r="O706" s="289"/>
      <c r="P706" s="294">
        <f t="shared" ref="P706:P719" si="43">D706+G706+J706+M706</f>
        <v>55.34</v>
      </c>
      <c r="Q706" s="288"/>
      <c r="R706" s="289"/>
      <c r="S706" s="357"/>
      <c r="T706" s="357"/>
    </row>
    <row r="707" spans="2:20" s="24" customFormat="1">
      <c r="B707" s="135" t="str">
        <f>'корпоративный баланс энергии'!H716</f>
        <v>ТЭЦ АО "Научно-производственная корпорация "Уралвагонзавод" имени Ф.Э.Дзержинского", г.Нижний Тагил</v>
      </c>
      <c r="C707" s="518" t="s">
        <v>365</v>
      </c>
      <c r="D707" s="293">
        <f>'корпоративный баланс энергии'!J716+'корпоративный баланс энергии'!M716+'корпоративный баланс энергии'!P716</f>
        <v>134.63999999999999</v>
      </c>
      <c r="E707" s="288"/>
      <c r="F707" s="289"/>
      <c r="G707" s="294">
        <f>'корпоративный баланс энергии'!S716+'корпоративный баланс энергии'!V716+'корпоративный баланс энергии'!Y716</f>
        <v>86.08</v>
      </c>
      <c r="H707" s="288"/>
      <c r="I707" s="289"/>
      <c r="J707" s="294">
        <f>'корпоративный баланс энергии'!AB716+'корпоративный баланс энергии'!AE716+'корпоративный баланс энергии'!AH716</f>
        <v>76</v>
      </c>
      <c r="K707" s="288"/>
      <c r="L707" s="289"/>
      <c r="M707" s="294">
        <f>'корпоративный баланс энергии'!AK716+'корпоративный баланс энергии'!AN716+'корпоративный баланс энергии'!AQ716</f>
        <v>131.19999999999999</v>
      </c>
      <c r="N707" s="288"/>
      <c r="O707" s="289"/>
      <c r="P707" s="294">
        <f t="shared" si="43"/>
        <v>427.91999999999996</v>
      </c>
      <c r="Q707" s="288"/>
      <c r="R707" s="289"/>
      <c r="S707" s="357"/>
      <c r="T707" s="357"/>
    </row>
    <row r="708" spans="2:20" s="24" customFormat="1">
      <c r="B708" s="135" t="str">
        <f>'корпоративный баланс энергии'!H717</f>
        <v>ТЭЦ АО "Синарский трубный завод", г.Каменск-Уральский</v>
      </c>
      <c r="C708" s="518" t="s">
        <v>365</v>
      </c>
      <c r="D708" s="293">
        <f>'корпоративный баланс энергии'!J717+'корпоративный баланс энергии'!M717+'корпоративный баланс энергии'!P717</f>
        <v>52.260000000000005</v>
      </c>
      <c r="E708" s="288"/>
      <c r="F708" s="289"/>
      <c r="G708" s="294">
        <f>'корпоративный баланс энергии'!S717+'корпоративный баланс энергии'!V717+'корпоративный баланс энергии'!Y717</f>
        <v>40.599999999999994</v>
      </c>
      <c r="H708" s="288"/>
      <c r="I708" s="289"/>
      <c r="J708" s="294">
        <f>'корпоративный баланс энергии'!AB717+'корпоративный баланс энергии'!AE717+'корпоративный баланс энергии'!AH717</f>
        <v>32</v>
      </c>
      <c r="K708" s="288"/>
      <c r="L708" s="289"/>
      <c r="M708" s="294">
        <f>'корпоративный баланс энергии'!AK717+'корпоративный баланс энергии'!AN717+'корпоративный баланс энергии'!AQ717</f>
        <v>51.75</v>
      </c>
      <c r="N708" s="288"/>
      <c r="O708" s="289"/>
      <c r="P708" s="294">
        <f t="shared" si="43"/>
        <v>176.61</v>
      </c>
      <c r="Q708" s="288"/>
      <c r="R708" s="289"/>
      <c r="S708" s="357"/>
      <c r="T708" s="357"/>
    </row>
    <row r="709" spans="2:20" s="110" customFormat="1">
      <c r="B709" s="135" t="str">
        <f>'корпоративный баланс энергии'!H718</f>
        <v>ТЭЦ ООО "ТЭК "Чкаловский" (ТЭЦ РТИ)</v>
      </c>
      <c r="C709" s="518" t="s">
        <v>365</v>
      </c>
      <c r="D709" s="293">
        <f>'корпоративный баланс энергии'!J718+'корпоративный баланс энергии'!M718+'корпоративный баланс энергии'!P718</f>
        <v>0</v>
      </c>
      <c r="E709" s="288"/>
      <c r="F709" s="289"/>
      <c r="G709" s="294">
        <f>'корпоративный баланс энергии'!S718+'корпоративный баланс энергии'!V718+'корпоративный баланс энергии'!Y718</f>
        <v>0</v>
      </c>
      <c r="H709" s="288"/>
      <c r="I709" s="289"/>
      <c r="J709" s="294">
        <f>'корпоративный баланс энергии'!AB718+'корпоративный баланс энергии'!AE718+'корпоративный баланс энергии'!AH718</f>
        <v>0</v>
      </c>
      <c r="K709" s="288"/>
      <c r="L709" s="289"/>
      <c r="M709" s="294">
        <f>'корпоративный баланс энергии'!AK718+'корпоративный баланс энергии'!AN718+'корпоративный баланс энергии'!AQ718</f>
        <v>0</v>
      </c>
      <c r="N709" s="288"/>
      <c r="O709" s="289"/>
      <c r="P709" s="294">
        <f t="shared" si="43"/>
        <v>0</v>
      </c>
      <c r="Q709" s="288"/>
      <c r="R709" s="289"/>
      <c r="S709" s="356"/>
      <c r="T709" s="356"/>
    </row>
    <row r="710" spans="2:20" s="110" customFormat="1">
      <c r="B710" s="135" t="str">
        <f>'корпоративный баланс энергии'!H719</f>
        <v>ТЭЦ Филиала АО "Объединенная теплоэнергетическая компания", г. Новоуральск (ТЭЦ УЭХК)</v>
      </c>
      <c r="C710" s="518" t="s">
        <v>365</v>
      </c>
      <c r="D710" s="293">
        <f>'корпоративный баланс энергии'!J719+'корпоративный баланс энергии'!M719+'корпоративный баланс энергии'!P719</f>
        <v>65.37</v>
      </c>
      <c r="E710" s="288"/>
      <c r="F710" s="289"/>
      <c r="G710" s="294">
        <f>'корпоративный баланс энергии'!S719+'корпоративный баланс энергии'!V719+'корпоративный баланс энергии'!Y719</f>
        <v>38.659999999999997</v>
      </c>
      <c r="H710" s="288"/>
      <c r="I710" s="289"/>
      <c r="J710" s="294">
        <f>'корпоративный баланс энергии'!AB719+'корпоративный баланс энергии'!AE719+'корпоративный баланс энергии'!AH719</f>
        <v>16.79</v>
      </c>
      <c r="K710" s="288"/>
      <c r="L710" s="289"/>
      <c r="M710" s="294">
        <f>'корпоративный баланс энергии'!AK719+'корпоративный баланс энергии'!AN719+'корпоративный баланс энергии'!AQ719</f>
        <v>64.16</v>
      </c>
      <c r="N710" s="288"/>
      <c r="O710" s="289"/>
      <c r="P710" s="294">
        <f t="shared" si="43"/>
        <v>184.98</v>
      </c>
      <c r="Q710" s="288"/>
      <c r="R710" s="289"/>
      <c r="S710" s="356"/>
      <c r="T710" s="356"/>
    </row>
    <row r="711" spans="2:20" s="110" customFormat="1">
      <c r="B711" s="135" t="str">
        <f>'корпоративный баланс энергии'!H720</f>
        <v>ГОУ ВПО "УГТУ-УПИ имени первого Президента России Б.Н. Ельцина" структурное подразделение "Экспериментально-производственный комбинат УГТУ-УПИ", г.Екатеринбург</v>
      </c>
      <c r="C711" s="518" t="s">
        <v>365</v>
      </c>
      <c r="D711" s="293">
        <f>'корпоративный баланс энергии'!J720+'корпоративный баланс энергии'!M720+'корпоративный баланс энергии'!P720</f>
        <v>1.08</v>
      </c>
      <c r="E711" s="288"/>
      <c r="F711" s="289"/>
      <c r="G711" s="294">
        <f>'корпоративный баланс энергии'!S720+'корпоративный баланс энергии'!V720+'корпоративный баланс энергии'!Y720</f>
        <v>0.73</v>
      </c>
      <c r="H711" s="288"/>
      <c r="I711" s="289"/>
      <c r="J711" s="294">
        <f>'корпоративный баланс энергии'!AB720+'корпоративный баланс энергии'!AE720+'корпоративный баланс энергии'!AH720</f>
        <v>0.13</v>
      </c>
      <c r="K711" s="288"/>
      <c r="L711" s="289"/>
      <c r="M711" s="294">
        <f>'корпоративный баланс энергии'!AK720+'корпоративный баланс энергии'!AN720+'корпоративный баланс энергии'!AQ720</f>
        <v>0.84000000000000008</v>
      </c>
      <c r="N711" s="288"/>
      <c r="O711" s="289"/>
      <c r="P711" s="294">
        <f t="shared" si="43"/>
        <v>2.7800000000000002</v>
      </c>
      <c r="Q711" s="288"/>
      <c r="R711" s="289"/>
      <c r="S711" s="356"/>
      <c r="T711" s="356"/>
    </row>
    <row r="712" spans="2:20" s="24" customFormat="1">
      <c r="B712" s="135" t="str">
        <f>'корпоративный баланс энергии'!H721</f>
        <v>ТЭЦ 19 (Свердловский филиал ПАО "Т Плюс")</v>
      </c>
      <c r="C712" s="518" t="s">
        <v>365</v>
      </c>
      <c r="D712" s="293">
        <f>'корпоративный баланс энергии'!J721+'корпоративный баланс энергии'!M721+'корпоративный баланс энергии'!P721</f>
        <v>12.01</v>
      </c>
      <c r="E712" s="288"/>
      <c r="F712" s="289"/>
      <c r="G712" s="294">
        <f>'корпоративный баланс энергии'!S721+'корпоративный баланс энергии'!V721+'корпоративный баланс энергии'!Y721</f>
        <v>6.3599999999999994</v>
      </c>
      <c r="H712" s="288"/>
      <c r="I712" s="289"/>
      <c r="J712" s="294">
        <f>'корпоративный баланс энергии'!AB721+'корпоративный баланс энергии'!AE721+'корпоративный баланс энергии'!AH721</f>
        <v>1.44</v>
      </c>
      <c r="K712" s="288"/>
      <c r="L712" s="289"/>
      <c r="M712" s="294">
        <f>'корпоративный баланс энергии'!AK721+'корпоративный баланс энергии'!AN721+'корпоративный баланс энергии'!AQ721</f>
        <v>10.59</v>
      </c>
      <c r="N712" s="288"/>
      <c r="O712" s="289"/>
      <c r="P712" s="294">
        <f t="shared" si="43"/>
        <v>30.4</v>
      </c>
      <c r="Q712" s="288"/>
      <c r="R712" s="289"/>
      <c r="S712" s="357"/>
      <c r="T712" s="357"/>
    </row>
    <row r="713" spans="2:20" s="24" customFormat="1">
      <c r="B713" s="135" t="str">
        <f>'корпоративный баланс энергии'!H722</f>
        <v>ТЭЦ ТМЗ Уральского турбомоторного завода (Свердловский филиал ПАО "Т Плюс")</v>
      </c>
      <c r="C713" s="518" t="s">
        <v>365</v>
      </c>
      <c r="D713" s="293">
        <f>'корпоративный баланс энергии'!J722+'корпоративный баланс энергии'!M722+'корпоративный баланс энергии'!P722</f>
        <v>32.5</v>
      </c>
      <c r="E713" s="288"/>
      <c r="F713" s="289"/>
      <c r="G713" s="294">
        <f>'корпоративный баланс энергии'!S722+'корпоративный баланс энергии'!V722+'корпоративный баланс энергии'!Y722</f>
        <v>13.2</v>
      </c>
      <c r="H713" s="288"/>
      <c r="I713" s="289"/>
      <c r="J713" s="294">
        <f>'корпоративный баланс энергии'!AB722+'корпоративный баланс энергии'!AE722+'корпоративный баланс энергии'!AH722</f>
        <v>0</v>
      </c>
      <c r="K713" s="288"/>
      <c r="L713" s="289"/>
      <c r="M713" s="294">
        <f>'корпоративный баланс энергии'!AK722+'корпоративный баланс энергии'!AN722+'корпоративный баланс энергии'!AQ722</f>
        <v>26</v>
      </c>
      <c r="N713" s="288"/>
      <c r="O713" s="289"/>
      <c r="P713" s="294">
        <f t="shared" si="43"/>
        <v>71.7</v>
      </c>
      <c r="Q713" s="288"/>
      <c r="R713" s="289"/>
      <c r="S713" s="357"/>
      <c r="T713" s="357"/>
    </row>
    <row r="714" spans="2:20" s="24" customFormat="1">
      <c r="B714" s="135" t="str">
        <f>'корпоративный баланс энергии'!H723</f>
        <v>ТЭЦ МК Уралметпром (ЗАО "Межотраслевой концерн "Уралметпром")</v>
      </c>
      <c r="C714" s="518" t="s">
        <v>365</v>
      </c>
      <c r="D714" s="293">
        <f>'корпоративный баланс энергии'!J723+'корпоративный баланс энергии'!M723+'корпоративный баланс энергии'!P723</f>
        <v>98.700000000000017</v>
      </c>
      <c r="E714" s="288"/>
      <c r="F714" s="289"/>
      <c r="G714" s="294">
        <f>'корпоративный баланс энергии'!S723+'корпоративный баланс энергии'!V723+'корпоративный баланс энергии'!Y723</f>
        <v>63</v>
      </c>
      <c r="H714" s="288"/>
      <c r="I714" s="289"/>
      <c r="J714" s="294">
        <f>'корпоративный баланс энергии'!AB723+'корпоративный баланс энергии'!AE723+'корпоративный баланс энергии'!AH723</f>
        <v>44.1</v>
      </c>
      <c r="K714" s="288"/>
      <c r="L714" s="289"/>
      <c r="M714" s="294">
        <f>'корпоративный баланс энергии'!AK723+'корпоративный баланс энергии'!AN723+'корпоративный баланс энергии'!AQ723</f>
        <v>99.7</v>
      </c>
      <c r="N714" s="288"/>
      <c r="O714" s="289"/>
      <c r="P714" s="294">
        <f t="shared" si="43"/>
        <v>305.5</v>
      </c>
      <c r="Q714" s="288"/>
      <c r="R714" s="289"/>
      <c r="S714" s="357"/>
      <c r="T714" s="357"/>
    </row>
    <row r="715" spans="2:20" s="24" customFormat="1">
      <c r="B715" s="135" t="str">
        <f>'корпоративный баланс энергии'!H724</f>
        <v>ГТЭС-4 АРП Сысерть ( ООО "Газпром трансгаз Екатеринбург")</v>
      </c>
      <c r="C715" s="518" t="s">
        <v>365</v>
      </c>
      <c r="D715" s="293">
        <f>'корпоративный баланс энергии'!J724+'корпоративный баланс энергии'!M724+'корпоративный баланс энергии'!P724</f>
        <v>2.94</v>
      </c>
      <c r="E715" s="288"/>
      <c r="F715" s="289"/>
      <c r="G715" s="294">
        <f>'корпоративный баланс энергии'!S724+'корпоративный баланс энергии'!V724+'корпоративный баланс энергии'!Y724</f>
        <v>3.17</v>
      </c>
      <c r="H715" s="288"/>
      <c r="I715" s="289"/>
      <c r="J715" s="294">
        <f>'корпоративный баланс энергии'!AB724+'корпоративный баланс энергии'!AE724+'корпоративный баланс энергии'!AH724</f>
        <v>3.1700000000000004</v>
      </c>
      <c r="K715" s="288"/>
      <c r="L715" s="289"/>
      <c r="M715" s="294">
        <f>'корпоративный баланс энергии'!AK724+'корпоративный баланс энергии'!AN724+'корпоративный баланс энергии'!AQ724</f>
        <v>3.2</v>
      </c>
      <c r="N715" s="288"/>
      <c r="O715" s="289"/>
      <c r="P715" s="294">
        <f t="shared" si="43"/>
        <v>12.48</v>
      </c>
      <c r="Q715" s="288"/>
      <c r="R715" s="289"/>
      <c r="S715" s="357"/>
      <c r="T715" s="357"/>
    </row>
    <row r="716" spans="2:20" s="24" customFormat="1">
      <c r="B716" s="135" t="str">
        <f>'корпоративный баланс энергии'!H725</f>
        <v>ГТЭС АРП Арамиль ( ООО "Газпром трансгаз Екатеринбург")</v>
      </c>
      <c r="C716" s="518"/>
      <c r="D716" s="293">
        <f>'корпоративный баланс энергии'!J725+'корпоративный баланс энергии'!M725+'корпоративный баланс энергии'!P725</f>
        <v>0</v>
      </c>
      <c r="E716" s="288"/>
      <c r="F716" s="289"/>
      <c r="G716" s="294">
        <f>'корпоративный баланс энергии'!S725+'корпоративный баланс энергии'!V725+'корпоративный баланс энергии'!Y725</f>
        <v>0</v>
      </c>
      <c r="H716" s="288"/>
      <c r="I716" s="289"/>
      <c r="J716" s="294">
        <f>'корпоративный баланс энергии'!AB725+'корпоративный баланс энергии'!AE725+'корпоративный баланс энергии'!AH725</f>
        <v>0</v>
      </c>
      <c r="K716" s="288"/>
      <c r="L716" s="289"/>
      <c r="M716" s="294">
        <f>'корпоративный баланс энергии'!AK725+'корпоративный баланс энергии'!AN725+'корпоративный баланс энергии'!AQ725</f>
        <v>0</v>
      </c>
      <c r="N716" s="288"/>
      <c r="O716" s="289"/>
      <c r="P716" s="294">
        <f t="shared" si="43"/>
        <v>0</v>
      </c>
      <c r="Q716" s="288"/>
      <c r="R716" s="289"/>
      <c r="S716" s="357"/>
      <c r="T716" s="357"/>
    </row>
    <row r="717" spans="2:20" s="24" customFormat="1">
      <c r="B717" s="135" t="str">
        <f>'корпоративный баланс энергии'!H726</f>
        <v>Мини-ТЭЦ СУМЗ (ОАО "Среднеуральский медеплавильный завод")</v>
      </c>
      <c r="C717" s="518" t="s">
        <v>365</v>
      </c>
      <c r="D717" s="293">
        <f>'корпоративный баланс энергии'!J726+'корпоративный баланс энергии'!M726+'корпоративный баланс энергии'!P726</f>
        <v>43.62</v>
      </c>
      <c r="E717" s="288"/>
      <c r="F717" s="289"/>
      <c r="G717" s="294">
        <f>'корпоративный баланс энергии'!S726+'корпоративный баланс энергии'!V726+'корпоративный баланс энергии'!Y726</f>
        <v>41.14</v>
      </c>
      <c r="H717" s="288"/>
      <c r="I717" s="289"/>
      <c r="J717" s="294">
        <f>'корпоративный баланс энергии'!AB726+'корпоративный баланс энергии'!AE726+'корпоративный баланс энергии'!AH726</f>
        <v>43.48</v>
      </c>
      <c r="K717" s="288"/>
      <c r="L717" s="289"/>
      <c r="M717" s="294">
        <f>'корпоративный баланс энергии'!AK726+'корпоративный баланс энергии'!AN726+'корпоративный баланс энергии'!AQ726</f>
        <v>44.19</v>
      </c>
      <c r="N717" s="288"/>
      <c r="O717" s="289"/>
      <c r="P717" s="294">
        <f t="shared" si="43"/>
        <v>172.42999999999998</v>
      </c>
      <c r="Q717" s="288"/>
      <c r="R717" s="289"/>
      <c r="S717" s="357"/>
      <c r="T717" s="357"/>
    </row>
    <row r="718" spans="2:20" s="24" customFormat="1">
      <c r="B718" s="135" t="str">
        <f>'корпоративный баланс энергии'!H727</f>
        <v>Невьянская ТЭС (АО «Невьянский цементник»)</v>
      </c>
      <c r="C718" s="518" t="s">
        <v>365</v>
      </c>
      <c r="D718" s="293">
        <f>'корпоративный баланс энергии'!J727+'корпоративный баланс энергии'!M727+'корпоративный баланс энергии'!P727</f>
        <v>34.76</v>
      </c>
      <c r="E718" s="288"/>
      <c r="F718" s="289"/>
      <c r="G718" s="294">
        <f>'корпоративный баланс энергии'!S727+'корпоративный баланс энергии'!V727+'корпоративный баланс энергии'!Y727</f>
        <v>37.81</v>
      </c>
      <c r="H718" s="288"/>
      <c r="I718" s="289"/>
      <c r="J718" s="294">
        <f>'корпоративный баланс энергии'!AB727+'корпоративный баланс энергии'!AE727+'корпоративный баланс энергии'!AH727</f>
        <v>46.3</v>
      </c>
      <c r="K718" s="288"/>
      <c r="L718" s="289"/>
      <c r="M718" s="294">
        <f>'корпоративный баланс энергии'!AK727+'корпоративный баланс энергии'!AN727+'корпоративный баланс энергии'!AQ727</f>
        <v>40.29</v>
      </c>
      <c r="N718" s="288"/>
      <c r="O718" s="289"/>
      <c r="P718" s="294">
        <f t="shared" si="43"/>
        <v>159.16</v>
      </c>
      <c r="Q718" s="288"/>
      <c r="R718" s="289"/>
      <c r="S718" s="357"/>
      <c r="T718" s="357"/>
    </row>
    <row r="719" spans="2:20" s="24" customFormat="1">
      <c r="B719" s="135" t="str">
        <f>'корпоративный баланс энергии'!H728</f>
        <v>Мини-ТЭЦ ПСЦМ АО  "Уралэлектромедь"</v>
      </c>
      <c r="C719" s="518" t="s">
        <v>365</v>
      </c>
      <c r="D719" s="293">
        <f>'корпоративный баланс энергии'!J728+'корпоративный баланс энергии'!M728+'корпоративный баланс энергии'!P728</f>
        <v>4.38</v>
      </c>
      <c r="E719" s="288"/>
      <c r="F719" s="289"/>
      <c r="G719" s="294">
        <f>'корпоративный баланс энергии'!S728+'корпоративный баланс энергии'!V728+'корпоративный баланс энергии'!Y728</f>
        <v>5.07</v>
      </c>
      <c r="H719" s="288"/>
      <c r="I719" s="289"/>
      <c r="J719" s="294">
        <f>'корпоративный баланс энергии'!AB728+'корпоративный баланс энергии'!AE728+'корпоративный баланс энергии'!AH728</f>
        <v>5.01</v>
      </c>
      <c r="K719" s="288"/>
      <c r="L719" s="289"/>
      <c r="M719" s="294">
        <f>'корпоративный баланс энергии'!AK728+'корпоративный баланс энергии'!AN728+'корпоративный баланс энергии'!AQ728</f>
        <v>5.13</v>
      </c>
      <c r="N719" s="288"/>
      <c r="O719" s="289"/>
      <c r="P719" s="294">
        <f t="shared" si="43"/>
        <v>19.59</v>
      </c>
      <c r="Q719" s="288"/>
      <c r="R719" s="289"/>
      <c r="S719" s="357"/>
      <c r="T719" s="357"/>
    </row>
    <row r="720" spans="2:20" s="24" customFormat="1" ht="18.75">
      <c r="B720" s="474" t="str">
        <f>'корпоративный баланс энергии'!H729</f>
        <v>Энергосистема Тюменской области, Ханты-Мансийского и Ямало-Ненецкого АО</v>
      </c>
      <c r="C720" s="501"/>
      <c r="D720" s="274">
        <f>SUM(D721:D722)</f>
        <v>27658.60595245357</v>
      </c>
      <c r="E720" s="275">
        <f>F720-D720</f>
        <v>-1981.0291727429503</v>
      </c>
      <c r="F720" s="276">
        <f>'корпоративный баланс энергии'!L729+'корпоративный баланс энергии'!O729+'корпоративный баланс энергии'!R729</f>
        <v>25677.57677971062</v>
      </c>
      <c r="G720" s="274">
        <f>SUM(G721:G722)</f>
        <v>23158.601858248472</v>
      </c>
      <c r="H720" s="275">
        <f>I720-G720</f>
        <v>-105.65017997449104</v>
      </c>
      <c r="I720" s="276">
        <f>'корпоративный баланс энергии'!U729+'корпоративный баланс энергии'!X729+'корпоративный баланс энергии'!AA729</f>
        <v>23052.951678273981</v>
      </c>
      <c r="J720" s="274">
        <f>SUM(J721:J722)</f>
        <v>24116.68212936505</v>
      </c>
      <c r="K720" s="275">
        <f>L720-J720</f>
        <v>-1474.4818827191084</v>
      </c>
      <c r="L720" s="276">
        <f>'корпоративный баланс энергии'!AD729+'корпоративный баланс энергии'!AG729+'корпоративный баланс энергии'!AJ729</f>
        <v>22642.200246645942</v>
      </c>
      <c r="M720" s="274">
        <f>SUM(M721:M722)</f>
        <v>26631.157979383977</v>
      </c>
      <c r="N720" s="275">
        <f>O720-M720</f>
        <v>-1049.8866840145201</v>
      </c>
      <c r="O720" s="276">
        <f>'корпоративный баланс энергии'!AM729+'корпоративный баланс энергии'!AP729+'корпоративный баланс энергии'!AS729</f>
        <v>25581.271295369457</v>
      </c>
      <c r="P720" s="274">
        <f>SUM(P721:P722)</f>
        <v>101565.04791945106</v>
      </c>
      <c r="Q720" s="275">
        <f>R720-P720</f>
        <v>-4611.0479194510553</v>
      </c>
      <c r="R720" s="276">
        <f>F720+I720+L720+O720</f>
        <v>96954</v>
      </c>
      <c r="S720" s="357"/>
      <c r="T720" s="357"/>
    </row>
    <row r="721" spans="2:20" s="24" customFormat="1">
      <c r="B721" s="124" t="s">
        <v>56</v>
      </c>
      <c r="C721" s="497"/>
      <c r="D721" s="362">
        <f>D723+D726+D727+D730+D731+D735+D738+D741+D742+D746+D747+D748+D749+D750+D751</f>
        <v>24022.989532975793</v>
      </c>
      <c r="E721" s="363"/>
      <c r="F721" s="364"/>
      <c r="G721" s="362">
        <f>G723+G726+G727+G730+G731+G735+G738+G741+G742+G746+G747+G748+G749+G750+G751</f>
        <v>19733.24335151452</v>
      </c>
      <c r="H721" s="363"/>
      <c r="I721" s="364"/>
      <c r="J721" s="362">
        <f>J723+J726+J727+J730+J731+J735+J738+J741+J742+J746+J747+J748+J749+J750+J751</f>
        <v>20637.176251493092</v>
      </c>
      <c r="K721" s="363"/>
      <c r="L721" s="364"/>
      <c r="M721" s="362">
        <f>M723+M726+M727+M730+M731+M735+M738+M741+M742+M746+M747+M748+M749+M750+M751</f>
        <v>22891.823471353655</v>
      </c>
      <c r="N721" s="363"/>
      <c r="O721" s="364"/>
      <c r="P721" s="362">
        <f>P723+P726+P727+P730+P731+P735+P738+P741+P742+P746+P747+P748+P749+P750+P751</f>
        <v>87285.23260733705</v>
      </c>
      <c r="Q721" s="363"/>
      <c r="R721" s="364"/>
      <c r="S721" s="357"/>
      <c r="T721" s="357"/>
    </row>
    <row r="722" spans="2:20" s="24" customFormat="1">
      <c r="B722" s="124" t="s">
        <v>99</v>
      </c>
      <c r="C722" s="497"/>
      <c r="D722" s="362">
        <f>D752</f>
        <v>3635.6164194777789</v>
      </c>
      <c r="E722" s="363"/>
      <c r="F722" s="364"/>
      <c r="G722" s="362">
        <f>G752</f>
        <v>3425.3585067339518</v>
      </c>
      <c r="H722" s="363"/>
      <c r="I722" s="364"/>
      <c r="J722" s="362">
        <f>J752</f>
        <v>3479.5058778719576</v>
      </c>
      <c r="K722" s="363"/>
      <c r="L722" s="364"/>
      <c r="M722" s="362">
        <f>M752</f>
        <v>3739.334508030322</v>
      </c>
      <c r="N722" s="363"/>
      <c r="O722" s="364"/>
      <c r="P722" s="362">
        <f>P752</f>
        <v>14279.815312114013</v>
      </c>
      <c r="Q722" s="363"/>
      <c r="R722" s="364"/>
      <c r="S722" s="357"/>
      <c r="T722" s="357"/>
    </row>
    <row r="723" spans="2:20" s="24" customFormat="1">
      <c r="B723" s="134" t="str">
        <f>'корпоративный баланс энергии'!H732</f>
        <v>Тюменская ТЭЦ-1 (ПАО "Фортум" филиал Энергосистема "Западная Сибирь")</v>
      </c>
      <c r="C723" s="516" t="s">
        <v>364</v>
      </c>
      <c r="D723" s="317">
        <f>SUM(D724:D725)</f>
        <v>1253.884</v>
      </c>
      <c r="E723" s="323"/>
      <c r="F723" s="324"/>
      <c r="G723" s="317">
        <f>SUM(G724:G725)</f>
        <v>773.30700000000002</v>
      </c>
      <c r="H723" s="323"/>
      <c r="I723" s="324"/>
      <c r="J723" s="317">
        <f>SUM(J724:J725)</f>
        <v>924.81299999999987</v>
      </c>
      <c r="K723" s="323"/>
      <c r="L723" s="324"/>
      <c r="M723" s="317">
        <f>SUM(M724:M725)</f>
        <v>1209.6849999999999</v>
      </c>
      <c r="N723" s="323"/>
      <c r="O723" s="324"/>
      <c r="P723" s="317">
        <f>SUM(P724:P725)</f>
        <v>4161.6889999999994</v>
      </c>
      <c r="Q723" s="323"/>
      <c r="R723" s="324"/>
      <c r="S723" s="357"/>
      <c r="T723" s="357"/>
    </row>
    <row r="724" spans="2:20" s="24" customFormat="1">
      <c r="B724" s="122" t="str">
        <f>'корпоративный баланс энергии'!H733</f>
        <v>Тюменская ТЭЦ-1 (ПАО "Фортум" филиал Энергосистема "Западная Сибирь") без ДПМ/НВ/ВР</v>
      </c>
      <c r="C724" s="486"/>
      <c r="D724" s="281">
        <f>'корпоративный баланс энергии'!J733+'корпоративный баланс энергии'!M733+'корпоративный баланс энергии'!P733</f>
        <v>819.19200000000001</v>
      </c>
      <c r="E724" s="246"/>
      <c r="F724" s="282"/>
      <c r="G724" s="244">
        <f>'корпоративный баланс энергии'!S733+'корпоративный баланс энергии'!V733+'корпоративный баланс энергии'!Y733</f>
        <v>544.87199999999996</v>
      </c>
      <c r="H724" s="246"/>
      <c r="I724" s="282"/>
      <c r="J724" s="244">
        <f>'корпоративный баланс энергии'!AB733+'корпоративный баланс энергии'!AE733+'корпоративный баланс энергии'!AH733</f>
        <v>603.73799999999994</v>
      </c>
      <c r="K724" s="246"/>
      <c r="L724" s="282"/>
      <c r="M724" s="244">
        <f>'корпоративный баланс энергии'!AK733+'корпоративный баланс энергии'!AN733+'корпоративный баланс энергии'!AQ733</f>
        <v>785.08899999999994</v>
      </c>
      <c r="N724" s="246"/>
      <c r="O724" s="282"/>
      <c r="P724" s="244">
        <f>D724+G724+J724+M724</f>
        <v>2752.8909999999996</v>
      </c>
      <c r="Q724" s="246"/>
      <c r="R724" s="282"/>
      <c r="S724" s="357"/>
      <c r="T724" s="357"/>
    </row>
    <row r="725" spans="2:20" s="24" customFormat="1">
      <c r="B725" s="122" t="str">
        <f>'корпоративный баланс энергии'!H734</f>
        <v>Тюменская ТЭЦ-1 (ПАО "Фортум" филиал Энергосистема "Западная Сибирь") бл.№2 ПГУ НВ, ДПМ 01.02.2011</v>
      </c>
      <c r="C725" s="487"/>
      <c r="D725" s="281">
        <f>'корпоративный баланс энергии'!J734+'корпоративный баланс энергии'!M734+'корпоративный баланс энергии'!P734</f>
        <v>434.69200000000001</v>
      </c>
      <c r="E725" s="246"/>
      <c r="F725" s="282"/>
      <c r="G725" s="244">
        <f>'корпоративный баланс энергии'!S734+'корпоративный баланс энергии'!V734+'корпоративный баланс энергии'!Y734</f>
        <v>228.435</v>
      </c>
      <c r="H725" s="246"/>
      <c r="I725" s="282"/>
      <c r="J725" s="244">
        <f>'корпоративный баланс энергии'!AB734+'корпоративный баланс энергии'!AE734+'корпоративный баланс энергии'!AH734</f>
        <v>321.07499999999999</v>
      </c>
      <c r="K725" s="246"/>
      <c r="L725" s="282"/>
      <c r="M725" s="244">
        <f>'корпоративный баланс энергии'!AK734+'корпоративный баланс энергии'!AN734+'корпоративный баланс энергии'!AQ734</f>
        <v>424.596</v>
      </c>
      <c r="N725" s="246"/>
      <c r="O725" s="282"/>
      <c r="P725" s="244">
        <f>D725+G725+J725+M725</f>
        <v>1408.798</v>
      </c>
      <c r="Q725" s="246"/>
      <c r="R725" s="282"/>
      <c r="S725" s="357"/>
      <c r="T725" s="357"/>
    </row>
    <row r="726" spans="2:20" s="24" customFormat="1">
      <c r="B726" s="122" t="str">
        <f>'корпоративный баланс энергии'!H735</f>
        <v>Тюменская ТЭЦ-2 (ПАО "Фортум" филиал Энергосистема "Западная Сибирь")</v>
      </c>
      <c r="C726" s="516" t="s">
        <v>364</v>
      </c>
      <c r="D726" s="281">
        <f>'корпоративный баланс энергии'!J735+'корпоративный баланс энергии'!M735+'корпоративный баланс энергии'!P735</f>
        <v>1383.181059013162</v>
      </c>
      <c r="E726" s="246"/>
      <c r="F726" s="282"/>
      <c r="G726" s="244">
        <f>'корпоративный баланс энергии'!S735+'корпоративный баланс энергии'!V735+'корпоративный баланс энергии'!Y735</f>
        <v>814.17225161544457</v>
      </c>
      <c r="H726" s="246"/>
      <c r="I726" s="282"/>
      <c r="J726" s="244">
        <f>'корпоративный баланс энергии'!AB735+'корпоративный баланс энергии'!AE735+'корпоративный баланс энергии'!AH735</f>
        <v>929.50486915892407</v>
      </c>
      <c r="K726" s="246"/>
      <c r="L726" s="282"/>
      <c r="M726" s="244">
        <f>'корпоративный баланс энергии'!AK735+'корпоративный баланс энергии'!AN735+'корпоративный баланс энергии'!AQ735</f>
        <v>1281.128220212468</v>
      </c>
      <c r="N726" s="246"/>
      <c r="O726" s="282"/>
      <c r="P726" s="244">
        <f>D726+G726+J726+M726</f>
        <v>4407.9863999999989</v>
      </c>
      <c r="Q726" s="246"/>
      <c r="R726" s="282"/>
      <c r="S726" s="357"/>
      <c r="T726" s="357"/>
    </row>
    <row r="727" spans="2:20" s="24" customFormat="1">
      <c r="B727" s="134" t="str">
        <f>'корпоративный баланс энергии'!H736</f>
        <v>Тобольская ТЭЦ (ООО "Сибур Тобольск")</v>
      </c>
      <c r="C727" s="516" t="s">
        <v>364</v>
      </c>
      <c r="D727" s="317">
        <f>SUM(D728:D729)</f>
        <v>816.798</v>
      </c>
      <c r="E727" s="246"/>
      <c r="F727" s="282"/>
      <c r="G727" s="317">
        <f>SUM(G728:G729)</f>
        <v>585.16799999999989</v>
      </c>
      <c r="H727" s="246"/>
      <c r="I727" s="282"/>
      <c r="J727" s="317">
        <f>SUM(J728:J729)</f>
        <v>528.15170000000001</v>
      </c>
      <c r="K727" s="246"/>
      <c r="L727" s="282"/>
      <c r="M727" s="317">
        <f>SUM(M728:M729)</f>
        <v>834.87199999999984</v>
      </c>
      <c r="N727" s="246"/>
      <c r="O727" s="282"/>
      <c r="P727" s="317">
        <f>SUM(P728:P729)</f>
        <v>2764.9896999999996</v>
      </c>
      <c r="Q727" s="246"/>
      <c r="R727" s="282"/>
      <c r="S727" s="357"/>
      <c r="T727" s="357"/>
    </row>
    <row r="728" spans="2:20" s="24" customFormat="1">
      <c r="B728" s="122" t="str">
        <f>'корпоративный баланс энергии'!H737</f>
        <v>Тобольская ТЭЦ (ООО "Сибур Тобольск") без ДПМ/НВ/ВР</v>
      </c>
      <c r="C728" s="487"/>
      <c r="D728" s="281">
        <f>'корпоративный баланс энергии'!J737+'корпоративный баланс энергии'!M737+'корпоративный баланс энергии'!P737</f>
        <v>740.72799999999995</v>
      </c>
      <c r="E728" s="246"/>
      <c r="F728" s="282"/>
      <c r="G728" s="244">
        <f>'корпоративный баланс энергии'!S737+'корпоративный баланс энергии'!V737+'корпоративный баланс энергии'!Y737</f>
        <v>447.57599999999991</v>
      </c>
      <c r="H728" s="246"/>
      <c r="I728" s="282"/>
      <c r="J728" s="244">
        <f>'корпоративный баланс энергии'!AB737+'корпоративный баланс энергии'!AE737+'корпоративный баланс энергии'!AH737</f>
        <v>389.048</v>
      </c>
      <c r="K728" s="246"/>
      <c r="L728" s="282"/>
      <c r="M728" s="244">
        <f>'корпоративный баланс энергии'!AK737+'корпоративный баланс энергии'!AN737+'корпоративный баланс энергии'!AQ737</f>
        <v>809.16799999999989</v>
      </c>
      <c r="N728" s="246"/>
      <c r="O728" s="282"/>
      <c r="P728" s="244">
        <f>D728+G728+J728+M728</f>
        <v>2386.5199999999995</v>
      </c>
      <c r="Q728" s="246"/>
      <c r="R728" s="282"/>
      <c r="S728" s="357"/>
      <c r="T728" s="357"/>
    </row>
    <row r="729" spans="2:20" s="24" customFormat="1">
      <c r="B729" s="122" t="str">
        <f>'корпоративный баланс энергии'!H738</f>
        <v>Тобольская ТЭЦ (ООО "Сибур Тобольск") - бл.№ 3, бл.№ 5 НВ, ДПМ 01.05.2011</v>
      </c>
      <c r="C729" s="487"/>
      <c r="D729" s="281">
        <f>'корпоративный баланс энергии'!J738+'корпоративный баланс энергии'!M738+'корпоративный баланс энергии'!P738</f>
        <v>76.070000000000007</v>
      </c>
      <c r="E729" s="246"/>
      <c r="F729" s="282"/>
      <c r="G729" s="244">
        <f>'корпоративный баланс энергии'!S738+'корпоративный баланс энергии'!V738+'корпоративный баланс энергии'!Y738</f>
        <v>137.59199999999998</v>
      </c>
      <c r="H729" s="246"/>
      <c r="I729" s="282"/>
      <c r="J729" s="244">
        <f>'корпоративный баланс энергии'!AB738+'корпоративный баланс энергии'!AE738+'корпоративный баланс энергии'!AH738</f>
        <v>139.1037</v>
      </c>
      <c r="K729" s="246"/>
      <c r="L729" s="282"/>
      <c r="M729" s="244">
        <f>'корпоративный баланс энергии'!AK738+'корпоративный баланс энергии'!AN738+'корпоративный баланс энергии'!AQ738</f>
        <v>25.704000000000001</v>
      </c>
      <c r="N729" s="246"/>
      <c r="O729" s="282"/>
      <c r="P729" s="244">
        <f>D729+G729+J729+M729</f>
        <v>378.46969999999999</v>
      </c>
      <c r="Q729" s="246"/>
      <c r="R729" s="282"/>
      <c r="S729" s="357"/>
      <c r="T729" s="357"/>
    </row>
    <row r="730" spans="2:20" s="24" customFormat="1">
      <c r="B730" s="122" t="str">
        <f>'корпоративный баланс энергии'!H739</f>
        <v>Сургутская ГРЭС-1 (Филиал ПАО "ОГК-2")</v>
      </c>
      <c r="C730" s="516" t="s">
        <v>364</v>
      </c>
      <c r="D730" s="281">
        <f>'корпоративный баланс энергии'!J739+'корпоративный баланс энергии'!M739+'корпоративный баланс энергии'!P739</f>
        <v>4676</v>
      </c>
      <c r="E730" s="246"/>
      <c r="F730" s="282"/>
      <c r="G730" s="244">
        <f>'корпоративный баланс энергии'!S739+'корпоративный баланс энергии'!V739+'корпоративный баланс энергии'!Y739</f>
        <v>4710</v>
      </c>
      <c r="H730" s="246"/>
      <c r="I730" s="282"/>
      <c r="J730" s="244">
        <f>'корпоративный баланс энергии'!AB739+'корпоративный баланс энергии'!AE739+'корпоративный баланс энергии'!AH739</f>
        <v>4951</v>
      </c>
      <c r="K730" s="246"/>
      <c r="L730" s="282"/>
      <c r="M730" s="244">
        <f>'корпоративный баланс энергии'!AK739+'корпоративный баланс энергии'!AN739+'корпоративный баланс энергии'!AQ739</f>
        <v>4783</v>
      </c>
      <c r="N730" s="246"/>
      <c r="O730" s="282"/>
      <c r="P730" s="244">
        <f>D730+G730+J730+M730</f>
        <v>19120</v>
      </c>
      <c r="Q730" s="246"/>
      <c r="R730" s="282"/>
      <c r="S730" s="357"/>
      <c r="T730" s="357"/>
    </row>
    <row r="731" spans="2:20" s="24" customFormat="1">
      <c r="B731" s="134" t="str">
        <f>'корпоративный баланс энергии'!H740</f>
        <v>Сургутская ГРЭС-2 (филиал ПАО "Юнипро")</v>
      </c>
      <c r="C731" s="516" t="s">
        <v>364</v>
      </c>
      <c r="D731" s="317">
        <f>SUM(D732:D734)</f>
        <v>8766.5799999999981</v>
      </c>
      <c r="E731" s="246"/>
      <c r="F731" s="282"/>
      <c r="G731" s="317">
        <f>SUM(G732:G734)</f>
        <v>7172.0469999999996</v>
      </c>
      <c r="H731" s="246"/>
      <c r="I731" s="282"/>
      <c r="J731" s="317">
        <f>SUM(J732:J734)</f>
        <v>7486.8429999999989</v>
      </c>
      <c r="K731" s="246"/>
      <c r="L731" s="282"/>
      <c r="M731" s="317">
        <f>SUM(M732:M734)</f>
        <v>8279.3900000000012</v>
      </c>
      <c r="N731" s="246"/>
      <c r="O731" s="282"/>
      <c r="P731" s="317">
        <f>SUM(P732:P734)</f>
        <v>31704.859999999997</v>
      </c>
      <c r="Q731" s="246"/>
      <c r="R731" s="282"/>
      <c r="S731" s="357"/>
      <c r="T731" s="357"/>
    </row>
    <row r="732" spans="2:20" s="24" customFormat="1">
      <c r="B732" s="122" t="str">
        <f>'корпоративный баланс энергии'!H741</f>
        <v>Сургутская ГРЭС-2 (филиал ПАО "Юнипро") без ДПМ/НВ/ВР</v>
      </c>
      <c r="C732" s="487"/>
      <c r="D732" s="281">
        <f>'корпоративный баланс энергии'!J741+'корпоративный баланс энергии'!M741+'корпоративный баланс энергии'!P741</f>
        <v>7087.7639999999992</v>
      </c>
      <c r="E732" s="246"/>
      <c r="F732" s="282"/>
      <c r="G732" s="244">
        <f>'корпоративный баланс энергии'!S741+'корпоративный баланс энергии'!V741+'корпоративный баланс энергии'!Y741</f>
        <v>6008.2449999999999</v>
      </c>
      <c r="H732" s="246"/>
      <c r="I732" s="282"/>
      <c r="J732" s="244">
        <f>'корпоративный баланс энергии'!AB741+'корпоративный баланс энергии'!AE741+'корпоративный баланс энергии'!AH741</f>
        <v>5861.5099999999993</v>
      </c>
      <c r="K732" s="246"/>
      <c r="L732" s="282"/>
      <c r="M732" s="244">
        <f>'корпоративный баланс энергии'!AK741+'корпоративный баланс энергии'!AN741+'корпоративный баланс энергии'!AQ741</f>
        <v>7463.3410000000003</v>
      </c>
      <c r="N732" s="246"/>
      <c r="O732" s="282"/>
      <c r="P732" s="244">
        <f>D732+G732+J732+M732</f>
        <v>26420.859999999997</v>
      </c>
      <c r="Q732" s="246"/>
      <c r="R732" s="282"/>
      <c r="S732" s="357"/>
      <c r="T732" s="357"/>
    </row>
    <row r="733" spans="2:20" s="24" customFormat="1">
      <c r="B733" s="122" t="str">
        <f>'корпоративный баланс энергии'!H742</f>
        <v>Сургутская ГРЭС-2 (филиал ПАО "Юнипро") бл.№ 7 ПГУ НВ, ДПМ 01.07.2011</v>
      </c>
      <c r="C733" s="487"/>
      <c r="D733" s="281">
        <f>'корпоративный баланс энергии'!J742+'корпоративный баланс энергии'!M742+'корпоративный баланс энергии'!P742</f>
        <v>826.62800000000004</v>
      </c>
      <c r="E733" s="246"/>
      <c r="F733" s="282"/>
      <c r="G733" s="244">
        <f>'корпоративный баланс энергии'!S742+'корпоративный баланс энергии'!V742+'корпоративный баланс энергии'!Y742</f>
        <v>370.03999999999996</v>
      </c>
      <c r="H733" s="246"/>
      <c r="I733" s="282"/>
      <c r="J733" s="244">
        <f>'корпоративный баланс энергии'!AB742+'корпоративный баланс энергии'!AE742+'корпоративный баланс энергии'!AH742</f>
        <v>844.03199999999993</v>
      </c>
      <c r="K733" s="246"/>
      <c r="L733" s="282"/>
      <c r="M733" s="244">
        <f>'корпоративный баланс энергии'!AK742+'корпоративный баланс энергии'!AN742+'корпоративный баланс энергии'!AQ742</f>
        <v>654.85100000000011</v>
      </c>
      <c r="N733" s="246"/>
      <c r="O733" s="282"/>
      <c r="P733" s="244">
        <f>D733+G733+J733+M733</f>
        <v>2695.5510000000004</v>
      </c>
      <c r="Q733" s="246"/>
      <c r="R733" s="282"/>
      <c r="S733" s="357"/>
      <c r="T733" s="357"/>
    </row>
    <row r="734" spans="2:20" s="24" customFormat="1">
      <c r="B734" s="122" t="str">
        <f>'корпоративный баланс энергии'!H743</f>
        <v>Сургутская ГРЭС-2 (филиал ПАО "Юнипро") бл.№ 8 ПГУ НВ, ДПМ 01.08.2011</v>
      </c>
      <c r="C734" s="487"/>
      <c r="D734" s="281">
        <f>'корпоративный баланс энергии'!J743+'корпоративный баланс энергии'!M743+'корпоративный баланс энергии'!P743</f>
        <v>852.1880000000001</v>
      </c>
      <c r="E734" s="246"/>
      <c r="F734" s="282"/>
      <c r="G734" s="244">
        <f>'корпоративный баланс энергии'!S743+'корпоративный баланс энергии'!V743+'корпоративный баланс энергии'!Y743</f>
        <v>793.76199999999994</v>
      </c>
      <c r="H734" s="246"/>
      <c r="I734" s="282"/>
      <c r="J734" s="244">
        <f>'корпоративный баланс энергии'!AB743+'корпоративный баланс энергии'!AE743+'корпоративный баланс энергии'!AH743</f>
        <v>781.30099999999993</v>
      </c>
      <c r="K734" s="246"/>
      <c r="L734" s="282"/>
      <c r="M734" s="244">
        <f>'корпоративный баланс энергии'!AK743+'корпоративный баланс энергии'!AN743+'корпоративный баланс энергии'!AQ743</f>
        <v>161.19799999999998</v>
      </c>
      <c r="N734" s="246"/>
      <c r="O734" s="282"/>
      <c r="P734" s="244">
        <f>D734+G734+J734+M734</f>
        <v>2588.4490000000001</v>
      </c>
      <c r="Q734" s="246"/>
      <c r="R734" s="282"/>
      <c r="S734" s="357"/>
      <c r="T734" s="357"/>
    </row>
    <row r="735" spans="2:20" s="24" customFormat="1">
      <c r="B735" s="134" t="str">
        <f>'корпоративный баланс энергии'!H744</f>
        <v>Нижневартовская ГРЭС (ЗАО "Нижневартовская ГРЭС")</v>
      </c>
      <c r="C735" s="516" t="s">
        <v>364</v>
      </c>
      <c r="D735" s="317">
        <f>SUM(D736:D737)</f>
        <v>3595.5250000000005</v>
      </c>
      <c r="E735" s="246"/>
      <c r="F735" s="282"/>
      <c r="G735" s="317">
        <f>SUM(G736:G737)</f>
        <v>2486.9269999999997</v>
      </c>
      <c r="H735" s="246"/>
      <c r="I735" s="282"/>
      <c r="J735" s="317">
        <f>SUM(J736:J737)</f>
        <v>2478.991</v>
      </c>
      <c r="K735" s="246"/>
      <c r="L735" s="282"/>
      <c r="M735" s="317">
        <f>SUM(M736:M737)</f>
        <v>3173.2210000000005</v>
      </c>
      <c r="N735" s="246"/>
      <c r="O735" s="282"/>
      <c r="P735" s="317">
        <f>SUM(P736:P737)</f>
        <v>11734.664000000001</v>
      </c>
      <c r="Q735" s="246"/>
      <c r="R735" s="282"/>
      <c r="S735" s="357"/>
      <c r="T735" s="357"/>
    </row>
    <row r="736" spans="2:20" s="24" customFormat="1">
      <c r="B736" s="122" t="str">
        <f>'корпоративный баланс энергии'!H745</f>
        <v>Нижневартовская ГРЭС (ЗАО Нижневартовская ГРЭС) без ДПМ/НВ/ВР</v>
      </c>
      <c r="C736" s="487"/>
      <c r="D736" s="281">
        <f>'корпоративный баланс энергии'!J745+'корпоративный баланс энергии'!M745+'корпоративный баланс энергии'!P745</f>
        <v>2741.4930000000004</v>
      </c>
      <c r="E736" s="246"/>
      <c r="F736" s="282"/>
      <c r="G736" s="244">
        <f>'корпоративный баланс энергии'!S745+'корпоративный баланс энергии'!V745+'корпоративный баланс энергии'!Y745</f>
        <v>1776.7249999999999</v>
      </c>
      <c r="H736" s="246"/>
      <c r="I736" s="282"/>
      <c r="J736" s="244">
        <f>'корпоративный баланс энергии'!AB745+'корпоративный баланс энергии'!AE745+'корпоративный баланс энергии'!AH745</f>
        <v>1619.521</v>
      </c>
      <c r="K736" s="246"/>
      <c r="L736" s="282"/>
      <c r="M736" s="244">
        <f>'корпоративный баланс энергии'!AK745+'корпоративный баланс энергии'!AN745+'корпоративный баланс энергии'!AQ745</f>
        <v>2331.5570000000002</v>
      </c>
      <c r="N736" s="246"/>
      <c r="O736" s="282"/>
      <c r="P736" s="244">
        <f>D736+G736+J736+M736</f>
        <v>8469.2960000000003</v>
      </c>
      <c r="Q736" s="246"/>
      <c r="R736" s="282"/>
      <c r="S736" s="357"/>
      <c r="T736" s="357"/>
    </row>
    <row r="737" spans="2:20" s="24" customFormat="1">
      <c r="B737" s="122" t="str">
        <f>'корпоративный баланс энергии'!H746</f>
        <v>Нижневартовская ГРЭС (ЗАО "Нижневартовская ГРЭС") ПГУ-413 НВ, ДПМ 11.03.2014</v>
      </c>
      <c r="C737" s="502"/>
      <c r="D737" s="281">
        <f>'корпоративный баланс энергии'!J746+'корпоративный баланс энергии'!M746+'корпоративный баланс энергии'!P746</f>
        <v>854.03200000000004</v>
      </c>
      <c r="E737" s="246"/>
      <c r="F737" s="282"/>
      <c r="G737" s="244">
        <f>'корпоративный баланс энергии'!S746+'корпоративный баланс энергии'!V746+'корпоративный баланс энергии'!Y746</f>
        <v>710.202</v>
      </c>
      <c r="H737" s="246"/>
      <c r="I737" s="282"/>
      <c r="J737" s="244">
        <f>'корпоративный баланс энергии'!AB746+'корпоративный баланс энергии'!AE746+'корпоративный баланс энергии'!AH746</f>
        <v>859.47</v>
      </c>
      <c r="K737" s="246"/>
      <c r="L737" s="282"/>
      <c r="M737" s="244">
        <f>'корпоративный баланс энергии'!AK746+'корпоративный баланс энергии'!AN746+'корпоративный баланс энергии'!AQ746</f>
        <v>841.6640000000001</v>
      </c>
      <c r="N737" s="246"/>
      <c r="O737" s="282"/>
      <c r="P737" s="244">
        <f>D737+G737+J737+M737</f>
        <v>3265.3679999999999</v>
      </c>
      <c r="Q737" s="246"/>
      <c r="R737" s="282"/>
      <c r="S737" s="357"/>
      <c r="T737" s="357"/>
    </row>
    <row r="738" spans="2:20" s="24" customFormat="1">
      <c r="B738" s="134" t="str">
        <f>'корпоративный баланс энергии'!H747</f>
        <v>Уренгойская ГРЭС (филиал АО "Интер РАО - Электрогенерация")</v>
      </c>
      <c r="C738" s="516" t="s">
        <v>364</v>
      </c>
      <c r="D738" s="317">
        <f>SUM(D739:D740)</f>
        <v>557.4</v>
      </c>
      <c r="E738" s="246"/>
      <c r="F738" s="282"/>
      <c r="G738" s="317">
        <f>SUM(G739:G740)</f>
        <v>618.88</v>
      </c>
      <c r="H738" s="246"/>
      <c r="I738" s="282"/>
      <c r="J738" s="317">
        <f>SUM(J739:J740)</f>
        <v>752.63999999999987</v>
      </c>
      <c r="K738" s="246"/>
      <c r="L738" s="282"/>
      <c r="M738" s="317">
        <f>SUM(M739:M740)</f>
        <v>745.34400000000005</v>
      </c>
      <c r="N738" s="246"/>
      <c r="O738" s="282"/>
      <c r="P738" s="317">
        <f>SUM(P739:P740)</f>
        <v>2674.2639999999997</v>
      </c>
      <c r="Q738" s="246"/>
      <c r="R738" s="282"/>
      <c r="S738" s="357"/>
      <c r="T738" s="357"/>
    </row>
    <row r="739" spans="2:20" s="24" customFormat="1">
      <c r="B739" s="122" t="str">
        <f>'корпоративный баланс энергии'!H748</f>
        <v>Уренгойская ГРЭС (филиал АО "Интер РАО - Электрогенерация") без ДПМ/НВ/ВР</v>
      </c>
      <c r="C739" s="486"/>
      <c r="D739" s="281">
        <f>'корпоративный баланс энергии'!J748+'корпоративный баланс энергии'!M748+'корпоративный баланс энергии'!P748</f>
        <v>39</v>
      </c>
      <c r="E739" s="246"/>
      <c r="F739" s="282"/>
      <c r="G739" s="244">
        <f>'корпоративный баланс энергии'!S748+'корпоративный баланс энергии'!V748+'корпоративный баланс энергии'!Y748</f>
        <v>27.1</v>
      </c>
      <c r="H739" s="246"/>
      <c r="I739" s="282"/>
      <c r="J739" s="244">
        <f>'корпоративный баланс энергии'!AB748+'корпоративный баланс энергии'!AE748+'корпоративный баланс энергии'!AH748</f>
        <v>32.799999999999997</v>
      </c>
      <c r="K739" s="246"/>
      <c r="L739" s="282"/>
      <c r="M739" s="244">
        <f>'корпоративный баланс энергии'!AK748+'корпоративный баланс энергии'!AN748+'корпоративный баланс энергии'!AQ748</f>
        <v>39.700000000000003</v>
      </c>
      <c r="N739" s="246"/>
      <c r="O739" s="282"/>
      <c r="P739" s="244">
        <f>D739+G739+J739+M739</f>
        <v>138.6</v>
      </c>
      <c r="Q739" s="246"/>
      <c r="R739" s="282"/>
      <c r="S739" s="357"/>
      <c r="T739" s="357"/>
    </row>
    <row r="740" spans="2:20" s="24" customFormat="1">
      <c r="B740" s="122" t="str">
        <f>'корпоративный баланс энергии'!H749</f>
        <v>Уренгойская ГРЭС (филиал АО "Интер РАО - Электрогенерация") ПГУ-450 НВ, ДПМ 05.11.2012</v>
      </c>
      <c r="C740" s="486"/>
      <c r="D740" s="281">
        <f>'корпоративный баланс энергии'!J749+'корпоративный баланс энергии'!M749+'корпоративный баланс энергии'!P749</f>
        <v>518.4</v>
      </c>
      <c r="E740" s="246"/>
      <c r="F740" s="282"/>
      <c r="G740" s="244">
        <f>'корпоративный баланс энергии'!S749+'корпоративный баланс энергии'!V749+'корпоративный баланс энергии'!Y749</f>
        <v>591.78</v>
      </c>
      <c r="H740" s="246"/>
      <c r="I740" s="282"/>
      <c r="J740" s="244">
        <f>'корпоративный баланс энергии'!AB749+'корпоративный баланс энергии'!AE749+'корпоративный баланс энергии'!AH749</f>
        <v>719.83999999999992</v>
      </c>
      <c r="K740" s="246"/>
      <c r="L740" s="282"/>
      <c r="M740" s="244">
        <f>'корпоративный баланс энергии'!AK749+'корпоративный баланс энергии'!AN749+'корпоративный баланс энергии'!AQ749</f>
        <v>705.64400000000001</v>
      </c>
      <c r="N740" s="246"/>
      <c r="O740" s="282"/>
      <c r="P740" s="244">
        <f>D740+G740+J740+M740</f>
        <v>2535.6639999999998</v>
      </c>
      <c r="Q740" s="246"/>
      <c r="R740" s="282"/>
      <c r="S740" s="357"/>
      <c r="T740" s="357"/>
    </row>
    <row r="741" spans="2:20" s="24" customFormat="1">
      <c r="B741" s="122" t="str">
        <f>'корпоративный баланс энергии'!H750</f>
        <v>Ноябрьская ПГЭ (ООО "Ноябрьская ПГЭ") НВ</v>
      </c>
      <c r="C741" s="516" t="s">
        <v>364</v>
      </c>
      <c r="D741" s="281">
        <f>'корпоративный баланс энергии'!J750+'корпоративный баланс энергии'!M750+'корпоративный баланс энергии'!P750</f>
        <v>238.96082799999999</v>
      </c>
      <c r="E741" s="246"/>
      <c r="F741" s="282"/>
      <c r="G741" s="244">
        <f>'корпоративный баланс энергии'!S750+'корпоративный баланс энергии'!V750+'корпоративный баланс энергии'!Y750</f>
        <v>207.20671600000003</v>
      </c>
      <c r="H741" s="246"/>
      <c r="I741" s="282"/>
      <c r="J741" s="244">
        <f>'корпоративный баланс энергии'!AB750+'корпоративный баланс энергии'!AE750+'корпоративный баланс энергии'!AH750</f>
        <v>141.22325799999999</v>
      </c>
      <c r="K741" s="246"/>
      <c r="L741" s="282"/>
      <c r="M741" s="244">
        <f>'корпоративный баланс энергии'!AK750+'корпоративный баланс энергии'!AN750+'корпоративный баланс энергии'!AQ750</f>
        <v>215.86809199999999</v>
      </c>
      <c r="N741" s="246"/>
      <c r="O741" s="282"/>
      <c r="P741" s="244">
        <f>D741+G741+J741+M741</f>
        <v>803.25889400000005</v>
      </c>
      <c r="Q741" s="246"/>
      <c r="R741" s="282"/>
      <c r="S741" s="357"/>
      <c r="T741" s="357"/>
    </row>
    <row r="742" spans="2:20" s="24" customFormat="1">
      <c r="B742" s="134" t="str">
        <f>'корпоративный баланс энергии'!H751</f>
        <v>Няганская ГРЭС (ПАО "Фортум" филиал Энергосистема "Западная Сибирь")</v>
      </c>
      <c r="C742" s="516" t="s">
        <v>364</v>
      </c>
      <c r="D742" s="317">
        <f>SUM(D743:D745)</f>
        <v>2571.6478349626295</v>
      </c>
      <c r="E742" s="246"/>
      <c r="F742" s="282"/>
      <c r="G742" s="317">
        <f>SUM(G743:G745)</f>
        <v>2245.4789208990733</v>
      </c>
      <c r="H742" s="246"/>
      <c r="I742" s="282"/>
      <c r="J742" s="317">
        <f>SUM(J743:J745)</f>
        <v>2365.0157833341723</v>
      </c>
      <c r="K742" s="246"/>
      <c r="L742" s="282"/>
      <c r="M742" s="317">
        <f>SUM(M743:M745)</f>
        <v>2207.6584481411819</v>
      </c>
      <c r="N742" s="246"/>
      <c r="O742" s="282"/>
      <c r="P742" s="317">
        <f>SUM(P743:P745)</f>
        <v>9389.8009873370574</v>
      </c>
      <c r="Q742" s="246"/>
      <c r="R742" s="282"/>
      <c r="S742" s="357"/>
      <c r="T742" s="357"/>
    </row>
    <row r="743" spans="2:20" s="24" customFormat="1">
      <c r="B743" s="122" t="str">
        <f>'корпоративный баланс энергии'!H752</f>
        <v>Няганская ГРЭС (ПАО "Фортум" филиал Энергосистема "Западная Сибирь") бл.№1 ПГУ 420 НВ, ДПМ 25.03.2013</v>
      </c>
      <c r="C743" s="486"/>
      <c r="D743" s="281">
        <f>'корпоративный баланс энергии'!J752+'корпоративный баланс энергии'!M752+'корпоративный баланс энергии'!P752</f>
        <v>869.84860261142001</v>
      </c>
      <c r="E743" s="246"/>
      <c r="F743" s="282"/>
      <c r="G743" s="244">
        <f>'корпоративный баланс энергии'!S752+'корпоративный баланс энергии'!V752+'корпоративный баланс энергии'!Y752</f>
        <v>744.56119581961968</v>
      </c>
      <c r="H743" s="246"/>
      <c r="I743" s="282"/>
      <c r="J743" s="244">
        <f>'корпоративный баланс энергии'!AB752+'корпоративный баланс энергии'!AE752+'корпоративный баланс энергии'!AH752</f>
        <v>712.83015962089871</v>
      </c>
      <c r="K743" s="246"/>
      <c r="L743" s="282"/>
      <c r="M743" s="244">
        <f>'корпоративный баланс энергии'!AK752+'корпоративный баланс энергии'!AN752+'корпоративный баланс энергии'!AQ752</f>
        <v>846.95245105502704</v>
      </c>
      <c r="N743" s="246"/>
      <c r="O743" s="282"/>
      <c r="P743" s="244">
        <f t="shared" ref="P743:P748" si="44">D743+G743+J743+M743</f>
        <v>3174.1924091069659</v>
      </c>
      <c r="Q743" s="246"/>
      <c r="R743" s="282"/>
      <c r="S743" s="357"/>
      <c r="T743" s="357"/>
    </row>
    <row r="744" spans="2:20" s="116" customFormat="1">
      <c r="B744" s="122" t="str">
        <f>'корпоративный баланс энергии'!H753</f>
        <v>Няганская ГРЭС (ПАО "Фортум" филиал Энергосистема "Западная Сибирь") бл.№2 ПГУ 424 НВ, ДПМ 11.11.2013</v>
      </c>
      <c r="C744" s="486"/>
      <c r="D744" s="281">
        <f>'корпоративный баланс энергии'!J753+'корпоративный баланс энергии'!M753+'корпоративный баланс энергии'!P753</f>
        <v>843.10198752063218</v>
      </c>
      <c r="E744" s="246"/>
      <c r="F744" s="282"/>
      <c r="G744" s="244">
        <f>'корпоративный баланс энергии'!S753+'корпоративный баланс энергии'!V753+'корпоративный баланс энергии'!Y753</f>
        <v>810.16246400007776</v>
      </c>
      <c r="H744" s="246"/>
      <c r="I744" s="282"/>
      <c r="J744" s="244">
        <f>'корпоративный баланс энергии'!AB753+'корпоративный баланс энергии'!AE753+'корпоративный баланс энергии'!AH753</f>
        <v>782.02304275345193</v>
      </c>
      <c r="K744" s="246"/>
      <c r="L744" s="282"/>
      <c r="M744" s="244">
        <f>'корпоративный баланс энергии'!AK753+'корпоративный баланс энергии'!AN753+'корпоративный баланс энергии'!AQ753</f>
        <v>469.72022698315095</v>
      </c>
      <c r="N744" s="246"/>
      <c r="O744" s="282"/>
      <c r="P744" s="244">
        <f t="shared" si="44"/>
        <v>2905.0077212573128</v>
      </c>
      <c r="Q744" s="246"/>
      <c r="R744" s="282"/>
      <c r="S744" s="374"/>
      <c r="T744" s="374"/>
    </row>
    <row r="745" spans="2:20" s="116" customFormat="1">
      <c r="B745" s="122" t="str">
        <f>'корпоративный баланс энергии'!H754</f>
        <v>Няганская ГРЭС (ПАО "Фортум" филиал Энергосистема "Западная Сибирь") бл.№3 ПГУ 424 НВ, ДПМ 14.09.2014</v>
      </c>
      <c r="C745" s="486"/>
      <c r="D745" s="281">
        <f>'корпоративный баланс энергии'!J754+'корпоративный баланс энергии'!M754+'корпоративный баланс энергии'!P754</f>
        <v>858.69724483057723</v>
      </c>
      <c r="E745" s="246"/>
      <c r="F745" s="282"/>
      <c r="G745" s="244">
        <f>'корпоративный баланс энергии'!S754+'корпоративный баланс энергии'!V754+'корпоративный баланс энергии'!Y754</f>
        <v>690.75526107937617</v>
      </c>
      <c r="H745" s="246"/>
      <c r="I745" s="282"/>
      <c r="J745" s="244">
        <f>'корпоративный баланс энергии'!AB754+'корпоративный баланс энергии'!AE754+'корпоративный баланс энергии'!AH754</f>
        <v>870.16258095982175</v>
      </c>
      <c r="K745" s="246"/>
      <c r="L745" s="282"/>
      <c r="M745" s="244">
        <f>'корпоративный баланс энергии'!AK754+'корпоративный баланс энергии'!AN754+'корпоративный баланс энергии'!AQ754</f>
        <v>890.98577010300414</v>
      </c>
      <c r="N745" s="246"/>
      <c r="O745" s="282"/>
      <c r="P745" s="244">
        <f t="shared" si="44"/>
        <v>3310.6008569727792</v>
      </c>
      <c r="Q745" s="246"/>
      <c r="R745" s="282"/>
      <c r="S745" s="374"/>
      <c r="T745" s="374"/>
    </row>
    <row r="746" spans="2:20" s="116" customFormat="1">
      <c r="B746" s="122" t="str">
        <f>'корпоративный баланс энергии'!H755</f>
        <v>ПЛЭС Надым (ООО "Северная ПЛЭС")</v>
      </c>
      <c r="C746" s="516" t="s">
        <v>364</v>
      </c>
      <c r="D746" s="281">
        <f>'корпоративный баланс энергии'!J755+'корпоративный баланс энергии'!M755+'корпоративный баланс энергии'!P755</f>
        <v>48.227999999999994</v>
      </c>
      <c r="E746" s="246"/>
      <c r="F746" s="282"/>
      <c r="G746" s="244">
        <f>'корпоративный баланс энергии'!S755+'корпоративный баланс энергии'!V755+'корпоративный баланс энергии'!Y755</f>
        <v>43.692</v>
      </c>
      <c r="H746" s="246"/>
      <c r="I746" s="282"/>
      <c r="J746" s="244">
        <f>'корпоративный баланс энергии'!AB755+'корпоративный баланс энергии'!AE755+'корпоративный баланс энергии'!AH755</f>
        <v>37.488</v>
      </c>
      <c r="K746" s="246"/>
      <c r="L746" s="282"/>
      <c r="M746" s="244">
        <f>'корпоративный баланс энергии'!AK755+'корпоративный баланс энергии'!AN755+'корпоративный баланс энергии'!AQ755</f>
        <v>48.215999999999994</v>
      </c>
      <c r="N746" s="246"/>
      <c r="O746" s="282"/>
      <c r="P746" s="244">
        <f t="shared" si="44"/>
        <v>177.62399999999997</v>
      </c>
      <c r="Q746" s="246"/>
      <c r="R746" s="282"/>
      <c r="S746" s="374"/>
      <c r="T746" s="374"/>
    </row>
    <row r="747" spans="2:20" s="116" customFormat="1">
      <c r="B747" s="122" t="str">
        <f>'корпоративный баланс энергии'!H756</f>
        <v>ПЭС Казым (ПАО "Передвижная энергетика")</v>
      </c>
      <c r="C747" s="516" t="s">
        <v>364</v>
      </c>
      <c r="D747" s="281">
        <f>'корпоративный баланс энергии'!J756+'корпоративный баланс энергии'!M756+'корпоративный баланс энергии'!P756</f>
        <v>9</v>
      </c>
      <c r="E747" s="246"/>
      <c r="F747" s="282"/>
      <c r="G747" s="244">
        <f>'корпоративный баланс энергии'!S756+'корпоративный баланс энергии'!V756+'корпоративный баланс энергии'!Y756</f>
        <v>6.8920000000000003</v>
      </c>
      <c r="H747" s="246"/>
      <c r="I747" s="282"/>
      <c r="J747" s="244">
        <f>'корпоративный баланс энергии'!AB756+'корпоративный баланс энергии'!AE756+'корпоративный баланс энергии'!AH756</f>
        <v>6.6240000000000006</v>
      </c>
      <c r="K747" s="246"/>
      <c r="L747" s="282"/>
      <c r="M747" s="244">
        <f>'корпоративный баланс энергии'!AK756+'корпоративный баланс энергии'!AN756+'корпоративный баланс энергии'!AQ756</f>
        <v>8.1000000000000014</v>
      </c>
      <c r="N747" s="246"/>
      <c r="O747" s="282"/>
      <c r="P747" s="244">
        <f t="shared" si="44"/>
        <v>30.616</v>
      </c>
      <c r="Q747" s="246"/>
      <c r="R747" s="282"/>
      <c r="S747" s="374"/>
      <c r="T747" s="374"/>
    </row>
    <row r="748" spans="2:20" s="116" customFormat="1">
      <c r="B748" s="122" t="str">
        <f>'корпоративный баланс энергии'!H757</f>
        <v>ПЭС Уренгой (ПАО "Передвижная энергетика")</v>
      </c>
      <c r="C748" s="516" t="s">
        <v>364</v>
      </c>
      <c r="D748" s="281">
        <f>'корпоративный баланс энергии'!J757+'корпоративный баланс энергии'!M757+'корпоративный баланс энергии'!P757</f>
        <v>11</v>
      </c>
      <c r="E748" s="246"/>
      <c r="F748" s="282"/>
      <c r="G748" s="244">
        <f>'корпоративный баланс энергии'!S757+'корпоративный баланс энергии'!V757+'корпоративный баланс энергии'!Y757</f>
        <v>6.95</v>
      </c>
      <c r="H748" s="246"/>
      <c r="I748" s="282"/>
      <c r="J748" s="244">
        <f>'корпоративный баланс энергии'!AB757+'корпоративный баланс энергии'!AE757+'корпоративный баланс энергии'!AH757</f>
        <v>7.6</v>
      </c>
      <c r="K748" s="246"/>
      <c r="L748" s="282"/>
      <c r="M748" s="244">
        <f>'корпоративный баланс энергии'!AK757+'корпоративный баланс энергии'!AN757+'корпоративный баланс энергии'!AQ757</f>
        <v>11</v>
      </c>
      <c r="N748" s="246"/>
      <c r="O748" s="282"/>
      <c r="P748" s="244">
        <f t="shared" si="44"/>
        <v>36.549999999999997</v>
      </c>
      <c r="Q748" s="246"/>
      <c r="R748" s="282"/>
      <c r="S748" s="374"/>
      <c r="T748" s="374"/>
    </row>
    <row r="749" spans="2:20" s="116" customFormat="1">
      <c r="B749" s="122" t="str">
        <f>'корпоративный баланс энергии'!H758</f>
        <v>ГТЭС Новоуренгойская (ООО "Новоуренгойский газохимический комплекс")</v>
      </c>
      <c r="C749" s="516" t="s">
        <v>364</v>
      </c>
      <c r="D749" s="281">
        <f>'корпоративный баланс энергии'!J758+'корпоративный баланс энергии'!M758+'корпоративный баланс энергии'!P758</f>
        <v>0</v>
      </c>
      <c r="E749" s="246"/>
      <c r="F749" s="282"/>
      <c r="G749" s="244">
        <f>'корпоративный баланс энергии'!S758+'корпоративный баланс энергии'!V758+'корпоративный баланс энергии'!Y758</f>
        <v>0</v>
      </c>
      <c r="H749" s="246"/>
      <c r="I749" s="282"/>
      <c r="J749" s="244">
        <f>'корпоративный баланс энергии'!AB758+'корпоративный баланс энергии'!AE758+'корпоративный баланс энергии'!AH758</f>
        <v>0</v>
      </c>
      <c r="K749" s="246"/>
      <c r="L749" s="282"/>
      <c r="M749" s="244">
        <f>'корпоративный баланс энергии'!AK758+'корпоративный баланс энергии'!AN758+'корпоративный баланс энергии'!AQ758</f>
        <v>0</v>
      </c>
      <c r="N749" s="246"/>
      <c r="O749" s="282"/>
      <c r="P749" s="244">
        <f t="shared" ref="P749" si="45">D749+G749+J749+M749</f>
        <v>0</v>
      </c>
      <c r="Q749" s="246"/>
      <c r="R749" s="282"/>
      <c r="S749" s="374"/>
      <c r="T749" s="374"/>
    </row>
    <row r="750" spans="2:20" s="116" customFormat="1">
      <c r="B750" s="122" t="str">
        <f>'корпоративный баланс энергии'!H759</f>
        <v>ГТЭС Обдорск</v>
      </c>
      <c r="C750" s="516" t="s">
        <v>364</v>
      </c>
      <c r="D750" s="281">
        <f>'корпоративный баланс энергии'!J759+'корпоративный баланс энергии'!M759+'корпоративный баланс энергии'!P759</f>
        <v>76.322840999999997</v>
      </c>
      <c r="E750" s="246"/>
      <c r="F750" s="282"/>
      <c r="G750" s="244">
        <f>'корпоративный баланс энергии'!S759+'корпоративный баланс энергии'!V759+'корпоративный баланс энергии'!Y759</f>
        <v>50.982561999999994</v>
      </c>
      <c r="H750" s="246"/>
      <c r="I750" s="282"/>
      <c r="J750" s="244">
        <f>'корпоративный баланс энергии'!AB759+'корпоративный баланс энергии'!AE759+'корпоративный баланс энергии'!AH759</f>
        <v>22.439999999999998</v>
      </c>
      <c r="K750" s="246"/>
      <c r="L750" s="282"/>
      <c r="M750" s="244">
        <f>'корпоративный баланс энергии'!AK759+'корпоративный баланс энергии'!AN759+'корпоративный баланс энергии'!AQ759</f>
        <v>76.666223000000002</v>
      </c>
      <c r="N750" s="246"/>
      <c r="O750" s="282"/>
      <c r="P750" s="244">
        <f t="shared" ref="P750:P751" si="46">D750+G750+J750+M750</f>
        <v>226.41162599999998</v>
      </c>
      <c r="Q750" s="246"/>
      <c r="R750" s="282"/>
      <c r="S750" s="374"/>
      <c r="T750" s="374"/>
    </row>
    <row r="751" spans="2:20" s="116" customFormat="1">
      <c r="B751" s="122" t="str">
        <f>'корпоративный баланс энергии'!H760</f>
        <v>ТЭС Салехард</v>
      </c>
      <c r="C751" s="516" t="s">
        <v>364</v>
      </c>
      <c r="D751" s="281">
        <f>'корпоративный баланс энергии'!J760+'корпоративный баланс энергии'!M760+'корпоративный баланс энергии'!P760</f>
        <v>18.461970000000001</v>
      </c>
      <c r="E751" s="246"/>
      <c r="F751" s="282"/>
      <c r="G751" s="244">
        <f>'корпоративный баланс энергии'!S760+'корпоративный баланс энергии'!V760+'корпоративный баланс энергии'!Y760</f>
        <v>11.539901</v>
      </c>
      <c r="H751" s="246"/>
      <c r="I751" s="282"/>
      <c r="J751" s="244">
        <f>'корпоративный баланс энергии'!AB760+'корпоративный баланс энергии'!AE760+'корпоративный баланс энергии'!AH760</f>
        <v>4.8416410000000001</v>
      </c>
      <c r="K751" s="246"/>
      <c r="L751" s="282"/>
      <c r="M751" s="244">
        <f>'корпоративный баланс энергии'!AK760+'корпоративный баланс энергии'!AN760+'корпоративный баланс энергии'!AQ760</f>
        <v>17.674488</v>
      </c>
      <c r="N751" s="246"/>
      <c r="O751" s="282"/>
      <c r="P751" s="244">
        <f t="shared" si="46"/>
        <v>52.518000000000001</v>
      </c>
      <c r="Q751" s="246"/>
      <c r="R751" s="282"/>
      <c r="S751" s="374"/>
      <c r="T751" s="374"/>
    </row>
    <row r="752" spans="2:20" s="116" customFormat="1">
      <c r="B752" s="138" t="s">
        <v>174</v>
      </c>
      <c r="C752" s="488"/>
      <c r="D752" s="287">
        <f>SUM(D753:D779)</f>
        <v>3635.6164194777789</v>
      </c>
      <c r="E752" s="288"/>
      <c r="F752" s="289"/>
      <c r="G752" s="287">
        <f>SUM(G753:G779)</f>
        <v>3425.3585067339518</v>
      </c>
      <c r="H752" s="288"/>
      <c r="I752" s="289"/>
      <c r="J752" s="287">
        <f>SUM(J753:J779)</f>
        <v>3479.5058778719576</v>
      </c>
      <c r="K752" s="288"/>
      <c r="L752" s="289"/>
      <c r="M752" s="287">
        <f>SUM(M753:M779)</f>
        <v>3739.334508030322</v>
      </c>
      <c r="N752" s="288"/>
      <c r="O752" s="289"/>
      <c r="P752" s="287">
        <f>SUM(P753:P779)</f>
        <v>14279.815312114013</v>
      </c>
      <c r="Q752" s="288"/>
      <c r="R752" s="289"/>
      <c r="S752" s="374"/>
      <c r="T752" s="374"/>
    </row>
    <row r="753" spans="2:20" s="116" customFormat="1">
      <c r="B753" s="145" t="str">
        <f>'корпоративный баланс энергии'!H762</f>
        <v>ГТЭС Ямбургская, ГТЭС Харвутинская (OOO "Газпром Добыча Ямбург")</v>
      </c>
      <c r="C753" s="518" t="s">
        <v>365</v>
      </c>
      <c r="D753" s="293">
        <f>'корпоративный баланс энергии'!J762+'корпоративный баланс энергии'!M762+'корпоративный баланс энергии'!P762</f>
        <v>59.078000000000003</v>
      </c>
      <c r="E753" s="288"/>
      <c r="F753" s="289"/>
      <c r="G753" s="294">
        <f>'корпоративный баланс энергии'!S762+'корпоративный баланс энергии'!V762+'корпоративный баланс энергии'!Y762</f>
        <v>50.210500000000003</v>
      </c>
      <c r="H753" s="288"/>
      <c r="I753" s="289"/>
      <c r="J753" s="294">
        <f>'корпоративный баланс энергии'!AB762+'корпоративный баланс энергии'!AE762+'корпоративный баланс энергии'!AH762</f>
        <v>44.4405</v>
      </c>
      <c r="K753" s="288"/>
      <c r="L753" s="289"/>
      <c r="M753" s="294">
        <f>'корпоративный баланс энергии'!AK762+'корпоративный баланс энергии'!AN762+'корпоративный баланс энергии'!AQ762</f>
        <v>62.532499999999999</v>
      </c>
      <c r="N753" s="288"/>
      <c r="O753" s="289"/>
      <c r="P753" s="294">
        <f>D753+G753+J753+M753</f>
        <v>216.26149999999998</v>
      </c>
      <c r="Q753" s="288"/>
      <c r="R753" s="289"/>
      <c r="S753" s="374"/>
      <c r="T753" s="374"/>
    </row>
    <row r="754" spans="2:20" s="116" customFormat="1">
      <c r="B754" s="145" t="str">
        <f>'корпоративный баланс энергии'!H763</f>
        <v>ГТЭС (ПИИ ОАО"Газтурбосервис") (в т.ч. ГТЭС Моторостроители)</v>
      </c>
      <c r="C754" s="518" t="s">
        <v>365</v>
      </c>
      <c r="D754" s="293">
        <f>'корпоративный баланс энергии'!J763+'корпоративный баланс энергии'!M763+'корпоративный баланс энергии'!P763</f>
        <v>4.7</v>
      </c>
      <c r="E754" s="288"/>
      <c r="F754" s="289"/>
      <c r="G754" s="294">
        <f>'корпоративный баланс энергии'!S763+'корпоративный баланс энергии'!V763+'корпоративный баланс энергии'!Y763</f>
        <v>5.1000000000000005</v>
      </c>
      <c r="H754" s="288"/>
      <c r="I754" s="289"/>
      <c r="J754" s="294">
        <f>'корпоративный баланс энергии'!AB763+'корпоративный баланс энергии'!AE763+'корпоративный баланс энергии'!AH763</f>
        <v>4.9000000000000004</v>
      </c>
      <c r="K754" s="288"/>
      <c r="L754" s="289"/>
      <c r="M754" s="294">
        <f>'корпоративный баланс энергии'!AK763+'корпоративный баланс энергии'!AN763+'корпоративный баланс энергии'!AQ763</f>
        <v>4.5</v>
      </c>
      <c r="N754" s="288"/>
      <c r="O754" s="289"/>
      <c r="P754" s="294">
        <f t="shared" ref="P754:P774" si="47">D754+G754+J754+M754</f>
        <v>19.200000000000003</v>
      </c>
      <c r="Q754" s="288"/>
      <c r="R754" s="289"/>
      <c r="S754" s="374"/>
      <c r="T754" s="374"/>
    </row>
    <row r="755" spans="2:20" s="117" customFormat="1">
      <c r="B755" s="145" t="str">
        <f>'корпоративный баланс энергии'!H764</f>
        <v>ГТЭС Западно-Малобалыкского м.р. (ООО "КанБайкал")</v>
      </c>
      <c r="C755" s="518" t="s">
        <v>365</v>
      </c>
      <c r="D755" s="293">
        <f>'корпоративный баланс энергии'!J764+'корпоративный баланс энергии'!M764+'корпоративный баланс энергии'!P764</f>
        <v>12.96</v>
      </c>
      <c r="E755" s="288"/>
      <c r="F755" s="289"/>
      <c r="G755" s="294">
        <f>'корпоративный баланс энергии'!S764+'корпоративный баланс энергии'!V764+'корпоративный баланс энергии'!Y764</f>
        <v>12.816000000000001</v>
      </c>
      <c r="H755" s="288"/>
      <c r="I755" s="289"/>
      <c r="J755" s="294">
        <f>'корпоративный баланс энергии'!AB764+'корпоративный баланс энергии'!AE764+'корпоративный баланс энергии'!AH764</f>
        <v>12.652799999999999</v>
      </c>
      <c r="K755" s="288"/>
      <c r="L755" s="289"/>
      <c r="M755" s="294">
        <f>'корпоративный баланс энергии'!AK764+'корпоративный баланс энергии'!AN764+'корпоративный баланс энергии'!AQ764</f>
        <v>13.248000000000001</v>
      </c>
      <c r="N755" s="288"/>
      <c r="O755" s="289"/>
      <c r="P755" s="294">
        <f t="shared" si="47"/>
        <v>51.6768</v>
      </c>
      <c r="Q755" s="288"/>
      <c r="R755" s="289"/>
      <c r="S755" s="375"/>
      <c r="T755" s="375"/>
    </row>
    <row r="756" spans="2:20" s="117" customFormat="1">
      <c r="B756" s="145" t="str">
        <f>'корпоративный баланс энергии'!H765</f>
        <v>ГТЭС (ООО "Лукойл - Западная Сибирь")</v>
      </c>
      <c r="C756" s="518" t="s">
        <v>365</v>
      </c>
      <c r="D756" s="293">
        <f>'корпоративный баланс энергии'!J765+'корпоративный баланс энергии'!M765+'корпоративный баланс энергии'!P765</f>
        <v>513.97289619443973</v>
      </c>
      <c r="E756" s="288"/>
      <c r="F756" s="289"/>
      <c r="G756" s="294">
        <f>'корпоративный баланс энергии'!S765+'корпоративный баланс энергии'!V765+'корпоративный баланс энергии'!Y765</f>
        <v>480.86601585616665</v>
      </c>
      <c r="H756" s="288"/>
      <c r="I756" s="289"/>
      <c r="J756" s="294">
        <f>'корпоративный баланс энергии'!AB765+'корпоративный баланс энергии'!AE765+'корпоративный баланс энергии'!AH765</f>
        <v>459.43939072861303</v>
      </c>
      <c r="K756" s="288"/>
      <c r="L756" s="289"/>
      <c r="M756" s="294">
        <f>'корпоративный баланс энергии'!AK765+'корпоративный баланс энергии'!AN765+'корпоративный баланс энергии'!AQ765</f>
        <v>500.61234998624218</v>
      </c>
      <c r="N756" s="288"/>
      <c r="O756" s="289"/>
      <c r="P756" s="294">
        <f t="shared" si="47"/>
        <v>1954.8906527654615</v>
      </c>
      <c r="Q756" s="288"/>
      <c r="R756" s="289"/>
      <c r="S756" s="375"/>
      <c r="T756" s="375"/>
    </row>
    <row r="757" spans="2:20" s="117" customFormat="1">
      <c r="B757" s="145" t="str">
        <f>'корпоративный баланс энергии'!H766</f>
        <v>ГТЭС (ЗАО "ЛУКОЙЛ-АИК")</v>
      </c>
      <c r="C757" s="518" t="s">
        <v>365</v>
      </c>
      <c r="D757" s="293">
        <f>'корпоративный баланс энергии'!J766+'корпоративный баланс энергии'!M766+'корпоративный баланс энергии'!P766</f>
        <v>44.151321026531861</v>
      </c>
      <c r="E757" s="288"/>
      <c r="F757" s="289"/>
      <c r="G757" s="294">
        <f>'корпоративный баланс энергии'!S766+'корпоративный баланс энергии'!V766+'корпоративный баланс энергии'!Y766</f>
        <v>40.562959139316064</v>
      </c>
      <c r="H757" s="288"/>
      <c r="I757" s="289"/>
      <c r="J757" s="294">
        <f>'корпоративный баланс энергии'!AB766+'корпоративный баланс энергии'!AE766+'корпоративный баланс энергии'!AH766</f>
        <v>39.781840502868079</v>
      </c>
      <c r="K757" s="288"/>
      <c r="L757" s="289"/>
      <c r="M757" s="294">
        <f>'корпоративный баланс энергии'!AK766+'корпоративный баланс энергии'!AN766+'корпоративный баланс энергии'!AQ766</f>
        <v>45.139251046045381</v>
      </c>
      <c r="N757" s="288"/>
      <c r="O757" s="289"/>
      <c r="P757" s="294">
        <f t="shared" si="47"/>
        <v>169.63537171476139</v>
      </c>
      <c r="Q757" s="288"/>
      <c r="R757" s="289"/>
      <c r="S757" s="375"/>
      <c r="T757" s="375"/>
    </row>
    <row r="758" spans="2:20" s="117" customFormat="1">
      <c r="B758" s="145" t="str">
        <f>'корпоративный баланс энергии'!H767</f>
        <v>ГТЭС (ОАО "Славнефть -Мегионнефтегаз"), в т.ч. ГТЭС Тайлаковского м/р</v>
      </c>
      <c r="C758" s="518" t="s">
        <v>365</v>
      </c>
      <c r="D758" s="293">
        <f>'корпоративный баланс энергии'!J767+'корпоративный баланс энергии'!M767+'корпоративный баланс энергии'!P767</f>
        <v>61.061616243464158</v>
      </c>
      <c r="E758" s="288"/>
      <c r="F758" s="289"/>
      <c r="G758" s="294">
        <f>'корпоративный баланс энергии'!S767+'корпоративный баланс энергии'!V767+'корпоративный баланс энергии'!Y767</f>
        <v>60.025016277625575</v>
      </c>
      <c r="H758" s="288"/>
      <c r="I758" s="289"/>
      <c r="J758" s="294">
        <f>'корпоративный баланс энергии'!AB767+'корпоративный баланс энергии'!AE767+'корпоративный баланс энергии'!AH767</f>
        <v>61.333263421984157</v>
      </c>
      <c r="K758" s="288"/>
      <c r="L758" s="289"/>
      <c r="M758" s="294">
        <f>'корпоративный баланс энергии'!AK767+'корпоративный баланс энергии'!AN767+'корпоративный баланс энергии'!AQ767</f>
        <v>61.797112357517761</v>
      </c>
      <c r="N758" s="288"/>
      <c r="O758" s="289"/>
      <c r="P758" s="294">
        <f t="shared" si="47"/>
        <v>244.21700830059166</v>
      </c>
      <c r="Q758" s="288"/>
      <c r="R758" s="289"/>
      <c r="S758" s="375"/>
      <c r="T758" s="375"/>
    </row>
    <row r="759" spans="2:20" s="117" customFormat="1">
      <c r="B759" s="145" t="str">
        <f>'корпоративный баланс энергии'!H768</f>
        <v>ГТЭС Песцовая (OOO "Газпром добыча Уренгой")</v>
      </c>
      <c r="C759" s="518" t="s">
        <v>365</v>
      </c>
      <c r="D759" s="293">
        <f>'корпоративный баланс энергии'!J768+'корпоративный баланс энергии'!M768+'корпоративный баланс энергии'!P768</f>
        <v>9.8889999999999993</v>
      </c>
      <c r="E759" s="288"/>
      <c r="F759" s="289"/>
      <c r="G759" s="294">
        <f>'корпоративный баланс энергии'!S768+'корпоративный баланс энергии'!V768+'корпоративный баланс энергии'!Y768</f>
        <v>7.5910000000000002</v>
      </c>
      <c r="H759" s="288"/>
      <c r="I759" s="289"/>
      <c r="J759" s="294">
        <f>'корпоративный баланс энергии'!AB768+'корпоративный баланс энергии'!AE768+'корпоративный баланс энергии'!AH768</f>
        <v>5.55</v>
      </c>
      <c r="K759" s="288"/>
      <c r="L759" s="289"/>
      <c r="M759" s="294">
        <f>'корпоративный баланс энергии'!AK768+'корпоративный баланс энергии'!AN768+'корпоративный баланс энергии'!AQ768</f>
        <v>9.5500000000000007</v>
      </c>
      <c r="N759" s="288"/>
      <c r="O759" s="289"/>
      <c r="P759" s="294">
        <f t="shared" si="47"/>
        <v>32.58</v>
      </c>
      <c r="Q759" s="288"/>
      <c r="R759" s="289"/>
      <c r="S759" s="375"/>
      <c r="T759" s="375"/>
    </row>
    <row r="760" spans="2:20" s="117" customFormat="1">
      <c r="B760" s="145" t="str">
        <f>'корпоративный баланс энергии'!H769</f>
        <v>ГТЭС Западно-Салымская (ООО "Салым Петролеум Девелопмент")</v>
      </c>
      <c r="C760" s="518" t="s">
        <v>365</v>
      </c>
      <c r="D760" s="293">
        <f>'корпоративный баланс энергии'!J769+'корпоративный баланс энергии'!M769+'корпоративный баланс энергии'!P769</f>
        <v>130.31327999999999</v>
      </c>
      <c r="E760" s="288"/>
      <c r="F760" s="289"/>
      <c r="G760" s="294">
        <f>'корпоративный баланс энергии'!S769+'корпоративный баланс энергии'!V769+'корпоративный баланс энергии'!Y769</f>
        <v>123.47639999999998</v>
      </c>
      <c r="H760" s="288"/>
      <c r="I760" s="289"/>
      <c r="J760" s="294">
        <f>'корпоративный баланс энергии'!AB769+'корпоративный баланс энергии'!AE769+'корпоративный баланс энергии'!AH769</f>
        <v>121.05312000000001</v>
      </c>
      <c r="K760" s="288"/>
      <c r="L760" s="289"/>
      <c r="M760" s="294">
        <f>'корпоративный баланс энергии'!AK769+'корпоративный баланс энергии'!AN769+'корпоративный баланс энергии'!AQ769</f>
        <v>133.07064</v>
      </c>
      <c r="N760" s="288"/>
      <c r="O760" s="289"/>
      <c r="P760" s="294">
        <f t="shared" si="47"/>
        <v>507.91344000000004</v>
      </c>
      <c r="Q760" s="288"/>
      <c r="R760" s="289"/>
      <c r="S760" s="375"/>
      <c r="T760" s="375"/>
    </row>
    <row r="761" spans="2:20" s="117" customFormat="1">
      <c r="B761" s="145" t="str">
        <f>'корпоративный баланс энергии'!H770</f>
        <v>ГТЭС Приобская (ОАО "НК Роснефть")</v>
      </c>
      <c r="C761" s="518" t="s">
        <v>365</v>
      </c>
      <c r="D761" s="293">
        <f>'корпоративный баланс энергии'!J770+'корпоративный баланс энергии'!M770+'корпоративный баланс энергии'!P770</f>
        <v>606.96</v>
      </c>
      <c r="E761" s="288"/>
      <c r="F761" s="289"/>
      <c r="G761" s="294">
        <f>'корпоративный баланс энергии'!S770+'корпоративный баланс энергии'!V770+'корпоративный баланс энергии'!Y770</f>
        <v>555.69599999999991</v>
      </c>
      <c r="H761" s="288"/>
      <c r="I761" s="289"/>
      <c r="J761" s="294">
        <f>'корпоративный баланс энергии'!AB770+'корпоративный баланс энергии'!AE770+'корпоративный баланс энергии'!AH770</f>
        <v>578.01599999999996</v>
      </c>
      <c r="K761" s="288"/>
      <c r="L761" s="289"/>
      <c r="M761" s="294">
        <f>'корпоративный баланс энергии'!AK770+'корпоративный баланс энергии'!AN770+'корпоративный баланс энергии'!AQ770</f>
        <v>648.62400000000002</v>
      </c>
      <c r="N761" s="288"/>
      <c r="O761" s="289"/>
      <c r="P761" s="294">
        <f t="shared" si="47"/>
        <v>2389.2960000000003</v>
      </c>
      <c r="Q761" s="288"/>
      <c r="R761" s="289"/>
      <c r="S761" s="375"/>
      <c r="T761" s="375"/>
    </row>
    <row r="762" spans="2:20" s="117" customFormat="1">
      <c r="B762" s="145" t="str">
        <f>'корпоративный баланс энергии'!H771</f>
        <v>ГТЭС Приразломная (ОАО "НК Роснефть")</v>
      </c>
      <c r="C762" s="518" t="s">
        <v>365</v>
      </c>
      <c r="D762" s="293">
        <f>'корпоративный баланс энергии'!J771+'корпоративный баланс энергии'!M771+'корпоративный баланс энергии'!P771</f>
        <v>48.1248</v>
      </c>
      <c r="E762" s="288"/>
      <c r="F762" s="289"/>
      <c r="G762" s="294">
        <f>'корпоративный баланс энергии'!S771+'корпоративный баланс энергии'!V771+'корпоративный баланс энергии'!Y771</f>
        <v>34.239599999999996</v>
      </c>
      <c r="H762" s="288"/>
      <c r="I762" s="289"/>
      <c r="J762" s="294">
        <f>'корпоративный баланс энергии'!AB771+'корпоративный баланс энергии'!AE771+'корпоративный баланс энергии'!AH771</f>
        <v>40.960799999999999</v>
      </c>
      <c r="K762" s="288"/>
      <c r="L762" s="289"/>
      <c r="M762" s="294">
        <f>'корпоративный баланс энергии'!AK771+'корпоративный баланс энергии'!AN771+'корпоративный баланс энергии'!AQ771</f>
        <v>46.926000000000002</v>
      </c>
      <c r="N762" s="288"/>
      <c r="O762" s="289"/>
      <c r="P762" s="294">
        <f t="shared" si="47"/>
        <v>170.25119999999998</v>
      </c>
      <c r="Q762" s="288"/>
      <c r="R762" s="289"/>
      <c r="S762" s="375"/>
      <c r="T762" s="375"/>
    </row>
    <row r="763" spans="2:20" s="117" customFormat="1">
      <c r="B763" s="145" t="str">
        <f>'корпоративный баланс энергии'!H772</f>
        <v>ГТЭС Южно-Приобская (ООО "Газпромнефть-Хантос")</v>
      </c>
      <c r="C763" s="518" t="s">
        <v>365</v>
      </c>
      <c r="D763" s="293">
        <f>'корпоративный баланс энергии'!J772+'корпоративный баланс энергии'!M772+'корпоративный баланс энергии'!P772</f>
        <v>187.99666829312596</v>
      </c>
      <c r="E763" s="288"/>
      <c r="F763" s="289"/>
      <c r="G763" s="294">
        <f>'корпоративный баланс энергии'!S772+'корпоративный баланс энергии'!V772+'корпоративный баланс энергии'!Y772</f>
        <v>181.28692274253473</v>
      </c>
      <c r="H763" s="288"/>
      <c r="I763" s="289"/>
      <c r="J763" s="294">
        <f>'корпоративный баланс энергии'!AB772+'корпоративный баланс энергии'!AE772+'корпоративный баланс энергии'!AH772</f>
        <v>187.53638154160444</v>
      </c>
      <c r="K763" s="288"/>
      <c r="L763" s="289"/>
      <c r="M763" s="294">
        <f>'корпоративный баланс энергии'!AK772+'корпоративный баланс энергии'!AN772+'корпоративный баланс энергии'!AQ772</f>
        <v>193.35652449871475</v>
      </c>
      <c r="N763" s="288"/>
      <c r="O763" s="289"/>
      <c r="P763" s="294">
        <f t="shared" si="47"/>
        <v>750.17649707597991</v>
      </c>
      <c r="Q763" s="288"/>
      <c r="R763" s="289"/>
      <c r="S763" s="375"/>
      <c r="T763" s="375"/>
    </row>
    <row r="764" spans="2:20" s="117" customFormat="1">
      <c r="B764" s="145" t="str">
        <f>'корпоративный баланс энергии'!H773</f>
        <v>ГПЭС КНС-2 Приобского м/р (ООО "Газпромнефть-Хантос")</v>
      </c>
      <c r="C764" s="518" t="s">
        <v>365</v>
      </c>
      <c r="D764" s="293">
        <f>'корпоративный баланс энергии'!J773+'корпоративный баланс энергии'!M773+'корпоративный баланс энергии'!P773</f>
        <v>17.109766407580718</v>
      </c>
      <c r="E764" s="288"/>
      <c r="F764" s="289"/>
      <c r="G764" s="294">
        <f>'корпоративный баланс энергии'!S773+'корпоративный баланс энергии'!V773+'корпоративный баланс энергии'!Y773</f>
        <v>17.191920061166382</v>
      </c>
      <c r="H764" s="288"/>
      <c r="I764" s="289"/>
      <c r="J764" s="294">
        <f>'корпоративный баланс энергии'!AB773+'корпоративный баланс энергии'!AE773+'корпоративный баланс энергии'!AH773</f>
        <v>16.982401162602653</v>
      </c>
      <c r="K764" s="288"/>
      <c r="L764" s="289"/>
      <c r="M764" s="294">
        <f>'корпоративный баланс энергии'!AK773+'корпоративный баланс энергии'!AN773+'корпоративный баланс энергии'!AQ773</f>
        <v>17.464992272098399</v>
      </c>
      <c r="N764" s="288"/>
      <c r="O764" s="289"/>
      <c r="P764" s="294">
        <f t="shared" si="47"/>
        <v>68.749079903448148</v>
      </c>
      <c r="Q764" s="288"/>
      <c r="R764" s="289"/>
      <c r="S764" s="375"/>
      <c r="T764" s="375"/>
    </row>
    <row r="765" spans="2:20" s="117" customFormat="1">
      <c r="B765" s="145" t="str">
        <f>'корпоративный баланс энергии'!H774</f>
        <v>ГТЭС (ПАО "Сургутнефтегаз")</v>
      </c>
      <c r="C765" s="518" t="s">
        <v>365</v>
      </c>
      <c r="D765" s="293">
        <f>'корпоративный баланс энергии'!J774+'корпоративный баланс энергии'!M774+'корпоративный баланс энергии'!P774</f>
        <v>1348.7538499999998</v>
      </c>
      <c r="E765" s="288"/>
      <c r="F765" s="289"/>
      <c r="G765" s="294">
        <f>'корпоративный баланс энергии'!S774+'корпоративный баланс энергии'!V774+'корпоративный баланс энергии'!Y774</f>
        <v>1282.7917649999999</v>
      </c>
      <c r="H765" s="288"/>
      <c r="I765" s="289"/>
      <c r="J765" s="294">
        <f>'корпоративный баланс энергии'!AB774+'корпоративный баланс энергии'!AE774+'корпоративный баланс энергии'!AH774</f>
        <v>1324.7545280000002</v>
      </c>
      <c r="K765" s="288"/>
      <c r="L765" s="289"/>
      <c r="M765" s="294">
        <f>'корпоративный баланс энергии'!AK774+'корпоративный баланс энергии'!AN774+'корпоративный баланс энергии'!AQ774</f>
        <v>1385.4685060000002</v>
      </c>
      <c r="N765" s="288"/>
      <c r="O765" s="289"/>
      <c r="P765" s="294">
        <f t="shared" si="47"/>
        <v>5341.7686490000006</v>
      </c>
      <c r="Q765" s="288"/>
      <c r="R765" s="289"/>
      <c r="S765" s="375"/>
      <c r="T765" s="375"/>
    </row>
    <row r="766" spans="2:20" s="117" customFormat="1">
      <c r="B766" s="145" t="str">
        <f>'корпоративный баланс энергии'!H775</f>
        <v>ГТЭС "Каменная" (ОАО "РН-Няганьнефтегаз")</v>
      </c>
      <c r="C766" s="518" t="s">
        <v>365</v>
      </c>
      <c r="D766" s="293">
        <f>'корпоративный баланс энергии'!J775+'корпоративный баланс энергии'!M775+'корпоративный баланс энергии'!P775</f>
        <v>119.367</v>
      </c>
      <c r="E766" s="288"/>
      <c r="F766" s="289"/>
      <c r="G766" s="294">
        <f>'корпоративный баланс энергии'!S775+'корпоративный баланс энергии'!V775+'корпоративный баланс энергии'!Y775</f>
        <v>128.71940000000001</v>
      </c>
      <c r="H766" s="288"/>
      <c r="I766" s="289"/>
      <c r="J766" s="294">
        <f>'корпоративный баланс энергии'!AB775+'корпоративный баланс энергии'!AE775+'корпоративный баланс энергии'!AH775</f>
        <v>133.57408000000001</v>
      </c>
      <c r="K766" s="288"/>
      <c r="L766" s="289"/>
      <c r="M766" s="294">
        <f>'корпоративный баланс энергии'!AK775+'корпоративный баланс энергии'!AN775+'корпоративный баланс энергии'!AQ775</f>
        <v>135.1063</v>
      </c>
      <c r="N766" s="288"/>
      <c r="O766" s="289"/>
      <c r="P766" s="294">
        <f t="shared" si="47"/>
        <v>516.76678000000004</v>
      </c>
      <c r="Q766" s="288"/>
      <c r="R766" s="289"/>
      <c r="S766" s="375"/>
      <c r="T766" s="375"/>
    </row>
    <row r="767" spans="2:20" s="117" customFormat="1">
      <c r="B767" s="145" t="str">
        <f>'корпоративный баланс энергии'!H776</f>
        <v>ГТЭС Юрхаровская (ООО "НОВАТЭК-Юрхаровнефтегаз")</v>
      </c>
      <c r="C767" s="518" t="s">
        <v>365</v>
      </c>
      <c r="D767" s="293">
        <f>'корпоративный баланс энергии'!J776+'корпоративный баланс энергии'!M776+'корпоративный баланс энергии'!P776</f>
        <v>11.107000000000001</v>
      </c>
      <c r="E767" s="288"/>
      <c r="F767" s="289"/>
      <c r="G767" s="294">
        <f>'корпоративный баланс энергии'!S776+'корпоративный баланс энергии'!V776+'корпоративный баланс энергии'!Y776</f>
        <v>9.3049999999999997</v>
      </c>
      <c r="H767" s="288"/>
      <c r="I767" s="289"/>
      <c r="J767" s="294">
        <f>'корпоративный баланс энергии'!AB776+'корпоративный баланс энергии'!AE776+'корпоративный баланс энергии'!AH776</f>
        <v>8.9039999999999999</v>
      </c>
      <c r="K767" s="288"/>
      <c r="L767" s="289"/>
      <c r="M767" s="294">
        <f>'корпоративный баланс энергии'!AK776+'корпоративный баланс энергии'!AN776+'корпоративный баланс энергии'!AQ776</f>
        <v>10.981999999999999</v>
      </c>
      <c r="N767" s="288"/>
      <c r="O767" s="289"/>
      <c r="P767" s="294">
        <f t="shared" si="47"/>
        <v>40.298000000000002</v>
      </c>
      <c r="Q767" s="288"/>
      <c r="R767" s="289"/>
      <c r="S767" s="375"/>
      <c r="T767" s="375"/>
    </row>
    <row r="768" spans="2:20" s="117" customFormat="1">
      <c r="B768" s="145" t="str">
        <f>'корпоративный баланс энергии'!H777</f>
        <v>ГТЭС "Вань-Еган" (АО "Нижневартовское НГДП") НВ 01.07.2016</v>
      </c>
      <c r="C768" s="518" t="s">
        <v>365</v>
      </c>
      <c r="D768" s="293">
        <f>'корпоративный баланс энергии'!J777+'корпоративный баланс энергии'!M777+'корпоративный баланс энергии'!P777</f>
        <v>63.836940258317014</v>
      </c>
      <c r="E768" s="288"/>
      <c r="F768" s="289"/>
      <c r="G768" s="294">
        <f>'корпоративный баланс энергии'!S777+'корпоративный баланс энергии'!V777+'корпоративный баланс энергии'!Y777</f>
        <v>57.662942857142852</v>
      </c>
      <c r="H768" s="288"/>
      <c r="I768" s="289"/>
      <c r="J768" s="294">
        <f>'корпоративный баланс энергии'!AB777+'корпоративный баланс энергии'!AE777+'корпоративный баланс энергии'!AH777</f>
        <v>55.020125714285712</v>
      </c>
      <c r="K768" s="288"/>
      <c r="L768" s="289"/>
      <c r="M768" s="294">
        <f>'корпоративный баланс энергии'!AK777+'корпоративный баланс энергии'!AN777+'корпоративный баланс энергии'!AQ777</f>
        <v>63.966137142857143</v>
      </c>
      <c r="N768" s="288"/>
      <c r="O768" s="289"/>
      <c r="P768" s="294">
        <f t="shared" si="47"/>
        <v>240.48614597260271</v>
      </c>
      <c r="Q768" s="288"/>
      <c r="R768" s="289"/>
      <c r="S768" s="375"/>
      <c r="T768" s="375"/>
    </row>
    <row r="769" spans="2:20" s="117" customFormat="1">
      <c r="B769" s="145" t="str">
        <f>'корпоративный баланс энергии'!H778</f>
        <v>ГПЭС Кирско-Коттынского м/р (ООО "Башнефть-Добыча")</v>
      </c>
      <c r="C769" s="518" t="s">
        <v>365</v>
      </c>
      <c r="D769" s="293">
        <f>'корпоративный баланс энергии'!J778+'корпоративный баланс энергии'!M778+'корпоративный баланс энергии'!P778</f>
        <v>1.58914</v>
      </c>
      <c r="E769" s="288"/>
      <c r="F769" s="289"/>
      <c r="G769" s="294">
        <f>'корпоративный баланс энергии'!S778+'корпоративный баланс энергии'!V778+'корпоративный баланс энергии'!Y778</f>
        <v>3.8292699999999997</v>
      </c>
      <c r="H769" s="288"/>
      <c r="I769" s="289"/>
      <c r="J769" s="294">
        <f>'корпоративный баланс энергии'!AB778+'корпоративный баланс энергии'!AE778+'корпоративный баланс энергии'!AH778</f>
        <v>5.1757100000000005</v>
      </c>
      <c r="K769" s="288"/>
      <c r="L769" s="289"/>
      <c r="M769" s="294">
        <f>'корпоративный баланс энергии'!AK778+'корпоративный баланс энергии'!AN778+'корпоративный баланс энергии'!AQ778</f>
        <v>2.0571099999999998</v>
      </c>
      <c r="N769" s="288"/>
      <c r="O769" s="289"/>
      <c r="P769" s="294">
        <f t="shared" si="47"/>
        <v>12.65123</v>
      </c>
      <c r="Q769" s="288"/>
      <c r="R769" s="289"/>
      <c r="S769" s="375"/>
      <c r="T769" s="375"/>
    </row>
    <row r="770" spans="2:20" s="117" customFormat="1">
      <c r="B770" s="145" t="str">
        <f>'корпоративный баланс энергии'!H779</f>
        <v>ГПЭС Вынгапуровского ГПЗ (АО "СибурТюменьГаз")</v>
      </c>
      <c r="C770" s="518" t="s">
        <v>365</v>
      </c>
      <c r="D770" s="293">
        <f>'корпоративный баланс энергии'!J779+'корпоративный баланс энергии'!M779+'корпоративный баланс энергии'!P779</f>
        <v>10.368</v>
      </c>
      <c r="E770" s="288"/>
      <c r="F770" s="289"/>
      <c r="G770" s="294">
        <f>'корпоративный баланс энергии'!S779+'корпоративный баланс энергии'!V779+'корпоративный баланс энергии'!Y779</f>
        <v>9.1943999999999999</v>
      </c>
      <c r="H770" s="288"/>
      <c r="I770" s="289"/>
      <c r="J770" s="294">
        <f>'корпоративный баланс энергии'!AB779+'корпоративный баланс энергии'!AE779+'корпоративный баланс энергии'!AH779</f>
        <v>10.298400000000001</v>
      </c>
      <c r="K770" s="288"/>
      <c r="L770" s="289"/>
      <c r="M770" s="294">
        <f>'корпоративный баланс энергии'!AK779+'корпоративный баланс энергии'!AN779+'корпоративный баланс энергии'!AQ779</f>
        <v>10.298399999999999</v>
      </c>
      <c r="N770" s="288"/>
      <c r="O770" s="289"/>
      <c r="P770" s="294">
        <f t="shared" si="47"/>
        <v>40.159199999999998</v>
      </c>
      <c r="Q770" s="288"/>
      <c r="R770" s="289"/>
      <c r="S770" s="375"/>
      <c r="T770" s="375"/>
    </row>
    <row r="771" spans="2:20" s="117" customFormat="1">
      <c r="B771" s="145" t="str">
        <f>'корпоративный баланс энергии'!H780</f>
        <v>ГПЭС Нижне-Шапшинского м/р (АО "БерезкаГаз Югра")</v>
      </c>
      <c r="C771" s="518" t="s">
        <v>365</v>
      </c>
      <c r="D771" s="293">
        <f>'корпоративный баланс энергии'!J780+'корпоративный баланс энергии'!M780+'корпоративный баланс энергии'!P780</f>
        <v>50.597399999999993</v>
      </c>
      <c r="E771" s="288"/>
      <c r="F771" s="289"/>
      <c r="G771" s="294">
        <f>'корпоративный баланс энергии'!S780+'корпоративный баланс энергии'!V780+'корпоративный баланс энергии'!Y780</f>
        <v>48.950489999999995</v>
      </c>
      <c r="H771" s="288"/>
      <c r="I771" s="289"/>
      <c r="J771" s="294">
        <f>'корпоративный баланс энергии'!AB780+'корпоративный баланс энергии'!AE780+'корпоративный баланс энергии'!AH780</f>
        <v>49.099440000000001</v>
      </c>
      <c r="K771" s="288"/>
      <c r="L771" s="289"/>
      <c r="M771" s="294">
        <f>'корпоративный баланс энергии'!AK780+'корпоративный баланс энергии'!AN780+'корпоративный баланс энергии'!AQ780</f>
        <v>50.170769999999997</v>
      </c>
      <c r="N771" s="288"/>
      <c r="O771" s="289"/>
      <c r="P771" s="294">
        <f t="shared" ref="P771:P773" si="48">D771+G771+J771+M771</f>
        <v>198.81810000000002</v>
      </c>
      <c r="Q771" s="288"/>
      <c r="R771" s="289"/>
      <c r="S771" s="375"/>
      <c r="T771" s="375"/>
    </row>
    <row r="772" spans="2:20" s="117" customFormat="1">
      <c r="B772" s="145" t="str">
        <f>'корпоративный баланс энергии'!H781</f>
        <v>ГПЭС Верхне-Шапшинского м/р (ООО "РусГазСервис")</v>
      </c>
      <c r="C772" s="518" t="s">
        <v>365</v>
      </c>
      <c r="D772" s="293">
        <f>'корпоративный баланс энергии'!J781+'корпоративный баланс энергии'!M781+'корпоративный баланс энергии'!P781</f>
        <v>0</v>
      </c>
      <c r="E772" s="288"/>
      <c r="F772" s="289"/>
      <c r="G772" s="294">
        <f>'корпоративный баланс энергии'!S781+'корпоративный баланс энергии'!V781+'корпоративный баланс энергии'!Y781</f>
        <v>11.368259999999999</v>
      </c>
      <c r="H772" s="288"/>
      <c r="I772" s="289"/>
      <c r="J772" s="294">
        <f>'корпоративный баланс энергии'!AB781+'корпоративный баланс энергии'!AE781+'корпоративный баланс энергии'!AH781</f>
        <v>17.576639999999998</v>
      </c>
      <c r="K772" s="288"/>
      <c r="L772" s="289"/>
      <c r="M772" s="294">
        <f>'корпоративный баланс энергии'!AK781+'корпоративный баланс энергии'!AN781+'корпоративный баланс энергии'!AQ781</f>
        <v>18.059339999999999</v>
      </c>
      <c r="N772" s="288"/>
      <c r="O772" s="289"/>
      <c r="P772" s="294">
        <f t="shared" si="48"/>
        <v>47.004239999999996</v>
      </c>
      <c r="Q772" s="288"/>
      <c r="R772" s="289"/>
      <c r="S772" s="375"/>
      <c r="T772" s="375"/>
    </row>
    <row r="773" spans="2:20" s="117" customFormat="1">
      <c r="B773" s="145" t="str">
        <f>'корпоративный баланс энергии'!H782</f>
        <v>ГТЭС "Хантэк Южная" (ООО "РусГазСервис")</v>
      </c>
      <c r="C773" s="518" t="s">
        <v>365</v>
      </c>
      <c r="D773" s="293">
        <f>'корпоративный баланс энергии'!J782+'корпоративный баланс энергии'!M782+'корпоративный баланс энергии'!P782</f>
        <v>17.575499999999998</v>
      </c>
      <c r="E773" s="288"/>
      <c r="F773" s="289"/>
      <c r="G773" s="294">
        <f>'корпоративный баланс энергии'!S782+'корпоративный баланс энергии'!V782+'корпоративный баланс энергии'!Y782</f>
        <v>17.511060000000001</v>
      </c>
      <c r="H773" s="288"/>
      <c r="I773" s="289"/>
      <c r="J773" s="294">
        <f>'корпоративный баланс энергии'!AB782+'корпоративный баланс энергии'!AE782+'корпоративный баланс энергии'!AH782</f>
        <v>17.793420000000001</v>
      </c>
      <c r="K773" s="288"/>
      <c r="L773" s="289"/>
      <c r="M773" s="294">
        <f>'корпоративный баланс энергии'!AK782+'корпоративный баланс энергии'!AN782+'корпоративный баланс энергии'!AQ782</f>
        <v>17.793420000000001</v>
      </c>
      <c r="N773" s="288"/>
      <c r="O773" s="289"/>
      <c r="P773" s="294">
        <f t="shared" si="48"/>
        <v>70.673400000000001</v>
      </c>
      <c r="Q773" s="288"/>
      <c r="R773" s="289"/>
      <c r="S773" s="375"/>
      <c r="T773" s="375"/>
    </row>
    <row r="774" spans="2:20" s="117" customFormat="1">
      <c r="B774" s="145" t="str">
        <f>'корпоративный баланс энергии'!H783</f>
        <v>ГПЭС Соровского м/р (ООО "Соровскнефть")</v>
      </c>
      <c r="C774" s="518" t="s">
        <v>365</v>
      </c>
      <c r="D774" s="293">
        <f>'корпоративный баланс энергии'!J783+'корпоративный баланс энергии'!M783+'корпоративный баланс энергии'!P783</f>
        <v>20.918050191780818</v>
      </c>
      <c r="E774" s="288"/>
      <c r="F774" s="289"/>
      <c r="G774" s="294">
        <f>'корпоративный баланс энергии'!S783+'корпоративный баланс энергии'!V783+'корпоративный баланс энергии'!Y783</f>
        <v>21.107300000000002</v>
      </c>
      <c r="H774" s="288"/>
      <c r="I774" s="289"/>
      <c r="J774" s="294">
        <f>'корпоративный баланс энергии'!AB783+'корпоративный баланс энергии'!AE783+'корпоративный баланс энергии'!AH783</f>
        <v>21.315040000000003</v>
      </c>
      <c r="K774" s="288"/>
      <c r="L774" s="289"/>
      <c r="M774" s="294">
        <f>'корпоративный баланс энергии'!AK783+'корпоративный баланс энергии'!AN783+'корпоративный баланс энергии'!AQ783</f>
        <v>21.472860000000004</v>
      </c>
      <c r="N774" s="288"/>
      <c r="O774" s="289"/>
      <c r="P774" s="294">
        <f t="shared" si="47"/>
        <v>84.813250191780824</v>
      </c>
      <c r="Q774" s="288"/>
      <c r="R774" s="289"/>
      <c r="S774" s="375"/>
      <c r="T774" s="375"/>
    </row>
    <row r="775" spans="2:20" s="117" customFormat="1">
      <c r="B775" s="145" t="str">
        <f>'корпоративный баланс энергии'!H784</f>
        <v>ГТЭС-83МВт Усть-Тегусское м/р (ООО "РН-Уватнефтегаз")</v>
      </c>
      <c r="C775" s="518" t="s">
        <v>365</v>
      </c>
      <c r="D775" s="293">
        <f>'корпоративный баланс энергии'!J784+'корпоративный баланс энергии'!M784+'корпоративный баланс энергии'!P784</f>
        <v>196.34327999999996</v>
      </c>
      <c r="E775" s="288"/>
      <c r="F775" s="289"/>
      <c r="G775" s="294">
        <f>'корпоративный баланс энергии'!S784+'корпоративный баланс энергии'!V784+'корпоративный баланс энергии'!Y784</f>
        <v>161.46348479999997</v>
      </c>
      <c r="H775" s="288"/>
      <c r="I775" s="289"/>
      <c r="J775" s="294">
        <f>'корпоративный баланс энергии'!AB784+'корпоративный баланс энергии'!AE784+'корпоративный баланс энергии'!AH784</f>
        <v>158.25679680000002</v>
      </c>
      <c r="K775" s="288"/>
      <c r="L775" s="289"/>
      <c r="M775" s="294">
        <f>'корпоративный баланс энергии'!AK784+'корпоративный баланс энергии'!AN784+'корпоративный баланс энергии'!AQ784</f>
        <v>198.23986080000003</v>
      </c>
      <c r="N775" s="288"/>
      <c r="O775" s="289"/>
      <c r="P775" s="294">
        <f t="shared" ref="P775:P777" si="49">D775+G775+J775+M775</f>
        <v>714.30342240000004</v>
      </c>
      <c r="Q775" s="288"/>
      <c r="R775" s="289"/>
      <c r="S775" s="375"/>
      <c r="T775" s="375"/>
    </row>
    <row r="776" spans="2:20" s="117" customFormat="1">
      <c r="B776" s="145" t="str">
        <f>'корпоративный баланс энергии'!H785</f>
        <v>ГТЭС 42 МВт Тямкинское м/р (ООО "РН-Уватнефтегаз")</v>
      </c>
      <c r="C776" s="518" t="s">
        <v>365</v>
      </c>
      <c r="D776" s="293">
        <f>'корпоративный баланс энергии'!J785+'корпоративный баланс энергии'!M785+'корпоративный баланс энергии'!P785</f>
        <v>41.464800000000004</v>
      </c>
      <c r="E776" s="288"/>
      <c r="F776" s="289"/>
      <c r="G776" s="294">
        <f>'корпоративный баланс энергии'!S785+'корпоративный баланс энергии'!V785+'корпоративный баланс энергии'!Y785</f>
        <v>39.746400000000001</v>
      </c>
      <c r="H776" s="288"/>
      <c r="I776" s="289"/>
      <c r="J776" s="294">
        <f>'корпоративный баланс энергии'!AB785+'корпоративный баланс энергии'!AE785+'корпоративный баланс энергии'!AH785</f>
        <v>39.734400000000001</v>
      </c>
      <c r="K776" s="288"/>
      <c r="L776" s="289"/>
      <c r="M776" s="294">
        <f>'корпоративный баланс энергии'!AK785+'корпоративный баланс энергии'!AN785+'корпоративный баланс энергии'!AQ785</f>
        <v>42.167999999999999</v>
      </c>
      <c r="N776" s="288"/>
      <c r="O776" s="289"/>
      <c r="P776" s="294">
        <f t="shared" si="49"/>
        <v>163.11360000000002</v>
      </c>
      <c r="Q776" s="288"/>
      <c r="R776" s="289"/>
      <c r="S776" s="375"/>
      <c r="T776" s="375"/>
    </row>
    <row r="777" spans="2:20" s="117" customFormat="1">
      <c r="B777" s="145" t="str">
        <f>'корпоративный баланс энергии'!H786</f>
        <v>ГПЭС 15МВт Усть-Тегусское м/р (ООО "РН-Уватнефтегаз")</v>
      </c>
      <c r="C777" s="518" t="s">
        <v>365</v>
      </c>
      <c r="D777" s="293">
        <f>'корпоративный баланс энергии'!J786+'корпоративный баланс энергии'!M786+'корпоративный баланс энергии'!P786</f>
        <v>24.615710862537803</v>
      </c>
      <c r="E777" s="288"/>
      <c r="F777" s="289"/>
      <c r="G777" s="294">
        <f>'корпоративный баланс энергии'!S786+'корпоративный баланс энергии'!V786+'корпоративный баланс энергии'!Y786</f>
        <v>31.667999999999999</v>
      </c>
      <c r="H777" s="288"/>
      <c r="I777" s="289"/>
      <c r="J777" s="294">
        <f>'корпоративный баланс энергии'!AB786+'корпоративный баланс энергии'!AE786+'корпоративный баланс энергии'!AH786</f>
        <v>32.015999999999998</v>
      </c>
      <c r="K777" s="288"/>
      <c r="L777" s="289"/>
      <c r="M777" s="294">
        <f>'корпоративный баланс энергии'!AK786+'корпоративный баланс энергии'!AN786+'корпоративный баланс энергии'!AQ786</f>
        <v>13.38963392684683</v>
      </c>
      <c r="N777" s="288"/>
      <c r="O777" s="289"/>
      <c r="P777" s="294">
        <f t="shared" si="49"/>
        <v>101.68934478938463</v>
      </c>
      <c r="Q777" s="288"/>
      <c r="R777" s="289"/>
      <c r="S777" s="375"/>
      <c r="T777" s="375"/>
    </row>
    <row r="778" spans="2:20" s="117" customFormat="1">
      <c r="B778" s="145" t="str">
        <f>'корпоративный баланс энергии'!H787</f>
        <v>ГПЭС Омбинского м/р (ООО "Альянс-Энерджи") НВ 01.07.2018</v>
      </c>
      <c r="C778" s="518" t="s">
        <v>365</v>
      </c>
      <c r="D778" s="293">
        <f>'корпоративный баланс энергии'!J787+'корпоративный баланс энергии'!M787+'корпоративный баланс энергии'!P787</f>
        <v>19.439999999999998</v>
      </c>
      <c r="E778" s="288"/>
      <c r="F778" s="289"/>
      <c r="G778" s="294">
        <f>'корпоративный баланс энергии'!S787+'корпоративный баланс энергии'!V787+'корпоративный баланс энергии'!Y787</f>
        <v>19.655999999999999</v>
      </c>
      <c r="H778" s="288"/>
      <c r="I778" s="289"/>
      <c r="J778" s="294">
        <f>'корпоративный баланс энергии'!AB787+'корпоративный баланс энергии'!AE787+'корпоративный баланс энергии'!AH787</f>
        <v>19.872</v>
      </c>
      <c r="K778" s="288"/>
      <c r="L778" s="289"/>
      <c r="M778" s="294">
        <f>'корпоративный баланс энергии'!AK787+'корпоративный баланс энергии'!AN787+'корпоративный баланс энергии'!AQ787</f>
        <v>19.872</v>
      </c>
      <c r="N778" s="288"/>
      <c r="O778" s="289"/>
      <c r="P778" s="294">
        <f t="shared" ref="P778" si="50">D778+G778+J778+M778</f>
        <v>78.84</v>
      </c>
      <c r="Q778" s="288"/>
      <c r="R778" s="289"/>
      <c r="S778" s="375"/>
      <c r="T778" s="375"/>
    </row>
    <row r="779" spans="2:20" s="117" customFormat="1">
      <c r="B779" s="145" t="str">
        <f>'корпоративный баланс энергии'!H788</f>
        <v>ГПЭС Энергокомплекса Аггреко Евразия (ООО "Аггреко Евразия") НВ 01.10.2018</v>
      </c>
      <c r="C779" s="518" t="s">
        <v>365</v>
      </c>
      <c r="D779" s="293">
        <f>'корпоративный баланс энергии'!J788+'корпоративный баланс энергии'!M788+'корпоративный баланс энергии'!P788</f>
        <v>13.322399999999998</v>
      </c>
      <c r="E779" s="288"/>
      <c r="F779" s="289"/>
      <c r="G779" s="294">
        <f>'корпоративный баланс энергии'!S788+'корпоративный баланс энергии'!V788+'корпоративный баланс энергии'!Y788</f>
        <v>13.322399999999998</v>
      </c>
      <c r="H779" s="288"/>
      <c r="I779" s="289"/>
      <c r="J779" s="294">
        <f>'корпоративный баланс энергии'!AB788+'корпоративный баланс энергии'!AE788+'корпоративный баланс энергии'!AH788</f>
        <v>13.468799999999991</v>
      </c>
      <c r="K779" s="288"/>
      <c r="L779" s="289"/>
      <c r="M779" s="294">
        <f>'корпоративный баланс энергии'!AK788+'корпоративный баланс энергии'!AN788+'корпоративный баланс энергии'!AQ788</f>
        <v>13.468799999999998</v>
      </c>
      <c r="N779" s="288"/>
      <c r="O779" s="289"/>
      <c r="P779" s="294">
        <f t="shared" ref="P779" si="51">D779+G779+J779+M779</f>
        <v>53.582399999999993</v>
      </c>
      <c r="Q779" s="288"/>
      <c r="R779" s="289"/>
      <c r="S779" s="375"/>
      <c r="T779" s="375"/>
    </row>
    <row r="780" spans="2:20" s="24" customFormat="1" ht="18.75">
      <c r="B780" s="473" t="str">
        <f>'корпоративный баланс энергии'!H789</f>
        <v>Энергосистема Удмуртской Республики</v>
      </c>
      <c r="C780" s="495"/>
      <c r="D780" s="274">
        <f>D783+D786+D787+D788</f>
        <v>1200.2803474029058</v>
      </c>
      <c r="E780" s="275">
        <f>F780-D780</f>
        <v>1509.1598978447585</v>
      </c>
      <c r="F780" s="276">
        <f>'корпоративный баланс энергии'!L789+'корпоративный баланс энергии'!O789+'корпоративный баланс энергии'!R789</f>
        <v>2709.4402452476643</v>
      </c>
      <c r="G780" s="277">
        <f>G783+G786+G787+G788</f>
        <v>685.700212975863</v>
      </c>
      <c r="H780" s="275">
        <f>I780-G780</f>
        <v>1602.3111705167166</v>
      </c>
      <c r="I780" s="276">
        <f>'корпоративный баланс энергии'!U789+'корпоративный баланс энергии'!X789+'корпоративный баланс энергии'!AA789</f>
        <v>2288.0113834925796</v>
      </c>
      <c r="J780" s="277">
        <f>J783+J786+J787+J788</f>
        <v>661.12951430107535</v>
      </c>
      <c r="K780" s="275">
        <f>L780-J780</f>
        <v>1551.9291569370139</v>
      </c>
      <c r="L780" s="276">
        <f>'корпоративный баланс энергии'!AD789+'корпоративный баланс энергии'!AG789+'корпоративный баланс энергии'!AJ789</f>
        <v>2213.0586712380891</v>
      </c>
      <c r="M780" s="277">
        <f>M783+M786+M787+M788</f>
        <v>1166.8020931625099</v>
      </c>
      <c r="N780" s="275">
        <f>O780-M780</f>
        <v>1499.0889757079283</v>
      </c>
      <c r="O780" s="276">
        <f>'корпоративный баланс энергии'!AM789+'корпоративный баланс энергии'!AP789+'корпоративный баланс энергии'!AS789</f>
        <v>2665.8910688704382</v>
      </c>
      <c r="P780" s="277">
        <f>P783+P786+P787+P788</f>
        <v>3713.9121678423535</v>
      </c>
      <c r="Q780" s="275">
        <f>R780-P780</f>
        <v>6162.4892010064186</v>
      </c>
      <c r="R780" s="276">
        <f>F780+I780+L780+O780</f>
        <v>9876.4013688487721</v>
      </c>
      <c r="S780" s="357"/>
      <c r="T780" s="357"/>
    </row>
    <row r="781" spans="2:20" s="24" customFormat="1">
      <c r="B781" s="124" t="s">
        <v>56</v>
      </c>
      <c r="C781" s="497"/>
      <c r="D781" s="362">
        <f>D783+SUM(D786:D787)</f>
        <v>1108.2463186666657</v>
      </c>
      <c r="E781" s="363"/>
      <c r="F781" s="364"/>
      <c r="G781" s="362">
        <f>G783+SUM(G786:G787)</f>
        <v>622.97883455650822</v>
      </c>
      <c r="H781" s="363"/>
      <c r="I781" s="364"/>
      <c r="J781" s="362">
        <f>J783+SUM(J786:J787)</f>
        <v>608.12568633333331</v>
      </c>
      <c r="K781" s="363"/>
      <c r="L781" s="364"/>
      <c r="M781" s="362">
        <f>M783+SUM(M786:M787)</f>
        <v>1071.8535463883163</v>
      </c>
      <c r="N781" s="363"/>
      <c r="O781" s="364"/>
      <c r="P781" s="362">
        <f>P783+SUM(P786:P787)</f>
        <v>3411.2043859448231</v>
      </c>
      <c r="Q781" s="363"/>
      <c r="R781" s="364"/>
      <c r="S781" s="357"/>
      <c r="T781" s="357"/>
    </row>
    <row r="782" spans="2:20" s="24" customFormat="1">
      <c r="B782" s="124" t="s">
        <v>99</v>
      </c>
      <c r="C782" s="497"/>
      <c r="D782" s="362">
        <f>D788</f>
        <v>92.034028736239989</v>
      </c>
      <c r="E782" s="363"/>
      <c r="F782" s="364"/>
      <c r="G782" s="365">
        <f>G788</f>
        <v>62.721378419354835</v>
      </c>
      <c r="H782" s="363"/>
      <c r="I782" s="364"/>
      <c r="J782" s="365">
        <f>J788</f>
        <v>53.003827967741934</v>
      </c>
      <c r="K782" s="363"/>
      <c r="L782" s="364"/>
      <c r="M782" s="365">
        <f>M788</f>
        <v>94.948546774193545</v>
      </c>
      <c r="N782" s="363"/>
      <c r="O782" s="364"/>
      <c r="P782" s="365">
        <f>P788</f>
        <v>302.70778189753031</v>
      </c>
      <c r="Q782" s="363"/>
      <c r="R782" s="364"/>
      <c r="S782" s="357"/>
      <c r="T782" s="357"/>
    </row>
    <row r="783" spans="2:20" s="24" customFormat="1">
      <c r="B783" s="132" t="str">
        <f>'корпоративный баланс энергии'!H792</f>
        <v>Ижевская ТЭЦ-1 (Удмуртский филиал ПАО "Т Плюс")</v>
      </c>
      <c r="C783" s="516" t="s">
        <v>364</v>
      </c>
      <c r="D783" s="317">
        <f>D784+D785</f>
        <v>484.30194733333275</v>
      </c>
      <c r="E783" s="246"/>
      <c r="F783" s="282"/>
      <c r="G783" s="317">
        <f>G784+G785</f>
        <v>265.87765055650817</v>
      </c>
      <c r="H783" s="246"/>
      <c r="I783" s="282"/>
      <c r="J783" s="317">
        <f>J784+J785</f>
        <v>283.18993900000004</v>
      </c>
      <c r="K783" s="246"/>
      <c r="L783" s="282"/>
      <c r="M783" s="317">
        <f>M784+M785</f>
        <v>479.3129590549828</v>
      </c>
      <c r="N783" s="246"/>
      <c r="O783" s="282"/>
      <c r="P783" s="317">
        <f>P784+P785</f>
        <v>1512.6824959448236</v>
      </c>
      <c r="Q783" s="246"/>
      <c r="R783" s="282"/>
      <c r="S783" s="357"/>
      <c r="T783" s="357"/>
    </row>
    <row r="784" spans="2:20" s="24" customFormat="1">
      <c r="B784" s="127" t="str">
        <f>'корпоративный баланс энергии'!H793</f>
        <v>Ижевская ТЭЦ-1 (Удмуртский филиал ПАО "Т Плюс") без ДПМ/НВ/ВР</v>
      </c>
      <c r="C784" s="487"/>
      <c r="D784" s="281">
        <f>'корпоративный баланс энергии'!J793+'корпоративный баланс энергии'!M793+'корпоративный баланс энергии'!P793</f>
        <v>74.260800000000017</v>
      </c>
      <c r="E784" s="246"/>
      <c r="F784" s="282"/>
      <c r="G784" s="244">
        <f>'корпоративный баланс энергии'!S793+'корпоративный баланс энергии'!V793+'корпоративный баланс энергии'!Y793</f>
        <v>30.74323222317479</v>
      </c>
      <c r="H784" s="246"/>
      <c r="I784" s="282"/>
      <c r="J784" s="244">
        <f>'корпоративный баланс энергии'!AB793+'корпоративный баланс энергии'!AE793+'корпоративный баланс энергии'!AH793</f>
        <v>0</v>
      </c>
      <c r="K784" s="246"/>
      <c r="L784" s="282"/>
      <c r="M784" s="244">
        <f>'корпоративный баланс энергии'!AK793+'корпоративный баланс энергии'!AN793+'корпоративный баланс энергии'!AQ793</f>
        <v>64.904124721649055</v>
      </c>
      <c r="N784" s="246"/>
      <c r="O784" s="282"/>
      <c r="P784" s="244">
        <f>D784+G784+J784+M784</f>
        <v>169.90815694482387</v>
      </c>
      <c r="Q784" s="246"/>
      <c r="R784" s="282"/>
      <c r="S784" s="357"/>
      <c r="T784" s="357"/>
    </row>
    <row r="785" spans="2:20" s="24" customFormat="1">
      <c r="B785" s="127" t="str">
        <f>'корпоративный баланс энергии'!H794</f>
        <v>Ижевская ТЭЦ-1 (Удмуртский филиал ПАО "Т Плюс") ПГУ 230,6 ДПМ 18.04.2014</v>
      </c>
      <c r="C785" s="487"/>
      <c r="D785" s="281">
        <f>'корпоративный баланс энергии'!J794+'корпоративный баланс энергии'!M794+'корпоративный баланс энергии'!P794</f>
        <v>410.04114733333273</v>
      </c>
      <c r="E785" s="246"/>
      <c r="F785" s="282"/>
      <c r="G785" s="244">
        <f>'корпоративный баланс энергии'!S794+'корпоративный баланс энергии'!V794+'корпоративный баланс энергии'!Y794</f>
        <v>235.1344183333334</v>
      </c>
      <c r="H785" s="246"/>
      <c r="I785" s="282"/>
      <c r="J785" s="244">
        <f>'корпоративный баланс энергии'!AB794+'корпоративный баланс энергии'!AE794+'корпоративный баланс энергии'!AH794</f>
        <v>283.18993900000004</v>
      </c>
      <c r="K785" s="246"/>
      <c r="L785" s="282"/>
      <c r="M785" s="244">
        <f>'корпоративный баланс энергии'!AK794+'корпоративный баланс энергии'!AN794+'корпоративный баланс энергии'!AQ794</f>
        <v>414.40883433333374</v>
      </c>
      <c r="N785" s="246"/>
      <c r="O785" s="282"/>
      <c r="P785" s="244">
        <f>D785+G785+J785+M785</f>
        <v>1342.7743389999998</v>
      </c>
      <c r="Q785" s="246"/>
      <c r="R785" s="282"/>
      <c r="S785" s="357"/>
      <c r="T785" s="357"/>
    </row>
    <row r="786" spans="2:20" s="24" customFormat="1">
      <c r="B786" s="127" t="str">
        <f>'корпоративный баланс энергии'!H795</f>
        <v>Ижевская ТЭЦ-2 (Удмуртский филиал ПАО "Т Плюс")</v>
      </c>
      <c r="C786" s="516" t="s">
        <v>364</v>
      </c>
      <c r="D786" s="281">
        <f>'корпоративный баланс энергии'!J795+'корпоративный баланс энергии'!M795+'корпоративный баланс энергии'!P795</f>
        <v>602.33935233333295</v>
      </c>
      <c r="E786" s="246"/>
      <c r="F786" s="282"/>
      <c r="G786" s="244">
        <f>'корпоративный баланс энергии'!S795+'корпоративный баланс энергии'!V795+'корпоративный баланс энергии'!Y795</f>
        <v>344.34478533333333</v>
      </c>
      <c r="H786" s="246"/>
      <c r="I786" s="282"/>
      <c r="J786" s="244">
        <f>'корпоративный баланс энергии'!AB795+'корпоративный баланс энергии'!AE795+'корпоративный баланс энергии'!AH795</f>
        <v>317.96032633333334</v>
      </c>
      <c r="K786" s="246"/>
      <c r="L786" s="282"/>
      <c r="M786" s="244">
        <f>'корпоративный баланс энергии'!AK795+'корпоративный баланс энергии'!AN795+'корпоративный баланс энергии'!AQ795</f>
        <v>570.17958266666676</v>
      </c>
      <c r="N786" s="246"/>
      <c r="O786" s="282"/>
      <c r="P786" s="244">
        <f>D786+G786+J786+M786</f>
        <v>1834.8240466666662</v>
      </c>
      <c r="Q786" s="246"/>
      <c r="R786" s="282"/>
      <c r="S786" s="357"/>
      <c r="T786" s="357"/>
    </row>
    <row r="787" spans="2:20" s="24" customFormat="1">
      <c r="B787" s="127" t="str">
        <f>'корпоративный баланс энергии'!H796</f>
        <v xml:space="preserve">Сарапульская  ТЭЦ (ООО "Губахинская энергетическая компания") </v>
      </c>
      <c r="C787" s="519" t="s">
        <v>365</v>
      </c>
      <c r="D787" s="281">
        <f>'корпоративный баланс энергии'!J796+'корпоративный баланс энергии'!M796+'корпоративный баланс энергии'!P796</f>
        <v>21.605018999999999</v>
      </c>
      <c r="E787" s="246"/>
      <c r="F787" s="282"/>
      <c r="G787" s="244">
        <f>'корпоративный баланс энергии'!S796+'корпоративный баланс энергии'!V796+'корпоративный баланс энергии'!Y796</f>
        <v>12.756398666666666</v>
      </c>
      <c r="H787" s="246"/>
      <c r="I787" s="282"/>
      <c r="J787" s="244">
        <f>'корпоративный баланс энергии'!AB796+'корпоративный баланс энергии'!AE796+'корпоративный баланс энергии'!AH796</f>
        <v>6.9754210000000008</v>
      </c>
      <c r="K787" s="246"/>
      <c r="L787" s="282"/>
      <c r="M787" s="244">
        <f>'корпоративный баланс энергии'!AK796+'корпоративный баланс энергии'!AN796+'корпоративный баланс энергии'!AQ796</f>
        <v>22.361004666666666</v>
      </c>
      <c r="N787" s="246"/>
      <c r="O787" s="282"/>
      <c r="P787" s="244">
        <f>D787+G787+J787+M787</f>
        <v>63.697843333333331</v>
      </c>
      <c r="Q787" s="246"/>
      <c r="R787" s="282"/>
      <c r="S787" s="357"/>
      <c r="T787" s="357"/>
    </row>
    <row r="788" spans="2:20" s="24" customFormat="1">
      <c r="B788" s="138" t="s">
        <v>174</v>
      </c>
      <c r="C788" s="488"/>
      <c r="D788" s="287">
        <f>SUM(D789:D792)</f>
        <v>92.034028736239989</v>
      </c>
      <c r="E788" s="288"/>
      <c r="F788" s="289"/>
      <c r="G788" s="287">
        <f>SUM(G789:G792)</f>
        <v>62.721378419354835</v>
      </c>
      <c r="H788" s="288"/>
      <c r="I788" s="289"/>
      <c r="J788" s="287">
        <f>SUM(J789:J792)</f>
        <v>53.003827967741934</v>
      </c>
      <c r="K788" s="288"/>
      <c r="L788" s="289"/>
      <c r="M788" s="287">
        <f>SUM(M789:M792)</f>
        <v>94.948546774193545</v>
      </c>
      <c r="N788" s="288"/>
      <c r="O788" s="289"/>
      <c r="P788" s="287">
        <f>SUM(P789:P792)</f>
        <v>302.70778189753031</v>
      </c>
      <c r="Q788" s="288"/>
      <c r="R788" s="289"/>
      <c r="S788" s="357"/>
      <c r="T788" s="357"/>
    </row>
    <row r="789" spans="2:20" s="24" customFormat="1">
      <c r="B789" s="135" t="str">
        <f>'корпоративный баланс энергии'!H798</f>
        <v>мини-ТЭЦ (ООО "Удмуртские коммунальные системы")</v>
      </c>
      <c r="C789" s="518" t="s">
        <v>365</v>
      </c>
      <c r="D789" s="293">
        <f>'корпоративный баланс энергии'!J798+'корпоративный баланс энергии'!M798+'корпоративный баланс энергии'!P798</f>
        <v>0</v>
      </c>
      <c r="E789" s="288"/>
      <c r="F789" s="289"/>
      <c r="G789" s="294">
        <f>'корпоративный баланс энергии'!S798+'корпоративный баланс энергии'!V798+'корпоративный баланс энергии'!Y798</f>
        <v>1.1842000000000001</v>
      </c>
      <c r="H789" s="288"/>
      <c r="I789" s="289"/>
      <c r="J789" s="294">
        <f>'корпоративный баланс энергии'!AB798+'корпоративный баланс энергии'!AE798+'корпоративный баланс энергии'!AH798</f>
        <v>2.2323</v>
      </c>
      <c r="K789" s="288"/>
      <c r="L789" s="289"/>
      <c r="M789" s="294">
        <f>'корпоративный баланс энергии'!AK798+'корпоративный баланс энергии'!AN798+'корпоративный баланс энергии'!AQ798</f>
        <v>0</v>
      </c>
      <c r="N789" s="288"/>
      <c r="O789" s="289"/>
      <c r="P789" s="294">
        <f>D789+G789+J789+M789</f>
        <v>3.4165000000000001</v>
      </c>
      <c r="Q789" s="288"/>
      <c r="R789" s="289"/>
      <c r="S789" s="357"/>
      <c r="T789" s="357"/>
    </row>
    <row r="790" spans="2:20" s="24" customFormat="1">
      <c r="B790" s="135" t="str">
        <f>'корпоративный баланс энергии'!H799</f>
        <v>Воткинская ТЭЦ (ФГУП "Воткинский завод")</v>
      </c>
      <c r="C790" s="518" t="s">
        <v>365</v>
      </c>
      <c r="D790" s="293">
        <f>'корпоративный баланс энергии'!J799+'корпоративный баланс энергии'!M799+'корпоративный баланс энергии'!P799</f>
        <v>33.141171999999997</v>
      </c>
      <c r="E790" s="288"/>
      <c r="F790" s="289"/>
      <c r="G790" s="294">
        <f>'корпоративный баланс энергии'!S799+'корпоративный баланс энергии'!V799+'корпоративный баланс энергии'!Y799</f>
        <v>14.337596</v>
      </c>
      <c r="H790" s="288"/>
      <c r="I790" s="289"/>
      <c r="J790" s="294">
        <f>'корпоративный баланс энергии'!AB799+'корпоративный баланс энергии'!AE799+'корпоративный баланс энергии'!AH799</f>
        <v>6.4442640000000004</v>
      </c>
      <c r="K790" s="288"/>
      <c r="L790" s="289"/>
      <c r="M790" s="294">
        <f>'корпоративный баланс энергии'!AK799+'корпоративный баланс энергии'!AN799+'корпоративный баланс энергии'!AQ799</f>
        <v>32.942160000000001</v>
      </c>
      <c r="N790" s="288"/>
      <c r="O790" s="289"/>
      <c r="P790" s="294">
        <f>D790+G790+J790+M790</f>
        <v>86.865191999999993</v>
      </c>
      <c r="Q790" s="288"/>
      <c r="R790" s="289"/>
      <c r="S790" s="357"/>
      <c r="T790" s="357"/>
    </row>
    <row r="791" spans="2:20" s="24" customFormat="1">
      <c r="B791" s="135" t="str">
        <f>'корпоративный баланс энергии'!H800</f>
        <v>Глазовская ТЭЦ (АО "ОТЭК")</v>
      </c>
      <c r="C791" s="518" t="s">
        <v>365</v>
      </c>
      <c r="D791" s="293">
        <f>'корпоративный баланс энергии'!J800+'корпоративный баланс энергии'!M800+'корпоративный баланс энергии'!P800</f>
        <v>47.318399999999997</v>
      </c>
      <c r="E791" s="288"/>
      <c r="F791" s="289"/>
      <c r="G791" s="294">
        <f>'корпоративный баланс энергии'!S800+'корпоративный баланс энергии'!V800+'корпоративный баланс энергии'!Y800</f>
        <v>43.787999999999997</v>
      </c>
      <c r="H791" s="288"/>
      <c r="I791" s="289"/>
      <c r="J791" s="294">
        <f>'корпоративный баланс энергии'!AB800+'корпоративный баланс энергии'!AE800+'корпоративный баланс энергии'!AH800</f>
        <v>42.852199999999996</v>
      </c>
      <c r="K791" s="288"/>
      <c r="L791" s="289"/>
      <c r="M791" s="294">
        <f>'корпоративный баланс энергии'!AK800+'корпоративный баланс энергии'!AN800+'корпоративный баланс энергии'!AQ800</f>
        <v>52.156799999999997</v>
      </c>
      <c r="N791" s="288"/>
      <c r="O791" s="289"/>
      <c r="P791" s="294">
        <f>D791+G791+J791+M791</f>
        <v>186.11539999999999</v>
      </c>
      <c r="Q791" s="288"/>
      <c r="R791" s="289"/>
      <c r="S791" s="357"/>
      <c r="T791" s="357"/>
    </row>
    <row r="792" spans="2:20" s="24" customFormat="1">
      <c r="B792" s="135" t="str">
        <f>'корпоративный баланс энергии'!H801</f>
        <v>ТЭС ООО "Автокотельная"</v>
      </c>
      <c r="C792" s="518" t="s">
        <v>365</v>
      </c>
      <c r="D792" s="293">
        <f>'корпоративный баланс энергии'!J801+'корпоративный баланс энергии'!M801+'корпоративный баланс энергии'!P801</f>
        <v>11.57445673624</v>
      </c>
      <c r="E792" s="288"/>
      <c r="F792" s="289"/>
      <c r="G792" s="294">
        <f>'корпоративный баланс энергии'!S801+'корпоративный баланс энергии'!V801+'корпоративный баланс энергии'!Y801</f>
        <v>3.4115824193548385</v>
      </c>
      <c r="H792" s="288"/>
      <c r="I792" s="289"/>
      <c r="J792" s="294">
        <f>'корпоративный баланс энергии'!AB801+'корпоративный баланс энергии'!AE801+'корпоративный баланс энергии'!AH801</f>
        <v>1.4750639677419353</v>
      </c>
      <c r="K792" s="288"/>
      <c r="L792" s="289"/>
      <c r="M792" s="294">
        <f>'корпоративный баланс энергии'!AK801+'корпоративный баланс энергии'!AN801+'корпоративный баланс энергии'!AQ801</f>
        <v>9.849586774193547</v>
      </c>
      <c r="N792" s="288"/>
      <c r="O792" s="289"/>
      <c r="P792" s="294">
        <f>D792+G792+J792+M792</f>
        <v>26.31068989753032</v>
      </c>
      <c r="Q792" s="288"/>
      <c r="R792" s="289"/>
      <c r="S792" s="357"/>
      <c r="T792" s="357"/>
    </row>
    <row r="793" spans="2:20" s="110" customFormat="1" ht="18.75">
      <c r="B793" s="474" t="str">
        <f>'корпоративный баланс энергии'!H802</f>
        <v>Ээнергосистема Челябинской области</v>
      </c>
      <c r="C793" s="501"/>
      <c r="D793" s="274">
        <f>SUM(D794:D795)</f>
        <v>7808.4419107000485</v>
      </c>
      <c r="E793" s="275">
        <f>F793-D793</f>
        <v>1959.9837325321132</v>
      </c>
      <c r="F793" s="276">
        <f>'корпоративный баланс энергии'!L802+'корпоративный баланс энергии'!O802+'корпоративный баланс энергии'!R802</f>
        <v>9768.4256432321617</v>
      </c>
      <c r="G793" s="274">
        <f>SUM(G794:G795)</f>
        <v>6550.8072028448823</v>
      </c>
      <c r="H793" s="275">
        <f>I793-G793</f>
        <v>1880.281895226266</v>
      </c>
      <c r="I793" s="276">
        <f>'корпоративный баланс энергии'!U802+'корпоративный баланс энергии'!X802+'корпоративный баланс энергии'!AA802</f>
        <v>8431.0890980711483</v>
      </c>
      <c r="J793" s="274">
        <f>SUM(J794:J795)</f>
        <v>6279.923379972588</v>
      </c>
      <c r="K793" s="275">
        <f>L793-J793</f>
        <v>2039.9036988799817</v>
      </c>
      <c r="L793" s="276">
        <f>'корпоративный баланс энергии'!AD802+'корпоративный баланс энергии'!AG802+'корпоративный баланс энергии'!AJ802</f>
        <v>8319.8270788525697</v>
      </c>
      <c r="M793" s="274">
        <f>SUM(M794:M795)</f>
        <v>7553.9078006409527</v>
      </c>
      <c r="N793" s="275">
        <f>O793-M793</f>
        <v>2092.6190229470103</v>
      </c>
      <c r="O793" s="276">
        <f>'корпоративный баланс энергии'!AM802+'корпоративный баланс энергии'!AP802+'корпоративный баланс энергии'!AS802</f>
        <v>9646.526823587963</v>
      </c>
      <c r="P793" s="274">
        <f>SUM(P794:P795)</f>
        <v>28193.080294158473</v>
      </c>
      <c r="Q793" s="275">
        <f>R793-P793</f>
        <v>7972.7883495853712</v>
      </c>
      <c r="R793" s="276">
        <f>F793+I793+L793+O793</f>
        <v>36165.868643743845</v>
      </c>
      <c r="S793" s="356"/>
      <c r="T793" s="356"/>
    </row>
    <row r="794" spans="2:20" s="110" customFormat="1">
      <c r="B794" s="124" t="s">
        <v>56</v>
      </c>
      <c r="C794" s="497"/>
      <c r="D794" s="362">
        <f>D796+D799+D800+D803+D807+D811+D814+D815+D818+D819+D820</f>
        <v>5755.2782707000488</v>
      </c>
      <c r="E794" s="363"/>
      <c r="F794" s="364"/>
      <c r="G794" s="362">
        <f>G796+G799+G800+G803+G807+G811+G814+G815+G818+G819+G820</f>
        <v>4728.0346428448829</v>
      </c>
      <c r="H794" s="363"/>
      <c r="I794" s="364"/>
      <c r="J794" s="362">
        <f>J796+J799+J800+J803+J807+J811+J814+J815+J818+J819+J820</f>
        <v>4478.4768599725885</v>
      </c>
      <c r="K794" s="363"/>
      <c r="L794" s="364"/>
      <c r="M794" s="362">
        <f>M796+M799+M800+M803+M807+M811+M814+M815+M818+M819+M820</f>
        <v>5469.3372806409525</v>
      </c>
      <c r="N794" s="363"/>
      <c r="O794" s="364"/>
      <c r="P794" s="362">
        <f>P796+P799+P800+P803+P807+P811+P814+P815+P818+P819+P820</f>
        <v>20431.127054158471</v>
      </c>
      <c r="Q794" s="363"/>
      <c r="R794" s="364"/>
      <c r="S794" s="356"/>
      <c r="T794" s="356"/>
    </row>
    <row r="795" spans="2:20" s="110" customFormat="1">
      <c r="B795" s="124" t="s">
        <v>99</v>
      </c>
      <c r="C795" s="497"/>
      <c r="D795" s="362">
        <f>D821</f>
        <v>2053.1636399999993</v>
      </c>
      <c r="E795" s="363"/>
      <c r="F795" s="364"/>
      <c r="G795" s="362">
        <f>G821</f>
        <v>1822.7725599999997</v>
      </c>
      <c r="H795" s="363"/>
      <c r="I795" s="364"/>
      <c r="J795" s="362">
        <f>J821</f>
        <v>1801.44652</v>
      </c>
      <c r="K795" s="363"/>
      <c r="L795" s="364"/>
      <c r="M795" s="362">
        <f>M821</f>
        <v>2084.5705199999998</v>
      </c>
      <c r="N795" s="363"/>
      <c r="O795" s="364"/>
      <c r="P795" s="362">
        <f>P821</f>
        <v>7761.9532400000016</v>
      </c>
      <c r="Q795" s="363"/>
      <c r="R795" s="364"/>
      <c r="S795" s="356"/>
      <c r="T795" s="356"/>
    </row>
    <row r="796" spans="2:20" s="109" customFormat="1">
      <c r="B796" s="132" t="str">
        <f>'корпоративный баланс энергии'!H805</f>
        <v>Челябинская ТЭЦ-1 (ОАО "Фортум" филиал Энергосистема "Урал")</v>
      </c>
      <c r="C796" s="516" t="s">
        <v>364</v>
      </c>
      <c r="D796" s="317">
        <f>SUM(D797:D798)</f>
        <v>237.61920000000001</v>
      </c>
      <c r="E796" s="246"/>
      <c r="F796" s="282"/>
      <c r="G796" s="317">
        <f>SUM(G797:G798)</f>
        <v>182.721744</v>
      </c>
      <c r="H796" s="246"/>
      <c r="I796" s="282"/>
      <c r="J796" s="317">
        <f>SUM(J797:J798)</f>
        <v>211.92</v>
      </c>
      <c r="K796" s="246"/>
      <c r="L796" s="282"/>
      <c r="M796" s="317">
        <f>SUM(M797:M798)</f>
        <v>230.41391999999999</v>
      </c>
      <c r="N796" s="246"/>
      <c r="O796" s="282"/>
      <c r="P796" s="317">
        <f>SUM(P797:P798)</f>
        <v>862.67486399999996</v>
      </c>
      <c r="Q796" s="246"/>
      <c r="R796" s="282"/>
      <c r="S796" s="368"/>
      <c r="T796" s="368"/>
    </row>
    <row r="797" spans="2:20" s="24" customFormat="1">
      <c r="B797" s="127" t="str">
        <f>'корпоративный баланс энергии'!H806</f>
        <v>Челябинская ТЭЦ-1 (ОАО "Фортум" филиал Энергосистема "Урал") без ДПМ/НВ/ВР</v>
      </c>
      <c r="C797" s="487"/>
      <c r="D797" s="281">
        <f>'корпоративный баланс энергии'!J806+'корпоративный баланс энергии'!M806+'корпоративный баланс энергии'!P806</f>
        <v>54.6</v>
      </c>
      <c r="E797" s="246"/>
      <c r="F797" s="282"/>
      <c r="G797" s="244">
        <f>'корпоративный баланс энергии'!S806+'корпоративный баланс энергии'!V806+'корпоративный баланс энергии'!Y806</f>
        <v>32.759903999999999</v>
      </c>
      <c r="H797" s="246"/>
      <c r="I797" s="282"/>
      <c r="J797" s="244">
        <f>'корпоративный баланс энергии'!AB806+'корпоративный баланс энергии'!AE806+'корпоративный баланс энергии'!AH806</f>
        <v>33.840000000000003</v>
      </c>
      <c r="K797" s="246"/>
      <c r="L797" s="282"/>
      <c r="M797" s="244">
        <f>'корпоративный баланс энергии'!AK806+'корпоративный баланс энергии'!AN806+'корпоративный баланс энергии'!AQ806</f>
        <v>55.199999999999996</v>
      </c>
      <c r="N797" s="246"/>
      <c r="O797" s="282"/>
      <c r="P797" s="244">
        <f>D797+G797+J797+M797</f>
        <v>176.39990399999999</v>
      </c>
      <c r="Q797" s="246"/>
      <c r="R797" s="282"/>
      <c r="S797" s="357"/>
      <c r="T797" s="357"/>
    </row>
    <row r="798" spans="2:20" s="24" customFormat="1">
      <c r="B798" s="127" t="str">
        <f>'корпоративный баланс энергии'!H807</f>
        <v>Челябинская ТЭЦ-1 (ОАО "Фортум" филиал Энергосистема "Урал") ТГ 10 ГТУ - 1, ТГ 11 ГТУ - 2  01.08.2013</v>
      </c>
      <c r="C798" s="487"/>
      <c r="D798" s="281">
        <f>'корпоративный баланс энергии'!J807+'корпоративный баланс энергии'!M807+'корпоративный баланс энергии'!P807</f>
        <v>183.01920000000001</v>
      </c>
      <c r="E798" s="246"/>
      <c r="F798" s="282"/>
      <c r="G798" s="244">
        <f>'корпоративный баланс энергии'!S807+'корпоративный баланс энергии'!V807+'корпоративный баланс энергии'!Y807</f>
        <v>149.96184</v>
      </c>
      <c r="H798" s="246"/>
      <c r="I798" s="282"/>
      <c r="J798" s="244">
        <f>'корпоративный баланс энергии'!AB807+'корпоративный баланс энергии'!AE807+'корпоративный баланс энергии'!AH807</f>
        <v>178.07999999999998</v>
      </c>
      <c r="K798" s="246"/>
      <c r="L798" s="282"/>
      <c r="M798" s="244">
        <f>'корпоративный баланс энергии'!AK807+'корпоративный баланс энергии'!AN807+'корпоративный баланс энергии'!AQ807</f>
        <v>175.21392</v>
      </c>
      <c r="N798" s="246"/>
      <c r="O798" s="282"/>
      <c r="P798" s="244">
        <f>D798+G798+J798+M798</f>
        <v>686.27495999999996</v>
      </c>
      <c r="Q798" s="246"/>
      <c r="R798" s="282"/>
      <c r="S798" s="357"/>
      <c r="T798" s="357"/>
    </row>
    <row r="799" spans="2:20" s="24" customFormat="1">
      <c r="B799" s="127" t="str">
        <f>'корпоративный баланс энергии'!H808</f>
        <v>Челябинская ТЭЦ-2 (ОАО "Фортум" филиал Энергосистема "Урал")</v>
      </c>
      <c r="C799" s="516" t="s">
        <v>364</v>
      </c>
      <c r="D799" s="281">
        <f>'корпоративный баланс энергии'!J808+'корпоративный баланс энергии'!M808+'корпоративный баланс энергии'!P808</f>
        <v>559.17599999999993</v>
      </c>
      <c r="E799" s="246"/>
      <c r="F799" s="282"/>
      <c r="G799" s="244">
        <f>'корпоративный баланс энергии'!S808+'корпоративный баланс энергии'!V808+'корпоративный баланс энергии'!Y808</f>
        <v>391.52699999999999</v>
      </c>
      <c r="H799" s="246"/>
      <c r="I799" s="282"/>
      <c r="J799" s="244">
        <f>'корпоративный баланс энергии'!AB808+'корпоративный баланс энергии'!AE808+'корпоративный баланс энергии'!AH808</f>
        <v>263.745</v>
      </c>
      <c r="K799" s="246"/>
      <c r="L799" s="282"/>
      <c r="M799" s="244">
        <f>'корпоративный баланс энергии'!AK808+'корпоративный баланс энергии'!AN808+'корпоративный баланс энергии'!AQ808</f>
        <v>511.41599999999994</v>
      </c>
      <c r="N799" s="246"/>
      <c r="O799" s="282"/>
      <c r="P799" s="244">
        <f>D799+G799+J799+M799</f>
        <v>1725.8639999999998</v>
      </c>
      <c r="Q799" s="246"/>
      <c r="R799" s="282"/>
      <c r="S799" s="357"/>
      <c r="T799" s="357"/>
    </row>
    <row r="800" spans="2:20" s="24" customFormat="1">
      <c r="B800" s="132" t="str">
        <f>'корпоративный баланс энергии'!H809</f>
        <v>Челябинская ТЭЦ-3 (ОАО "Фортум" филиал Энергосистема "Урал")</v>
      </c>
      <c r="C800" s="516" t="s">
        <v>364</v>
      </c>
      <c r="D800" s="317">
        <f>SUM(D801:D802)</f>
        <v>1060.81062</v>
      </c>
      <c r="E800" s="246"/>
      <c r="F800" s="282"/>
      <c r="G800" s="317">
        <f>SUM(G801:G802)</f>
        <v>795.60059999999999</v>
      </c>
      <c r="H800" s="246"/>
      <c r="I800" s="282"/>
      <c r="J800" s="317">
        <f>SUM(J801:J802)</f>
        <v>713.42596000000003</v>
      </c>
      <c r="K800" s="246"/>
      <c r="L800" s="282"/>
      <c r="M800" s="317">
        <f>SUM(M801:M802)</f>
        <v>1039.48182</v>
      </c>
      <c r="N800" s="246"/>
      <c r="O800" s="282"/>
      <c r="P800" s="317">
        <f>SUM(P801:P802)</f>
        <v>3609.319</v>
      </c>
      <c r="Q800" s="246"/>
      <c r="R800" s="282"/>
      <c r="S800" s="357"/>
      <c r="T800" s="357"/>
    </row>
    <row r="801" spans="2:20" s="24" customFormat="1">
      <c r="B801" s="127" t="str">
        <f>'корпоративный баланс энергии'!H810</f>
        <v>Челябинская ТЭЦ-3 (ОАО "Фортум" филиал Энергосистема "Урал") без ДПМ/НВ/ВР</v>
      </c>
      <c r="C801" s="487"/>
      <c r="D801" s="281">
        <f>'корпоративный баланс энергии'!J810+'корпоративный баланс энергии'!M810+'корпоративный баланс энергии'!P810</f>
        <v>680.54309999999998</v>
      </c>
      <c r="E801" s="246"/>
      <c r="F801" s="282"/>
      <c r="G801" s="244">
        <f>'корпоративный баланс энергии'!S810+'корпоративный баланс энергии'!V810+'корпоративный баланс энергии'!Y810</f>
        <v>476.86921999999998</v>
      </c>
      <c r="H801" s="246"/>
      <c r="I801" s="282"/>
      <c r="J801" s="244">
        <f>'корпоративный баланс энергии'!AB810+'корпоративный баланс энергии'!AE810+'корпоративный баланс энергии'!AH810</f>
        <v>330.49894</v>
      </c>
      <c r="K801" s="246"/>
      <c r="L801" s="282"/>
      <c r="M801" s="244">
        <f>'корпоративный баланс энергии'!AK810+'корпоративный баланс энергии'!AN810+'корпоративный баланс энергии'!AQ810</f>
        <v>639.59297000000004</v>
      </c>
      <c r="N801" s="246"/>
      <c r="O801" s="282"/>
      <c r="P801" s="244">
        <f>D801+G801+J801+M801</f>
        <v>2127.50423</v>
      </c>
      <c r="Q801" s="246"/>
      <c r="R801" s="282"/>
      <c r="S801" s="357"/>
      <c r="T801" s="357"/>
    </row>
    <row r="802" spans="2:20" s="24" customFormat="1">
      <c r="B802" s="127" t="str">
        <f>'корпоративный баланс энергии'!H811</f>
        <v>Челябинская ТЭЦ-3 (ОАО "Фортум" филиал Энергосистема "Урал") ПГУ 216,3 НВ, ДПМ 01.06.2011</v>
      </c>
      <c r="C802" s="487"/>
      <c r="D802" s="281">
        <f>'корпоративный баланс энергии'!J811+'корпоративный баланс энергии'!M811+'корпоративный баланс энергии'!P811</f>
        <v>380.26751999999999</v>
      </c>
      <c r="E802" s="246"/>
      <c r="F802" s="282"/>
      <c r="G802" s="244">
        <f>'корпоративный баланс энергии'!S811+'корпоративный баланс энергии'!V811+'корпоративный баланс энергии'!Y811</f>
        <v>318.73138</v>
      </c>
      <c r="H802" s="246"/>
      <c r="I802" s="282"/>
      <c r="J802" s="244">
        <f>'корпоративный баланс энергии'!AB811+'корпоративный баланс энергии'!AE811+'корпоративный баланс энергии'!AH811</f>
        <v>382.92701999999997</v>
      </c>
      <c r="K802" s="246"/>
      <c r="L802" s="282"/>
      <c r="M802" s="244">
        <f>'корпоративный баланс энергии'!AK811+'корпоративный баланс энергии'!AN811+'корпоративный баланс энергии'!AQ811</f>
        <v>399.88884999999993</v>
      </c>
      <c r="N802" s="246"/>
      <c r="O802" s="282"/>
      <c r="P802" s="244">
        <f>D802+G802+J802+M802</f>
        <v>1481.81477</v>
      </c>
      <c r="Q802" s="246"/>
      <c r="R802" s="282"/>
      <c r="S802" s="357"/>
      <c r="T802" s="357"/>
    </row>
    <row r="803" spans="2:20" s="24" customFormat="1">
      <c r="B803" s="132" t="str">
        <f>'корпоративный баланс энергии'!H812</f>
        <v>Аргаяшская ТЭЦ (ОАО "Фортум" филиал Энергосистема "Урал")</v>
      </c>
      <c r="C803" s="516" t="s">
        <v>364</v>
      </c>
      <c r="D803" s="317">
        <f>SUM(D804:D806)</f>
        <v>370.60988000000003</v>
      </c>
      <c r="E803" s="246"/>
      <c r="F803" s="282"/>
      <c r="G803" s="317">
        <f>SUM(G804:G806)</f>
        <v>270.50300000000004</v>
      </c>
      <c r="H803" s="246"/>
      <c r="I803" s="282"/>
      <c r="J803" s="317">
        <f>SUM(J804:J806)</f>
        <v>234.66921600000001</v>
      </c>
      <c r="K803" s="246"/>
      <c r="L803" s="282"/>
      <c r="M803" s="317">
        <f>SUM(M804:M806)</f>
        <v>344.40300000000002</v>
      </c>
      <c r="N803" s="246"/>
      <c r="O803" s="282"/>
      <c r="P803" s="317">
        <f>SUM(P804:P806)</f>
        <v>1220.1850960000002</v>
      </c>
      <c r="Q803" s="246"/>
      <c r="R803" s="282"/>
      <c r="S803" s="357"/>
      <c r="T803" s="357"/>
    </row>
    <row r="804" spans="2:20" s="24" customFormat="1">
      <c r="B804" s="127" t="str">
        <f>'корпоративный баланс энергии'!H813</f>
        <v>Аргаяшская ТЭЦ (ОАО "Фортум" филиал Энергосистема "Урал") без ДПМ/НВ/ВР</v>
      </c>
      <c r="C804" s="516"/>
      <c r="D804" s="281">
        <f>'корпоративный баланс энергии'!J813+'корпоративный баланс энергии'!M813+'корпоративный баланс энергии'!P813</f>
        <v>220.62648000000002</v>
      </c>
      <c r="E804" s="246"/>
      <c r="F804" s="282"/>
      <c r="G804" s="244">
        <f>'корпоративный баланс энергии'!S813+'корпоративный баланс энергии'!V813+'корпоративный баланс энергии'!Y813</f>
        <v>144.92400000000001</v>
      </c>
      <c r="H804" s="246"/>
      <c r="I804" s="282"/>
      <c r="J804" s="244">
        <f>'корпоративный баланс энергии'!AB813+'корпоративный баланс энергии'!AE813+'корпоративный баланс энергии'!AH813</f>
        <v>102.00800000000001</v>
      </c>
      <c r="K804" s="246"/>
      <c r="L804" s="282"/>
      <c r="M804" s="244">
        <f>'корпоративный баланс энергии'!AK813+'корпоративный баланс энергии'!AN813+'корпоративный баланс энергии'!AQ813</f>
        <v>181.98000000000002</v>
      </c>
      <c r="N804" s="246"/>
      <c r="O804" s="282"/>
      <c r="P804" s="244">
        <f>D804+G804+J804+M804</f>
        <v>649.53848000000005</v>
      </c>
      <c r="Q804" s="246"/>
      <c r="R804" s="282"/>
      <c r="S804" s="357"/>
      <c r="T804" s="357"/>
    </row>
    <row r="805" spans="2:20" s="24" customFormat="1">
      <c r="B805" s="127" t="str">
        <f>'корпоративный баланс энергии'!H814</f>
        <v>Аргаяшская ТЭЦ (ОАО "Фортум" филиал Энергосистема "Урал") ТГ-4 НВ, ДПМ 01.04.2016</v>
      </c>
      <c r="C805" s="516"/>
      <c r="D805" s="281">
        <f>'корпоративный баланс энергии'!J814+'корпоративный баланс энергии'!M814+'корпоративный баланс энергии'!P814</f>
        <v>96.965000000000003</v>
      </c>
      <c r="E805" s="246"/>
      <c r="F805" s="282"/>
      <c r="G805" s="244">
        <f>'корпоративный баланс энергии'!S814+'корпоративный баланс энергии'!V814+'корпоративный баланс энергии'!Y814</f>
        <v>94.739000000000004</v>
      </c>
      <c r="H805" s="246"/>
      <c r="I805" s="282"/>
      <c r="J805" s="244">
        <f>'корпоративный баланс энергии'!AB814+'корпоративный баланс энергии'!AE814+'корпоративный баланс энергии'!AH814</f>
        <v>98.760999999999996</v>
      </c>
      <c r="K805" s="246"/>
      <c r="L805" s="282"/>
      <c r="M805" s="244">
        <f>'корпоративный баланс энергии'!AK814+'корпоративный баланс энергии'!AN814+'корпоративный баланс энергии'!AQ814</f>
        <v>118.488</v>
      </c>
      <c r="N805" s="246"/>
      <c r="O805" s="282"/>
      <c r="P805" s="244">
        <f>D805+G805+J805+M805</f>
        <v>408.95300000000003</v>
      </c>
      <c r="Q805" s="246"/>
      <c r="R805" s="282"/>
      <c r="S805" s="357"/>
      <c r="T805" s="357"/>
    </row>
    <row r="806" spans="2:20" s="24" customFormat="1">
      <c r="B806" s="127" t="str">
        <f>'корпоративный баланс энергии'!H815</f>
        <v>Аргаяшская ТЭЦ (ОАО "Фортум" филиал Энергосистема "Урал") ТГ-6,7 ВР</v>
      </c>
      <c r="C806" s="516"/>
      <c r="D806" s="281">
        <f>'корпоративный баланс энергии'!J815+'корпоративный баланс энергии'!M815+'корпоративный баланс энергии'!P815</f>
        <v>53.0184</v>
      </c>
      <c r="E806" s="246"/>
      <c r="F806" s="282"/>
      <c r="G806" s="244">
        <f>'корпоративный баланс энергии'!S815+'корпоративный баланс энергии'!V815+'корпоративный баланс энергии'!Y815</f>
        <v>30.840000000000003</v>
      </c>
      <c r="H806" s="246"/>
      <c r="I806" s="282"/>
      <c r="J806" s="244">
        <f>'корпоративный баланс энергии'!AB815+'корпоративный баланс энергии'!AE815+'корпоративный баланс энергии'!AH815</f>
        <v>33.900216</v>
      </c>
      <c r="K806" s="246"/>
      <c r="L806" s="282"/>
      <c r="M806" s="244">
        <f>'корпоративный баланс энергии'!AK815+'корпоративный баланс энергии'!AN815+'корпоративный баланс энергии'!AQ815</f>
        <v>43.935000000000002</v>
      </c>
      <c r="N806" s="246"/>
      <c r="O806" s="282"/>
      <c r="P806" s="244">
        <f>D806+G806+J806+M806</f>
        <v>161.69361600000002</v>
      </c>
      <c r="Q806" s="246"/>
      <c r="R806" s="282"/>
      <c r="S806" s="357"/>
      <c r="T806" s="357"/>
    </row>
    <row r="807" spans="2:20" s="24" customFormat="1">
      <c r="B807" s="132" t="str">
        <f>'корпоративный баланс энергии'!H816</f>
        <v>Челябинская ТЭЦ-4  (ПАО "Фортум" филиал Энергосистема "Урал")</v>
      </c>
      <c r="C807" s="516" t="s">
        <v>364</v>
      </c>
      <c r="D807" s="317">
        <f>SUM(D808:D810)</f>
        <v>1297.8050307000487</v>
      </c>
      <c r="E807" s="246"/>
      <c r="F807" s="282"/>
      <c r="G807" s="317">
        <f>SUM(G808:G810)</f>
        <v>1157.3266588448816</v>
      </c>
      <c r="H807" s="246"/>
      <c r="I807" s="282"/>
      <c r="J807" s="317">
        <f>SUM(J808:J810)</f>
        <v>1120.399283972587</v>
      </c>
      <c r="K807" s="246"/>
      <c r="L807" s="282"/>
      <c r="M807" s="317">
        <f>SUM(M808:M810)</f>
        <v>1242.8687806409516</v>
      </c>
      <c r="N807" s="246"/>
      <c r="O807" s="282"/>
      <c r="P807" s="317">
        <f>SUM(P808:P810)</f>
        <v>4818.3997541584686</v>
      </c>
      <c r="Q807" s="246"/>
      <c r="R807" s="282"/>
      <c r="S807" s="357"/>
      <c r="T807" s="357"/>
    </row>
    <row r="808" spans="2:20" s="24" customFormat="1">
      <c r="B808" s="127" t="str">
        <f>'корпоративный баланс энергии'!H817</f>
        <v>Челябинская ТЭЦ-4 (ОАО "Фортум" филиал Энергосистема "Урал") ПГУ-1 247,5 МВт НВ, ДПМ 01.12.2015</v>
      </c>
      <c r="C808" s="487"/>
      <c r="D808" s="281">
        <f>'корпоративный баланс энергии'!J817+'корпоративный баланс энергии'!M817+'корпоративный баланс энергии'!P817</f>
        <v>476.0550421340252</v>
      </c>
      <c r="E808" s="246"/>
      <c r="F808" s="282"/>
      <c r="G808" s="244">
        <f>'корпоративный баланс энергии'!S817+'корпоративный баланс энергии'!V817+'корпоративный баланс энергии'!Y817</f>
        <v>432.3220995047987</v>
      </c>
      <c r="H808" s="246"/>
      <c r="I808" s="282"/>
      <c r="J808" s="244">
        <f>'корпоративный баланс энергии'!AB817+'корпоративный баланс энергии'!AE817+'корпоративный баланс энергии'!AH817</f>
        <v>349.10369710752104</v>
      </c>
      <c r="K808" s="246"/>
      <c r="L808" s="282"/>
      <c r="M808" s="244">
        <f>'корпоративный баланс энергии'!AK817+'корпоративный баланс энергии'!AN817+'корпоративный баланс энергии'!AQ817</f>
        <v>430.82159999999971</v>
      </c>
      <c r="N808" s="246"/>
      <c r="O808" s="282"/>
      <c r="P808" s="244">
        <f>D808+G808+J808+M808</f>
        <v>1688.3024387463447</v>
      </c>
      <c r="Q808" s="246"/>
      <c r="R808" s="282"/>
      <c r="S808" s="357"/>
      <c r="T808" s="357"/>
    </row>
    <row r="809" spans="2:20" s="24" customFormat="1">
      <c r="B809" s="127" t="str">
        <f>'корпоративный баланс энергии'!H818</f>
        <v>Челябинская ТЭЦ-4 (ОАО "Фортум" филиал Энергосистема "Урал") ПГУ-2 247,5 МВт НВ, ДПМ 01.03.2016</v>
      </c>
      <c r="C809" s="487"/>
      <c r="D809" s="281">
        <f>'корпоративный баланс энергии'!J818+'корпоративный баланс энергии'!M818+'корпоративный баланс энергии'!P818</f>
        <v>401.01343999999938</v>
      </c>
      <c r="E809" s="246"/>
      <c r="F809" s="282"/>
      <c r="G809" s="244">
        <f>'корпоративный баланс энергии'!S818+'корпоративный баланс энергии'!V818+'корпоративный баланс энергии'!Y818</f>
        <v>277.75278845610387</v>
      </c>
      <c r="H809" s="246"/>
      <c r="I809" s="282"/>
      <c r="J809" s="244">
        <f>'корпоративный баланс энергии'!AB818+'корпоративный баланс энергии'!AE818+'корпоративный баланс энергии'!AH818</f>
        <v>327.94824190614696</v>
      </c>
      <c r="K809" s="246"/>
      <c r="L809" s="282"/>
      <c r="M809" s="244">
        <f>'корпоративный баланс энергии'!AK818+'корпоративный баланс энергии'!AN818+'корпоративный баланс энергии'!AQ818</f>
        <v>446.83568076276765</v>
      </c>
      <c r="N809" s="246"/>
      <c r="O809" s="282"/>
      <c r="P809" s="244">
        <f>D809+G809+J809+M809</f>
        <v>1453.5501511250179</v>
      </c>
      <c r="Q809" s="246"/>
      <c r="R809" s="282"/>
      <c r="S809" s="357"/>
      <c r="T809" s="357"/>
    </row>
    <row r="810" spans="2:20" s="24" customFormat="1">
      <c r="B810" s="127" t="str">
        <f>'корпоративный баланс энергии'!H819</f>
        <v>Челябинская ТЭЦ-4 (ОАО "Фортум" филиал Энергосистема "Урал") ПГУ-3 247,5 МВт НВ, ДПМ 01.04.2016</v>
      </c>
      <c r="C810" s="487"/>
      <c r="D810" s="281">
        <f>'корпоративный баланс энергии'!J819+'корпоративный баланс энергии'!M819+'корпоративный баланс энергии'!P819</f>
        <v>420.73654856602406</v>
      </c>
      <c r="E810" s="246"/>
      <c r="F810" s="282"/>
      <c r="G810" s="244">
        <f>'корпоративный баланс энергии'!S819+'корпоративный баланс энергии'!V819+'корпоративный баланс энергии'!Y819</f>
        <v>447.25177088397908</v>
      </c>
      <c r="H810" s="246"/>
      <c r="I810" s="282"/>
      <c r="J810" s="244">
        <f>'корпоративный баланс энергии'!AB819+'корпоративный баланс энергии'!AE819+'корпоративный баланс энергии'!AH819</f>
        <v>443.34734495891905</v>
      </c>
      <c r="K810" s="246"/>
      <c r="L810" s="282"/>
      <c r="M810" s="244">
        <f>'корпоративный баланс энергии'!AK819+'корпоративный баланс энергии'!AN819+'корпоративный баланс энергии'!AQ819</f>
        <v>365.21149987818421</v>
      </c>
      <c r="N810" s="246"/>
      <c r="O810" s="282"/>
      <c r="P810" s="244">
        <f>D810+G810+J810+M810</f>
        <v>1676.5471642871064</v>
      </c>
      <c r="Q810" s="246"/>
      <c r="R810" s="282"/>
      <c r="S810" s="357"/>
      <c r="T810" s="357"/>
    </row>
    <row r="811" spans="2:20" s="24" customFormat="1">
      <c r="B811" s="132" t="str">
        <f>'корпоративный баланс энергии'!H820</f>
        <v>Троицкая ГРЭС (филиал ПАО "ОГК-2")</v>
      </c>
      <c r="C811" s="516" t="s">
        <v>364</v>
      </c>
      <c r="D811" s="317">
        <f>D812+D813</f>
        <v>210</v>
      </c>
      <c r="E811" s="246"/>
      <c r="F811" s="282"/>
      <c r="G811" s="317">
        <f>G812+G813</f>
        <v>149</v>
      </c>
      <c r="H811" s="246"/>
      <c r="I811" s="282"/>
      <c r="J811" s="317">
        <f>J812+J813</f>
        <v>156</v>
      </c>
      <c r="K811" s="246"/>
      <c r="L811" s="282"/>
      <c r="M811" s="317">
        <f>M812+M813</f>
        <v>127</v>
      </c>
      <c r="N811" s="246"/>
      <c r="O811" s="282"/>
      <c r="P811" s="317">
        <f>P812+P813</f>
        <v>642</v>
      </c>
      <c r="Q811" s="246"/>
      <c r="R811" s="282"/>
      <c r="S811" s="357"/>
      <c r="T811" s="357"/>
    </row>
    <row r="812" spans="2:20" s="24" customFormat="1">
      <c r="B812" s="127" t="str">
        <f>'корпоративный баланс энергии'!H821</f>
        <v>Троицкая ГРЭС (филиал ПАО "ОГК-2")  без ДПМ/НВ/ВР</v>
      </c>
      <c r="C812" s="487"/>
      <c r="D812" s="281">
        <f>'корпоративный баланс энергии'!J821+'корпоративный баланс энергии'!M821+'корпоративный баланс энергии'!P821</f>
        <v>108</v>
      </c>
      <c r="E812" s="246"/>
      <c r="F812" s="282"/>
      <c r="G812" s="244">
        <f>'корпоративный баланс энергии'!S821+'корпоративный баланс энергии'!V821+'корпоративный баланс энергии'!Y821</f>
        <v>70</v>
      </c>
      <c r="H812" s="246"/>
      <c r="I812" s="282"/>
      <c r="J812" s="244">
        <f>'корпоративный баланс энергии'!AB821+'корпоративный баланс энергии'!AE821+'корпоративный баланс энергии'!AH821</f>
        <v>23</v>
      </c>
      <c r="K812" s="246"/>
      <c r="L812" s="282"/>
      <c r="M812" s="244">
        <f>'корпоративный баланс энергии'!AK821+'корпоративный баланс энергии'!AN821+'корпоративный баланс энергии'!AQ821</f>
        <v>36</v>
      </c>
      <c r="N812" s="246"/>
      <c r="O812" s="282"/>
      <c r="P812" s="244">
        <f>D812+G812+J812+M812</f>
        <v>237</v>
      </c>
      <c r="Q812" s="246"/>
      <c r="R812" s="282"/>
      <c r="S812" s="357"/>
      <c r="T812" s="357"/>
    </row>
    <row r="813" spans="2:20" s="24" customFormat="1">
      <c r="B813" s="127" t="str">
        <f>'корпоративный баланс энергии'!H822</f>
        <v>Троицкая ГРЭС (филиал ПАО "ОГК-2")  БЛ-10 660 МВт НВ, ДПМ 01.12.2015</v>
      </c>
      <c r="C813" s="487"/>
      <c r="D813" s="281">
        <f>'корпоративный баланс энергии'!J822+'корпоративный баланс энергии'!M822+'корпоративный баланс энергии'!P822</f>
        <v>102</v>
      </c>
      <c r="E813" s="246"/>
      <c r="F813" s="282"/>
      <c r="G813" s="244">
        <f>'корпоративный баланс энергии'!S822+'корпоративный баланс энергии'!V822+'корпоративный баланс энергии'!Y822</f>
        <v>79</v>
      </c>
      <c r="H813" s="246"/>
      <c r="I813" s="282"/>
      <c r="J813" s="244">
        <f>'корпоративный баланс энергии'!AB822+'корпоративный баланс энергии'!AE822+'корпоративный баланс энергии'!AH822</f>
        <v>133</v>
      </c>
      <c r="K813" s="246"/>
      <c r="L813" s="282"/>
      <c r="M813" s="244">
        <f>'корпоративный баланс энергии'!AK822+'корпоративный баланс энергии'!AN822+'корпоративный баланс энергии'!AQ822</f>
        <v>91</v>
      </c>
      <c r="N813" s="246"/>
      <c r="O813" s="282"/>
      <c r="P813" s="244">
        <f>D813+G813+J813+M813</f>
        <v>405</v>
      </c>
      <c r="Q813" s="246"/>
      <c r="R813" s="282"/>
      <c r="S813" s="357"/>
      <c r="T813" s="357"/>
    </row>
    <row r="814" spans="2:20" s="24" customFormat="1">
      <c r="B814" s="127" t="str">
        <f>'корпоративный баланс энергии'!H823</f>
        <v>Южноуральская ГРЭС (филиал АО "Интер РАО - Электрогенерация")</v>
      </c>
      <c r="C814" s="516" t="s">
        <v>364</v>
      </c>
      <c r="D814" s="281">
        <f>'корпоративный баланс энергии'!J823+'корпоративный баланс энергии'!M823+'корпоративный баланс энергии'!P823</f>
        <v>516.40800000000002</v>
      </c>
      <c r="E814" s="246"/>
      <c r="F814" s="282"/>
      <c r="G814" s="244">
        <f>'корпоративный баланс энергии'!S823+'корпоративный баланс энергии'!V823+'корпоративный баланс энергии'!Y823</f>
        <v>403.75199999999995</v>
      </c>
      <c r="H814" s="246"/>
      <c r="I814" s="282"/>
      <c r="J814" s="244">
        <f>'корпоративный баланс энергии'!AB823+'корпоративный баланс энергии'!AE823+'корпоративный баланс энергии'!AH823</f>
        <v>397.88</v>
      </c>
      <c r="K814" s="246"/>
      <c r="L814" s="282"/>
      <c r="M814" s="244">
        <f>'корпоративный баланс энергии'!AK823+'корпоративный баланс энергии'!AN823+'корпоративный баланс энергии'!AQ823</f>
        <v>475.53839999999991</v>
      </c>
      <c r="N814" s="246"/>
      <c r="O814" s="282"/>
      <c r="P814" s="244">
        <f>D814+G814+J814+M814</f>
        <v>1793.5783999999999</v>
      </c>
      <c r="Q814" s="246"/>
      <c r="R814" s="282"/>
      <c r="S814" s="357"/>
      <c r="T814" s="357"/>
    </row>
    <row r="815" spans="2:20" s="24" customFormat="1">
      <c r="B815" s="132" t="str">
        <f>'корпоративный баланс энергии'!H824</f>
        <v>Южноуральская ГРЭС - 2 (филиал АО "Интер РАО - Электрогенерация")</v>
      </c>
      <c r="C815" s="516" t="s">
        <v>364</v>
      </c>
      <c r="D815" s="317">
        <f>D816+D817</f>
        <v>1408.3000000000002</v>
      </c>
      <c r="E815" s="246"/>
      <c r="F815" s="282"/>
      <c r="G815" s="317">
        <f>G816+G817</f>
        <v>1304.5900000000001</v>
      </c>
      <c r="H815" s="246"/>
      <c r="I815" s="282"/>
      <c r="J815" s="317">
        <f>J816+J817</f>
        <v>1305.0000000000005</v>
      </c>
      <c r="K815" s="246"/>
      <c r="L815" s="282"/>
      <c r="M815" s="317">
        <f>M816+M817</f>
        <v>1400.1</v>
      </c>
      <c r="N815" s="246"/>
      <c r="O815" s="282"/>
      <c r="P815" s="317">
        <f>P816+P817</f>
        <v>5417.9900000000016</v>
      </c>
      <c r="Q815" s="246"/>
      <c r="R815" s="282"/>
      <c r="S815" s="357"/>
      <c r="T815" s="357"/>
    </row>
    <row r="816" spans="2:20" s="24" customFormat="1">
      <c r="B816" s="127" t="str">
        <f>'корпоративный баланс энергии'!H825</f>
        <v>Южноуральская ГРЭС-2 (филиал АО "Интер РАО - Электрогенерация") БЛ-1 ПГУ-408 НВ, ДПМ 04.02.2014</v>
      </c>
      <c r="C816" s="486"/>
      <c r="D816" s="281">
        <f>'корпоративный баланс энергии'!J825+'корпоративный баланс энергии'!M825+'корпоративный баланс энергии'!P825</f>
        <v>634.60000000000014</v>
      </c>
      <c r="E816" s="246"/>
      <c r="F816" s="282"/>
      <c r="G816" s="244">
        <f>'корпоративный баланс энергии'!S825+'корпоративный баланс энергии'!V825+'корпоративный баланс энергии'!Y825</f>
        <v>600.69000000000005</v>
      </c>
      <c r="H816" s="246"/>
      <c r="I816" s="282"/>
      <c r="J816" s="244">
        <f>'корпоративный баланс энергии'!AB825+'корпоративный баланс энергии'!AE825+'корпоративный баланс энергии'!AH825</f>
        <v>673.90000000000032</v>
      </c>
      <c r="K816" s="246"/>
      <c r="L816" s="282"/>
      <c r="M816" s="244">
        <f>'корпоративный баланс энергии'!AK825+'корпоративный баланс энергии'!AN825+'корпоративный баланс энергии'!AQ825</f>
        <v>769.8</v>
      </c>
      <c r="N816" s="246"/>
      <c r="O816" s="282"/>
      <c r="P816" s="244">
        <f>D816+G816+J816+M816</f>
        <v>2678.9900000000007</v>
      </c>
      <c r="Q816" s="246"/>
      <c r="R816" s="282"/>
      <c r="S816" s="357"/>
      <c r="T816" s="357"/>
    </row>
    <row r="817" spans="2:20" s="24" customFormat="1">
      <c r="B817" s="127" t="str">
        <f>'корпоративный баланс энергии'!H826</f>
        <v>Южноуральская ГРЭС-2 (филиал АО "Интер РАО - Электрогенерация") БЛ-2  ПГУ-419,6 НВ, ДПМ 28.10.2014</v>
      </c>
      <c r="C817" s="486"/>
      <c r="D817" s="281">
        <f>'корпоративный баланс энергии'!J826+'корпоративный баланс энергии'!M826+'корпоративный баланс энергии'!P826</f>
        <v>773.7</v>
      </c>
      <c r="E817" s="246"/>
      <c r="F817" s="282"/>
      <c r="G817" s="244">
        <f>'корпоративный баланс энергии'!S826+'корпоративный баланс энергии'!V826+'корпоративный баланс энергии'!Y826</f>
        <v>703.9000000000002</v>
      </c>
      <c r="H817" s="246"/>
      <c r="I817" s="282"/>
      <c r="J817" s="244">
        <f>'корпоративный баланс энергии'!AB826+'корпоративный баланс энергии'!AE826+'корпоративный баланс энергии'!AH826</f>
        <v>631.10000000000014</v>
      </c>
      <c r="K817" s="246"/>
      <c r="L817" s="282"/>
      <c r="M817" s="244">
        <f>'корпоративный баланс энергии'!AK826+'корпоративный баланс энергии'!AN826+'корпоративный баланс энергии'!AQ826</f>
        <v>630.30000000000007</v>
      </c>
      <c r="N817" s="246"/>
      <c r="O817" s="282"/>
      <c r="P817" s="244">
        <f>D817+G817+J817+M817</f>
        <v>2739.0000000000009</v>
      </c>
      <c r="Q817" s="246"/>
      <c r="R817" s="282"/>
      <c r="S817" s="357"/>
      <c r="T817" s="357"/>
    </row>
    <row r="818" spans="2:20" s="24" customFormat="1">
      <c r="B818" s="127" t="str">
        <f>'корпоративный баланс энергии'!H827</f>
        <v>Магнитогорская ГТ-ТЭЦ (АО "ГТ Энерго")</v>
      </c>
      <c r="C818" s="516" t="s">
        <v>364</v>
      </c>
      <c r="D818" s="281">
        <f>'корпоративный баланс энергии'!J827+'корпоративный баланс энергии'!M827+'корпоративный баланс энергии'!P827</f>
        <v>22.425699999999999</v>
      </c>
      <c r="E818" s="246"/>
      <c r="F818" s="282"/>
      <c r="G818" s="244">
        <f>'корпоративный баланс энергии'!S827+'корпоративный баланс энергии'!V827+'корпоративный баланс энергии'!Y827</f>
        <v>21.801000000000002</v>
      </c>
      <c r="H818" s="246"/>
      <c r="I818" s="282"/>
      <c r="J818" s="244">
        <f>'корпоративный баланс энергии'!AB827+'корпоративный баланс энергии'!AE827+'корпоративный баланс энергии'!AH827</f>
        <v>23.304600000000001</v>
      </c>
      <c r="K818" s="246"/>
      <c r="L818" s="282"/>
      <c r="M818" s="244">
        <f>'корпоративный баланс энергии'!AK827+'корпоративный баланс энергии'!AN827+'корпоративный баланс энергии'!AQ827</f>
        <v>21.734400000000001</v>
      </c>
      <c r="N818" s="246"/>
      <c r="O818" s="282"/>
      <c r="P818" s="244">
        <f>D818+G818+J818+M818</f>
        <v>89.26570000000001</v>
      </c>
      <c r="Q818" s="246"/>
      <c r="R818" s="282"/>
      <c r="S818" s="357"/>
      <c r="T818" s="357"/>
    </row>
    <row r="819" spans="2:20" s="24" customFormat="1">
      <c r="B819" s="127" t="str">
        <f>'корпоративный баланс энергии'!H828</f>
        <v>Карабашская МКЭУ (ООО "Перспектива") МКЭУ Карабаш</v>
      </c>
      <c r="C819" s="516" t="s">
        <v>365</v>
      </c>
      <c r="D819" s="281">
        <f>'корпоративный баланс энергии'!J828+'корпоративный баланс энергии'!M828+'корпоративный баланс энергии'!P828</f>
        <v>36.061920000000001</v>
      </c>
      <c r="E819" s="246"/>
      <c r="F819" s="282"/>
      <c r="G819" s="244">
        <f>'корпоративный баланс энергии'!S828+'корпоративный баланс энергии'!V828+'корпоративный баланс энергии'!Y828</f>
        <v>25.267919999999997</v>
      </c>
      <c r="H819" s="246"/>
      <c r="I819" s="282"/>
      <c r="J819" s="244">
        <f>'корпоративный баланс энергии'!AB828+'корпоративный баланс энергии'!AE828+'корпоративный баланс энергии'!AH828</f>
        <v>27.108000000000001</v>
      </c>
      <c r="K819" s="246"/>
      <c r="L819" s="282"/>
      <c r="M819" s="244">
        <f>'корпоративный баланс энергии'!AK828+'корпоративный баланс энергии'!AN828+'корпоративный баланс энергии'!AQ828</f>
        <v>38.190480000000001</v>
      </c>
      <c r="N819" s="246"/>
      <c r="O819" s="282"/>
      <c r="P819" s="244">
        <f>D819+G819+J819+M819</f>
        <v>126.62832</v>
      </c>
      <c r="Q819" s="246"/>
      <c r="R819" s="282"/>
      <c r="S819" s="357"/>
      <c r="T819" s="357"/>
    </row>
    <row r="820" spans="2:20" s="24" customFormat="1">
      <c r="B820" s="127" t="str">
        <f>'корпоративный баланс энергии'!H829</f>
        <v>Каслинская МКЭУ (ООО "Перспектива")</v>
      </c>
      <c r="C820" s="516" t="s">
        <v>365</v>
      </c>
      <c r="D820" s="281">
        <f>'корпоративный баланс энергии'!J829+'корпоративный баланс энергии'!M829+'корпоративный баланс энергии'!P829</f>
        <v>36.061920000000001</v>
      </c>
      <c r="E820" s="246"/>
      <c r="F820" s="282"/>
      <c r="G820" s="244">
        <f>'корпоративный баланс энергии'!S829+'корпоративный баланс энергии'!V829+'корпоративный баланс энергии'!Y829</f>
        <v>25.944719999999997</v>
      </c>
      <c r="H820" s="246"/>
      <c r="I820" s="282"/>
      <c r="J820" s="244">
        <f>'корпоративный баланс энергии'!AB829+'корпоративный баланс энергии'!AE829+'корпоративный баланс энергии'!AH829</f>
        <v>25.024799999999999</v>
      </c>
      <c r="K820" s="246"/>
      <c r="L820" s="282"/>
      <c r="M820" s="244">
        <f>'корпоративный баланс энергии'!AK829+'корпоративный баланс энергии'!AN829+'корпоративный баланс энергии'!AQ829</f>
        <v>38.190480000000001</v>
      </c>
      <c r="N820" s="246"/>
      <c r="O820" s="282"/>
      <c r="P820" s="244">
        <f>D820+G820+J820+M820</f>
        <v>125.22192000000001</v>
      </c>
      <c r="Q820" s="246"/>
      <c r="R820" s="282"/>
      <c r="S820" s="357"/>
      <c r="T820" s="357"/>
    </row>
    <row r="821" spans="2:20" s="24" customFormat="1">
      <c r="B821" s="138" t="s">
        <v>174</v>
      </c>
      <c r="C821" s="518"/>
      <c r="D821" s="287">
        <f>SUM(D822:D839)</f>
        <v>2053.1636399999993</v>
      </c>
      <c r="E821" s="288"/>
      <c r="F821" s="289"/>
      <c r="G821" s="287">
        <f>SUM(G822:G839)</f>
        <v>1822.7725599999997</v>
      </c>
      <c r="H821" s="288"/>
      <c r="I821" s="289"/>
      <c r="J821" s="287">
        <f>SUM(J822:J839)</f>
        <v>1801.44652</v>
      </c>
      <c r="K821" s="288"/>
      <c r="L821" s="289"/>
      <c r="M821" s="287">
        <f>SUM(M822:M839)</f>
        <v>2084.5705199999998</v>
      </c>
      <c r="N821" s="288"/>
      <c r="O821" s="289"/>
      <c r="P821" s="287">
        <f>SUM(P822:P839)</f>
        <v>7761.9532400000016</v>
      </c>
      <c r="Q821" s="288"/>
      <c r="R821" s="289"/>
      <c r="S821" s="357"/>
      <c r="T821" s="357"/>
    </row>
    <row r="822" spans="2:20" s="24" customFormat="1">
      <c r="B822" s="135" t="str">
        <f>'корпоративный баланс энергии'!H831</f>
        <v>Магнитогорская ТЭЦ (ПАО "Магнитогорский металлургический комбинат")</v>
      </c>
      <c r="C822" s="518" t="s">
        <v>365</v>
      </c>
      <c r="D822" s="293">
        <f>'корпоративный баланс энергии'!J831+'корпоративный баланс энергии'!M831+'корпоративный баланс энергии'!P831</f>
        <v>642.48</v>
      </c>
      <c r="E822" s="288"/>
      <c r="F822" s="289"/>
      <c r="G822" s="294">
        <f>'корпоративный баланс энергии'!S831+'корпоративный баланс энергии'!V831+'корпоративный баланс энергии'!Y831</f>
        <v>579.68399999999997</v>
      </c>
      <c r="H822" s="288"/>
      <c r="I822" s="289"/>
      <c r="J822" s="294">
        <f>'корпоративный баланс энергии'!AB831+'корпоративный баланс энергии'!AE831+'корпоративный баланс энергии'!AH831</f>
        <v>569.61599999999999</v>
      </c>
      <c r="K822" s="288"/>
      <c r="L822" s="289"/>
      <c r="M822" s="294">
        <f>'корпоративный баланс энергии'!AK831+'корпоративный баланс энергии'!AN831+'корпоративный баланс энергии'!AQ831</f>
        <v>635.976</v>
      </c>
      <c r="N822" s="288"/>
      <c r="O822" s="289"/>
      <c r="P822" s="294">
        <f>D822+G822+J822+M822</f>
        <v>2427.7559999999999</v>
      </c>
      <c r="Q822" s="288"/>
      <c r="R822" s="289"/>
      <c r="S822" s="357"/>
      <c r="T822" s="357"/>
    </row>
    <row r="823" spans="2:20" s="24" customFormat="1">
      <c r="B823" s="135" t="str">
        <f>'корпоративный баланс энергии'!H832</f>
        <v>Магнитогорская ЦЭС (ПАО "Магнитогорский металлургический комбинат")</v>
      </c>
      <c r="C823" s="518" t="s">
        <v>365</v>
      </c>
      <c r="D823" s="293">
        <f>'корпоративный баланс энергии'!J832+'корпоративный баланс энергии'!M832+'корпоративный баланс энергии'!P832</f>
        <v>450.92399999999998</v>
      </c>
      <c r="E823" s="288"/>
      <c r="F823" s="289"/>
      <c r="G823" s="294">
        <f>'корпоративный баланс энергии'!S832+'корпоративный баланс энергии'!V832+'корпоративный баланс энергии'!Y832</f>
        <v>414.94799999999998</v>
      </c>
      <c r="H823" s="288"/>
      <c r="I823" s="289"/>
      <c r="J823" s="294">
        <f>'корпоративный баланс энергии'!AB832+'корпоративный баланс энергии'!AE832+'корпоративный баланс энергии'!AH832</f>
        <v>385.91279999999995</v>
      </c>
      <c r="K823" s="288"/>
      <c r="L823" s="289"/>
      <c r="M823" s="294">
        <f>'корпоративный баланс энергии'!AK832+'корпоративный баланс энергии'!AN832+'корпоративный баланс энергии'!AQ832</f>
        <v>423.52319999999997</v>
      </c>
      <c r="N823" s="288"/>
      <c r="O823" s="289"/>
      <c r="P823" s="294">
        <f t="shared" ref="P823:P836" si="52">D823+G823+J823+M823</f>
        <v>1675.308</v>
      </c>
      <c r="Q823" s="288"/>
      <c r="R823" s="289"/>
      <c r="S823" s="357"/>
      <c r="T823" s="357"/>
    </row>
    <row r="824" spans="2:20" s="24" customFormat="1">
      <c r="B824" s="135" t="str">
        <f>'корпоративный баланс энергии'!H833</f>
        <v>ПВС 1, 2 (ПАО "Магнитогорский металлургический комбинат")</v>
      </c>
      <c r="C824" s="518" t="s">
        <v>365</v>
      </c>
      <c r="D824" s="293">
        <f>'корпоративный баланс энергии'!J833+'корпоративный баланс энергии'!M833+'корпоративный баланс энергии'!P833</f>
        <v>207.4992</v>
      </c>
      <c r="E824" s="288"/>
      <c r="F824" s="289"/>
      <c r="G824" s="294">
        <f>'корпоративный баланс энергии'!S833+'корпоративный баланс энергии'!V833+'корпоративный баланс энергии'!Y833</f>
        <v>174.97199999999998</v>
      </c>
      <c r="H824" s="288"/>
      <c r="I824" s="289"/>
      <c r="J824" s="294">
        <f>'корпоративный баланс энергии'!AB833+'корпоративный баланс энергии'!AE833+'корпоративный баланс энергии'!AH833</f>
        <v>181.62</v>
      </c>
      <c r="K824" s="288"/>
      <c r="L824" s="289"/>
      <c r="M824" s="294">
        <f>'корпоративный баланс энергии'!AK833+'корпоративный баланс энергии'!AN833+'корпоративный баланс энергии'!AQ833</f>
        <v>207.62880000000001</v>
      </c>
      <c r="N824" s="288"/>
      <c r="O824" s="289"/>
      <c r="P824" s="294">
        <f t="shared" si="52"/>
        <v>771.72</v>
      </c>
      <c r="Q824" s="288"/>
      <c r="R824" s="289"/>
      <c r="S824" s="357"/>
      <c r="T824" s="357"/>
    </row>
    <row r="825" spans="2:20" s="24" customFormat="1">
      <c r="B825" s="135" t="str">
        <f>'корпоративный баланс энергии'!H834</f>
        <v>ПСЦ (ПАО "Магнитогорский металлургический комбинат")</v>
      </c>
      <c r="C825" s="518" t="s">
        <v>365</v>
      </c>
      <c r="D825" s="293">
        <f>'корпоративный баланс энергии'!J834+'корпоративный баланс энергии'!M834+'корпоративный баланс энергии'!P834</f>
        <v>27.119999999999997</v>
      </c>
      <c r="E825" s="288"/>
      <c r="F825" s="289"/>
      <c r="G825" s="294">
        <f>'корпоративный баланс энергии'!S834+'корпоративный баланс энергии'!V834+'корпоративный баланс энергии'!Y834</f>
        <v>20.896000000000001</v>
      </c>
      <c r="H825" s="288"/>
      <c r="I825" s="289"/>
      <c r="J825" s="294">
        <f>'корпоративный баланс энергии'!AB834+'корпоративный баланс энергии'!AE834+'корпоративный баланс энергии'!AH834</f>
        <v>20.207999999999998</v>
      </c>
      <c r="K825" s="288"/>
      <c r="L825" s="289"/>
      <c r="M825" s="294">
        <f>'корпоративный баланс энергии'!AK834+'корпоративный баланс энергии'!AN834+'корпоративный баланс энергии'!AQ834</f>
        <v>27.196799999999996</v>
      </c>
      <c r="N825" s="288"/>
      <c r="O825" s="289"/>
      <c r="P825" s="294">
        <f t="shared" si="52"/>
        <v>95.420799999999986</v>
      </c>
      <c r="Q825" s="288"/>
      <c r="R825" s="289"/>
      <c r="S825" s="357"/>
      <c r="T825" s="357"/>
    </row>
    <row r="826" spans="2:20" s="24" customFormat="1">
      <c r="B826" s="135" t="str">
        <f>'корпоративный баланс энергии'!H835</f>
        <v>ТЭЦ ЧМК (ПАО "Челябинский металлургический комбинат")</v>
      </c>
      <c r="C826" s="518" t="s">
        <v>365</v>
      </c>
      <c r="D826" s="293">
        <f>'корпоративный баланс энергии'!J835+'корпоративный баланс энергии'!M835+'корпоративный баланс энергии'!P835</f>
        <v>421</v>
      </c>
      <c r="E826" s="288"/>
      <c r="F826" s="289"/>
      <c r="G826" s="294">
        <f>'корпоративный баланс энергии'!S835+'корпоративный баланс энергии'!V835+'корпоративный баланс энергии'!Y835</f>
        <v>355</v>
      </c>
      <c r="H826" s="288"/>
      <c r="I826" s="289"/>
      <c r="J826" s="294">
        <f>'корпоративный баланс энергии'!AB835+'корпоративный баланс энергии'!AE835+'корпоративный баланс энергии'!AH835</f>
        <v>390</v>
      </c>
      <c r="K826" s="288"/>
      <c r="L826" s="289"/>
      <c r="M826" s="294">
        <f>'корпоративный баланс энергии'!AK835+'корпоративный баланс энергии'!AN835+'корпоративный баланс энергии'!AQ835</f>
        <v>463</v>
      </c>
      <c r="N826" s="288"/>
      <c r="O826" s="289"/>
      <c r="P826" s="294">
        <f t="shared" si="52"/>
        <v>1629</v>
      </c>
      <c r="Q826" s="288"/>
      <c r="R826" s="289"/>
      <c r="S826" s="357"/>
      <c r="T826" s="357"/>
    </row>
    <row r="827" spans="2:20" s="24" customFormat="1">
      <c r="B827" s="135" t="str">
        <f>'корпоративный баланс энергии'!H836</f>
        <v>Тургоякская ТЭЦ (АО "Миасский машиностроительный завод")</v>
      </c>
      <c r="C827" s="518" t="s">
        <v>365</v>
      </c>
      <c r="D827" s="293">
        <f>'корпоративный баланс энергии'!J836+'корпоративный баланс энергии'!M836+'корпоративный баланс энергии'!P836</f>
        <v>53.510000000000005</v>
      </c>
      <c r="E827" s="288"/>
      <c r="F827" s="289"/>
      <c r="G827" s="294">
        <f>'корпоративный баланс энергии'!S836+'корпоративный баланс энергии'!V836+'корпоративный баланс энергии'!Y836</f>
        <v>35.94</v>
      </c>
      <c r="H827" s="288"/>
      <c r="I827" s="289"/>
      <c r="J827" s="294">
        <f>'корпоративный баланс энергии'!AB836+'корпоративный баланс энергии'!AE836+'корпоративный баланс энергии'!AH836</f>
        <v>26.19</v>
      </c>
      <c r="K827" s="288"/>
      <c r="L827" s="289"/>
      <c r="M827" s="294">
        <f>'корпоративный баланс энергии'!AK836+'корпоративный баланс энергии'!AN836+'корпоративный баланс энергии'!AQ836</f>
        <v>54.100000000000009</v>
      </c>
      <c r="N827" s="288"/>
      <c r="O827" s="289"/>
      <c r="P827" s="294">
        <f t="shared" si="52"/>
        <v>169.74</v>
      </c>
      <c r="Q827" s="288"/>
      <c r="R827" s="289"/>
      <c r="S827" s="357"/>
      <c r="T827" s="357"/>
    </row>
    <row r="828" spans="2:20" s="24" customFormat="1">
      <c r="B828" s="135" t="str">
        <f>'корпоративный баланс энергии'!H837</f>
        <v>ТЭЦ АО "Автомобильный завод "УРАЛ"</v>
      </c>
      <c r="C828" s="518" t="s">
        <v>365</v>
      </c>
      <c r="D828" s="293">
        <f>'корпоративный баланс энергии'!J837+'корпоративный баланс энергии'!M837+'корпоративный баланс энергии'!P837</f>
        <v>40.900000000000006</v>
      </c>
      <c r="E828" s="288"/>
      <c r="F828" s="289"/>
      <c r="G828" s="294">
        <f>'корпоративный баланс энергии'!S837+'корпоративный баланс энергии'!V837+'корпоративный баланс энергии'!Y837</f>
        <v>27.599999999999998</v>
      </c>
      <c r="H828" s="288"/>
      <c r="I828" s="289"/>
      <c r="J828" s="294">
        <f>'корпоративный баланс энергии'!AB837+'корпоративный баланс энергии'!AE837+'корпоративный баланс энергии'!AH837</f>
        <v>21.6</v>
      </c>
      <c r="K828" s="288"/>
      <c r="L828" s="289"/>
      <c r="M828" s="294">
        <f>'корпоративный баланс энергии'!AK837+'корпоративный баланс энергии'!AN837+'корпоративный баланс энергии'!AQ837</f>
        <v>46.8</v>
      </c>
      <c r="N828" s="288"/>
      <c r="O828" s="289"/>
      <c r="P828" s="294">
        <f t="shared" si="52"/>
        <v>136.89999999999998</v>
      </c>
      <c r="Q828" s="288"/>
      <c r="R828" s="289"/>
      <c r="S828" s="357"/>
      <c r="T828" s="357"/>
    </row>
    <row r="829" spans="2:20" s="24" customFormat="1">
      <c r="B829" s="135" t="str">
        <f>'корпоративный баланс энергии'!H838</f>
        <v>ТЭЦ ПАО Комбинат "Магнезит"</v>
      </c>
      <c r="C829" s="518" t="s">
        <v>365</v>
      </c>
      <c r="D829" s="293">
        <f>'корпоративный баланс энергии'!J838+'корпоративный баланс энергии'!M838+'корпоративный баланс энергии'!P838</f>
        <v>35.299999999999997</v>
      </c>
      <c r="E829" s="288"/>
      <c r="F829" s="289"/>
      <c r="G829" s="294">
        <f>'корпоративный баланс энергии'!S838+'корпоративный баланс энергии'!V838+'корпоративный баланс энергии'!Y838</f>
        <v>54.199999999999996</v>
      </c>
      <c r="H829" s="288"/>
      <c r="I829" s="289"/>
      <c r="J829" s="294">
        <f>'корпоративный баланс энергии'!AB838+'корпоративный баланс энергии'!AE838+'корпоративный баланс энергии'!AH838</f>
        <v>55.4</v>
      </c>
      <c r="K829" s="288"/>
      <c r="L829" s="289"/>
      <c r="M829" s="294">
        <f>'корпоративный баланс энергии'!AK838+'корпоративный баланс энергии'!AN838+'корпоративный баланс энергии'!AQ838</f>
        <v>49.7</v>
      </c>
      <c r="N829" s="288"/>
      <c r="O829" s="289"/>
      <c r="P829" s="294">
        <f t="shared" si="52"/>
        <v>194.60000000000002</v>
      </c>
      <c r="Q829" s="288"/>
      <c r="R829" s="289"/>
      <c r="S829" s="357"/>
      <c r="T829" s="357"/>
    </row>
    <row r="830" spans="2:20" s="24" customFormat="1">
      <c r="B830" s="135" t="str">
        <f>'корпоративный баланс энергии'!H839</f>
        <v>ЦЭС ООО "ЗМЗ-Энерго" (АО "Златоустовский металлургический завод)</v>
      </c>
      <c r="C830" s="518" t="s">
        <v>365</v>
      </c>
      <c r="D830" s="293">
        <f>'корпоративный баланс энергии'!J839+'корпоративный баланс энергии'!M839+'корпоративный баланс энергии'!P839</f>
        <v>4.8000000000000007</v>
      </c>
      <c r="E830" s="288"/>
      <c r="F830" s="289"/>
      <c r="G830" s="294">
        <f>'корпоративный баланс энергии'!S839+'корпоративный баланс энергии'!V839+'корпоративный баланс энергии'!Y839</f>
        <v>3.2</v>
      </c>
      <c r="H830" s="288"/>
      <c r="I830" s="289"/>
      <c r="J830" s="294">
        <f>'корпоративный баланс энергии'!AB839+'корпоративный баланс энергии'!AE839+'корпоративный баланс энергии'!AH839</f>
        <v>2.4000000000000004</v>
      </c>
      <c r="K830" s="288"/>
      <c r="L830" s="289"/>
      <c r="M830" s="294">
        <f>'корпоративный баланс энергии'!AK839+'корпоративный баланс энергии'!AN839+'корпоративный баланс энергии'!AQ839</f>
        <v>4.8000000000000007</v>
      </c>
      <c r="N830" s="288"/>
      <c r="O830" s="289"/>
      <c r="P830" s="294">
        <f t="shared" si="52"/>
        <v>15.200000000000001</v>
      </c>
      <c r="Q830" s="288"/>
      <c r="R830" s="289"/>
      <c r="S830" s="357"/>
      <c r="T830" s="357"/>
    </row>
    <row r="831" spans="2:20" s="24" customFormat="1">
      <c r="B831" s="135" t="str">
        <f>'корпоративный баланс энергии'!H840</f>
        <v>ЦЭС ЗАО "СМЗ" (ЗАО "Саткинский чугуноплавильный завод")</v>
      </c>
      <c r="C831" s="518" t="s">
        <v>365</v>
      </c>
      <c r="D831" s="293">
        <f>'корпоративный баланс энергии'!J840+'корпоративный баланс энергии'!M840+'корпоративный баланс энергии'!P840</f>
        <v>2.61</v>
      </c>
      <c r="E831" s="288"/>
      <c r="F831" s="289"/>
      <c r="G831" s="294">
        <f>'корпоративный баланс энергии'!S840+'корпоративный баланс энергии'!V840+'корпоративный баланс энергии'!Y840</f>
        <v>2.7359999999999998</v>
      </c>
      <c r="H831" s="288"/>
      <c r="I831" s="289"/>
      <c r="J831" s="294">
        <f>'корпоративный баланс энергии'!AB840+'корпоративный баланс энергии'!AE840+'корпоративный баланс энергии'!AH840</f>
        <v>2.5</v>
      </c>
      <c r="K831" s="288"/>
      <c r="L831" s="289"/>
      <c r="M831" s="294">
        <f>'корпоративный баланс энергии'!AK840+'корпоративный баланс энергии'!AN840+'корпоративный баланс энергии'!AQ840</f>
        <v>2.5499999999999998</v>
      </c>
      <c r="N831" s="288"/>
      <c r="O831" s="289"/>
      <c r="P831" s="294">
        <f t="shared" si="52"/>
        <v>10.396000000000001</v>
      </c>
      <c r="Q831" s="288"/>
      <c r="R831" s="289"/>
      <c r="S831" s="357"/>
      <c r="T831" s="357"/>
    </row>
    <row r="832" spans="2:20" s="24" customFormat="1">
      <c r="B832" s="135" t="str">
        <f>'корпоративный баланс энергии'!H841</f>
        <v>ГПУ Вишневогорский ГОК (ООО ТД "Вишневогорский ГОК")</v>
      </c>
      <c r="C832" s="518" t="s">
        <v>365</v>
      </c>
      <c r="D832" s="293">
        <f>'корпоративный баланс энергии'!J841+'корпоративный баланс энергии'!M841+'корпоративный баланс энергии'!P841</f>
        <v>6.7485600000000003</v>
      </c>
      <c r="E832" s="288"/>
      <c r="F832" s="289"/>
      <c r="G832" s="294">
        <f>'корпоративный баланс энергии'!S841+'корпоративный баланс энергии'!V841+'корпоративный баланс энергии'!Y841</f>
        <v>6.7485599999999994</v>
      </c>
      <c r="H832" s="288"/>
      <c r="I832" s="289"/>
      <c r="J832" s="294">
        <f>'корпоративный баланс энергии'!AB841+'корпоративный баланс энергии'!AE841+'корпоративный баланс энергии'!AH841</f>
        <v>6.8227200000000003</v>
      </c>
      <c r="K832" s="288"/>
      <c r="L832" s="289"/>
      <c r="M832" s="294">
        <f>'корпоративный баланс энергии'!AK841+'корпоративный баланс энергии'!AN841+'корпоративный баланс энергии'!AQ841</f>
        <v>6.8227200000000003</v>
      </c>
      <c r="N832" s="288"/>
      <c r="O832" s="289"/>
      <c r="P832" s="294">
        <f t="shared" si="52"/>
        <v>27.14256</v>
      </c>
      <c r="Q832" s="288"/>
      <c r="R832" s="289"/>
      <c r="S832" s="357"/>
      <c r="T832" s="357"/>
    </row>
    <row r="833" spans="2:20" s="24" customFormat="1">
      <c r="B833" s="135" t="str">
        <f>'корпоративный баланс энергии'!H842</f>
        <v>ГПУ АО "ЮГК" (АО "Южуралзолото Группа Компаний")</v>
      </c>
      <c r="C833" s="518" t="s">
        <v>365</v>
      </c>
      <c r="D833" s="293">
        <f>'корпоративный баланс энергии'!J842+'корпоративный баланс энергии'!M842+'корпоративный баланс энергии'!P842</f>
        <v>34.944000000000003</v>
      </c>
      <c r="E833" s="288"/>
      <c r="F833" s="289"/>
      <c r="G833" s="294">
        <f>'корпоративный баланс энергии'!S842+'корпоративный баланс энергии'!V842+'корпоративный баланс энергии'!Y842</f>
        <v>34.94400000000001</v>
      </c>
      <c r="H833" s="288"/>
      <c r="I833" s="289"/>
      <c r="J833" s="294">
        <f>'корпоративный баланс энергии'!AB842+'корпоративный баланс энергии'!AE842+'корпоративный баланс энергии'!AH842</f>
        <v>35.32800000000001</v>
      </c>
      <c r="K833" s="288"/>
      <c r="L833" s="289"/>
      <c r="M833" s="294">
        <f>'корпоративный баланс энергии'!AK842+'корпоративный баланс энергии'!AN842+'корпоративный баланс энергии'!AQ842</f>
        <v>35.32800000000001</v>
      </c>
      <c r="N833" s="288"/>
      <c r="O833" s="289"/>
      <c r="P833" s="294">
        <f t="shared" si="52"/>
        <v>140.54400000000001</v>
      </c>
      <c r="Q833" s="288"/>
      <c r="R833" s="289"/>
      <c r="S833" s="357"/>
      <c r="T833" s="357"/>
    </row>
    <row r="834" spans="2:20" s="24" customFormat="1">
      <c r="B834" s="135" t="str">
        <f>'корпоративный баланс энергии'!H843</f>
        <v>ТЭЦ ПАО "Ашинский металлургический завод"</v>
      </c>
      <c r="C834" s="518" t="s">
        <v>365</v>
      </c>
      <c r="D834" s="293">
        <f>'корпоративный баланс энергии'!J843+'корпоративный баланс энергии'!M843+'корпоративный баланс энергии'!P843</f>
        <v>31.668000000000003</v>
      </c>
      <c r="E834" s="288"/>
      <c r="F834" s="289"/>
      <c r="G834" s="294">
        <f>'корпоративный баланс энергии'!S843+'корпоративный баланс энергии'!V843+'корпоративный баланс энергии'!Y843</f>
        <v>30.257999999999996</v>
      </c>
      <c r="H834" s="288"/>
      <c r="I834" s="289"/>
      <c r="J834" s="294">
        <f>'корпоративный баланс энергии'!AB843+'корпоративный баланс энергии'!AE843+'корпоративный баланс энергии'!AH843</f>
        <v>29.603999999999999</v>
      </c>
      <c r="K834" s="288"/>
      <c r="L834" s="289"/>
      <c r="M834" s="294">
        <f>'корпоративный баланс энергии'!AK843+'корпоративный баланс энергии'!AN843+'корпоративный баланс энергии'!AQ843</f>
        <v>32.016000000000005</v>
      </c>
      <c r="N834" s="288"/>
      <c r="O834" s="289"/>
      <c r="P834" s="294">
        <f t="shared" si="52"/>
        <v>123.54600000000001</v>
      </c>
      <c r="Q834" s="288"/>
      <c r="R834" s="289"/>
      <c r="S834" s="357"/>
      <c r="T834" s="357"/>
    </row>
    <row r="835" spans="2:20" s="24" customFormat="1">
      <c r="B835" s="135" t="str">
        <f>'корпоративный баланс энергии'!H844</f>
        <v>ТЭЦ АО "Златмаш"</v>
      </c>
      <c r="C835" s="518" t="s">
        <v>365</v>
      </c>
      <c r="D835" s="293">
        <f>'корпоративный баланс энергии'!J844+'корпоративный баланс энергии'!M844+'корпоративный баланс энергии'!P844</f>
        <v>27.252880000000005</v>
      </c>
      <c r="E835" s="288"/>
      <c r="F835" s="289"/>
      <c r="G835" s="294">
        <f>'корпоративный баланс энергии'!S844+'корпоративный баланс энергии'!V844+'корпоративный баланс энергии'!Y844</f>
        <v>19.888000000000002</v>
      </c>
      <c r="H835" s="288"/>
      <c r="I835" s="289"/>
      <c r="J835" s="294">
        <f>'корпоративный баланс энергии'!AB844+'корпоративный баланс энергии'!AE844+'корпоративный баланс энергии'!AH844</f>
        <v>13.826000000000001</v>
      </c>
      <c r="K835" s="288"/>
      <c r="L835" s="289"/>
      <c r="M835" s="294">
        <f>'корпоративный баланс энергии'!AK844+'корпоративный баланс энергии'!AN844+'корпоративный баланс энергии'!AQ844</f>
        <v>27.382000000000001</v>
      </c>
      <c r="N835" s="288"/>
      <c r="O835" s="289"/>
      <c r="P835" s="294">
        <f t="shared" si="52"/>
        <v>88.348880000000008</v>
      </c>
      <c r="Q835" s="288"/>
      <c r="R835" s="289"/>
      <c r="S835" s="357"/>
      <c r="T835" s="357"/>
    </row>
    <row r="836" spans="2:20" s="24" customFormat="1">
      <c r="B836" s="135" t="str">
        <f>'корпоративный баланс энергии'!H845</f>
        <v>ТЭЦ Уральская кузница (ООО "Мечел-Энерго")</v>
      </c>
      <c r="C836" s="518" t="s">
        <v>365</v>
      </c>
      <c r="D836" s="293">
        <f>'корпоративный баланс энергии'!J845+'корпоративный баланс энергии'!M845+'корпоративный баланс энергии'!P845</f>
        <v>7.6269999999999998</v>
      </c>
      <c r="E836" s="288"/>
      <c r="F836" s="289"/>
      <c r="G836" s="294">
        <f>'корпоративный баланс энергии'!S845+'корпоративный баланс энергии'!V845+'корпоративный баланс энергии'!Y845</f>
        <v>2.83</v>
      </c>
      <c r="H836" s="288"/>
      <c r="I836" s="289"/>
      <c r="J836" s="294">
        <f>'корпоративный баланс энергии'!AB845+'корпоративный баланс энергии'!AE845+'корпоративный баланс энергии'!AH845</f>
        <v>0.20599999999999999</v>
      </c>
      <c r="K836" s="288"/>
      <c r="L836" s="289"/>
      <c r="M836" s="294">
        <f>'корпоративный баланс энергии'!AK845+'корпоративный баланс энергии'!AN845+'корпоративный баланс энергии'!AQ845</f>
        <v>7.5220000000000002</v>
      </c>
      <c r="N836" s="288"/>
      <c r="O836" s="289"/>
      <c r="P836" s="294">
        <f t="shared" si="52"/>
        <v>18.185000000000002</v>
      </c>
      <c r="Q836" s="288"/>
      <c r="R836" s="289"/>
      <c r="S836" s="357"/>
      <c r="T836" s="357"/>
    </row>
    <row r="837" spans="2:20" s="24" customFormat="1">
      <c r="B837" s="135" t="str">
        <f>'корпоративный баланс энергии'!H846</f>
        <v>ГПЭС Энергоцентр г.Снежинск</v>
      </c>
      <c r="C837" s="518" t="s">
        <v>365</v>
      </c>
      <c r="D837" s="293">
        <f>'корпоративный баланс энергии'!J846+'корпоративный баланс энергии'!M846+'корпоративный баланс энергии'!P846</f>
        <v>7.8699999999999992</v>
      </c>
      <c r="E837" s="288"/>
      <c r="F837" s="289"/>
      <c r="G837" s="294">
        <f>'корпоративный баланс энергии'!S846+'корпоративный баланс энергии'!V846+'корпоративный баланс энергии'!Y846</f>
        <v>7.8599999999999994</v>
      </c>
      <c r="H837" s="288"/>
      <c r="I837" s="289"/>
      <c r="J837" s="294">
        <f>'корпоративный баланс энергии'!AB846+'корпоративный баланс энергии'!AE846+'корпоративный баланс энергии'!AH846</f>
        <v>7.95</v>
      </c>
      <c r="K837" s="288"/>
      <c r="L837" s="289"/>
      <c r="M837" s="294">
        <f>'корпоративный баланс энергии'!AK846+'корпоративный баланс энергии'!AN846+'корпоративный баланс энергии'!AQ846</f>
        <v>7.9499999999999993</v>
      </c>
      <c r="N837" s="288"/>
      <c r="O837" s="289"/>
      <c r="P837" s="294">
        <f t="shared" ref="P837" si="53">D837+G837+J837+M837</f>
        <v>31.63</v>
      </c>
      <c r="Q837" s="288"/>
      <c r="R837" s="289"/>
      <c r="S837" s="357"/>
      <c r="T837" s="357"/>
    </row>
    <row r="838" spans="2:20" s="24" customFormat="1">
      <c r="B838" s="135" t="str">
        <f>'корпоративный баланс энергии'!H847</f>
        <v>ГПС ЗАО "КМЭЗ"</v>
      </c>
      <c r="C838" s="518" t="s">
        <v>365</v>
      </c>
      <c r="D838" s="293">
        <f>'корпоративный баланс энергии'!J847+'корпоративный баланс энергии'!M847+'корпоративный баланс энергии'!P847</f>
        <v>17.61</v>
      </c>
      <c r="E838" s="288"/>
      <c r="F838" s="289"/>
      <c r="G838" s="294">
        <f>'корпоративный баланс энергии'!S847+'корпоративный баланс энергии'!V847+'корпоративный баланс энергии'!Y847</f>
        <v>17.82</v>
      </c>
      <c r="H838" s="288"/>
      <c r="I838" s="289"/>
      <c r="J838" s="294">
        <f>'корпоративный баланс энергии'!AB847+'корпоративный баланс энергии'!AE847+'корпоративный баланс энергии'!AH847</f>
        <v>18.018000000000001</v>
      </c>
      <c r="K838" s="288"/>
      <c r="L838" s="289"/>
      <c r="M838" s="294">
        <f>'корпоративный баланс энергии'!AK847+'корпоративный баланс энергии'!AN847+'корпоративный баланс энергии'!AQ847</f>
        <v>18.018000000000001</v>
      </c>
      <c r="N838" s="288"/>
      <c r="O838" s="289"/>
      <c r="P838" s="294">
        <f t="shared" ref="P838:P839" si="54">D838+G838+J838+M838</f>
        <v>71.466000000000008</v>
      </c>
      <c r="Q838" s="288"/>
      <c r="R838" s="289"/>
      <c r="S838" s="357"/>
      <c r="T838" s="357"/>
    </row>
    <row r="839" spans="2:20" s="24" customFormat="1" ht="16.5" thickBot="1">
      <c r="B839" s="135" t="str">
        <f>'корпоративный баланс энергии'!H848</f>
        <v>ГПС ЗАО "Карабашмедь"</v>
      </c>
      <c r="C839" s="518" t="s">
        <v>365</v>
      </c>
      <c r="D839" s="293">
        <f>'корпоративный баланс энергии'!J848+'корпоративный баланс энергии'!M848+'корпоративный баланс энергии'!P848</f>
        <v>33.300000000000004</v>
      </c>
      <c r="E839" s="288"/>
      <c r="F839" s="289"/>
      <c r="G839" s="294">
        <f>'корпоративный баланс энергии'!S848+'корпоративный баланс энергии'!V848+'корпоративный баланс энергии'!Y848</f>
        <v>33.247999999999998</v>
      </c>
      <c r="H839" s="288"/>
      <c r="I839" s="289"/>
      <c r="J839" s="294">
        <f>'корпоративный баланс энергии'!AB848+'корпоративный баланс энергии'!AE848+'корпоративный баланс энергии'!AH848</f>
        <v>34.244999999999997</v>
      </c>
      <c r="K839" s="288"/>
      <c r="L839" s="289"/>
      <c r="M839" s="294">
        <f>'корпоративный баланс энергии'!AK848+'корпоративный баланс энергии'!AN848+'корпоративный баланс энергии'!AQ848</f>
        <v>34.257000000000005</v>
      </c>
      <c r="N839" s="288"/>
      <c r="O839" s="289"/>
      <c r="P839" s="294">
        <f t="shared" si="54"/>
        <v>135.05000000000001</v>
      </c>
      <c r="Q839" s="288"/>
      <c r="R839" s="289"/>
      <c r="S839" s="357"/>
      <c r="T839" s="357"/>
    </row>
    <row r="840" spans="2:20" s="116" customFormat="1" ht="18.75">
      <c r="B840" s="469" t="s">
        <v>94</v>
      </c>
      <c r="C840" s="482"/>
      <c r="D840" s="263">
        <f>SUM(D841:D845)</f>
        <v>31625.349870706195</v>
      </c>
      <c r="E840" s="264">
        <f>F840-D840</f>
        <v>-4425.5070064411593</v>
      </c>
      <c r="F840" s="265">
        <f>F846+F856+F885+F935+F915+F969+F980+F995+F1036</f>
        <v>27199.842864265036</v>
      </c>
      <c r="G840" s="263">
        <f>SUM(G841:G845)</f>
        <v>24838.098693012456</v>
      </c>
      <c r="H840" s="264">
        <f>I840-G840</f>
        <v>-2985.5127480140654</v>
      </c>
      <c r="I840" s="265">
        <f>I846+I856+I885+I935+I915+I969+I980+I995+I1036</f>
        <v>21852.585944998391</v>
      </c>
      <c r="J840" s="263">
        <f>SUM(J841:J845)</f>
        <v>24035.192822351321</v>
      </c>
      <c r="K840" s="264">
        <f>L840-J840</f>
        <v>-3077.4977457993737</v>
      </c>
      <c r="L840" s="265">
        <f>L846+L856+L885+L935+L915+L969+L980+L995+L1036</f>
        <v>20957.695076551947</v>
      </c>
      <c r="M840" s="263">
        <f>SUM(M841:M845)</f>
        <v>29885.381582657639</v>
      </c>
      <c r="N840" s="264">
        <f>O840-M840</f>
        <v>-3287.5054684730167</v>
      </c>
      <c r="O840" s="265">
        <f>O846+O856+O885+O935+O915+O969+O980+O995+O1036</f>
        <v>26597.876114184623</v>
      </c>
      <c r="P840" s="263">
        <f>SUM(P841:P845)</f>
        <v>110384.02296872762</v>
      </c>
      <c r="Q840" s="264">
        <f>R840-P840</f>
        <v>-13776.02296872763</v>
      </c>
      <c r="R840" s="414">
        <f>F840+I840+L840+O840</f>
        <v>96607.999999999985</v>
      </c>
      <c r="S840" s="374"/>
      <c r="T840" s="374"/>
    </row>
    <row r="841" spans="2:20" s="116" customFormat="1">
      <c r="B841" s="10" t="s">
        <v>56</v>
      </c>
      <c r="C841" s="483"/>
      <c r="D841" s="270">
        <f>D847+D857+D886+D936+D916+D970+D981+D991</f>
        <v>15117.78474648</v>
      </c>
      <c r="E841" s="271"/>
      <c r="F841" s="224"/>
      <c r="G841" s="270">
        <f>G847+G857+G886+G936+G916+G970+G981+G991</f>
        <v>10486.141180000001</v>
      </c>
      <c r="H841" s="271"/>
      <c r="I841" s="224"/>
      <c r="J841" s="270">
        <f>J847+J857+J886+J936+J916+J970+J981+J991</f>
        <v>10524.566852000002</v>
      </c>
      <c r="K841" s="271"/>
      <c r="L841" s="224"/>
      <c r="M841" s="270">
        <f>M847+M857+M886+M936+M916+M970+M981+M991</f>
        <v>14632.2910452</v>
      </c>
      <c r="N841" s="271"/>
      <c r="O841" s="224"/>
      <c r="P841" s="270">
        <f>P847+P857+P886+P936+P916+P970+P981+P991</f>
        <v>50760.783823680002</v>
      </c>
      <c r="Q841" s="271"/>
      <c r="R841" s="364"/>
      <c r="S841" s="374"/>
      <c r="T841" s="374"/>
    </row>
    <row r="842" spans="2:20" s="116" customFormat="1">
      <c r="B842" s="10" t="s">
        <v>55</v>
      </c>
      <c r="C842" s="483"/>
      <c r="D842" s="270">
        <f>D858+D887+D937+D982+D992</f>
        <v>2995.4539212261961</v>
      </c>
      <c r="E842" s="271"/>
      <c r="F842" s="224"/>
      <c r="G842" s="270">
        <f>G858+G887+G937+G982+G992</f>
        <v>3588.8829990124514</v>
      </c>
      <c r="H842" s="271"/>
      <c r="I842" s="224"/>
      <c r="J842" s="270">
        <f>J858+J887+J937+J982+J992</f>
        <v>3211.4520813513182</v>
      </c>
      <c r="K842" s="271"/>
      <c r="L842" s="224"/>
      <c r="M842" s="270">
        <f>M858+M887+M937+M982+M992</f>
        <v>3156.327877457642</v>
      </c>
      <c r="N842" s="271"/>
      <c r="O842" s="224"/>
      <c r="P842" s="270">
        <f>P858+P887+P937+P982+P992</f>
        <v>12952.116879047609</v>
      </c>
      <c r="Q842" s="271"/>
      <c r="R842" s="364"/>
      <c r="S842" s="374"/>
      <c r="T842" s="374"/>
    </row>
    <row r="843" spans="2:20" s="116" customFormat="1">
      <c r="B843" s="10" t="s">
        <v>98</v>
      </c>
      <c r="C843" s="483"/>
      <c r="D843" s="270">
        <f>D938+D993</f>
        <v>10679.93</v>
      </c>
      <c r="E843" s="271"/>
      <c r="F843" s="224"/>
      <c r="G843" s="270">
        <f>G938+G993</f>
        <v>8352.84</v>
      </c>
      <c r="H843" s="271"/>
      <c r="I843" s="224"/>
      <c r="J843" s="270">
        <f>J938+J993</f>
        <v>7955.4</v>
      </c>
      <c r="K843" s="271"/>
      <c r="L843" s="224"/>
      <c r="M843" s="270">
        <f>M938+M993</f>
        <v>9323.8299999999981</v>
      </c>
      <c r="N843" s="271"/>
      <c r="O843" s="224"/>
      <c r="P843" s="270">
        <f>P938+P993</f>
        <v>36312</v>
      </c>
      <c r="Q843" s="271"/>
      <c r="R843" s="364"/>
      <c r="S843" s="374"/>
      <c r="T843" s="374"/>
    </row>
    <row r="844" spans="2:20" s="116" customFormat="1">
      <c r="B844" s="467" t="s">
        <v>346</v>
      </c>
      <c r="C844" s="504"/>
      <c r="D844" s="270">
        <f>D859+D939</f>
        <v>3.7339999999999995</v>
      </c>
      <c r="E844" s="271"/>
      <c r="F844" s="224"/>
      <c r="G844" s="270">
        <f>G859+G939</f>
        <v>2.13</v>
      </c>
      <c r="H844" s="271"/>
      <c r="I844" s="224"/>
      <c r="J844" s="270">
        <f>J859+J939</f>
        <v>2.25</v>
      </c>
      <c r="K844" s="271"/>
      <c r="L844" s="224"/>
      <c r="M844" s="270">
        <f>M859+M939</f>
        <v>3.8860000000000001</v>
      </c>
      <c r="N844" s="271"/>
      <c r="O844" s="224"/>
      <c r="P844" s="270">
        <f>P859+P939</f>
        <v>12</v>
      </c>
      <c r="Q844" s="271"/>
      <c r="R844" s="364"/>
      <c r="S844" s="374"/>
      <c r="T844" s="374"/>
    </row>
    <row r="845" spans="2:20" s="117" customFormat="1" ht="16.5" thickBot="1">
      <c r="B845" s="121" t="s">
        <v>99</v>
      </c>
      <c r="C845" s="484"/>
      <c r="D845" s="272">
        <f>D848+D860+D888+D940+D917+D971+D983+D994</f>
        <v>2828.4472029999997</v>
      </c>
      <c r="E845" s="273"/>
      <c r="F845" s="233"/>
      <c r="G845" s="272">
        <f>G848+G860+G888+G940+G917+G971+G983+G994</f>
        <v>2408.1045140000006</v>
      </c>
      <c r="H845" s="273"/>
      <c r="I845" s="233"/>
      <c r="J845" s="272">
        <f>J848+J860+J888+J940+J917+J971+J983+J994</f>
        <v>2341.5238890000001</v>
      </c>
      <c r="K845" s="273"/>
      <c r="L845" s="233"/>
      <c r="M845" s="272">
        <f>M848+M860+M888+M940+M917+M971+M983+M994</f>
        <v>2769.04666</v>
      </c>
      <c r="N845" s="273"/>
      <c r="O845" s="233"/>
      <c r="P845" s="272">
        <f>P848+P860+P888+P940+P917+P971+P983+P994</f>
        <v>10347.122266</v>
      </c>
      <c r="Q845" s="273"/>
      <c r="R845" s="233"/>
      <c r="S845" s="375"/>
      <c r="T845" s="375"/>
    </row>
    <row r="846" spans="2:20" s="117" customFormat="1" ht="18.75">
      <c r="B846" s="475" t="str">
        <f>'корпоративный баланс энергии'!H855</f>
        <v>Энергосистема Архангельской области и Ненецкого АО</v>
      </c>
      <c r="C846" s="505"/>
      <c r="D846" s="274">
        <f>D847+D848</f>
        <v>1828.348</v>
      </c>
      <c r="E846" s="275">
        <f>F846-D846</f>
        <v>272.09799999999996</v>
      </c>
      <c r="F846" s="276">
        <f>'корпоративный баланс энергии'!L855+'корпоративный баланс энергии'!O855+'корпоративный баланс энергии'!R855</f>
        <v>2100.4459999999999</v>
      </c>
      <c r="G846" s="274">
        <f>G847+G848</f>
        <v>1409.5549999999998</v>
      </c>
      <c r="H846" s="275">
        <f>I846-G846</f>
        <v>282.55100000000039</v>
      </c>
      <c r="I846" s="276">
        <f>'корпоративный баланс энергии'!U855+'корпоративный баланс энергии'!X855+'корпоративный баланс энергии'!AA855</f>
        <v>1692.1060000000002</v>
      </c>
      <c r="J846" s="274">
        <f>J847+J848</f>
        <v>1348.0740000000001</v>
      </c>
      <c r="K846" s="275">
        <f>L846-J846</f>
        <v>255.92900000000009</v>
      </c>
      <c r="L846" s="276">
        <f>'корпоративный баланс энергии'!AD855+'корпоративный баланс энергии'!AG855+'корпоративный баланс энергии'!AJ855</f>
        <v>1604.0030000000002</v>
      </c>
      <c r="M846" s="274">
        <f>M847+M848</f>
        <v>1726.6709999999998</v>
      </c>
      <c r="N846" s="275">
        <f>O846-M846</f>
        <v>289.77399999999989</v>
      </c>
      <c r="O846" s="276">
        <f>'корпоративный баланс энергии'!AM855+'корпоративный баланс энергии'!AP855+'корпоративный баланс энергии'!AS855</f>
        <v>2016.4449999999997</v>
      </c>
      <c r="P846" s="274">
        <f>P847+P848</f>
        <v>6312.6480000000001</v>
      </c>
      <c r="Q846" s="275">
        <f>R846-P846</f>
        <v>1100.3519999999999</v>
      </c>
      <c r="R846" s="276">
        <f>F846+I846+L846+O846</f>
        <v>7413</v>
      </c>
      <c r="S846" s="375"/>
      <c r="T846" s="375"/>
    </row>
    <row r="847" spans="2:20" s="117" customFormat="1">
      <c r="B847" s="10" t="s">
        <v>56</v>
      </c>
      <c r="C847" s="483"/>
      <c r="D847" s="270">
        <f>SUM(D849:D852)</f>
        <v>1163.1969999999999</v>
      </c>
      <c r="E847" s="271"/>
      <c r="F847" s="224"/>
      <c r="G847" s="270">
        <f>SUM(G849:G852)</f>
        <v>773.71399999999994</v>
      </c>
      <c r="H847" s="271"/>
      <c r="I847" s="224"/>
      <c r="J847" s="270">
        <f>SUM(J849:J852)</f>
        <v>690.17600000000004</v>
      </c>
      <c r="K847" s="271"/>
      <c r="L847" s="224"/>
      <c r="M847" s="270">
        <f>SUM(M849:M852)</f>
        <v>1066.319</v>
      </c>
      <c r="N847" s="271"/>
      <c r="O847" s="224"/>
      <c r="P847" s="270">
        <f>SUM(P849:P852)</f>
        <v>3693.4059999999999</v>
      </c>
      <c r="Q847" s="271"/>
      <c r="R847" s="364"/>
      <c r="S847" s="375"/>
      <c r="T847" s="375"/>
    </row>
    <row r="848" spans="2:20" s="117" customFormat="1">
      <c r="B848" s="10" t="s">
        <v>99</v>
      </c>
      <c r="C848" s="483"/>
      <c r="D848" s="270">
        <f>D853</f>
        <v>665.15100000000007</v>
      </c>
      <c r="E848" s="271"/>
      <c r="F848" s="224"/>
      <c r="G848" s="270">
        <f>G853</f>
        <v>635.84100000000001</v>
      </c>
      <c r="H848" s="271"/>
      <c r="I848" s="224"/>
      <c r="J848" s="270">
        <f>J853</f>
        <v>657.89799999999991</v>
      </c>
      <c r="K848" s="271"/>
      <c r="L848" s="224"/>
      <c r="M848" s="270">
        <f>M853</f>
        <v>660.35199999999998</v>
      </c>
      <c r="N848" s="271"/>
      <c r="O848" s="224"/>
      <c r="P848" s="270">
        <f>P853</f>
        <v>2619.2420000000002</v>
      </c>
      <c r="Q848" s="271"/>
      <c r="R848" s="364"/>
      <c r="S848" s="375"/>
      <c r="T848" s="375"/>
    </row>
    <row r="849" spans="1:20" s="117" customFormat="1">
      <c r="B849" s="127" t="str">
        <f>'корпоративный баланс энергии'!H858</f>
        <v>Архангельская ТЭЦ (Архангельский филиал ПАО "ТГК-2")</v>
      </c>
      <c r="C849" s="516" t="s">
        <v>364</v>
      </c>
      <c r="D849" s="281">
        <f>'корпоративный баланс энергии'!J858+'корпоративный баланс энергии'!M858+'корпоративный баланс энергии'!P858</f>
        <v>589</v>
      </c>
      <c r="E849" s="246"/>
      <c r="F849" s="282"/>
      <c r="G849" s="244">
        <f>'корпоративный баланс энергии'!S858+'корпоративный баланс энергии'!V858+'корпоративный баланс энергии'!Y858</f>
        <v>372</v>
      </c>
      <c r="H849" s="246"/>
      <c r="I849" s="282"/>
      <c r="J849" s="244">
        <f>'корпоративный баланс энергии'!AB858+'корпоративный баланс энергии'!AE858+'корпоративный баланс энергии'!AH858</f>
        <v>324</v>
      </c>
      <c r="K849" s="246"/>
      <c r="L849" s="282"/>
      <c r="M849" s="244">
        <f>'корпоративный баланс энергии'!AK858+'корпоративный баланс энергии'!AN858+'корпоративный баланс энергии'!AQ858</f>
        <v>526</v>
      </c>
      <c r="N849" s="246"/>
      <c r="O849" s="282"/>
      <c r="P849" s="244">
        <f>D849+G849+J849+M849</f>
        <v>1811</v>
      </c>
      <c r="Q849" s="246"/>
      <c r="R849" s="282"/>
      <c r="S849" s="375"/>
      <c r="T849" s="375"/>
    </row>
    <row r="850" spans="1:20" s="117" customFormat="1">
      <c r="B850" s="127" t="str">
        <f>'корпоративный баланс энергии'!H859</f>
        <v>Северодвинская ТЭЦ-1 (Архангельский филиал ПАО "ТГК-2")</v>
      </c>
      <c r="C850" s="516" t="s">
        <v>364</v>
      </c>
      <c r="D850" s="281">
        <f>'корпоративный баланс энергии'!J859+'корпоративный баланс энергии'!M859+'корпоративный баланс энергии'!P859</f>
        <v>217</v>
      </c>
      <c r="E850" s="246"/>
      <c r="F850" s="282"/>
      <c r="G850" s="244">
        <f>'корпоративный баланс энергии'!S859+'корпоративный баланс энергии'!V859+'корпоративный баланс энергии'!Y859</f>
        <v>160</v>
      </c>
      <c r="H850" s="246"/>
      <c r="I850" s="282"/>
      <c r="J850" s="244">
        <f>'корпоративный баланс энергии'!AB859+'корпоративный баланс энергии'!AE859+'корпоративный баланс энергии'!AH859</f>
        <v>147</v>
      </c>
      <c r="K850" s="246"/>
      <c r="L850" s="282"/>
      <c r="M850" s="244">
        <f>'корпоративный баланс энергии'!AK859+'корпоративный баланс энергии'!AN859+'корпоративный баланс энергии'!AQ859</f>
        <v>203</v>
      </c>
      <c r="N850" s="246"/>
      <c r="O850" s="282"/>
      <c r="P850" s="244">
        <f>D850+G850+J850+M850</f>
        <v>727</v>
      </c>
      <c r="Q850" s="246"/>
      <c r="R850" s="282"/>
      <c r="S850" s="375"/>
      <c r="T850" s="375"/>
    </row>
    <row r="851" spans="1:20" s="117" customFormat="1">
      <c r="B851" s="127" t="str">
        <f>'корпоративный баланс энергии'!H860</f>
        <v>Северодвинская ТЭЦ-2 (Архангельский филиал ПАО "ТГК-2")</v>
      </c>
      <c r="C851" s="516" t="s">
        <v>364</v>
      </c>
      <c r="D851" s="281">
        <f>'корпоративный баланс энергии'!J860+'корпоративный баланс энергии'!M860+'корпоративный баланс энергии'!P860</f>
        <v>322</v>
      </c>
      <c r="E851" s="246"/>
      <c r="F851" s="282"/>
      <c r="G851" s="244">
        <f>'корпоративный баланс энергии'!S860+'корпоративный баланс энергии'!V860+'корпоративный баланс энергии'!Y860</f>
        <v>224</v>
      </c>
      <c r="H851" s="246"/>
      <c r="I851" s="282"/>
      <c r="J851" s="244">
        <f>'корпоративный баланс энергии'!AB860+'корпоративный баланс энергии'!AE860+'корпоративный баланс энергии'!AH860</f>
        <v>205</v>
      </c>
      <c r="K851" s="246"/>
      <c r="L851" s="282"/>
      <c r="M851" s="244">
        <f>'корпоративный баланс энергии'!AK860+'корпоративный баланс энергии'!AN860+'корпоративный баланс энергии'!AQ860</f>
        <v>306</v>
      </c>
      <c r="N851" s="246"/>
      <c r="O851" s="282"/>
      <c r="P851" s="244">
        <f>D851+G851+J851+M851</f>
        <v>1057</v>
      </c>
      <c r="Q851" s="246"/>
      <c r="R851" s="282"/>
      <c r="S851" s="375"/>
      <c r="T851" s="375"/>
    </row>
    <row r="852" spans="1:20" s="117" customFormat="1">
      <c r="B852" s="127" t="str">
        <f>'корпоративный баланс энергии'!H861</f>
        <v>АО "ГТ Энерго" (ГТ-ТЭЦ "Вельская")</v>
      </c>
      <c r="C852" s="516" t="s">
        <v>364</v>
      </c>
      <c r="D852" s="281">
        <f>'корпоративный баланс энергии'!J861+'корпоративный баланс энергии'!M861+'корпоративный баланс энергии'!P861</f>
        <v>35.196999999999996</v>
      </c>
      <c r="E852" s="246"/>
      <c r="F852" s="282"/>
      <c r="G852" s="244">
        <f>'корпоративный баланс энергии'!S861+'корпоративный баланс энергии'!V861+'корпоративный баланс энергии'!Y861</f>
        <v>17.713999999999999</v>
      </c>
      <c r="H852" s="246"/>
      <c r="I852" s="282"/>
      <c r="J852" s="244">
        <f>'корпоративный баланс энергии'!AB861+'корпоративный баланс энергии'!AE861+'корпоративный баланс энергии'!AH861</f>
        <v>14.176000000000002</v>
      </c>
      <c r="K852" s="246"/>
      <c r="L852" s="282"/>
      <c r="M852" s="244">
        <f>'корпоративный баланс энергии'!AK861+'корпоративный баланс энергии'!AN861+'корпоративный баланс энергии'!AQ861</f>
        <v>31.318999999999996</v>
      </c>
      <c r="N852" s="246"/>
      <c r="O852" s="282"/>
      <c r="P852" s="244">
        <f>D852+G852+J852+M852</f>
        <v>98.405999999999977</v>
      </c>
      <c r="Q852" s="246"/>
      <c r="R852" s="282"/>
      <c r="S852" s="375"/>
      <c r="T852" s="375"/>
    </row>
    <row r="853" spans="1:20" s="116" customFormat="1">
      <c r="A853" s="117"/>
      <c r="B853" s="138" t="s">
        <v>174</v>
      </c>
      <c r="C853" s="488"/>
      <c r="D853" s="287">
        <f>SUM(D854:D855)</f>
        <v>665.15100000000007</v>
      </c>
      <c r="E853" s="288"/>
      <c r="F853" s="289"/>
      <c r="G853" s="287">
        <f>SUM(G854:G855)</f>
        <v>635.84100000000001</v>
      </c>
      <c r="H853" s="288"/>
      <c r="I853" s="289"/>
      <c r="J853" s="287">
        <f>SUM(J854:J855)</f>
        <v>657.89799999999991</v>
      </c>
      <c r="K853" s="288"/>
      <c r="L853" s="289"/>
      <c r="M853" s="287">
        <f>SUM(M854:M855)</f>
        <v>660.35199999999998</v>
      </c>
      <c r="N853" s="288"/>
      <c r="O853" s="289"/>
      <c r="P853" s="287">
        <f>SUM(P854:P855)</f>
        <v>2619.2420000000002</v>
      </c>
      <c r="Q853" s="288"/>
      <c r="R853" s="289"/>
      <c r="S853" s="374"/>
      <c r="T853" s="374"/>
    </row>
    <row r="854" spans="1:20" s="116" customFormat="1">
      <c r="A854" s="117"/>
      <c r="B854" s="142" t="str">
        <f>'корпоративный баланс энергии'!H863</f>
        <v>ТЭС (АО "Архангельский ЦБК")</v>
      </c>
      <c r="C854" s="518" t="s">
        <v>365</v>
      </c>
      <c r="D854" s="293">
        <f>'корпоративный баланс энергии'!J863+'корпоративный баланс энергии'!M863+'корпоративный баланс энергии'!P863</f>
        <v>261.01400000000001</v>
      </c>
      <c r="E854" s="288"/>
      <c r="F854" s="289"/>
      <c r="G854" s="294">
        <f>'корпоративный баланс энергии'!S863+'корпоративный баланс энергии'!V863+'корпоративный баланс энергии'!Y863</f>
        <v>248.47500000000002</v>
      </c>
      <c r="H854" s="288"/>
      <c r="I854" s="289"/>
      <c r="J854" s="294">
        <f>'корпоративный баланс энергии'!AB863+'корпоративный баланс энергии'!AE863+'корпоративный баланс энергии'!AH863</f>
        <v>254.83799999999997</v>
      </c>
      <c r="K854" s="288"/>
      <c r="L854" s="289"/>
      <c r="M854" s="294">
        <f>'корпоративный баланс энергии'!AK863+'корпоративный баланс энергии'!AN863+'корпоративный баланс энергии'!AQ863</f>
        <v>251.245</v>
      </c>
      <c r="N854" s="288"/>
      <c r="O854" s="289"/>
      <c r="P854" s="294">
        <f>D854+G854+J854+M854</f>
        <v>1015.572</v>
      </c>
      <c r="Q854" s="288"/>
      <c r="R854" s="289"/>
      <c r="S854" s="374"/>
      <c r="T854" s="374"/>
    </row>
    <row r="855" spans="1:20" s="117" customFormat="1">
      <c r="B855" s="142" t="str">
        <f>'корпоративный баланс энергии'!H864</f>
        <v>ТЭЦ ПЛ "Энергетика" (Филиал АО "Группа Илим" в г. Коряжме)</v>
      </c>
      <c r="C855" s="518" t="s">
        <v>365</v>
      </c>
      <c r="D855" s="293">
        <f>'корпоративный баланс энергии'!J864+'корпоративный баланс энергии'!M864+'корпоративный баланс энергии'!P864</f>
        <v>404.13700000000006</v>
      </c>
      <c r="E855" s="288"/>
      <c r="F855" s="289"/>
      <c r="G855" s="294">
        <f>'корпоративный баланс энергии'!S864+'корпоративный баланс энергии'!V864+'корпоративный баланс энергии'!Y864</f>
        <v>387.36599999999999</v>
      </c>
      <c r="H855" s="288"/>
      <c r="I855" s="289"/>
      <c r="J855" s="294">
        <f>'корпоративный баланс энергии'!AB864+'корпоративный баланс энергии'!AE864+'корпоративный баланс энергии'!AH864</f>
        <v>403.05999999999995</v>
      </c>
      <c r="K855" s="288"/>
      <c r="L855" s="289"/>
      <c r="M855" s="294">
        <f>'корпоративный баланс энергии'!AK864+'корпоративный баланс энергии'!AN864+'корпоративный баланс энергии'!AQ864</f>
        <v>409.10699999999997</v>
      </c>
      <c r="N855" s="288"/>
      <c r="O855" s="289"/>
      <c r="P855" s="294">
        <f>D855+G855+J855+M855</f>
        <v>1603.67</v>
      </c>
      <c r="Q855" s="288"/>
      <c r="R855" s="289"/>
      <c r="S855" s="375"/>
      <c r="T855" s="375"/>
    </row>
    <row r="856" spans="1:20" s="117" customFormat="1" ht="18.75">
      <c r="B856" s="476" t="str">
        <f>'корпоративный баланс энергии'!H865</f>
        <v>Энергосистема Калининградской области</v>
      </c>
      <c r="C856" s="506"/>
      <c r="D856" s="377">
        <f>SUM(D857:D860)</f>
        <v>1980.038</v>
      </c>
      <c r="E856" s="378">
        <f>F856-D856</f>
        <v>-649.99900000000002</v>
      </c>
      <c r="F856" s="276">
        <f>'корпоративный баланс энергии'!L865+'корпоративный баланс энергии'!O865+'корпоративный баланс энергии'!R865</f>
        <v>1330.039</v>
      </c>
      <c r="G856" s="377">
        <f>SUM(G857:G860)</f>
        <v>1586.5610000000004</v>
      </c>
      <c r="H856" s="378">
        <f>I856-G856</f>
        <v>-600.01100000000019</v>
      </c>
      <c r="I856" s="276">
        <f>'корпоративный баланс энергии'!U865+'корпоративный баланс энергии'!X865+'корпоративный баланс энергии'!AA865</f>
        <v>986.55000000000018</v>
      </c>
      <c r="J856" s="377">
        <f>SUM(J857:J860)</f>
        <v>1848.4450000000002</v>
      </c>
      <c r="K856" s="378">
        <f>L856-J856</f>
        <v>-899.99800000000005</v>
      </c>
      <c r="L856" s="276">
        <f>'корпоративный баланс энергии'!AD865+'корпоративный баланс энергии'!AG865+'корпоративный баланс энергии'!AJ865</f>
        <v>948.44700000000012</v>
      </c>
      <c r="M856" s="377">
        <f>SUM(M857:M860)</f>
        <v>2049.96</v>
      </c>
      <c r="N856" s="378">
        <f>O856-M856</f>
        <v>-789.99600000000009</v>
      </c>
      <c r="O856" s="276">
        <f>'корпоративный баланс энергии'!AM865+'корпоративный баланс энергии'!AP865+'корпоративный баланс энергии'!AS865</f>
        <v>1259.9639999999999</v>
      </c>
      <c r="P856" s="377">
        <f>SUM(P857:P860)</f>
        <v>7465.0039999999999</v>
      </c>
      <c r="Q856" s="378">
        <f>R856-P856</f>
        <v>-2940.0039999999999</v>
      </c>
      <c r="R856" s="276">
        <f>F856+I856+L856+O856</f>
        <v>4525</v>
      </c>
      <c r="S856" s="375"/>
      <c r="T856" s="375"/>
    </row>
    <row r="857" spans="1:20" s="117" customFormat="1">
      <c r="B857" s="10" t="s">
        <v>56</v>
      </c>
      <c r="C857" s="483"/>
      <c r="D857" s="270">
        <f>D863+D866+D869+D874+D877+D882</f>
        <v>1957.721</v>
      </c>
      <c r="E857" s="381">
        <f>E25+E53</f>
        <v>-650</v>
      </c>
      <c r="F857" s="224"/>
      <c r="G857" s="270">
        <f>G863+G866+G869+G874+G877+G882</f>
        <v>1569.0200000000002</v>
      </c>
      <c r="H857" s="381">
        <f>H25+H53</f>
        <v>-600</v>
      </c>
      <c r="I857" s="224"/>
      <c r="J857" s="270">
        <f>J863+J866+J869+J874+J877+J882</f>
        <v>1832.0100000000002</v>
      </c>
      <c r="K857" s="381">
        <f>K25+K53</f>
        <v>-900</v>
      </c>
      <c r="L857" s="224"/>
      <c r="M857" s="270">
        <f>M863+M866+M869+M874+M877+M882</f>
        <v>2030.2370000000001</v>
      </c>
      <c r="N857" s="381">
        <f>N25+N53</f>
        <v>-790</v>
      </c>
      <c r="O857" s="224"/>
      <c r="P857" s="270">
        <f>P863+P866+P869+P874+P877+P882</f>
        <v>7388.9880000000003</v>
      </c>
      <c r="Q857" s="381">
        <f>Q25+Q53</f>
        <v>-2940</v>
      </c>
      <c r="R857" s="364"/>
      <c r="S857" s="375"/>
      <c r="T857" s="375"/>
    </row>
    <row r="858" spans="1:20" s="117" customFormat="1">
      <c r="B858" s="10" t="s">
        <v>55</v>
      </c>
      <c r="C858" s="483"/>
      <c r="D858" s="270">
        <f>D881</f>
        <v>2.6019999999999999</v>
      </c>
      <c r="E858" s="271"/>
      <c r="F858" s="224"/>
      <c r="G858" s="270">
        <f>G881</f>
        <v>2.5960000000000001</v>
      </c>
      <c r="H858" s="271"/>
      <c r="I858" s="224"/>
      <c r="J858" s="270">
        <f>J881</f>
        <v>1.9159999999999999</v>
      </c>
      <c r="K858" s="271"/>
      <c r="L858" s="224"/>
      <c r="M858" s="270">
        <f>M881</f>
        <v>2.5629999999999997</v>
      </c>
      <c r="N858" s="271"/>
      <c r="O858" s="224"/>
      <c r="P858" s="270">
        <f>P881</f>
        <v>9.6769999999999996</v>
      </c>
      <c r="Q858" s="271"/>
      <c r="R858" s="364"/>
      <c r="S858" s="375"/>
      <c r="T858" s="375"/>
    </row>
    <row r="859" spans="1:20" s="117" customFormat="1">
      <c r="B859" s="467" t="s">
        <v>346</v>
      </c>
      <c r="C859" s="504"/>
      <c r="D859" s="270">
        <f>SUM(D861:D862)</f>
        <v>3.7339999999999995</v>
      </c>
      <c r="E859" s="271"/>
      <c r="F859" s="224"/>
      <c r="G859" s="270">
        <f>SUM(G861:G862)</f>
        <v>2.13</v>
      </c>
      <c r="H859" s="271"/>
      <c r="I859" s="224"/>
      <c r="J859" s="270">
        <f>SUM(J861:J862)</f>
        <v>2.25</v>
      </c>
      <c r="K859" s="271"/>
      <c r="L859" s="224"/>
      <c r="M859" s="270">
        <f>SUM(M861:M862)</f>
        <v>3.8860000000000001</v>
      </c>
      <c r="N859" s="271"/>
      <c r="O859" s="224"/>
      <c r="P859" s="270">
        <f>SUM(P861:P862)</f>
        <v>12</v>
      </c>
      <c r="Q859" s="271"/>
      <c r="R859" s="364"/>
      <c r="S859" s="375"/>
      <c r="T859" s="375"/>
    </row>
    <row r="860" spans="1:20" s="117" customFormat="1">
      <c r="B860" s="10" t="s">
        <v>99</v>
      </c>
      <c r="C860" s="483"/>
      <c r="D860" s="270">
        <f>D883</f>
        <v>15.981</v>
      </c>
      <c r="E860" s="271"/>
      <c r="F860" s="224"/>
      <c r="G860" s="270">
        <f>G883</f>
        <v>12.815</v>
      </c>
      <c r="H860" s="271"/>
      <c r="I860" s="224"/>
      <c r="J860" s="270">
        <f>J883</f>
        <v>12.269</v>
      </c>
      <c r="K860" s="271"/>
      <c r="L860" s="224"/>
      <c r="M860" s="270">
        <f>M883</f>
        <v>13.274000000000001</v>
      </c>
      <c r="N860" s="271"/>
      <c r="O860" s="224"/>
      <c r="P860" s="270">
        <f>P883</f>
        <v>54.338999999999999</v>
      </c>
      <c r="Q860" s="271"/>
      <c r="R860" s="364"/>
      <c r="S860" s="375"/>
      <c r="T860" s="375"/>
    </row>
    <row r="861" spans="1:20" s="117" customFormat="1">
      <c r="B861" s="129" t="str">
        <f>'корпоративный баланс энергии'!H870</f>
        <v>Зеленоградская ВЭС (ОАО "Калининградская генерирующая компания")</v>
      </c>
      <c r="C861" s="519" t="s">
        <v>365</v>
      </c>
      <c r="D861" s="281">
        <f>'корпоративный баланс энергии'!J870+'корпоративный баланс энергии'!M870+'корпоративный баланс энергии'!P870</f>
        <v>0</v>
      </c>
      <c r="E861" s="246"/>
      <c r="F861" s="282"/>
      <c r="G861" s="244">
        <f>'корпоративный баланс энергии'!S870+'корпоративный баланс энергии'!V870+'корпоративный баланс энергии'!Y870</f>
        <v>0</v>
      </c>
      <c r="H861" s="246"/>
      <c r="I861" s="282"/>
      <c r="J861" s="244">
        <f>'корпоративный баланс энергии'!AB870+'корпоративный баланс энергии'!AE870+'корпоративный баланс энергии'!AH870</f>
        <v>0</v>
      </c>
      <c r="K861" s="246"/>
      <c r="L861" s="282"/>
      <c r="M861" s="244">
        <f>'корпоративный баланс энергии'!AK870+'корпоративный баланс энергии'!AN870+'корпоративный баланс энергии'!AQ870</f>
        <v>0</v>
      </c>
      <c r="N861" s="246"/>
      <c r="O861" s="282"/>
      <c r="P861" s="244">
        <f>D861+G861+J861+M861</f>
        <v>0</v>
      </c>
      <c r="Q861" s="246"/>
      <c r="R861" s="282"/>
      <c r="S861" s="375"/>
      <c r="T861" s="375"/>
    </row>
    <row r="862" spans="1:20" s="117" customFormat="1">
      <c r="B862" s="129" t="str">
        <f>'корпоративный баланс энергии'!H871</f>
        <v>Ушаковская ВЭС (ОАО "Калининградская генерирующая компания") НВ</v>
      </c>
      <c r="C862" s="519" t="s">
        <v>365</v>
      </c>
      <c r="D862" s="281">
        <f>'корпоративный баланс энергии'!J871+'корпоративный баланс энергии'!M871+'корпоративный баланс энергии'!P871</f>
        <v>3.7339999999999995</v>
      </c>
      <c r="E862" s="246"/>
      <c r="F862" s="282"/>
      <c r="G862" s="244">
        <f>'корпоративный баланс энергии'!S871+'корпоративный баланс энергии'!V871+'корпоративный баланс энергии'!Y871</f>
        <v>2.13</v>
      </c>
      <c r="H862" s="246"/>
      <c r="I862" s="282"/>
      <c r="J862" s="244">
        <f>'корпоративный баланс энергии'!AB871+'корпоративный баланс энергии'!AE871+'корпоративный баланс энергии'!AH871</f>
        <v>2.25</v>
      </c>
      <c r="K862" s="246"/>
      <c r="L862" s="282"/>
      <c r="M862" s="244">
        <f>'корпоративный баланс энергии'!AK871+'корпоративный баланс энергии'!AN871+'корпоративный баланс энергии'!AQ871</f>
        <v>3.8860000000000001</v>
      </c>
      <c r="N862" s="246"/>
      <c r="O862" s="282"/>
      <c r="P862" s="244">
        <f>D862+G862+J862+M862</f>
        <v>12</v>
      </c>
      <c r="Q862" s="246"/>
      <c r="R862" s="282"/>
      <c r="S862" s="375"/>
      <c r="T862" s="375"/>
    </row>
    <row r="863" spans="1:20" s="117" customFormat="1">
      <c r="B863" s="131" t="str">
        <f>'корпоративный баланс энергии'!H872</f>
        <v>Калининградская ТЭЦ-2 (филиал АО "Интер РАО - Электрогенерация")</v>
      </c>
      <c r="C863" s="516" t="s">
        <v>364</v>
      </c>
      <c r="D863" s="317">
        <f>SUM(D864:D865)</f>
        <v>960.20999999999992</v>
      </c>
      <c r="E863" s="246"/>
      <c r="F863" s="282"/>
      <c r="G863" s="317">
        <f>SUM(G864:G865)</f>
        <v>828.42000000000007</v>
      </c>
      <c r="H863" s="246"/>
      <c r="I863" s="282"/>
      <c r="J863" s="317">
        <f>SUM(J864:J865)</f>
        <v>1103.21</v>
      </c>
      <c r="K863" s="246"/>
      <c r="L863" s="282"/>
      <c r="M863" s="317">
        <f>SUM(M864:M865)</f>
        <v>996.25</v>
      </c>
      <c r="N863" s="246"/>
      <c r="O863" s="282"/>
      <c r="P863" s="317">
        <f>SUM(P864:P865)</f>
        <v>3888.09</v>
      </c>
      <c r="Q863" s="246"/>
      <c r="R863" s="282"/>
      <c r="S863" s="375"/>
      <c r="T863" s="375"/>
    </row>
    <row r="864" spans="1:20" s="117" customFormat="1">
      <c r="B864" s="129" t="str">
        <f>'корпоративный баланс энергии'!H873</f>
        <v>Калининградская ТЭЦ-2 (филиал АО "Интер РАО - Электрогенерация")</v>
      </c>
      <c r="C864" s="487"/>
      <c r="D864" s="281">
        <f>'корпоративный баланс энергии'!J873+'корпоративный баланс энергии'!M873+'корпоративный баланс энергии'!P873</f>
        <v>430.62</v>
      </c>
      <c r="E864" s="246"/>
      <c r="F864" s="282"/>
      <c r="G864" s="244">
        <f>'корпоративный баланс энергии'!S873+'корпоративный баланс энергии'!V873+'корпоративный баланс энергии'!Y873</f>
        <v>413.22</v>
      </c>
      <c r="H864" s="246"/>
      <c r="I864" s="282"/>
      <c r="J864" s="244">
        <f>'корпоративный баланс энергии'!AB873+'корпоративный баланс энергии'!AE873+'корпоративный баланс энергии'!AH873</f>
        <v>539.91000000000008</v>
      </c>
      <c r="K864" s="246"/>
      <c r="L864" s="282"/>
      <c r="M864" s="244">
        <f>'корпоративный баланс энергии'!AK873+'корпоративный баланс энергии'!AN873+'корпоративный баланс энергии'!AQ873</f>
        <v>474.03000000000003</v>
      </c>
      <c r="N864" s="246"/>
      <c r="O864" s="282"/>
      <c r="P864" s="244">
        <f>D864+G864+J864+M864</f>
        <v>1857.78</v>
      </c>
      <c r="Q864" s="246"/>
      <c r="R864" s="282"/>
      <c r="S864" s="375"/>
      <c r="T864" s="375"/>
    </row>
    <row r="865" spans="2:20" s="117" customFormat="1">
      <c r="B865" s="129" t="str">
        <f>'корпоративный баланс энергии'!H874</f>
        <v>Калининградская ТЭЦ-2 (филиал АО "Интер РАО - Электрогенерация") ПГУ 450 НВ</v>
      </c>
      <c r="C865" s="487"/>
      <c r="D865" s="281">
        <f>'корпоративный баланс энергии'!J874+'корпоративный баланс энергии'!M874+'корпоративный баланс энергии'!P874</f>
        <v>529.58999999999992</v>
      </c>
      <c r="E865" s="246"/>
      <c r="F865" s="282"/>
      <c r="G865" s="244">
        <f>'корпоративный баланс энергии'!S874+'корпоративный баланс энергии'!V874+'корпоративный баланс энергии'!Y874</f>
        <v>415.2</v>
      </c>
      <c r="H865" s="246"/>
      <c r="I865" s="282"/>
      <c r="J865" s="244">
        <f>'корпоративный баланс энергии'!AB874+'корпоративный баланс энергии'!AE874+'корпоративный баланс энергии'!AH874</f>
        <v>563.29999999999995</v>
      </c>
      <c r="K865" s="246"/>
      <c r="L865" s="282"/>
      <c r="M865" s="244">
        <f>'корпоративный баланс энергии'!AK874+'корпоративный баланс энергии'!AN874+'корпоративный баланс энергии'!AQ874</f>
        <v>522.22</v>
      </c>
      <c r="N865" s="246"/>
      <c r="O865" s="282"/>
      <c r="P865" s="244">
        <f>D865+G865+J865+M865</f>
        <v>2030.31</v>
      </c>
      <c r="Q865" s="246"/>
      <c r="R865" s="282"/>
      <c r="S865" s="375"/>
      <c r="T865" s="375"/>
    </row>
    <row r="866" spans="2:20" s="117" customFormat="1">
      <c r="B866" s="131" t="str">
        <f>'корпоративный баланс энергии'!H875</f>
        <v>Маяковская ТЭС (Филиал "Калининградская ТЭЦ-2" АО "Интер РАО - Электрогенерация")</v>
      </c>
      <c r="C866" s="516" t="s">
        <v>364</v>
      </c>
      <c r="D866" s="317">
        <f>SUM(D867:D868)</f>
        <v>243.29999999999998</v>
      </c>
      <c r="E866" s="246"/>
      <c r="F866" s="282"/>
      <c r="G866" s="317">
        <f>SUM(G867:G868)</f>
        <v>150.19999999999999</v>
      </c>
      <c r="H866" s="246"/>
      <c r="I866" s="282"/>
      <c r="J866" s="317">
        <f>SUM(J867:J868)</f>
        <v>150.39999999999998</v>
      </c>
      <c r="K866" s="246"/>
      <c r="L866" s="282"/>
      <c r="M866" s="317">
        <f>SUM(M867:M868)</f>
        <v>179.70000000000002</v>
      </c>
      <c r="N866" s="246"/>
      <c r="O866" s="282"/>
      <c r="P866" s="317">
        <f>SUM(P867:P868)</f>
        <v>723.59999999999991</v>
      </c>
      <c r="Q866" s="246"/>
      <c r="R866" s="282"/>
      <c r="S866" s="375"/>
      <c r="T866" s="375"/>
    </row>
    <row r="867" spans="2:20" s="117" customFormat="1">
      <c r="B867" s="129" t="str">
        <f>'корпоративный баланс энергии'!H876</f>
        <v>Маяковская ТЭС (Филиал "Калининградская ТЭЦ-2" АО "Интер РАО - Электрогенерация") Блок 1 НВ</v>
      </c>
      <c r="C867" s="516"/>
      <c r="D867" s="281">
        <f>'корпоративный баланс энергии'!J876+'корпоративный баланс энергии'!M876+'корпоративный баланс энергии'!P876</f>
        <v>115.1</v>
      </c>
      <c r="E867" s="246"/>
      <c r="F867" s="282"/>
      <c r="G867" s="244">
        <f>'корпоративный баланс энергии'!S876+'корпоративный баланс энергии'!V876+'корпоративный баланс энергии'!Y876</f>
        <v>71.2</v>
      </c>
      <c r="H867" s="246"/>
      <c r="I867" s="282"/>
      <c r="J867" s="244">
        <f>'корпоративный баланс энергии'!AB876+'корпоративный баланс энергии'!AE876+'корпоративный баланс энергии'!AH876</f>
        <v>82.6</v>
      </c>
      <c r="K867" s="246"/>
      <c r="L867" s="282"/>
      <c r="M867" s="244">
        <f>'корпоративный баланс энергии'!AK876+'корпоративный баланс энергии'!AN876+'корпоративный баланс энергии'!AQ876</f>
        <v>92.9</v>
      </c>
      <c r="N867" s="246"/>
      <c r="O867" s="282"/>
      <c r="P867" s="244">
        <f t="shared" ref="P867:P868" si="55">D867+G867+J867+M867</f>
        <v>361.79999999999995</v>
      </c>
      <c r="Q867" s="246"/>
      <c r="R867" s="282"/>
      <c r="S867" s="375"/>
      <c r="T867" s="375"/>
    </row>
    <row r="868" spans="2:20" s="117" customFormat="1">
      <c r="B868" s="129" t="str">
        <f>'корпоративный баланс энергии'!H877</f>
        <v>Маяковская ТЭС (Филиал "Калининградская ТЭЦ-2" АО "Интер РАО - Электрогенерация") Блок 2 НВ</v>
      </c>
      <c r="C868" s="516"/>
      <c r="D868" s="281">
        <f>'корпоративный баланс энергии'!J877+'корпоративный баланс энергии'!M877+'корпоративный баланс энергии'!P877</f>
        <v>128.19999999999999</v>
      </c>
      <c r="E868" s="246"/>
      <c r="F868" s="282"/>
      <c r="G868" s="244">
        <f>'корпоративный баланс энергии'!S877+'корпоративный баланс энергии'!V877+'корпоративный баланс энергии'!Y877</f>
        <v>79</v>
      </c>
      <c r="H868" s="246"/>
      <c r="I868" s="282"/>
      <c r="J868" s="244">
        <f>'корпоративный баланс энергии'!AB877+'корпоративный баланс энергии'!AE877+'корпоративный баланс энергии'!AH877</f>
        <v>67.8</v>
      </c>
      <c r="K868" s="246"/>
      <c r="L868" s="282"/>
      <c r="M868" s="244">
        <f>'корпоративный баланс энергии'!AK877+'корпоративный баланс энергии'!AN877+'корпоративный баланс энергии'!AQ877</f>
        <v>86.800000000000011</v>
      </c>
      <c r="N868" s="246"/>
      <c r="O868" s="282"/>
      <c r="P868" s="244">
        <f t="shared" si="55"/>
        <v>361.8</v>
      </c>
      <c r="Q868" s="246"/>
      <c r="R868" s="282"/>
      <c r="S868" s="375"/>
      <c r="T868" s="375"/>
    </row>
    <row r="869" spans="2:20" s="117" customFormat="1">
      <c r="B869" s="131" t="str">
        <f>'корпоративный баланс энергии'!H878</f>
        <v>Прегольская ТЭС (Филиал "Калининградская ТЭЦ-2" АО "Интер РАО - Электрогенерация")</v>
      </c>
      <c r="C869" s="516" t="s">
        <v>364</v>
      </c>
      <c r="D869" s="317">
        <f>SUM(D870:D873)</f>
        <v>486.8</v>
      </c>
      <c r="E869" s="246"/>
      <c r="F869" s="282"/>
      <c r="G869" s="317">
        <f>SUM(G870:G873)</f>
        <v>397.90000000000003</v>
      </c>
      <c r="H869" s="246"/>
      <c r="I869" s="282"/>
      <c r="J869" s="317">
        <f>SUM(J870:J873)</f>
        <v>373.3</v>
      </c>
      <c r="K869" s="246"/>
      <c r="L869" s="282"/>
      <c r="M869" s="317">
        <f>SUM(M870:M873)</f>
        <v>507.92</v>
      </c>
      <c r="N869" s="246"/>
      <c r="O869" s="282"/>
      <c r="P869" s="317">
        <f>SUM(P870:P873)</f>
        <v>1765.9199999999998</v>
      </c>
      <c r="Q869" s="246"/>
      <c r="R869" s="282"/>
      <c r="S869" s="375"/>
      <c r="T869" s="375"/>
    </row>
    <row r="870" spans="2:20" s="117" customFormat="1">
      <c r="B870" s="129" t="str">
        <f>'корпоративный баланс энергии'!H879</f>
        <v>Прегольская ТЭС (Филиал "Калининградская ТЭЦ-2" АО "Интер РАО - Электрогенерация") Блок 1 НВ</v>
      </c>
      <c r="C870" s="516"/>
      <c r="D870" s="281">
        <f>'корпоративный баланс энергии'!J879+'корпоративный баланс энергии'!M879+'корпоративный баланс энергии'!P879</f>
        <v>83.4</v>
      </c>
      <c r="E870" s="246"/>
      <c r="F870" s="282"/>
      <c r="G870" s="244">
        <f>'корпоративный баланс энергии'!S879+'корпоративный баланс энергии'!V879+'корпоративный баланс энергии'!Y879</f>
        <v>106.60000000000001</v>
      </c>
      <c r="H870" s="246"/>
      <c r="I870" s="282"/>
      <c r="J870" s="244">
        <f>'корпоративный баланс энергии'!AB879+'корпоративный баланс энергии'!AE879+'корпоративный баланс энергии'!AH879</f>
        <v>82.6</v>
      </c>
      <c r="K870" s="246"/>
      <c r="L870" s="282"/>
      <c r="M870" s="244">
        <f>'корпоративный баланс энергии'!AK879+'корпоративный баланс энергии'!AN879+'корпоративный баланс энергии'!AQ879</f>
        <v>162.12</v>
      </c>
      <c r="N870" s="246"/>
      <c r="O870" s="282"/>
      <c r="P870" s="244">
        <f t="shared" ref="P870:P873" si="56">D870+G870+J870+M870</f>
        <v>434.72</v>
      </c>
      <c r="Q870" s="246"/>
      <c r="R870" s="282"/>
      <c r="S870" s="375"/>
      <c r="T870" s="375"/>
    </row>
    <row r="871" spans="2:20" s="117" customFormat="1">
      <c r="B871" s="129" t="str">
        <f>'корпоративный баланс энергии'!H880</f>
        <v>Прегольская ТЭС (Филиал "Калининградская ТЭЦ-2" АО "Интер РАО - Электрогенерация") Блок 2 НВ</v>
      </c>
      <c r="C871" s="516"/>
      <c r="D871" s="281">
        <f>'корпоративный баланс энергии'!J880+'корпоративный баланс энергии'!M880+'корпоративный баланс энергии'!P880</f>
        <v>101.1</v>
      </c>
      <c r="E871" s="246"/>
      <c r="F871" s="282"/>
      <c r="G871" s="244">
        <f>'корпоративный баланс энергии'!S880+'корпоративный баланс энергии'!V880+'корпоративный баланс энергии'!Y880</f>
        <v>69.900000000000006</v>
      </c>
      <c r="H871" s="246"/>
      <c r="I871" s="282"/>
      <c r="J871" s="244">
        <f>'корпоративный баланс энергии'!AB880+'корпоративный баланс энергии'!AE880+'корпоративный баланс энергии'!AH880</f>
        <v>113.7</v>
      </c>
      <c r="K871" s="246"/>
      <c r="L871" s="282"/>
      <c r="M871" s="244">
        <f>'корпоративный баланс энергии'!AK880+'корпоративный баланс энергии'!AN880+'корпоративный баланс энергии'!AQ880</f>
        <v>152.39999999999998</v>
      </c>
      <c r="N871" s="246"/>
      <c r="O871" s="282"/>
      <c r="P871" s="244">
        <f t="shared" si="56"/>
        <v>437.09999999999997</v>
      </c>
      <c r="Q871" s="246"/>
      <c r="R871" s="282"/>
      <c r="S871" s="375"/>
      <c r="T871" s="375"/>
    </row>
    <row r="872" spans="2:20" s="117" customFormat="1">
      <c r="B872" s="129" t="str">
        <f>'корпоративный баланс энергии'!H881</f>
        <v>Прегольская ТЭС (Филиал "Калининградская ТЭЦ-2" АО "Интер РАО - Электрогенерация") Блок 3 НВ</v>
      </c>
      <c r="C872" s="516"/>
      <c r="D872" s="281">
        <f>'корпоративный баланс энергии'!J881+'корпоративный баланс энергии'!M881+'корпоративный баланс энергии'!P881</f>
        <v>152.80000000000001</v>
      </c>
      <c r="E872" s="246"/>
      <c r="F872" s="282"/>
      <c r="G872" s="244">
        <f>'корпоративный баланс энергии'!S881+'корпоративный баланс энергии'!V881+'корпоративный баланс энергии'!Y881</f>
        <v>101.6</v>
      </c>
      <c r="H872" s="246"/>
      <c r="I872" s="282"/>
      <c r="J872" s="244">
        <f>'корпоративный баланс энергии'!AB881+'корпоративный баланс энергии'!AE881+'корпоративный баланс энергии'!AH881</f>
        <v>64.800000000000011</v>
      </c>
      <c r="K872" s="246"/>
      <c r="L872" s="282"/>
      <c r="M872" s="244">
        <f>'корпоративный баланс энергии'!AK881+'корпоративный баланс энергии'!AN881+'корпоративный баланс энергии'!AQ881</f>
        <v>126.6</v>
      </c>
      <c r="N872" s="246"/>
      <c r="O872" s="282"/>
      <c r="P872" s="244">
        <f t="shared" si="56"/>
        <v>445.80000000000007</v>
      </c>
      <c r="Q872" s="246"/>
      <c r="R872" s="282"/>
      <c r="S872" s="375"/>
      <c r="T872" s="375"/>
    </row>
    <row r="873" spans="2:20" s="117" customFormat="1">
      <c r="B873" s="129" t="str">
        <f>'корпоративный баланс энергии'!H882</f>
        <v>Прегольская ТЭС (Филиал "Калининградская ТЭЦ-2" АО "Интер РАО - Электрогенерация") Блок 4 НВ</v>
      </c>
      <c r="C873" s="516"/>
      <c r="D873" s="281">
        <f>'корпоративный баланс энергии'!J882+'корпоративный баланс энергии'!M882+'корпоративный баланс энергии'!P882</f>
        <v>149.5</v>
      </c>
      <c r="E873" s="246"/>
      <c r="F873" s="282"/>
      <c r="G873" s="244">
        <f>'корпоративный баланс энергии'!S882+'корпоративный баланс энергии'!V882+'корпоративный баланс энергии'!Y882</f>
        <v>119.80000000000001</v>
      </c>
      <c r="H873" s="246"/>
      <c r="I873" s="282"/>
      <c r="J873" s="244">
        <f>'корпоративный баланс энергии'!AB882+'корпоративный баланс энергии'!AE882+'корпоративный баланс энергии'!AH882</f>
        <v>112.2</v>
      </c>
      <c r="K873" s="246"/>
      <c r="L873" s="282"/>
      <c r="M873" s="244">
        <f>'корпоративный баланс энергии'!AK882+'корпоративный баланс энергии'!AN882+'корпоративный баланс энергии'!AQ882</f>
        <v>66.8</v>
      </c>
      <c r="N873" s="246"/>
      <c r="O873" s="282"/>
      <c r="P873" s="244">
        <f t="shared" si="56"/>
        <v>448.3</v>
      </c>
      <c r="Q873" s="246"/>
      <c r="R873" s="282"/>
      <c r="S873" s="375"/>
      <c r="T873" s="375"/>
    </row>
    <row r="874" spans="2:20" s="117" customFormat="1">
      <c r="B874" s="131" t="str">
        <f>'корпоративный баланс энергии'!H883</f>
        <v>Талаховская ТЭС (Филиал "Калининградская ТЭЦ-2" АО "Интер РАО - Электрогенерация")</v>
      </c>
      <c r="C874" s="516" t="s">
        <v>364</v>
      </c>
      <c r="D874" s="317">
        <f>SUM(D875:D876)</f>
        <v>235.39999999999998</v>
      </c>
      <c r="E874" s="246"/>
      <c r="F874" s="282"/>
      <c r="G874" s="317">
        <f>SUM(G875:G876)</f>
        <v>131.9</v>
      </c>
      <c r="H874" s="246"/>
      <c r="I874" s="282"/>
      <c r="J874" s="317">
        <f>SUM(J875:J876)</f>
        <v>114.2</v>
      </c>
      <c r="K874" s="246"/>
      <c r="L874" s="282"/>
      <c r="M874" s="317">
        <f>SUM(M875:M876)</f>
        <v>225</v>
      </c>
      <c r="N874" s="246"/>
      <c r="O874" s="282"/>
      <c r="P874" s="317">
        <f>SUM(P875:P876)</f>
        <v>706.5</v>
      </c>
      <c r="Q874" s="246"/>
      <c r="R874" s="282"/>
      <c r="S874" s="375"/>
      <c r="T874" s="375"/>
    </row>
    <row r="875" spans="2:20" s="117" customFormat="1">
      <c r="B875" s="129" t="str">
        <f>'корпоративный баланс энергии'!H884</f>
        <v xml:space="preserve">Талаховская ТЭС (Филиал "Калининградская ТЭЦ-2" АО "Интер РАО - Электрогенерация") Блок 1 НВ </v>
      </c>
      <c r="C875" s="516"/>
      <c r="D875" s="281">
        <f>'корпоративный баланс энергии'!J884+'корпоративный баланс энергии'!M884+'корпоративный баланс энергии'!P884</f>
        <v>116.1</v>
      </c>
      <c r="E875" s="246"/>
      <c r="F875" s="282"/>
      <c r="G875" s="244">
        <f>'корпоративный баланс энергии'!S884+'корпоративный баланс энергии'!V884+'корпоративный баланс энергии'!Y884</f>
        <v>70.7</v>
      </c>
      <c r="H875" s="246"/>
      <c r="I875" s="282"/>
      <c r="J875" s="244">
        <f>'корпоративный баланс энергии'!AB884+'корпоративный баланс энергии'!AE884+'корпоративный баланс энергии'!AH884</f>
        <v>52.72</v>
      </c>
      <c r="K875" s="246"/>
      <c r="L875" s="282"/>
      <c r="M875" s="244">
        <f>'корпоративный баланс энергии'!AK884+'корпоративный баланс энергии'!AN884+'корпоративный баланс энергии'!AQ884</f>
        <v>106.6</v>
      </c>
      <c r="N875" s="246"/>
      <c r="O875" s="282"/>
      <c r="P875" s="244">
        <f t="shared" ref="P875:P876" si="57">D875+G875+J875+M875</f>
        <v>346.12</v>
      </c>
      <c r="Q875" s="246"/>
      <c r="R875" s="282"/>
      <c r="S875" s="375"/>
      <c r="T875" s="375"/>
    </row>
    <row r="876" spans="2:20" s="117" customFormat="1">
      <c r="B876" s="129" t="str">
        <f>'корпоративный баланс энергии'!H885</f>
        <v xml:space="preserve">Талаховская ТЭС (Филиал "Калининградская ТЭЦ-2" АО "Интер РАО - Электрогенерация") Блок 2 НВ </v>
      </c>
      <c r="C876" s="516"/>
      <c r="D876" s="281">
        <f>'корпоративный баланс энергии'!J885+'корпоративный баланс энергии'!M885+'корпоративный баланс энергии'!P885</f>
        <v>119.3</v>
      </c>
      <c r="E876" s="246"/>
      <c r="F876" s="282"/>
      <c r="G876" s="244">
        <f>'корпоративный баланс энергии'!S885+'корпоративный баланс энергии'!V885+'корпоративный баланс энергии'!Y885</f>
        <v>61.2</v>
      </c>
      <c r="H876" s="246"/>
      <c r="I876" s="282"/>
      <c r="J876" s="244">
        <f>'корпоративный баланс энергии'!AB885+'корпоративный баланс энергии'!AE885+'корпоративный баланс энергии'!AH885</f>
        <v>61.480000000000004</v>
      </c>
      <c r="K876" s="246"/>
      <c r="L876" s="282"/>
      <c r="M876" s="244">
        <f>'корпоративный баланс энергии'!AK885+'корпоративный баланс энергии'!AN885+'корпоративный баланс энергии'!AQ885</f>
        <v>118.4</v>
      </c>
      <c r="N876" s="246"/>
      <c r="O876" s="282"/>
      <c r="P876" s="244">
        <f t="shared" si="57"/>
        <v>360.38</v>
      </c>
      <c r="Q876" s="246"/>
      <c r="R876" s="282"/>
      <c r="S876" s="375"/>
      <c r="T876" s="375"/>
    </row>
    <row r="877" spans="2:20" s="117" customFormat="1">
      <c r="B877" s="131" t="str">
        <f>'корпоративный баланс энергии'!H886</f>
        <v>Приморская ТЭС (Филиал "Калининградская ТЭЦ-2" АО "Интер РАО - Электрогенерация")</v>
      </c>
      <c r="C877" s="516"/>
      <c r="D877" s="927">
        <f>SUM(D878:D880)</f>
        <v>31.700000000000003</v>
      </c>
      <c r="E877" s="246"/>
      <c r="F877" s="282"/>
      <c r="G877" s="927">
        <f>SUM(G878:G880)</f>
        <v>60.599999999999994</v>
      </c>
      <c r="H877" s="246"/>
      <c r="I877" s="282"/>
      <c r="J877" s="927">
        <f>SUM(J878:J880)</f>
        <v>90.899999999999991</v>
      </c>
      <c r="K877" s="246"/>
      <c r="L877" s="282"/>
      <c r="M877" s="927">
        <f>SUM(M878:M880)</f>
        <v>121.19999999999999</v>
      </c>
      <c r="N877" s="246"/>
      <c r="O877" s="282"/>
      <c r="P877" s="927">
        <f>SUM(P878:P880)</f>
        <v>304.39999999999998</v>
      </c>
      <c r="Q877" s="246"/>
      <c r="R877" s="282"/>
      <c r="S877" s="375"/>
      <c r="T877" s="375"/>
    </row>
    <row r="878" spans="2:20" s="117" customFormat="1">
      <c r="B878" s="129" t="str">
        <f>'корпоративный баланс энергии'!H887</f>
        <v>Приморская ТЭС (Филиал "Калининградская ТЭЦ-2" АО "Интер РАО - Электрогенерация") Блок 1 НВ</v>
      </c>
      <c r="C878" s="516"/>
      <c r="D878" s="281">
        <f>'корпоративный баланс энергии'!J887+'корпоративный баланс энергии'!M887+'корпоративный баланс энергии'!P887</f>
        <v>31.700000000000003</v>
      </c>
      <c r="E878" s="246"/>
      <c r="F878" s="282"/>
      <c r="G878" s="244">
        <f>'корпоративный баланс энергии'!S887+'корпоративный баланс энергии'!V887+'корпоративный баланс энергии'!Y887</f>
        <v>30.299999999999997</v>
      </c>
      <c r="H878" s="246"/>
      <c r="I878" s="282"/>
      <c r="J878" s="244">
        <f>'корпоративный баланс энергии'!AB887+'корпоративный баланс энергии'!AE887+'корпоративный баланс энергии'!AH887</f>
        <v>30.299999999999997</v>
      </c>
      <c r="K878" s="246"/>
      <c r="L878" s="282"/>
      <c r="M878" s="244">
        <f>'корпоративный баланс энергии'!AK887+'корпоративный баланс энергии'!AN887+'корпоративный баланс энергии'!AQ887</f>
        <v>60.599999999999994</v>
      </c>
      <c r="N878" s="246"/>
      <c r="O878" s="282"/>
      <c r="P878" s="244">
        <f t="shared" ref="P878:P880" si="58">D878+G878+J878+M878</f>
        <v>152.89999999999998</v>
      </c>
      <c r="Q878" s="246"/>
      <c r="R878" s="282"/>
      <c r="S878" s="375"/>
      <c r="T878" s="375"/>
    </row>
    <row r="879" spans="2:20" s="117" customFormat="1">
      <c r="B879" s="129" t="str">
        <f>'корпоративный баланс энергии'!H888</f>
        <v>Приморская ТЭС (Филиал "Калининградская ТЭЦ-2" АО "Интер РАО - Электрогенерация") Блок 2 НВ</v>
      </c>
      <c r="C879" s="516"/>
      <c r="D879" s="281">
        <f>'корпоративный баланс энергии'!J888+'корпоративный баланс энергии'!M888+'корпоративный баланс энергии'!P888</f>
        <v>0</v>
      </c>
      <c r="E879" s="246"/>
      <c r="F879" s="282"/>
      <c r="G879" s="244">
        <f>'корпоративный баланс энергии'!S888+'корпоративный баланс энергии'!V888+'корпоративный баланс энергии'!Y888</f>
        <v>30.299999999999997</v>
      </c>
      <c r="H879" s="246"/>
      <c r="I879" s="282"/>
      <c r="J879" s="244">
        <f>'корпоративный баланс энергии'!AB888+'корпоративный баланс энергии'!AE888+'корпоративный баланс энергии'!AH888</f>
        <v>30.299999999999997</v>
      </c>
      <c r="K879" s="246"/>
      <c r="L879" s="282"/>
      <c r="M879" s="244">
        <f>'корпоративный баланс энергии'!AK888+'корпоративный баланс энергии'!AN888+'корпоративный баланс энергии'!AQ888</f>
        <v>30.299999999999997</v>
      </c>
      <c r="N879" s="246"/>
      <c r="O879" s="282"/>
      <c r="P879" s="244">
        <f t="shared" si="58"/>
        <v>90.899999999999991</v>
      </c>
      <c r="Q879" s="246"/>
      <c r="R879" s="282"/>
      <c r="S879" s="375"/>
      <c r="T879" s="375"/>
    </row>
    <row r="880" spans="2:20" s="117" customFormat="1">
      <c r="B880" s="129" t="str">
        <f>'корпоративный баланс энергии'!H889</f>
        <v>Приморская ТЭС (Филиал "Калининградская ТЭЦ-2" АО "Интер РАО - Электрогенерация") Блок 3 НВ</v>
      </c>
      <c r="C880" s="516"/>
      <c r="D880" s="281">
        <f>'корпоративный баланс энергии'!J889+'корпоративный баланс энергии'!M889+'корпоративный баланс энергии'!P889</f>
        <v>0</v>
      </c>
      <c r="E880" s="246"/>
      <c r="F880" s="282"/>
      <c r="G880" s="244">
        <f>'корпоративный баланс энергии'!S889+'корпоративный баланс энергии'!V889+'корпоративный баланс энергии'!Y889</f>
        <v>0</v>
      </c>
      <c r="H880" s="246"/>
      <c r="I880" s="282"/>
      <c r="J880" s="244">
        <f>'корпоративный баланс энергии'!AB889+'корпоративный баланс энергии'!AE889+'корпоративный баланс энергии'!AH889</f>
        <v>30.299999999999997</v>
      </c>
      <c r="K880" s="246"/>
      <c r="L880" s="282"/>
      <c r="M880" s="244">
        <f>'корпоративный баланс энергии'!AK889+'корпоративный баланс энергии'!AN889+'корпоративный баланс энергии'!AQ889</f>
        <v>30.299999999999997</v>
      </c>
      <c r="N880" s="246"/>
      <c r="O880" s="282"/>
      <c r="P880" s="244">
        <f t="shared" si="58"/>
        <v>60.599999999999994</v>
      </c>
      <c r="Q880" s="246"/>
      <c r="R880" s="282"/>
      <c r="S880" s="375"/>
      <c r="T880" s="375"/>
    </row>
    <row r="881" spans="2:20" s="117" customFormat="1">
      <c r="B881" s="129" t="str">
        <f>'корпоративный баланс энергии'!H890</f>
        <v>ГЭС ОАО "Янтарьэнерго"</v>
      </c>
      <c r="C881" s="519" t="s">
        <v>365</v>
      </c>
      <c r="D881" s="281">
        <f>'корпоративный баланс энергии'!J890+'корпоративный баланс энергии'!M890+'корпоративный баланс энергии'!P890</f>
        <v>2.6019999999999999</v>
      </c>
      <c r="E881" s="246"/>
      <c r="F881" s="282"/>
      <c r="G881" s="244">
        <f>'корпоративный баланс энергии'!S890+'корпоративный баланс энергии'!V890+'корпоративный баланс энергии'!Y890</f>
        <v>2.5960000000000001</v>
      </c>
      <c r="H881" s="246"/>
      <c r="I881" s="282"/>
      <c r="J881" s="244">
        <f>'корпоративный баланс энергии'!AB890+'корпоративный баланс энергии'!AE890+'корпоративный баланс энергии'!AH890</f>
        <v>1.9159999999999999</v>
      </c>
      <c r="K881" s="246"/>
      <c r="L881" s="282"/>
      <c r="M881" s="244">
        <f>'корпоративный баланс энергии'!AK890+'корпоративный баланс энергии'!AN890+'корпоративный баланс энергии'!AQ890</f>
        <v>2.5629999999999997</v>
      </c>
      <c r="N881" s="246"/>
      <c r="O881" s="282"/>
      <c r="P881" s="244">
        <f>D881+G881+J881+M881</f>
        <v>9.6769999999999996</v>
      </c>
      <c r="Q881" s="246"/>
      <c r="R881" s="282"/>
      <c r="S881" s="375"/>
      <c r="T881" s="375"/>
    </row>
    <row r="882" spans="2:20" s="117" customFormat="1">
      <c r="B882" s="129" t="str">
        <f>'корпоративный баланс энергии'!H891</f>
        <v>Гусевская ТЭЦ (ОАО "Калининградская генерирующая компания")</v>
      </c>
      <c r="C882" s="519" t="s">
        <v>365</v>
      </c>
      <c r="D882" s="281">
        <f>'корпоративный баланс энергии'!J891+'корпоративный баланс энергии'!M891+'корпоративный баланс энергии'!P891</f>
        <v>0.311</v>
      </c>
      <c r="E882" s="246"/>
      <c r="F882" s="282"/>
      <c r="G882" s="244">
        <f>'корпоративный баланс энергии'!S891+'корпоративный баланс энергии'!V891+'корпоративный баланс энергии'!Y891</f>
        <v>0</v>
      </c>
      <c r="H882" s="246"/>
      <c r="I882" s="282"/>
      <c r="J882" s="244">
        <f>'корпоративный баланс энергии'!AB891+'корпоративный баланс энергии'!AE891+'корпоративный баланс энергии'!AH891</f>
        <v>0</v>
      </c>
      <c r="K882" s="246"/>
      <c r="L882" s="282"/>
      <c r="M882" s="244">
        <f>'корпоративный баланс энергии'!AK891+'корпоративный баланс энергии'!AN891+'корпоративный баланс энергии'!AQ891</f>
        <v>0.16700000000000001</v>
      </c>
      <c r="N882" s="246"/>
      <c r="O882" s="282"/>
      <c r="P882" s="244">
        <f>D882+G882+J882+M882</f>
        <v>0.47799999999999998</v>
      </c>
      <c r="Q882" s="246"/>
      <c r="R882" s="282"/>
      <c r="S882" s="375"/>
      <c r="T882" s="375"/>
    </row>
    <row r="883" spans="2:20" s="117" customFormat="1">
      <c r="B883" s="138" t="s">
        <v>174</v>
      </c>
      <c r="C883" s="488"/>
      <c r="D883" s="287">
        <f>D884</f>
        <v>15.981</v>
      </c>
      <c r="E883" s="288"/>
      <c r="F883" s="289"/>
      <c r="G883" s="287">
        <f>G884</f>
        <v>12.815</v>
      </c>
      <c r="H883" s="288"/>
      <c r="I883" s="289"/>
      <c r="J883" s="287">
        <f>J884</f>
        <v>12.269</v>
      </c>
      <c r="K883" s="288"/>
      <c r="L883" s="289"/>
      <c r="M883" s="287">
        <f>M884</f>
        <v>13.274000000000001</v>
      </c>
      <c r="N883" s="288"/>
      <c r="O883" s="289"/>
      <c r="P883" s="287">
        <f>P884</f>
        <v>54.338999999999999</v>
      </c>
      <c r="Q883" s="288"/>
      <c r="R883" s="289"/>
      <c r="S883" s="375"/>
      <c r="T883" s="375"/>
    </row>
    <row r="884" spans="2:20" s="117" customFormat="1">
      <c r="B884" s="142" t="str">
        <f>'корпоративный баланс энергии'!H893</f>
        <v>ТЭЦ-10 Советского ЦБЗ</v>
      </c>
      <c r="C884" s="518" t="s">
        <v>365</v>
      </c>
      <c r="D884" s="293">
        <f>'корпоративный баланс энергии'!J893+'корпоративный баланс энергии'!M893+'корпоративный баланс энергии'!P893</f>
        <v>15.981</v>
      </c>
      <c r="E884" s="288"/>
      <c r="F884" s="289"/>
      <c r="G884" s="294">
        <f>'корпоративный баланс энергии'!S893+'корпоративный баланс энергии'!V893+'корпоративный баланс энергии'!Y893</f>
        <v>12.815</v>
      </c>
      <c r="H884" s="288"/>
      <c r="I884" s="289"/>
      <c r="J884" s="294">
        <f>'корпоративный баланс энергии'!AB893+'корпоративный баланс энергии'!AE893+'корпоративный баланс энергии'!AH893</f>
        <v>12.269</v>
      </c>
      <c r="K884" s="288"/>
      <c r="L884" s="289"/>
      <c r="M884" s="294">
        <f>'корпоративный баланс энергии'!AK893+'корпоративный баланс энергии'!AN893+'корпоративный баланс энергии'!AQ893</f>
        <v>13.274000000000001</v>
      </c>
      <c r="N884" s="288"/>
      <c r="O884" s="289"/>
      <c r="P884" s="294">
        <f>D884+G884+J884+M884</f>
        <v>54.338999999999999</v>
      </c>
      <c r="Q884" s="288"/>
      <c r="R884" s="289"/>
      <c r="S884" s="375"/>
      <c r="T884" s="375"/>
    </row>
    <row r="885" spans="2:20" s="117" customFormat="1" ht="18.75">
      <c r="B885" s="475" t="str">
        <f>'корпоративный баланс энергии'!H894</f>
        <v>Энергосистема Республики Карелия</v>
      </c>
      <c r="C885" s="505"/>
      <c r="D885" s="274">
        <f>SUM(D886:D888)</f>
        <v>1339.376</v>
      </c>
      <c r="E885" s="275">
        <f>F885-D885</f>
        <v>859.46100000000001</v>
      </c>
      <c r="F885" s="276">
        <f>'корпоративный баланс энергии'!L894+'корпоративный баланс энергии'!O894+'корпоративный баланс энергии'!R894</f>
        <v>2198.837</v>
      </c>
      <c r="G885" s="274">
        <f>SUM(G886:G888)</f>
        <v>1317.4850000000001</v>
      </c>
      <c r="H885" s="275">
        <f>I885-G885</f>
        <v>520.30299999999988</v>
      </c>
      <c r="I885" s="276">
        <f>'корпоративный баланс энергии'!U894+'корпоративный баланс энергии'!X894+'корпоративный баланс энергии'!AA894</f>
        <v>1837.788</v>
      </c>
      <c r="J885" s="274">
        <f>SUM(J886:J888)</f>
        <v>1042.645</v>
      </c>
      <c r="K885" s="275">
        <f>L885-J885</f>
        <v>727.66199999999981</v>
      </c>
      <c r="L885" s="276">
        <f>'корпоративный баланс энергии'!AD894+'корпоративный баланс энергии'!AG894+'корпоративный баланс энергии'!AJ894</f>
        <v>1770.3069999999998</v>
      </c>
      <c r="M885" s="274">
        <f>SUM(M886:M888)</f>
        <v>1311.212</v>
      </c>
      <c r="N885" s="275">
        <f>O885-M885</f>
        <v>770.85600000000022</v>
      </c>
      <c r="O885" s="276">
        <f>'корпоративный баланс энергии'!AM894+'корпоративный баланс энергии'!AP894+'корпоративный баланс энергии'!AS894</f>
        <v>2082.0680000000002</v>
      </c>
      <c r="P885" s="274">
        <f>SUM(P886:P888)</f>
        <v>5010.7180000000008</v>
      </c>
      <c r="Q885" s="275">
        <f>R885-P885</f>
        <v>2878.2819999999992</v>
      </c>
      <c r="R885" s="276">
        <f>F885+I885+L885+O885</f>
        <v>7889</v>
      </c>
      <c r="S885" s="375"/>
      <c r="T885" s="375"/>
    </row>
    <row r="886" spans="2:20" s="117" customFormat="1">
      <c r="B886" s="10" t="s">
        <v>56</v>
      </c>
      <c r="C886" s="483"/>
      <c r="D886" s="270">
        <f>D889</f>
        <v>447.48</v>
      </c>
      <c r="E886" s="271"/>
      <c r="F886" s="224"/>
      <c r="G886" s="270">
        <f>G889</f>
        <v>216.57600000000002</v>
      </c>
      <c r="H886" s="271"/>
      <c r="I886" s="224"/>
      <c r="J886" s="270">
        <f>J889</f>
        <v>165.6</v>
      </c>
      <c r="K886" s="271"/>
      <c r="L886" s="224"/>
      <c r="M886" s="270">
        <f>M889</f>
        <v>322.27199999999999</v>
      </c>
      <c r="N886" s="271"/>
      <c r="O886" s="224"/>
      <c r="P886" s="270">
        <f>P889</f>
        <v>1151.9280000000001</v>
      </c>
      <c r="Q886" s="271"/>
      <c r="R886" s="364"/>
      <c r="S886" s="375"/>
      <c r="T886" s="375"/>
    </row>
    <row r="887" spans="2:20" s="117" customFormat="1">
      <c r="B887" s="10" t="s">
        <v>55</v>
      </c>
      <c r="C887" s="483"/>
      <c r="D887" s="270">
        <f>D890+D896+D901+D905+D906+D907+D908</f>
        <v>643.19599999999991</v>
      </c>
      <c r="E887" s="271"/>
      <c r="F887" s="224"/>
      <c r="G887" s="270">
        <f>G890+G896+G901+G905+G906+G907+G908</f>
        <v>912.50900000000001</v>
      </c>
      <c r="H887" s="271"/>
      <c r="I887" s="224"/>
      <c r="J887" s="270">
        <f>J890+J896+J901+J905+J906+J907+J908</f>
        <v>697.94500000000005</v>
      </c>
      <c r="K887" s="271"/>
      <c r="L887" s="224"/>
      <c r="M887" s="270">
        <f>M890+M896+M901+M905+M906+M907+M908</f>
        <v>746.34</v>
      </c>
      <c r="N887" s="271"/>
      <c r="O887" s="224"/>
      <c r="P887" s="270">
        <f>P890+P896+P901+P905+P906+P907+P908</f>
        <v>2999.9900000000007</v>
      </c>
      <c r="Q887" s="271"/>
      <c r="R887" s="364"/>
      <c r="S887" s="375"/>
      <c r="T887" s="375"/>
    </row>
    <row r="888" spans="2:20" s="117" customFormat="1">
      <c r="B888" s="10" t="s">
        <v>99</v>
      </c>
      <c r="C888" s="483"/>
      <c r="D888" s="270">
        <f>D911</f>
        <v>248.7</v>
      </c>
      <c r="E888" s="271"/>
      <c r="F888" s="224"/>
      <c r="G888" s="270">
        <f>G911</f>
        <v>188.4</v>
      </c>
      <c r="H888" s="271"/>
      <c r="I888" s="224"/>
      <c r="J888" s="270">
        <f>J911</f>
        <v>179.1</v>
      </c>
      <c r="K888" s="271"/>
      <c r="L888" s="224"/>
      <c r="M888" s="270">
        <f>M911</f>
        <v>242.59999999999997</v>
      </c>
      <c r="N888" s="271"/>
      <c r="O888" s="224"/>
      <c r="P888" s="270">
        <f>P911</f>
        <v>858.8</v>
      </c>
      <c r="Q888" s="271"/>
      <c r="R888" s="364"/>
      <c r="S888" s="375"/>
      <c r="T888" s="375"/>
    </row>
    <row r="889" spans="2:20" s="117" customFormat="1">
      <c r="B889" s="122" t="str">
        <f>'корпоративный баланс энергии'!H898</f>
        <v>Петрозаводская ТЭЦ (филиал "Карельский" ПАО "ТГК-1")</v>
      </c>
      <c r="C889" s="516" t="s">
        <v>364</v>
      </c>
      <c r="D889" s="281">
        <f>'корпоративный баланс энергии'!J898+'корпоративный баланс энергии'!M898+'корпоративный баланс энергии'!P898</f>
        <v>447.48</v>
      </c>
      <c r="E889" s="246"/>
      <c r="F889" s="282"/>
      <c r="G889" s="244">
        <f>'корпоративный баланс энергии'!S898+'корпоративный баланс энергии'!V898+'корпоративный баланс энергии'!Y898</f>
        <v>216.57600000000002</v>
      </c>
      <c r="H889" s="246"/>
      <c r="I889" s="282"/>
      <c r="J889" s="244">
        <f>'корпоративный баланс энергии'!AB898+'корпоративный баланс энергии'!AE898+'корпоративный баланс энергии'!AH898</f>
        <v>165.6</v>
      </c>
      <c r="K889" s="246"/>
      <c r="L889" s="282"/>
      <c r="M889" s="244">
        <f>'корпоративный баланс энергии'!AK898+'корпоративный баланс энергии'!AN898+'корпоративный баланс энергии'!AQ898</f>
        <v>322.27199999999999</v>
      </c>
      <c r="N889" s="246"/>
      <c r="O889" s="282"/>
      <c r="P889" s="244">
        <f>D889+G889+J889+M889</f>
        <v>1151.9280000000001</v>
      </c>
      <c r="Q889" s="246"/>
      <c r="R889" s="282"/>
      <c r="S889" s="375"/>
      <c r="T889" s="375"/>
    </row>
    <row r="890" spans="2:20" s="117" customFormat="1">
      <c r="B890" s="134" t="str">
        <f>'корпоративный баланс энергии'!H899</f>
        <v>Каскад Выгских ГЭС филиала "Карельский" ПАО "ТГК-1"</v>
      </c>
      <c r="C890" s="516" t="s">
        <v>364</v>
      </c>
      <c r="D890" s="317">
        <f>SUM(D891:D895)</f>
        <v>289.14099999999996</v>
      </c>
      <c r="E890" s="246"/>
      <c r="F890" s="282"/>
      <c r="G890" s="317">
        <f>SUM(G891:G895)</f>
        <v>332.76900000000001</v>
      </c>
      <c r="H890" s="246"/>
      <c r="I890" s="282"/>
      <c r="J890" s="317">
        <f>SUM(J891:J895)</f>
        <v>267.036</v>
      </c>
      <c r="K890" s="246"/>
      <c r="L890" s="282"/>
      <c r="M890" s="317">
        <f>SUM(M891:M895)</f>
        <v>310.79399999999998</v>
      </c>
      <c r="N890" s="246"/>
      <c r="O890" s="282"/>
      <c r="P890" s="317">
        <f>SUM(P891:P895)</f>
        <v>1199.7400000000002</v>
      </c>
      <c r="Q890" s="246"/>
      <c r="R890" s="282"/>
      <c r="S890" s="375"/>
      <c r="T890" s="375"/>
    </row>
    <row r="891" spans="2:20" s="117" customFormat="1">
      <c r="B891" s="122" t="str">
        <f>'корпоративный баланс энергии'!H900</f>
        <v>Ондская ГЭС (Филиал НАЗ - СУАЛ)</v>
      </c>
      <c r="C891" s="486"/>
      <c r="D891" s="281">
        <f>'корпоративный баланс энергии'!J900+'корпоративный баланс энергии'!M900+'корпоративный баланс энергии'!P900</f>
        <v>88.7</v>
      </c>
      <c r="E891" s="246"/>
      <c r="F891" s="282"/>
      <c r="G891" s="244">
        <f>'корпоративный баланс энергии'!S900+'корпоративный баланс энергии'!V900+'корпоративный баланс энергии'!Y900</f>
        <v>82.2</v>
      </c>
      <c r="H891" s="246"/>
      <c r="I891" s="282"/>
      <c r="J891" s="244">
        <f>'корпоративный баланс энергии'!AB900+'корпоративный баланс энергии'!AE900+'корпоративный баланс энергии'!AH900</f>
        <v>76.400000000000006</v>
      </c>
      <c r="K891" s="246"/>
      <c r="L891" s="282"/>
      <c r="M891" s="244">
        <f>'корпоративный баланс энергии'!AK900+'корпоративный баланс энергии'!AN900+'корпоративный баланс энергии'!AQ900</f>
        <v>88.8</v>
      </c>
      <c r="N891" s="246"/>
      <c r="O891" s="282"/>
      <c r="P891" s="244">
        <f>D891+G891+J891+M891</f>
        <v>336.1</v>
      </c>
      <c r="Q891" s="246"/>
      <c r="R891" s="282"/>
      <c r="S891" s="375"/>
      <c r="T891" s="375"/>
    </row>
    <row r="892" spans="2:20" s="117" customFormat="1">
      <c r="B892" s="122" t="str">
        <f>'корпоративный баланс энергии'!H901</f>
        <v>Выгостровская ГЭС-5 (филиал "Карельский" ПАО "ТГК-1")</v>
      </c>
      <c r="C892" s="486"/>
      <c r="D892" s="281">
        <f>'корпоративный баланс энергии'!J901+'корпоративный баланс энергии'!M901+'корпоративный баланс энергии'!P901</f>
        <v>52.097000000000001</v>
      </c>
      <c r="E892" s="246"/>
      <c r="F892" s="282"/>
      <c r="G892" s="244">
        <f>'корпоративный баланс энергии'!S901+'корпоративный баланс энергии'!V901+'корпоративный баланс энергии'!Y901</f>
        <v>64.378</v>
      </c>
      <c r="H892" s="246"/>
      <c r="I892" s="282"/>
      <c r="J892" s="244">
        <f>'корпоративный баланс энергии'!AB901+'корпоративный баланс энергии'!AE901+'корпоративный баланс энергии'!AH901</f>
        <v>45.636000000000003</v>
      </c>
      <c r="K892" s="246"/>
      <c r="L892" s="282"/>
      <c r="M892" s="244">
        <f>'корпоративный баланс энергии'!AK901+'корпоративный баланс энергии'!AN901+'корпоративный баланс энергии'!AQ901</f>
        <v>53.632999999999996</v>
      </c>
      <c r="N892" s="246"/>
      <c r="O892" s="282"/>
      <c r="P892" s="244">
        <f>D892+G892+J892+M892</f>
        <v>215.74399999999997</v>
      </c>
      <c r="Q892" s="246"/>
      <c r="R892" s="282"/>
      <c r="S892" s="375"/>
      <c r="T892" s="375"/>
    </row>
    <row r="893" spans="2:20" s="116" customFormat="1">
      <c r="B893" s="122" t="str">
        <f>'корпоративный баланс энергии'!H902</f>
        <v>Беломорская ГЭС-6 (филиал "Карельский" ПАО "ТГК-1")</v>
      </c>
      <c r="C893" s="486"/>
      <c r="D893" s="281">
        <f>'корпоративный баланс энергии'!J902+'корпоративный баланс энергии'!M902+'корпоративный баланс энергии'!P902</f>
        <v>28.281999999999996</v>
      </c>
      <c r="E893" s="246"/>
      <c r="F893" s="282"/>
      <c r="G893" s="244">
        <f>'корпоративный баланс энергии'!S902+'корпоративный баланс энергии'!V902+'корпоративный баланс энергии'!Y902</f>
        <v>37.11</v>
      </c>
      <c r="H893" s="246"/>
      <c r="I893" s="282"/>
      <c r="J893" s="244">
        <f>'корпоративный баланс энергии'!AB902+'корпоративный баланс энергии'!AE902+'корпоративный баланс энергии'!AH902</f>
        <v>27.468</v>
      </c>
      <c r="K893" s="246"/>
      <c r="L893" s="282"/>
      <c r="M893" s="244">
        <f>'корпоративный баланс энергии'!AK902+'корпоративный баланс энергии'!AN902+'корпоративный баланс энергии'!AQ902</f>
        <v>34.129999999999995</v>
      </c>
      <c r="N893" s="246"/>
      <c r="O893" s="282"/>
      <c r="P893" s="244">
        <f>D893+G893+J893+M893</f>
        <v>126.99</v>
      </c>
      <c r="Q893" s="246"/>
      <c r="R893" s="282"/>
      <c r="S893" s="374"/>
      <c r="T893" s="374"/>
    </row>
    <row r="894" spans="2:20" s="116" customFormat="1">
      <c r="B894" s="122" t="str">
        <f>'корпоративный баланс энергии'!H903</f>
        <v xml:space="preserve">Палокоргская ГЭС-7 (филиал "Карельский" ПАО "ТГК-1") </v>
      </c>
      <c r="C894" s="486"/>
      <c r="D894" s="281">
        <f>'корпоративный баланс энергии'!J903+'корпоративный баланс энергии'!M903+'корпоративный баланс энергии'!P903</f>
        <v>39.225000000000001</v>
      </c>
      <c r="E894" s="246"/>
      <c r="F894" s="282"/>
      <c r="G894" s="244">
        <f>'корпоративный баланс энергии'!S903+'корпоративный баланс энергии'!V903+'корпоративный баланс энергии'!Y903</f>
        <v>45.156999999999996</v>
      </c>
      <c r="H894" s="246"/>
      <c r="I894" s="282"/>
      <c r="J894" s="244">
        <f>'корпоративный баланс энергии'!AB903+'корпоративный баланс энергии'!AE903+'корпоративный баланс энергии'!AH903</f>
        <v>38.950000000000003</v>
      </c>
      <c r="K894" s="246"/>
      <c r="L894" s="282"/>
      <c r="M894" s="244">
        <f>'корпоративный баланс энергии'!AK903+'корпоративный баланс энергии'!AN903+'корпоративный баланс энергии'!AQ903</f>
        <v>43.569000000000003</v>
      </c>
      <c r="N894" s="246"/>
      <c r="O894" s="282"/>
      <c r="P894" s="244">
        <f>D894+G894+J894+M894</f>
        <v>166.90100000000001</v>
      </c>
      <c r="Q894" s="246"/>
      <c r="R894" s="282"/>
      <c r="S894" s="374"/>
      <c r="T894" s="374"/>
    </row>
    <row r="895" spans="2:20" s="116" customFormat="1">
      <c r="B895" s="122" t="str">
        <f>'корпоративный баланс энергии'!H904</f>
        <v>Матконежская ГЭС-3 (филиал "Карельский" ПАО "ТГК-1")</v>
      </c>
      <c r="C895" s="486"/>
      <c r="D895" s="281">
        <f>'корпоративный баланс энергии'!J904+'корпоративный баланс энергии'!M904+'корпоративный баланс энергии'!P904</f>
        <v>80.836999999999989</v>
      </c>
      <c r="E895" s="246"/>
      <c r="F895" s="282"/>
      <c r="G895" s="244">
        <f>'корпоративный баланс энергии'!S904+'корпоративный баланс энергии'!V904+'корпоративный баланс энергии'!Y904</f>
        <v>103.92400000000001</v>
      </c>
      <c r="H895" s="246"/>
      <c r="I895" s="282"/>
      <c r="J895" s="244">
        <f>'корпоративный баланс энергии'!AB904+'корпоративный баланс энергии'!AE904+'корпоративный баланс энергии'!AH904</f>
        <v>78.581999999999994</v>
      </c>
      <c r="K895" s="246"/>
      <c r="L895" s="282"/>
      <c r="M895" s="244">
        <f>'корпоративный баланс энергии'!AK904+'корпоративный баланс энергии'!AN904+'корпоративный баланс энергии'!AQ904</f>
        <v>90.662000000000006</v>
      </c>
      <c r="N895" s="246"/>
      <c r="O895" s="282"/>
      <c r="P895" s="244">
        <f>D895+G895+J895+M895</f>
        <v>354.005</v>
      </c>
      <c r="Q895" s="246"/>
      <c r="R895" s="282"/>
      <c r="S895" s="374"/>
      <c r="T895" s="374"/>
    </row>
    <row r="896" spans="2:20" s="116" customFormat="1">
      <c r="B896" s="134" t="str">
        <f>'корпоративный баланс энергии'!H905</f>
        <v>Каскад Кемских ГЭС филиала "Карельский" ПАО "ТГК-1"</v>
      </c>
      <c r="C896" s="516" t="s">
        <v>364</v>
      </c>
      <c r="D896" s="317">
        <f>SUM(D897:D900)</f>
        <v>244.48</v>
      </c>
      <c r="E896" s="246"/>
      <c r="F896" s="282"/>
      <c r="G896" s="317">
        <f>SUM(G897:G900)</f>
        <v>387.25700000000001</v>
      </c>
      <c r="H896" s="246"/>
      <c r="I896" s="282"/>
      <c r="J896" s="317">
        <f>SUM(J897:J900)</f>
        <v>316.36</v>
      </c>
      <c r="K896" s="246"/>
      <c r="L896" s="282"/>
      <c r="M896" s="317">
        <f>SUM(M897:M900)</f>
        <v>297.23700000000002</v>
      </c>
      <c r="N896" s="246"/>
      <c r="O896" s="282"/>
      <c r="P896" s="317">
        <f>SUM(P897:P900)</f>
        <v>1245.3340000000001</v>
      </c>
      <c r="Q896" s="246"/>
      <c r="R896" s="282"/>
      <c r="S896" s="374"/>
      <c r="T896" s="374"/>
    </row>
    <row r="897" spans="2:20" s="116" customFormat="1">
      <c r="B897" s="122" t="str">
        <f>'корпоративный баланс энергии'!H906</f>
        <v>Путкинская ГЭС-9 (филиал "Карельский" ПАО "ТГК-1")</v>
      </c>
      <c r="C897" s="498"/>
      <c r="D897" s="281">
        <f>'корпоративный баланс энергии'!J906+'корпоративный баланс энергии'!M906+'корпоративный баланс энергии'!P906</f>
        <v>80.521000000000001</v>
      </c>
      <c r="E897" s="246"/>
      <c r="F897" s="282"/>
      <c r="G897" s="244">
        <f>'корпоративный баланс энергии'!S906+'корпоративный баланс энергии'!V906+'корпоративный баланс энергии'!Y906</f>
        <v>133.51</v>
      </c>
      <c r="H897" s="246"/>
      <c r="I897" s="282"/>
      <c r="J897" s="244">
        <f>'корпоративный баланс энергии'!AB906+'корпоративный баланс энергии'!AE906+'корпоративный баланс энергии'!AH906</f>
        <v>98.546000000000006</v>
      </c>
      <c r="K897" s="246"/>
      <c r="L897" s="282"/>
      <c r="M897" s="244">
        <f>'корпоративный баланс энергии'!AK906+'корпоративный баланс энергии'!AN906+'корпоративный баланс энергии'!AQ906</f>
        <v>99.634</v>
      </c>
      <c r="N897" s="246"/>
      <c r="O897" s="282"/>
      <c r="P897" s="244">
        <f>D897+G897+J897+M897</f>
        <v>412.21100000000001</v>
      </c>
      <c r="Q897" s="246"/>
      <c r="R897" s="282"/>
      <c r="S897" s="374"/>
      <c r="T897" s="374"/>
    </row>
    <row r="898" spans="2:20" s="117" customFormat="1">
      <c r="B898" s="122" t="str">
        <f>'корпоративный баланс энергии'!H907</f>
        <v>Подужемская ГЭС-10 (филиал "Карельский" ПАО "ТГК-1")</v>
      </c>
      <c r="C898" s="498"/>
      <c r="D898" s="281">
        <f>'корпоративный баланс энергии'!J907+'корпоративный баланс энергии'!M907+'корпоративный баланс энергии'!P907</f>
        <v>42.1</v>
      </c>
      <c r="E898" s="246"/>
      <c r="F898" s="282"/>
      <c r="G898" s="244">
        <f>'корпоративный баланс энергии'!S907+'корпоративный баланс энергии'!V907+'корпоративный баланс энергии'!Y907</f>
        <v>74.695000000000007</v>
      </c>
      <c r="H898" s="246"/>
      <c r="I898" s="282"/>
      <c r="J898" s="244">
        <f>'корпоративный баланс энергии'!AB907+'корпоративный баланс энергии'!AE907+'корпоративный баланс энергии'!AH907</f>
        <v>58.531999999999996</v>
      </c>
      <c r="K898" s="246"/>
      <c r="L898" s="282"/>
      <c r="M898" s="244">
        <f>'корпоративный баланс энергии'!AK907+'корпоративный баланс энергии'!AN907+'корпоративный баланс энергии'!AQ907</f>
        <v>54.545000000000002</v>
      </c>
      <c r="N898" s="246"/>
      <c r="O898" s="282"/>
      <c r="P898" s="244">
        <f>D898+G898+J898+M898</f>
        <v>229.87200000000001</v>
      </c>
      <c r="Q898" s="246"/>
      <c r="R898" s="282"/>
      <c r="S898" s="375"/>
      <c r="T898" s="375"/>
    </row>
    <row r="899" spans="2:20" s="117" customFormat="1">
      <c r="B899" s="122" t="str">
        <f>'корпоративный баланс энергии'!H908</f>
        <v>Кривопорожская ГЭС-14 (филиал "Карельский" ПАО "ТГК-1")</v>
      </c>
      <c r="C899" s="498"/>
      <c r="D899" s="281">
        <f>'корпоративный баланс энергии'!J908+'корпоративный баланс энергии'!M908+'корпоративный баланс энергии'!P908</f>
        <v>101.033</v>
      </c>
      <c r="E899" s="246"/>
      <c r="F899" s="282"/>
      <c r="G899" s="244">
        <f>'корпоративный баланс энергии'!S908+'корпоративный баланс энергии'!V908+'корпоративный баланс энергии'!Y908</f>
        <v>168.94400000000002</v>
      </c>
      <c r="H899" s="246"/>
      <c r="I899" s="282"/>
      <c r="J899" s="244">
        <f>'корпоративный баланс энергии'!AB908+'корпоративный баланс энергии'!AE908+'корпоративный баланс энергии'!AH908</f>
        <v>136.863</v>
      </c>
      <c r="K899" s="246"/>
      <c r="L899" s="282"/>
      <c r="M899" s="244">
        <f>'корпоративный баланс энергии'!AK908+'корпоративный баланс энергии'!AN908+'корпоративный баланс энергии'!AQ908</f>
        <v>126.188</v>
      </c>
      <c r="N899" s="246"/>
      <c r="O899" s="282"/>
      <c r="P899" s="244">
        <f>D899+G899+J899+M899</f>
        <v>533.02800000000002</v>
      </c>
      <c r="Q899" s="246"/>
      <c r="R899" s="282"/>
      <c r="S899" s="375"/>
      <c r="T899" s="375"/>
    </row>
    <row r="900" spans="2:20" s="116" customFormat="1">
      <c r="B900" s="122" t="str">
        <f>'корпоративный баланс энергии'!H909</f>
        <v>Юшкозерская ГЭС-16 (филиал "Карельский" ПАО "ТГК-1")</v>
      </c>
      <c r="C900" s="498"/>
      <c r="D900" s="281">
        <f>'корпоративный баланс энергии'!J909+'корпоративный баланс энергии'!M909+'корпоративный баланс энергии'!P909</f>
        <v>20.826000000000001</v>
      </c>
      <c r="E900" s="246"/>
      <c r="F900" s="282"/>
      <c r="G900" s="244">
        <f>'корпоративный баланс энергии'!S909+'корпоративный баланс энергии'!V909+'корпоративный баланс энергии'!Y909</f>
        <v>10.108000000000001</v>
      </c>
      <c r="H900" s="246"/>
      <c r="I900" s="282"/>
      <c r="J900" s="244">
        <f>'корпоративный баланс энергии'!AB909+'корпоративный баланс энергии'!AE909+'корпоративный баланс энергии'!AH909</f>
        <v>22.419</v>
      </c>
      <c r="K900" s="246"/>
      <c r="L900" s="282"/>
      <c r="M900" s="244">
        <f>'корпоративный баланс энергии'!AK909+'корпоративный баланс энергии'!AN909+'корпоративный баланс энергии'!AQ909</f>
        <v>16.87</v>
      </c>
      <c r="N900" s="246"/>
      <c r="O900" s="282"/>
      <c r="P900" s="244">
        <f>D900+G900+J900+M900</f>
        <v>70.222999999999999</v>
      </c>
      <c r="Q900" s="246"/>
      <c r="R900" s="282"/>
      <c r="S900" s="374"/>
      <c r="T900" s="374"/>
    </row>
    <row r="901" spans="2:20" s="116" customFormat="1">
      <c r="B901" s="134" t="str">
        <f>'корпоративный баланс энергии'!H910</f>
        <v>Каскад Сунских ГЭС филиала "Карельский" ПАО "ТГК-1"</v>
      </c>
      <c r="C901" s="516" t="s">
        <v>364</v>
      </c>
      <c r="D901" s="317">
        <f>SUM(D902:D904)</f>
        <v>64.974999999999994</v>
      </c>
      <c r="E901" s="246"/>
      <c r="F901" s="282"/>
      <c r="G901" s="317">
        <f>SUM(G902:G904)</f>
        <v>100.57299999999999</v>
      </c>
      <c r="H901" s="246"/>
      <c r="I901" s="282"/>
      <c r="J901" s="317">
        <f>SUM(J902:J904)</f>
        <v>75.248999999999995</v>
      </c>
      <c r="K901" s="246"/>
      <c r="L901" s="282"/>
      <c r="M901" s="317">
        <f>SUM(M902:M904)</f>
        <v>74.478999999999999</v>
      </c>
      <c r="N901" s="246"/>
      <c r="O901" s="282"/>
      <c r="P901" s="317">
        <f>SUM(P902:P904)</f>
        <v>315.27599999999995</v>
      </c>
      <c r="Q901" s="246"/>
      <c r="R901" s="282"/>
      <c r="S901" s="374"/>
      <c r="T901" s="374"/>
    </row>
    <row r="902" spans="2:20" s="116" customFormat="1">
      <c r="B902" s="122" t="str">
        <f>'корпоративный баланс энергии'!H911</f>
        <v>Пальеозерская ГЭС-2 (филиал "Карельский" ПАО "ТГК-1")</v>
      </c>
      <c r="C902" s="498"/>
      <c r="D902" s="281">
        <f>'корпоративный баланс энергии'!J911+'корпоративный баланс энергии'!M911+'корпоративный баланс энергии'!P911</f>
        <v>20.027999999999999</v>
      </c>
      <c r="E902" s="246"/>
      <c r="F902" s="282"/>
      <c r="G902" s="244">
        <f>'корпоративный баланс энергии'!S911+'корпоративный баланс энергии'!V911+'корпоративный баланс энергии'!Y911</f>
        <v>41.412999999999997</v>
      </c>
      <c r="H902" s="246"/>
      <c r="I902" s="282"/>
      <c r="J902" s="244">
        <f>'корпоративный баланс энергии'!AB911+'корпоративный баланс энергии'!AE911+'корпоративный баланс энергии'!AH911</f>
        <v>27.463000000000001</v>
      </c>
      <c r="K902" s="246"/>
      <c r="L902" s="282"/>
      <c r="M902" s="244">
        <f>'корпоративный баланс энергии'!AK911+'корпоративный баланс энергии'!AN911+'корпоративный баланс энергии'!AQ911</f>
        <v>28.920999999999999</v>
      </c>
      <c r="N902" s="246"/>
      <c r="O902" s="282"/>
      <c r="P902" s="244">
        <f t="shared" ref="P902:P907" si="59">D902+G902+J902+M902</f>
        <v>117.82499999999999</v>
      </c>
      <c r="Q902" s="246"/>
      <c r="R902" s="282"/>
      <c r="S902" s="374"/>
      <c r="T902" s="374"/>
    </row>
    <row r="903" spans="2:20" s="116" customFormat="1">
      <c r="B903" s="122" t="str">
        <f>'корпоративный баланс энергии'!H912</f>
        <v>Кондопожская ГЭС-1 (филиал "Карельский" ПАО "ТГК-1")</v>
      </c>
      <c r="C903" s="486"/>
      <c r="D903" s="281">
        <f>'корпоративный баланс энергии'!J912+'корпоративный баланс энергии'!M912+'корпоративный баланс энергии'!P912</f>
        <v>28.247</v>
      </c>
      <c r="E903" s="246"/>
      <c r="F903" s="282"/>
      <c r="G903" s="244">
        <f>'корпоративный баланс энергии'!S912+'корпоративный баланс энергии'!V912+'корпоративный баланс энергии'!Y912</f>
        <v>38.503</v>
      </c>
      <c r="H903" s="246"/>
      <c r="I903" s="282"/>
      <c r="J903" s="244">
        <f>'корпоративный баланс энергии'!AB912+'корпоративный баланс энергии'!AE912+'корпоративный баланс энергии'!AH912</f>
        <v>33.664000000000001</v>
      </c>
      <c r="K903" s="246"/>
      <c r="L903" s="282"/>
      <c r="M903" s="244">
        <f>'корпоративный баланс энергии'!AK912+'корпоративный баланс энергии'!AN912+'корпоративный баланс энергии'!AQ912</f>
        <v>28.384</v>
      </c>
      <c r="N903" s="246"/>
      <c r="O903" s="282"/>
      <c r="P903" s="244">
        <f t="shared" si="59"/>
        <v>128.798</v>
      </c>
      <c r="Q903" s="246"/>
      <c r="R903" s="282"/>
      <c r="S903" s="374"/>
      <c r="T903" s="374"/>
    </row>
    <row r="904" spans="2:20" s="116" customFormat="1">
      <c r="B904" s="122" t="str">
        <f>'корпоративный баланс энергии'!H913</f>
        <v>Малые ГЭС Каскада Сунских ГЭС (филиал "Карельский" ПАО "ТГК-1")</v>
      </c>
      <c r="C904" s="486"/>
      <c r="D904" s="281">
        <f>'корпоративный баланс энергии'!J913+'корпоративный баланс энергии'!M913+'корпоративный баланс энергии'!P913</f>
        <v>16.700000000000003</v>
      </c>
      <c r="E904" s="246"/>
      <c r="F904" s="282"/>
      <c r="G904" s="244">
        <f>'корпоративный баланс энергии'!S913+'корпоративный баланс энергии'!V913+'корпоративный баланс энергии'!Y913</f>
        <v>20.657</v>
      </c>
      <c r="H904" s="246"/>
      <c r="I904" s="282"/>
      <c r="J904" s="244">
        <f>'корпоративный баланс энергии'!AB913+'корпоративный баланс энергии'!AE913+'корпоративный баланс энергии'!AH913</f>
        <v>14.122</v>
      </c>
      <c r="K904" s="246"/>
      <c r="L904" s="282"/>
      <c r="M904" s="244">
        <f>'корпоративный баланс энергии'!AK913+'корпоративный баланс энергии'!AN913+'корпоративный баланс энергии'!AQ913</f>
        <v>17.173999999999999</v>
      </c>
      <c r="N904" s="246"/>
      <c r="O904" s="282"/>
      <c r="P904" s="244">
        <f t="shared" si="59"/>
        <v>68.652999999999992</v>
      </c>
      <c r="Q904" s="246"/>
      <c r="R904" s="282"/>
      <c r="S904" s="374"/>
      <c r="T904" s="374"/>
    </row>
    <row r="905" spans="2:20" s="116" customFormat="1">
      <c r="B905" s="122" t="str">
        <f>'корпоративный баланс энергии'!H914</f>
        <v>МГЭС "Ляскеля" (АО "Норд Гидро")</v>
      </c>
      <c r="C905" s="519" t="s">
        <v>365</v>
      </c>
      <c r="D905" s="281">
        <f>'корпоративный баланс энергии'!J914+'корпоративный баланс энергии'!M914+'корпоративный баланс энергии'!P914</f>
        <v>5.8100000000000005</v>
      </c>
      <c r="E905" s="246"/>
      <c r="F905" s="282"/>
      <c r="G905" s="244">
        <f>'корпоративный баланс энергии'!S914+'корпоративный баланс энергии'!V914+'корпоративный баланс энергии'!Y914</f>
        <v>6.99</v>
      </c>
      <c r="H905" s="246"/>
      <c r="I905" s="282"/>
      <c r="J905" s="244">
        <f>'корпоративный баланс энергии'!AB914+'корпоративный баланс энергии'!AE914+'корпоративный баланс энергии'!AH914</f>
        <v>5.33</v>
      </c>
      <c r="K905" s="246"/>
      <c r="L905" s="282"/>
      <c r="M905" s="244">
        <f>'корпоративный баланс энергии'!AK914+'корпоративный баланс энергии'!AN914+'корпоративный баланс энергии'!AQ914</f>
        <v>5.31</v>
      </c>
      <c r="N905" s="246"/>
      <c r="O905" s="282"/>
      <c r="P905" s="244">
        <f t="shared" si="59"/>
        <v>23.44</v>
      </c>
      <c r="Q905" s="246"/>
      <c r="R905" s="282"/>
      <c r="S905" s="374"/>
      <c r="T905" s="374"/>
    </row>
    <row r="906" spans="2:20" s="116" customFormat="1">
      <c r="B906" s="122" t="str">
        <f>'корпоративный баланс энергии'!H915</f>
        <v>МГЭС "Рюмякоски" (АО "Норд Гидро")</v>
      </c>
      <c r="C906" s="519" t="s">
        <v>365</v>
      </c>
      <c r="D906" s="281">
        <f>'корпоративный баланс энергии'!J915+'корпоративный баланс энергии'!M915+'корпоративный баланс энергии'!P915</f>
        <v>0.58000000000000007</v>
      </c>
      <c r="E906" s="246"/>
      <c r="F906" s="282"/>
      <c r="G906" s="244">
        <f>'корпоративный баланс энергии'!S915+'корпоративный баланс энергии'!V915+'корпоративный баланс энергии'!Y915</f>
        <v>0.90999999999999992</v>
      </c>
      <c r="H906" s="246"/>
      <c r="I906" s="282"/>
      <c r="J906" s="244">
        <f>'корпоративный баланс энергии'!AB915+'корпоративный баланс энергии'!AE915+'корпоративный баланс энергии'!AH915</f>
        <v>0.55000000000000004</v>
      </c>
      <c r="K906" s="246"/>
      <c r="L906" s="282"/>
      <c r="M906" s="244">
        <f>'корпоративный баланс энергии'!AK915+'корпоративный баланс энергии'!AN915+'корпоративный баланс энергии'!AQ915</f>
        <v>0.88000000000000012</v>
      </c>
      <c r="N906" s="246"/>
      <c r="O906" s="282"/>
      <c r="P906" s="244">
        <f t="shared" si="59"/>
        <v>2.92</v>
      </c>
      <c r="Q906" s="246"/>
      <c r="R906" s="282"/>
      <c r="S906" s="374"/>
      <c r="T906" s="374"/>
    </row>
    <row r="907" spans="2:20" s="116" customFormat="1">
      <c r="B907" s="122" t="str">
        <f>'корпоративный баланс энергии'!H916</f>
        <v>МГЭС "Каллиокоски" (АО "Норд Гидро")</v>
      </c>
      <c r="C907" s="519" t="s">
        <v>365</v>
      </c>
      <c r="D907" s="281">
        <f>'корпоративный баланс энергии'!J916+'корпоративный баланс энергии'!M916+'корпоративный баланс энергии'!P916</f>
        <v>0.81</v>
      </c>
      <c r="E907" s="246"/>
      <c r="F907" s="282"/>
      <c r="G907" s="244">
        <f>'корпоративный баланс энергии'!S916+'корпоративный баланс энергии'!V916+'корпоративный баланс энергии'!Y916</f>
        <v>1.41</v>
      </c>
      <c r="H907" s="246"/>
      <c r="I907" s="282"/>
      <c r="J907" s="244">
        <f>'корпоративный баланс энергии'!AB916+'корпоративный баланс энергии'!AE916+'корпоративный баланс энергии'!AH916</f>
        <v>0.82000000000000006</v>
      </c>
      <c r="K907" s="246"/>
      <c r="L907" s="282"/>
      <c r="M907" s="244">
        <f>'корпоративный баланс энергии'!AK916+'корпоративный баланс энергии'!AN916+'корпоративный баланс энергии'!AQ916</f>
        <v>1.44</v>
      </c>
      <c r="N907" s="246"/>
      <c r="O907" s="282"/>
      <c r="P907" s="244">
        <f t="shared" si="59"/>
        <v>4.4800000000000004</v>
      </c>
      <c r="Q907" s="246"/>
      <c r="R907" s="282"/>
      <c r="S907" s="374"/>
      <c r="T907" s="374"/>
    </row>
    <row r="908" spans="2:20" s="116" customFormat="1">
      <c r="B908" s="134" t="str">
        <f>'корпоративный баланс энергии'!H917</f>
        <v>АО "Норд Гидро-Белый порог"</v>
      </c>
      <c r="C908" s="1045"/>
      <c r="D908" s="317">
        <f>SUM(D909:D910)</f>
        <v>37.400000000000006</v>
      </c>
      <c r="E908" s="246"/>
      <c r="F908" s="282"/>
      <c r="G908" s="317">
        <f>SUM(G909:G910)</f>
        <v>82.6</v>
      </c>
      <c r="H908" s="246"/>
      <c r="I908" s="282"/>
      <c r="J908" s="317">
        <f>SUM(J909:J910)</f>
        <v>32.599999999999994</v>
      </c>
      <c r="K908" s="246"/>
      <c r="L908" s="282"/>
      <c r="M908" s="317">
        <f>SUM(M909:M910)</f>
        <v>56.2</v>
      </c>
      <c r="N908" s="246"/>
      <c r="O908" s="282"/>
      <c r="P908" s="317">
        <f>SUM(P909:P910)</f>
        <v>208.8</v>
      </c>
      <c r="Q908" s="246"/>
      <c r="R908" s="282"/>
      <c r="S908" s="374"/>
      <c r="T908" s="374"/>
    </row>
    <row r="909" spans="2:20" s="116" customFormat="1">
      <c r="B909" s="122" t="str">
        <f>'корпоративный баланс энергии'!H918</f>
        <v>МГЭС "Белопорожская ГЭС-1" (АО "Норд Гидро-Белый порог")</v>
      </c>
      <c r="C909" s="519" t="s">
        <v>365</v>
      </c>
      <c r="D909" s="281">
        <f>'корпоративный баланс энергии'!J918+'корпоративный баланс энергии'!M918+'корпоративный баланс энергии'!P918</f>
        <v>18.700000000000003</v>
      </c>
      <c r="E909" s="246"/>
      <c r="F909" s="282"/>
      <c r="G909" s="244">
        <f>'корпоративный баланс энергии'!S918+'корпоративный баланс энергии'!V918+'корпоративный баланс энергии'!Y918</f>
        <v>41.3</v>
      </c>
      <c r="H909" s="246"/>
      <c r="I909" s="282"/>
      <c r="J909" s="244">
        <f>'корпоративный баланс энергии'!AB918+'корпоративный баланс энергии'!AE918+'корпоративный баланс энергии'!AH918</f>
        <v>16.299999999999997</v>
      </c>
      <c r="K909" s="246"/>
      <c r="L909" s="282"/>
      <c r="M909" s="244">
        <f>'корпоративный баланс энергии'!AK918+'корпоративный баланс энергии'!AN918+'корпоративный баланс энергии'!AQ918</f>
        <v>28.1</v>
      </c>
      <c r="N909" s="246"/>
      <c r="O909" s="282"/>
      <c r="P909" s="244">
        <f t="shared" ref="P909:P910" si="60">D909+G909+J909+M909</f>
        <v>104.4</v>
      </c>
      <c r="Q909" s="246"/>
      <c r="R909" s="282"/>
      <c r="S909" s="374"/>
      <c r="T909" s="374"/>
    </row>
    <row r="910" spans="2:20" s="116" customFormat="1">
      <c r="B910" s="122" t="str">
        <f>'корпоративный баланс энергии'!H919</f>
        <v>МГЭС "Белопорожская ГЭС-2" (АО "Норд Гидро-Белый порог")</v>
      </c>
      <c r="C910" s="519" t="s">
        <v>365</v>
      </c>
      <c r="D910" s="281">
        <f>'корпоративный баланс энергии'!J919+'корпоративный баланс энергии'!M919+'корпоративный баланс энергии'!P919</f>
        <v>18.700000000000003</v>
      </c>
      <c r="E910" s="246"/>
      <c r="F910" s="282"/>
      <c r="G910" s="244">
        <f>'корпоративный баланс энергии'!S919+'корпоративный баланс энергии'!V919+'корпоративный баланс энергии'!Y919</f>
        <v>41.3</v>
      </c>
      <c r="H910" s="246"/>
      <c r="I910" s="282"/>
      <c r="J910" s="244">
        <f>'корпоративный баланс энергии'!AB919+'корпоративный баланс энергии'!AE919+'корпоративный баланс энергии'!AH919</f>
        <v>16.299999999999997</v>
      </c>
      <c r="K910" s="246"/>
      <c r="L910" s="282"/>
      <c r="M910" s="244">
        <f>'корпоративный баланс энергии'!AK919+'корпоративный баланс энергии'!AN919+'корпоративный баланс энергии'!AQ919</f>
        <v>28.1</v>
      </c>
      <c r="N910" s="246"/>
      <c r="O910" s="282"/>
      <c r="P910" s="244">
        <f t="shared" si="60"/>
        <v>104.4</v>
      </c>
      <c r="Q910" s="246"/>
      <c r="R910" s="282"/>
      <c r="S910" s="374"/>
      <c r="T910" s="374"/>
    </row>
    <row r="911" spans="2:20" s="116" customFormat="1">
      <c r="B911" s="138" t="s">
        <v>174</v>
      </c>
      <c r="C911" s="488"/>
      <c r="D911" s="287">
        <f>SUM(D912:D914)</f>
        <v>248.7</v>
      </c>
      <c r="E911" s="288"/>
      <c r="F911" s="289"/>
      <c r="G911" s="287">
        <f>SUM(G912:G914)</f>
        <v>188.4</v>
      </c>
      <c r="H911" s="288"/>
      <c r="I911" s="289"/>
      <c r="J911" s="287">
        <f>SUM(J912:J914)</f>
        <v>179.1</v>
      </c>
      <c r="K911" s="288"/>
      <c r="L911" s="289"/>
      <c r="M911" s="287">
        <f>SUM(M912:M914)</f>
        <v>242.59999999999997</v>
      </c>
      <c r="N911" s="288"/>
      <c r="O911" s="289"/>
      <c r="P911" s="287">
        <f>SUM(P912:P914)</f>
        <v>858.8</v>
      </c>
      <c r="Q911" s="288"/>
      <c r="R911" s="289"/>
      <c r="S911" s="374"/>
      <c r="T911" s="374"/>
    </row>
    <row r="912" spans="2:20" s="116" customFormat="1">
      <c r="B912" s="135" t="str">
        <f>'корпоративный баланс энергии'!H921</f>
        <v>ТЭЦ (АО Сегежский ЦКБ)</v>
      </c>
      <c r="C912" s="518" t="s">
        <v>365</v>
      </c>
      <c r="D912" s="293">
        <f>'корпоративный баланс энергии'!J921+'корпоративный баланс энергии'!M921+'корпоративный баланс энергии'!P921</f>
        <v>59.599999999999994</v>
      </c>
      <c r="E912" s="288"/>
      <c r="F912" s="289"/>
      <c r="G912" s="294">
        <f>'корпоративный баланс энергии'!S921+'корпоративный баланс энергии'!V921+'корпоративный баланс энергии'!Y921</f>
        <v>47.9</v>
      </c>
      <c r="H912" s="288"/>
      <c r="I912" s="289"/>
      <c r="J912" s="294">
        <f>'корпоративный баланс энергии'!AB921+'корпоративный баланс энергии'!AE921+'корпоративный баланс энергии'!AH921</f>
        <v>41.8</v>
      </c>
      <c r="K912" s="288"/>
      <c r="L912" s="289"/>
      <c r="M912" s="294">
        <f>'корпоративный баланс энергии'!AK921+'корпоративный баланс энергии'!AN921+'корпоративный баланс энергии'!AQ921</f>
        <v>60.2</v>
      </c>
      <c r="N912" s="288"/>
      <c r="O912" s="289"/>
      <c r="P912" s="294">
        <f>D912+G912+J912+M912</f>
        <v>209.5</v>
      </c>
      <c r="Q912" s="288"/>
      <c r="R912" s="289"/>
      <c r="S912" s="374"/>
      <c r="T912" s="374"/>
    </row>
    <row r="913" spans="2:20" s="116" customFormat="1">
      <c r="B913" s="135" t="str">
        <f>'корпоративный баланс энергии'!H922</f>
        <v>ТЭС (АО Кондопожский ЦБК)</v>
      </c>
      <c r="C913" s="518" t="s">
        <v>365</v>
      </c>
      <c r="D913" s="293">
        <f>'корпоративный баланс энергии'!J922+'корпоративный баланс энергии'!M922+'корпоративный баланс энергии'!P922</f>
        <v>171.1</v>
      </c>
      <c r="E913" s="288"/>
      <c r="F913" s="289"/>
      <c r="G913" s="294">
        <f>'корпоративный баланс энергии'!S922+'корпоративный баланс энергии'!V922+'корпоративный баланс энергии'!Y922</f>
        <v>129</v>
      </c>
      <c r="H913" s="288"/>
      <c r="I913" s="289"/>
      <c r="J913" s="294">
        <f>'корпоративный баланс энергии'!AB922+'корпоративный баланс энергии'!AE922+'корпоративный баланс энергии'!AH922</f>
        <v>126.7</v>
      </c>
      <c r="K913" s="288"/>
      <c r="L913" s="289"/>
      <c r="M913" s="294">
        <f>'корпоративный баланс энергии'!AK922+'корпоративный баланс энергии'!AN922+'корпоративный баланс энергии'!AQ922</f>
        <v>166.2</v>
      </c>
      <c r="N913" s="288"/>
      <c r="O913" s="289"/>
      <c r="P913" s="294">
        <f>D913+G913+J913+M913</f>
        <v>593</v>
      </c>
      <c r="Q913" s="288"/>
      <c r="R913" s="289"/>
      <c r="S913" s="374"/>
      <c r="T913" s="374"/>
    </row>
    <row r="914" spans="2:20" s="116" customFormat="1">
      <c r="B914" s="135" t="str">
        <f>'корпоративный баланс энергии'!H923</f>
        <v>ТЭЦ (ООО РК-Гранд)</v>
      </c>
      <c r="C914" s="518" t="s">
        <v>365</v>
      </c>
      <c r="D914" s="293">
        <f>'корпоративный баланс энергии'!J923+'корпоративный баланс энергии'!M923+'корпоративный баланс энергии'!P923</f>
        <v>18</v>
      </c>
      <c r="E914" s="288"/>
      <c r="F914" s="289"/>
      <c r="G914" s="294">
        <f>'корпоративный баланс энергии'!S923+'корпоративный баланс энергии'!V923+'корпоративный баланс энергии'!Y923</f>
        <v>11.5</v>
      </c>
      <c r="H914" s="288"/>
      <c r="I914" s="289"/>
      <c r="J914" s="294">
        <f>'корпоративный баланс энергии'!AB923+'корпоративный баланс энергии'!AE923+'корпоративный баланс энергии'!AH923</f>
        <v>10.6</v>
      </c>
      <c r="K914" s="288"/>
      <c r="L914" s="289"/>
      <c r="M914" s="294">
        <f>'корпоративный баланс энергии'!AK923+'корпоративный баланс энергии'!AN923+'корпоративный баланс энергии'!AQ923</f>
        <v>16.2</v>
      </c>
      <c r="N914" s="288"/>
      <c r="O914" s="289"/>
      <c r="P914" s="294">
        <f>D914+G914+J914+M914</f>
        <v>56.3</v>
      </c>
      <c r="Q914" s="288"/>
      <c r="R914" s="289"/>
      <c r="S914" s="374"/>
      <c r="T914" s="374"/>
    </row>
    <row r="915" spans="2:20" s="117" customFormat="1" ht="18.75">
      <c r="B915" s="475" t="str">
        <f>'корпоративный баланс энергии'!H924</f>
        <v>Энергосистема Республики Коми</v>
      </c>
      <c r="C915" s="505"/>
      <c r="D915" s="274">
        <f>SUM(D916:D917)</f>
        <v>2912.0106470000001</v>
      </c>
      <c r="E915" s="275">
        <f>F915-D915</f>
        <v>-382.57278273496286</v>
      </c>
      <c r="F915" s="276">
        <f>'корпоративный баланс энергии'!L924+'корпоративный баланс энергии'!O924+'корпоративный баланс энергии'!R924</f>
        <v>2529.4378642650372</v>
      </c>
      <c r="G915" s="274">
        <f>SUM(G916:G917)</f>
        <v>2568.773647</v>
      </c>
      <c r="H915" s="275">
        <f>I915-G915</f>
        <v>-435.81470200160811</v>
      </c>
      <c r="I915" s="276">
        <f>'корпоративный баланс энергии'!U924+'корпоративный баланс энергии'!X924+'корпоративный баланс энергии'!AA924</f>
        <v>2132.9589449983919</v>
      </c>
      <c r="J915" s="274">
        <f>SUM(J916:J917)</f>
        <v>2382.5795989999997</v>
      </c>
      <c r="K915" s="275">
        <f>L915-J915</f>
        <v>-309.64152244805337</v>
      </c>
      <c r="L915" s="276">
        <f>'корпоративный баланс энергии'!AD924+'корпоративный баланс энергии'!AG924+'корпоративный баланс энергии'!AJ924</f>
        <v>2072.9380765519463</v>
      </c>
      <c r="M915" s="274">
        <f>SUM(M916:M917)</f>
        <v>2933.6755990000001</v>
      </c>
      <c r="N915" s="275">
        <f>O915-M915</f>
        <v>-429.01048481537464</v>
      </c>
      <c r="O915" s="276">
        <f>'корпоративный баланс энергии'!AM924+'корпоративный баланс энергии'!AP924+'корпоративный баланс энергии'!AS924</f>
        <v>2504.6651141846255</v>
      </c>
      <c r="P915" s="274">
        <f>SUM(P916:P917)</f>
        <v>10797.039492</v>
      </c>
      <c r="Q915" s="275">
        <f>R915-P915</f>
        <v>-1557.0394919999981</v>
      </c>
      <c r="R915" s="276">
        <f>F915+I915+L915+O915</f>
        <v>9240.0000000000018</v>
      </c>
      <c r="S915" s="375"/>
      <c r="T915" s="375"/>
    </row>
    <row r="916" spans="2:20" s="117" customFormat="1">
      <c r="B916" s="10" t="s">
        <v>56</v>
      </c>
      <c r="C916" s="483"/>
      <c r="D916" s="270">
        <f>SUM(D918:D923)</f>
        <v>1721.4889999999998</v>
      </c>
      <c r="E916" s="271"/>
      <c r="F916" s="224"/>
      <c r="G916" s="270">
        <f>SUM(G918:G923)</f>
        <v>1576.385</v>
      </c>
      <c r="H916" s="271"/>
      <c r="I916" s="224"/>
      <c r="J916" s="270">
        <f>SUM(J918:J923)</f>
        <v>1429.0619999999999</v>
      </c>
      <c r="K916" s="271"/>
      <c r="L916" s="224"/>
      <c r="M916" s="270">
        <f>SUM(M918:M923)</f>
        <v>1776.4759999999997</v>
      </c>
      <c r="N916" s="271"/>
      <c r="O916" s="224"/>
      <c r="P916" s="270">
        <f>SUM(P918:P923)</f>
        <v>6503.4119999999994</v>
      </c>
      <c r="Q916" s="271"/>
      <c r="R916" s="364"/>
      <c r="S916" s="375"/>
      <c r="T916" s="375"/>
    </row>
    <row r="917" spans="2:20" s="116" customFormat="1">
      <c r="B917" s="10" t="s">
        <v>99</v>
      </c>
      <c r="C917" s="483"/>
      <c r="D917" s="270">
        <f>D924</f>
        <v>1190.521647</v>
      </c>
      <c r="E917" s="271"/>
      <c r="F917" s="224"/>
      <c r="G917" s="270">
        <f>G924</f>
        <v>992.38864700000011</v>
      </c>
      <c r="H917" s="271"/>
      <c r="I917" s="224"/>
      <c r="J917" s="270">
        <f>J924</f>
        <v>953.51759900000002</v>
      </c>
      <c r="K917" s="271"/>
      <c r="L917" s="224"/>
      <c r="M917" s="270">
        <f>M924</f>
        <v>1157.1995990000003</v>
      </c>
      <c r="N917" s="271"/>
      <c r="O917" s="224"/>
      <c r="P917" s="270">
        <f>P924</f>
        <v>4293.6274920000005</v>
      </c>
      <c r="Q917" s="271"/>
      <c r="R917" s="364"/>
      <c r="S917" s="374"/>
      <c r="T917" s="374"/>
    </row>
    <row r="918" spans="2:20" s="116" customFormat="1">
      <c r="B918" s="127" t="str">
        <f>'корпоративный баланс энергии'!H927</f>
        <v>Воркутинская ТЭЦ-1 (ООО "Воркутинские ТЭЦ")</v>
      </c>
      <c r="C918" s="516" t="s">
        <v>364</v>
      </c>
      <c r="D918" s="281">
        <f>'корпоративный баланс энергии'!J927+'корпоративный баланс энергии'!M927+'корпоративный баланс энергии'!P927</f>
        <v>40.445999999999998</v>
      </c>
      <c r="E918" s="246"/>
      <c r="F918" s="282"/>
      <c r="G918" s="244">
        <f>'корпоративный баланс энергии'!S927+'корпоративный баланс энергии'!V927+'корпоративный баланс энергии'!Y927</f>
        <v>30.128999999999998</v>
      </c>
      <c r="H918" s="246"/>
      <c r="I918" s="282"/>
      <c r="J918" s="244">
        <f>'корпоративный баланс энергии'!AB927+'корпоративный баланс энергии'!AE927+'корпоративный баланс энергии'!AH927</f>
        <v>10.442</v>
      </c>
      <c r="K918" s="246"/>
      <c r="L918" s="282"/>
      <c r="M918" s="244">
        <f>'корпоративный баланс энергии'!AK927+'корпоративный баланс энергии'!AN927+'корпоративный баланс энергии'!AQ927</f>
        <v>41.552</v>
      </c>
      <c r="N918" s="246"/>
      <c r="O918" s="282"/>
      <c r="P918" s="244">
        <f t="shared" ref="P918:P923" si="61">D918+G918+J918+M918</f>
        <v>122.56899999999999</v>
      </c>
      <c r="Q918" s="246"/>
      <c r="R918" s="282"/>
      <c r="S918" s="374"/>
      <c r="T918" s="374"/>
    </row>
    <row r="919" spans="2:20" s="116" customFormat="1">
      <c r="B919" s="127" t="str">
        <f>'корпоративный баланс энергии'!H928</f>
        <v>Воркутинская ТЭЦ-2 (ОАО "Воркутинские ТЭЦ")</v>
      </c>
      <c r="C919" s="516" t="s">
        <v>364</v>
      </c>
      <c r="D919" s="281">
        <f>'корпоративный баланс энергии'!J928+'корпоративный баланс энергии'!M928+'корпоративный баланс энергии'!P928</f>
        <v>269.50200000000001</v>
      </c>
      <c r="E919" s="246"/>
      <c r="F919" s="282"/>
      <c r="G919" s="244">
        <f>'корпоративный баланс энергии'!S928+'корпоративный баланс энергии'!V928+'корпоративный баланс энергии'!Y928</f>
        <v>242.28899999999999</v>
      </c>
      <c r="H919" s="246"/>
      <c r="I919" s="282"/>
      <c r="J919" s="244">
        <f>'корпоративный баланс энергии'!AB928+'корпоративный баланс энергии'!AE928+'корпоративный баланс энергии'!AH928</f>
        <v>243.786</v>
      </c>
      <c r="K919" s="246"/>
      <c r="L919" s="282"/>
      <c r="M919" s="244">
        <f>'корпоративный баланс энергии'!AK928+'корпоративный баланс энергии'!AN928+'корпоративный баланс энергии'!AQ928</f>
        <v>282.02199999999999</v>
      </c>
      <c r="N919" s="246"/>
      <c r="O919" s="282"/>
      <c r="P919" s="244">
        <f t="shared" si="61"/>
        <v>1037.5989999999999</v>
      </c>
      <c r="Q919" s="246"/>
      <c r="R919" s="282"/>
      <c r="S919" s="374"/>
      <c r="T919" s="374"/>
    </row>
    <row r="920" spans="2:20" s="116" customFormat="1">
      <c r="B920" s="127" t="str">
        <f>'корпоративный баланс энергии'!H929</f>
        <v>Интинская ТЭЦ (филиал "Коми" ПАО "Т Плюс")</v>
      </c>
      <c r="C920" s="516" t="s">
        <v>364</v>
      </c>
      <c r="D920" s="281">
        <f>'корпоративный баланс энергии'!J929+'корпоративный баланс энергии'!M929+'корпоративный баланс энергии'!P929</f>
        <v>31</v>
      </c>
      <c r="E920" s="246"/>
      <c r="F920" s="282"/>
      <c r="G920" s="244">
        <f>'корпоративный баланс энергии'!S929+'корпоративный баланс энергии'!V929+'корпоративный баланс энергии'!Y929</f>
        <v>16.2</v>
      </c>
      <c r="H920" s="246"/>
      <c r="I920" s="282"/>
      <c r="J920" s="244">
        <f>'корпоративный баланс энергии'!AB929+'корпоративный баланс энергии'!AE929+'корпоративный баланс энергии'!AH929</f>
        <v>4</v>
      </c>
      <c r="K920" s="246"/>
      <c r="L920" s="282"/>
      <c r="M920" s="244">
        <f>'корпоративный баланс энергии'!AK929+'корпоративный баланс энергии'!AN929+'корпоративный баланс энергии'!AQ929</f>
        <v>25</v>
      </c>
      <c r="N920" s="246"/>
      <c r="O920" s="282"/>
      <c r="P920" s="244">
        <f t="shared" si="61"/>
        <v>76.2</v>
      </c>
      <c r="Q920" s="246"/>
      <c r="R920" s="282"/>
      <c r="S920" s="374"/>
      <c r="T920" s="374"/>
    </row>
    <row r="921" spans="2:20" s="116" customFormat="1">
      <c r="B921" s="127" t="str">
        <f>'корпоративный баланс энергии'!H930</f>
        <v>Сосногорская ТЭЦ (филиал "Коми" ПАО "Т Плюс")</v>
      </c>
      <c r="C921" s="516" t="s">
        <v>364</v>
      </c>
      <c r="D921" s="281">
        <f>'корпоративный баланс энергии'!J930+'корпоративный баланс энергии'!M930+'корпоративный баланс энергии'!P930</f>
        <v>455.14899999999994</v>
      </c>
      <c r="E921" s="246"/>
      <c r="F921" s="282"/>
      <c r="G921" s="244">
        <f>'корпоративный баланс энергии'!S930+'корпоративный баланс энергии'!V930+'корпоративный баланс энергии'!Y930</f>
        <v>370.58799999999997</v>
      </c>
      <c r="H921" s="246"/>
      <c r="I921" s="282"/>
      <c r="J921" s="244">
        <f>'корпоративный баланс энергии'!AB930+'корпоративный баланс энергии'!AE930+'корпоративный баланс энергии'!AH930</f>
        <v>389.94</v>
      </c>
      <c r="K921" s="246"/>
      <c r="L921" s="282"/>
      <c r="M921" s="244">
        <f>'корпоративный баланс энергии'!AK930+'корпоративный баланс энергии'!AN930+'корпоративный баланс энергии'!AQ930</f>
        <v>464.83399999999995</v>
      </c>
      <c r="N921" s="246"/>
      <c r="O921" s="282"/>
      <c r="P921" s="244">
        <f t="shared" si="61"/>
        <v>1680.511</v>
      </c>
      <c r="Q921" s="246"/>
      <c r="R921" s="282"/>
      <c r="S921" s="374"/>
      <c r="T921" s="374"/>
    </row>
    <row r="922" spans="2:20" s="116" customFormat="1">
      <c r="B922" s="127" t="str">
        <f>'корпоративный баланс энергии'!H931</f>
        <v>Печорская ГРЭС (филиал АО "Интер РАО - Электрогенерация")</v>
      </c>
      <c r="C922" s="516" t="s">
        <v>364</v>
      </c>
      <c r="D922" s="281">
        <f>'корпоративный баланс энергии'!J931+'корпоративный баланс энергии'!M931+'корпоративный баланс энергии'!P931</f>
        <v>917.17899999999986</v>
      </c>
      <c r="E922" s="246"/>
      <c r="F922" s="282"/>
      <c r="G922" s="244">
        <f>'корпоративный баланс энергии'!S931+'корпоративный баланс энергии'!V931+'корпоративный баланс энергии'!Y931</f>
        <v>908.596</v>
      </c>
      <c r="H922" s="246"/>
      <c r="I922" s="282"/>
      <c r="J922" s="244">
        <f>'корпоративный баланс энергии'!AB931+'корпоративный баланс энергии'!AE931+'корпоративный баланс энергии'!AH931</f>
        <v>772.65</v>
      </c>
      <c r="K922" s="246"/>
      <c r="L922" s="282"/>
      <c r="M922" s="244">
        <f>'корпоративный баланс энергии'!AK931+'корпоративный баланс энергии'!AN931+'корпоративный баланс энергии'!AQ931</f>
        <v>954.44999999999993</v>
      </c>
      <c r="N922" s="246"/>
      <c r="O922" s="282"/>
      <c r="P922" s="244">
        <f t="shared" si="61"/>
        <v>3552.8749999999995</v>
      </c>
      <c r="Q922" s="246"/>
      <c r="R922" s="282"/>
      <c r="S922" s="374"/>
      <c r="T922" s="374"/>
    </row>
    <row r="923" spans="2:20" s="116" customFormat="1">
      <c r="B923" s="127" t="str">
        <f>'корпоративный баланс энергии'!H932</f>
        <v>ТЭС "Сыктывкарская" ООО "Республиканская генерирующая компания"</v>
      </c>
      <c r="C923" s="702" t="s">
        <v>365</v>
      </c>
      <c r="D923" s="281">
        <f>'корпоративный баланс энергии'!J932+'корпоративный баланс энергии'!M932+'корпоративный баланс энергии'!P932</f>
        <v>8.213000000000001</v>
      </c>
      <c r="E923" s="246"/>
      <c r="F923" s="282"/>
      <c r="G923" s="244">
        <f>'корпоративный баланс энергии'!S932+'корпоративный баланс энергии'!V932+'корпоративный баланс энергии'!Y932</f>
        <v>8.5830000000000002</v>
      </c>
      <c r="H923" s="246"/>
      <c r="I923" s="282"/>
      <c r="J923" s="244">
        <f>'корпоративный баланс энергии'!AB932+'корпоративный баланс энергии'!AE932+'корпоративный баланс энергии'!AH932</f>
        <v>8.2439999999999998</v>
      </c>
      <c r="K923" s="246"/>
      <c r="L923" s="282"/>
      <c r="M923" s="244">
        <f>'корпоративный баланс энергии'!AK932+'корпоративный баланс энергии'!AN932+'корпоративный баланс энергии'!AQ932</f>
        <v>8.6180000000000003</v>
      </c>
      <c r="N923" s="246"/>
      <c r="O923" s="282"/>
      <c r="P923" s="244">
        <f t="shared" si="61"/>
        <v>33.658000000000001</v>
      </c>
      <c r="Q923" s="246"/>
      <c r="R923" s="282"/>
      <c r="S923" s="374"/>
      <c r="T923" s="374"/>
    </row>
    <row r="924" spans="2:20" s="116" customFormat="1">
      <c r="B924" s="138" t="s">
        <v>174</v>
      </c>
      <c r="C924" s="489"/>
      <c r="D924" s="287">
        <f>SUM(D925:D934)</f>
        <v>1190.521647</v>
      </c>
      <c r="E924" s="288"/>
      <c r="F924" s="289"/>
      <c r="G924" s="287">
        <f>SUM(G925:G934)</f>
        <v>992.38864700000011</v>
      </c>
      <c r="H924" s="288"/>
      <c r="I924" s="289"/>
      <c r="J924" s="287">
        <f>SUM(J925:J934)</f>
        <v>953.51759900000002</v>
      </c>
      <c r="K924" s="288"/>
      <c r="L924" s="289"/>
      <c r="M924" s="287">
        <f>SUM(M925:M934)</f>
        <v>1157.1995990000003</v>
      </c>
      <c r="N924" s="288"/>
      <c r="O924" s="289"/>
      <c r="P924" s="287">
        <f>SUM(P925:P934)</f>
        <v>4293.6274920000005</v>
      </c>
      <c r="Q924" s="288"/>
      <c r="R924" s="289"/>
      <c r="S924" s="374"/>
      <c r="T924" s="374"/>
    </row>
    <row r="925" spans="2:20" s="116" customFormat="1">
      <c r="B925" s="135" t="str">
        <f>'корпоративный баланс энергии'!H934</f>
        <v>ТЭЦ (АО "Монди СЛПК")</v>
      </c>
      <c r="C925" s="518" t="s">
        <v>365</v>
      </c>
      <c r="D925" s="293">
        <f>'корпоративный баланс энергии'!J934+'корпоративный баланс энергии'!M934+'корпоративный баланс энергии'!P934</f>
        <v>937.46</v>
      </c>
      <c r="E925" s="288"/>
      <c r="F925" s="289"/>
      <c r="G925" s="294">
        <f>'корпоративный баланс энергии'!S934+'корпоративный баланс энергии'!V934+'корпоративный баланс энергии'!Y934</f>
        <v>761.11</v>
      </c>
      <c r="H925" s="288"/>
      <c r="I925" s="289"/>
      <c r="J925" s="294">
        <f>'корпоративный баланс энергии'!AB934+'корпоративный баланс энергии'!AE934+'корпоративный баланс энергии'!AH934</f>
        <v>711.24</v>
      </c>
      <c r="K925" s="288"/>
      <c r="L925" s="289"/>
      <c r="M925" s="294">
        <f>'корпоративный баланс энергии'!AK934+'корпоративный баланс энергии'!AN934+'корпоративный баланс энергии'!AQ934</f>
        <v>907.63000000000011</v>
      </c>
      <c r="N925" s="288"/>
      <c r="O925" s="289"/>
      <c r="P925" s="294">
        <f t="shared" ref="P925" si="62">D925+G925+J925+M925</f>
        <v>3317.4400000000005</v>
      </c>
      <c r="Q925" s="288"/>
      <c r="R925" s="289"/>
      <c r="S925" s="374"/>
      <c r="T925" s="374"/>
    </row>
    <row r="926" spans="2:20" s="116" customFormat="1">
      <c r="B926" s="135" t="str">
        <f>'корпоративный баланс энергии'!H935</f>
        <v>ТЭС (ООО "Плитный мир")</v>
      </c>
      <c r="C926" s="518" t="s">
        <v>365</v>
      </c>
      <c r="D926" s="293">
        <f>'корпоративный баланс энергии'!J935+'корпоративный баланс энергии'!M935+'корпоративный баланс энергии'!P935</f>
        <v>9.1440000000000001</v>
      </c>
      <c r="E926" s="288"/>
      <c r="F926" s="289"/>
      <c r="G926" s="294">
        <f>'корпоративный баланс энергии'!S935+'корпоративный баланс энергии'!V935+'корпоративный баланс энергии'!Y935</f>
        <v>7.9079999999999995</v>
      </c>
      <c r="H926" s="288"/>
      <c r="I926" s="289"/>
      <c r="J926" s="294">
        <f>'корпоративный баланс энергии'!AB935+'корпоративный баланс энергии'!AE935+'корпоративный баланс энергии'!AH935</f>
        <v>7.3650000000000002</v>
      </c>
      <c r="K926" s="288"/>
      <c r="L926" s="289"/>
      <c r="M926" s="294">
        <f>'корпоративный баланс энергии'!AK935+'корпоративный баланс энергии'!AN935+'корпоративный баланс энергии'!AQ935</f>
        <v>9.25</v>
      </c>
      <c r="N926" s="288"/>
      <c r="O926" s="289"/>
      <c r="P926" s="294">
        <f t="shared" ref="P926:P934" si="63">D926+G926+J926+M926</f>
        <v>33.667000000000002</v>
      </c>
      <c r="Q926" s="288"/>
      <c r="R926" s="289"/>
      <c r="S926" s="374"/>
      <c r="T926" s="374"/>
    </row>
    <row r="927" spans="2:20" s="116" customFormat="1">
      <c r="B927" s="135" t="str">
        <f>'корпоративный баланс энергии'!H936</f>
        <v>ГП ТЭС (ООО "Енисей")</v>
      </c>
      <c r="C927" s="518" t="s">
        <v>365</v>
      </c>
      <c r="D927" s="293">
        <f>'корпоративный баланс энергии'!J936+'корпоративный баланс энергии'!M936+'корпоративный баланс энергии'!P936</f>
        <v>0</v>
      </c>
      <c r="E927" s="288"/>
      <c r="F927" s="289"/>
      <c r="G927" s="294">
        <f>'корпоративный баланс энергии'!S936+'корпоративный баланс энергии'!V936+'корпоративный баланс энергии'!Y936</f>
        <v>0</v>
      </c>
      <c r="H927" s="288"/>
      <c r="I927" s="289"/>
      <c r="J927" s="294">
        <f>'корпоративный баланс энергии'!AB936+'корпоративный баланс энергии'!AE936+'корпоративный баланс энергии'!AH936</f>
        <v>0</v>
      </c>
      <c r="K927" s="288"/>
      <c r="L927" s="289"/>
      <c r="M927" s="294">
        <f>'корпоративный баланс энергии'!AK936+'корпоративный баланс энергии'!AN936+'корпоративный баланс энергии'!AQ936</f>
        <v>0</v>
      </c>
      <c r="N927" s="288"/>
      <c r="O927" s="289"/>
      <c r="P927" s="294">
        <f t="shared" si="63"/>
        <v>0</v>
      </c>
      <c r="Q927" s="288"/>
      <c r="R927" s="289"/>
      <c r="S927" s="374"/>
      <c r="T927" s="374"/>
    </row>
    <row r="928" spans="2:20" s="116" customFormat="1">
      <c r="B928" s="135" t="str">
        <f>'корпоративный баланс энергии'!H937</f>
        <v>ГП ТЭС № 1, №2  (АО "Воркутауголь")</v>
      </c>
      <c r="C928" s="518"/>
      <c r="D928" s="293">
        <f>'корпоративный баланс энергии'!J937+'корпоративный баланс энергии'!M937+'корпоративный баланс энергии'!P937</f>
        <v>0</v>
      </c>
      <c r="E928" s="288"/>
      <c r="F928" s="289"/>
      <c r="G928" s="294">
        <f>'корпоративный баланс энергии'!S937+'корпоративный баланс энергии'!V937+'корпоративный баланс энергии'!Y937</f>
        <v>0</v>
      </c>
      <c r="H928" s="288"/>
      <c r="I928" s="289"/>
      <c r="J928" s="294">
        <f>'корпоративный баланс энергии'!AB937+'корпоративный баланс энергии'!AE937+'корпоративный баланс энергии'!AH937</f>
        <v>0</v>
      </c>
      <c r="K928" s="288"/>
      <c r="L928" s="289"/>
      <c r="M928" s="294">
        <f>'корпоративный баланс энергии'!AK937+'корпоративный баланс энергии'!AN937+'корпоративный баланс энергии'!AQ937</f>
        <v>0</v>
      </c>
      <c r="N928" s="288"/>
      <c r="O928" s="289"/>
      <c r="P928" s="294">
        <f t="shared" si="63"/>
        <v>0</v>
      </c>
      <c r="Q928" s="288"/>
      <c r="R928" s="289"/>
      <c r="S928" s="374"/>
      <c r="T928" s="374"/>
    </row>
    <row r="929" spans="2:20" s="116" customFormat="1">
      <c r="B929" s="135" t="str">
        <f>'корпоративный баланс энергии'!H938</f>
        <v>ЭС 1 Сивая Маска РЖД, ЭС 2 Елецкая РЖД (ОАО "Российские железные дороги")</v>
      </c>
      <c r="C929" s="518" t="s">
        <v>365</v>
      </c>
      <c r="D929" s="293">
        <f>'корпоративный баланс энергии'!J938+'корпоративный баланс энергии'!M938+'корпоративный баланс энергии'!P938</f>
        <v>1.1139999999999999</v>
      </c>
      <c r="E929" s="288"/>
      <c r="F929" s="289"/>
      <c r="G929" s="294">
        <f>'корпоративный баланс энергии'!S938+'корпоративный баланс энергии'!V938+'корпоративный баланс энергии'!Y938</f>
        <v>0.82200000000000006</v>
      </c>
      <c r="H929" s="288"/>
      <c r="I929" s="289"/>
      <c r="J929" s="294">
        <f>'корпоративный баланс энергии'!AB938+'корпоративный баланс энергии'!AE938+'корпоративный баланс энергии'!AH938</f>
        <v>0.41300000000000003</v>
      </c>
      <c r="K929" s="288"/>
      <c r="L929" s="289"/>
      <c r="M929" s="294">
        <f>'корпоративный баланс энергии'!AK938+'корпоративный баланс энергии'!AN938+'корпоративный баланс энергии'!AQ938</f>
        <v>1.1440000000000001</v>
      </c>
      <c r="N929" s="288"/>
      <c r="O929" s="289"/>
      <c r="P929" s="294">
        <f t="shared" si="63"/>
        <v>3.4930000000000003</v>
      </c>
      <c r="Q929" s="288"/>
      <c r="R929" s="289"/>
      <c r="S929" s="374"/>
      <c r="T929" s="374"/>
    </row>
    <row r="930" spans="2:20" s="116" customFormat="1">
      <c r="B930" s="135" t="str">
        <f>'корпоративный баланс энергии'!H939</f>
        <v>Мини ТЭЦ (ООО "СевЛесПил")</v>
      </c>
      <c r="C930" s="525" t="s">
        <v>365</v>
      </c>
      <c r="D930" s="293">
        <f>'корпоративный баланс энергии'!J939+'корпоративный баланс энергии'!M939+'корпоративный баланс энергии'!P939</f>
        <v>2.7</v>
      </c>
      <c r="E930" s="288"/>
      <c r="F930" s="289"/>
      <c r="G930" s="294">
        <f>'корпоративный баланс энергии'!S939+'корпоративный баланс энергии'!V939+'корпоративный баланс энергии'!Y939</f>
        <v>2.7</v>
      </c>
      <c r="H930" s="288"/>
      <c r="I930" s="289"/>
      <c r="J930" s="294">
        <f>'корпоративный баланс энергии'!AB939+'корпоративный баланс энергии'!AE939+'корпоративный баланс энергии'!AH939</f>
        <v>2.7</v>
      </c>
      <c r="K930" s="288"/>
      <c r="L930" s="289"/>
      <c r="M930" s="294">
        <f>'корпоративный баланс энергии'!AK939+'корпоративный баланс энергии'!AN939+'корпоративный баланс энергии'!AQ939</f>
        <v>2.7</v>
      </c>
      <c r="N930" s="288"/>
      <c r="O930" s="289"/>
      <c r="P930" s="294">
        <f t="shared" si="63"/>
        <v>10.8</v>
      </c>
      <c r="Q930" s="383"/>
      <c r="R930" s="384"/>
      <c r="S930" s="374"/>
      <c r="T930" s="374"/>
    </row>
    <row r="931" spans="2:20" s="116" customFormat="1">
      <c r="B931" s="135" t="str">
        <f>'корпоративный баланс энергии'!H940</f>
        <v>ЭСН (ЗАО "Печоранефтегаз")</v>
      </c>
      <c r="C931" s="518" t="s">
        <v>365</v>
      </c>
      <c r="D931" s="293">
        <f>'корпоративный баланс энергии'!J940+'корпоративный баланс энергии'!M940+'корпоративный баланс энергии'!P940</f>
        <v>0</v>
      </c>
      <c r="E931" s="288"/>
      <c r="F931" s="289"/>
      <c r="G931" s="294">
        <f>'корпоративный баланс энергии'!S940+'корпоративный баланс энергии'!V940+'корпоративный баланс энергии'!Y940</f>
        <v>0</v>
      </c>
      <c r="H931" s="288"/>
      <c r="I931" s="289"/>
      <c r="J931" s="294">
        <f>'корпоративный баланс энергии'!AB940+'корпоративный баланс энергии'!AE940+'корпоративный баланс энергии'!AH940</f>
        <v>0</v>
      </c>
      <c r="K931" s="288"/>
      <c r="L931" s="289"/>
      <c r="M931" s="294">
        <f>'корпоративный баланс энергии'!AK940+'корпоративный баланс энергии'!AN940+'корпоративный баланс энергии'!AQ940</f>
        <v>0</v>
      </c>
      <c r="N931" s="288"/>
      <c r="O931" s="289"/>
      <c r="P931" s="294">
        <f t="shared" si="63"/>
        <v>0</v>
      </c>
      <c r="Q931" s="383"/>
      <c r="R931" s="384"/>
      <c r="S931" s="374"/>
      <c r="T931" s="374"/>
    </row>
    <row r="932" spans="2:20" s="116" customFormat="1">
      <c r="B932" s="135" t="str">
        <f>'корпоративный баланс энергии'!H941</f>
        <v>Усинская ТЭЦ (ООО "ЛУКОЙЛ-Коми")</v>
      </c>
      <c r="C932" s="518" t="s">
        <v>365</v>
      </c>
      <c r="D932" s="293">
        <f>'корпоративный баланс энергии'!J941+'корпоративный баланс энергии'!M941+'корпоративный баланс энергии'!P941</f>
        <v>139.86264699999998</v>
      </c>
      <c r="E932" s="288"/>
      <c r="F932" s="289"/>
      <c r="G932" s="294">
        <f>'корпоративный баланс энергии'!S941+'корпоративный баланс энергии'!V941+'корпоративный баланс энергии'!Y941</f>
        <v>139.86264699999998</v>
      </c>
      <c r="H932" s="288"/>
      <c r="I932" s="289"/>
      <c r="J932" s="294">
        <f>'корпоративный баланс энергии'!AB941+'корпоративный баланс энергии'!AE941+'корпоративный баланс энергии'!AH941</f>
        <v>141.39959899999999</v>
      </c>
      <c r="K932" s="288"/>
      <c r="L932" s="289"/>
      <c r="M932" s="294">
        <f>'корпоративный баланс энергии'!AK941+'корпоративный баланс энергии'!AN941+'корпоративный баланс энергии'!AQ941</f>
        <v>141.39959899999999</v>
      </c>
      <c r="N932" s="288"/>
      <c r="O932" s="289"/>
      <c r="P932" s="294">
        <f t="shared" si="63"/>
        <v>562.5244919999999</v>
      </c>
      <c r="Q932" s="383"/>
      <c r="R932" s="384"/>
      <c r="S932" s="374"/>
      <c r="T932" s="374"/>
    </row>
    <row r="933" spans="2:20" s="116" customFormat="1">
      <c r="B933" s="135" t="str">
        <f>'корпоративный баланс энергии'!H942</f>
        <v>Ярегская ТЭЦ (ООО "ЛУКОЙЛ-Коми")</v>
      </c>
      <c r="C933" s="518" t="s">
        <v>365</v>
      </c>
      <c r="D933" s="293">
        <f>'корпоративный баланс энергии'!J942+'корпоративный баланс энергии'!M942+'корпоративный баланс энергии'!P942</f>
        <v>100.24100000000001</v>
      </c>
      <c r="E933" s="288"/>
      <c r="F933" s="289"/>
      <c r="G933" s="294">
        <f>'корпоративный баланс энергии'!S942+'корпоративный баланс энергии'!V942+'корпоративный баланс энергии'!Y942</f>
        <v>79.98599999999999</v>
      </c>
      <c r="H933" s="288"/>
      <c r="I933" s="289"/>
      <c r="J933" s="294">
        <f>'корпоративный баланс энергии'!AB942+'корпоративный баланс энергии'!AE942+'корпоративный баланс энергии'!AH942</f>
        <v>90.4</v>
      </c>
      <c r="K933" s="288"/>
      <c r="L933" s="289"/>
      <c r="M933" s="294">
        <f>'корпоративный баланс энергии'!AK942+'корпоративный баланс энергии'!AN942+'корпоративный баланс энергии'!AQ942</f>
        <v>95.075999999999993</v>
      </c>
      <c r="N933" s="288"/>
      <c r="O933" s="289"/>
      <c r="P933" s="294">
        <f t="shared" si="63"/>
        <v>365.70299999999997</v>
      </c>
      <c r="Q933" s="383"/>
      <c r="R933" s="384"/>
      <c r="S933" s="374"/>
      <c r="T933" s="374"/>
    </row>
    <row r="934" spans="2:20" s="116" customFormat="1">
      <c r="B934" s="135" t="str">
        <f>'корпоративный баланс энергии'!H943</f>
        <v>ЭСН (ООО "Газпром трансгаз Ухта")</v>
      </c>
      <c r="C934" s="518" t="s">
        <v>365</v>
      </c>
      <c r="D934" s="293">
        <f>'корпоративный баланс энергии'!J943+'корпоративный баланс энергии'!M943+'корпоративный баланс энергии'!P943</f>
        <v>0</v>
      </c>
      <c r="E934" s="288"/>
      <c r="F934" s="289"/>
      <c r="G934" s="294">
        <f>'корпоративный баланс энергии'!S943+'корпоративный баланс энергии'!V943+'корпоративный баланс энергии'!Y943</f>
        <v>0</v>
      </c>
      <c r="H934" s="288"/>
      <c r="I934" s="289"/>
      <c r="J934" s="294">
        <f>'корпоративный баланс энергии'!AB943+'корпоративный баланс энергии'!AE943+'корпоративный баланс энергии'!AH943</f>
        <v>0</v>
      </c>
      <c r="K934" s="288"/>
      <c r="L934" s="289"/>
      <c r="M934" s="294">
        <f>'корпоративный баланс энергии'!AK943+'корпоративный баланс энергии'!AN943+'корпоративный баланс энергии'!AQ943</f>
        <v>0</v>
      </c>
      <c r="N934" s="288"/>
      <c r="O934" s="289"/>
      <c r="P934" s="294">
        <f t="shared" si="63"/>
        <v>0</v>
      </c>
      <c r="Q934" s="383"/>
      <c r="R934" s="384"/>
      <c r="S934" s="374"/>
      <c r="T934" s="374"/>
    </row>
    <row r="935" spans="2:20" s="116" customFormat="1" ht="18.75">
      <c r="B935" s="475" t="str">
        <f>'корпоративный баланс энергии'!H944</f>
        <v>Энергосистема Мурманской области</v>
      </c>
      <c r="C935" s="505"/>
      <c r="D935" s="274">
        <f>SUM(D936:D940)</f>
        <v>4831.12</v>
      </c>
      <c r="E935" s="275">
        <f>F935-D935</f>
        <v>-1198.0199999999995</v>
      </c>
      <c r="F935" s="276">
        <f>'корпоративный баланс энергии'!L944+'корпоративный баланс энергии'!O944+'корпоративный баланс энергии'!R944</f>
        <v>3633.1000000000004</v>
      </c>
      <c r="G935" s="274">
        <f>SUM(G936:G940)</f>
        <v>4007.16</v>
      </c>
      <c r="H935" s="275">
        <f>I935-G935</f>
        <v>-1008.9689999999996</v>
      </c>
      <c r="I935" s="276">
        <f>'корпоративный баланс энергии'!U944+'корпоративный баланс энергии'!X944+'корпоративный баланс энергии'!AA944</f>
        <v>2998.1910000000003</v>
      </c>
      <c r="J935" s="274">
        <f>SUM(J936:J940)</f>
        <v>3785.35</v>
      </c>
      <c r="K935" s="275">
        <f>L935-J935</f>
        <v>-981.08899999999994</v>
      </c>
      <c r="L935" s="276">
        <f>'корпоративный баланс энергии'!AD944+'корпоративный баланс энергии'!AG944+'корпоративный баланс энергии'!AJ944</f>
        <v>2804.261</v>
      </c>
      <c r="M935" s="274">
        <f>SUM(M936:M940)</f>
        <v>4647.43</v>
      </c>
      <c r="N935" s="275">
        <f>O935-M935</f>
        <v>-1119.9820000000004</v>
      </c>
      <c r="O935" s="276">
        <f>'корпоративный баланс энергии'!AM944+'корпоративный баланс энергии'!AP944+'корпоративный баланс энергии'!AS944</f>
        <v>3527.4479999999999</v>
      </c>
      <c r="P935" s="274">
        <f>SUM(P936:P940)</f>
        <v>17271.060000000001</v>
      </c>
      <c r="Q935" s="275">
        <f>R935-P935</f>
        <v>-4308.0599999999995</v>
      </c>
      <c r="R935" s="276">
        <f>F935+I935+L935+O935</f>
        <v>12963.000000000002</v>
      </c>
      <c r="S935" s="374"/>
      <c r="T935" s="374"/>
    </row>
    <row r="936" spans="2:20" s="116" customFormat="1">
      <c r="B936" s="10" t="s">
        <v>56</v>
      </c>
      <c r="C936" s="483"/>
      <c r="D936" s="270">
        <f>SUM(D942:D943)</f>
        <v>182.11999999999998</v>
      </c>
      <c r="E936" s="271">
        <v>-430</v>
      </c>
      <c r="F936" s="224"/>
      <c r="G936" s="270">
        <f>SUM(G942:G943)</f>
        <v>86.16</v>
      </c>
      <c r="H936" s="271">
        <v>-390</v>
      </c>
      <c r="I936" s="224"/>
      <c r="J936" s="270">
        <f>SUM(J942:J943)</f>
        <v>44.35</v>
      </c>
      <c r="K936" s="271">
        <v>-360</v>
      </c>
      <c r="L936" s="224"/>
      <c r="M936" s="270">
        <f>SUM(M942:M943)</f>
        <v>156.43</v>
      </c>
      <c r="N936" s="271">
        <v>-295</v>
      </c>
      <c r="O936" s="224"/>
      <c r="P936" s="270">
        <f>SUM(P942:P943)</f>
        <v>469.06</v>
      </c>
      <c r="Q936" s="271"/>
      <c r="R936" s="364"/>
      <c r="S936" s="374"/>
      <c r="T936" s="374"/>
    </row>
    <row r="937" spans="2:20" s="116" customFormat="1">
      <c r="B937" s="10" t="s">
        <v>55</v>
      </c>
      <c r="C937" s="483"/>
      <c r="D937" s="270">
        <f>D944+D951+D957+D960+D965</f>
        <v>1579.9999999999998</v>
      </c>
      <c r="E937" s="271"/>
      <c r="F937" s="224"/>
      <c r="G937" s="270">
        <f>G944+G951+G957+G960+G965</f>
        <v>1740</v>
      </c>
      <c r="H937" s="271"/>
      <c r="I937" s="224"/>
      <c r="J937" s="270">
        <f>J944+J951+J957+J960+J965</f>
        <v>1680</v>
      </c>
      <c r="K937" s="271"/>
      <c r="L937" s="224"/>
      <c r="M937" s="270">
        <f>M944+M951+M957+M960+M965</f>
        <v>1600.0000000000002</v>
      </c>
      <c r="N937" s="271"/>
      <c r="O937" s="224"/>
      <c r="P937" s="270">
        <f>P944+P951+P957+P960+P965</f>
        <v>6600</v>
      </c>
      <c r="Q937" s="271"/>
      <c r="R937" s="364"/>
      <c r="S937" s="374"/>
      <c r="T937" s="374"/>
    </row>
    <row r="938" spans="2:20" s="116" customFormat="1">
      <c r="B938" s="10" t="s">
        <v>98</v>
      </c>
      <c r="C938" s="483"/>
      <c r="D938" s="270">
        <f>D941</f>
        <v>3069</v>
      </c>
      <c r="E938" s="271"/>
      <c r="F938" s="224"/>
      <c r="G938" s="270">
        <f>G941</f>
        <v>2181</v>
      </c>
      <c r="H938" s="271"/>
      <c r="I938" s="224"/>
      <c r="J938" s="270">
        <f>J941</f>
        <v>2061</v>
      </c>
      <c r="K938" s="271"/>
      <c r="L938" s="224"/>
      <c r="M938" s="270">
        <f>M941</f>
        <v>2891</v>
      </c>
      <c r="N938" s="271"/>
      <c r="O938" s="224"/>
      <c r="P938" s="270">
        <f>P941</f>
        <v>10202</v>
      </c>
      <c r="Q938" s="271"/>
      <c r="R938" s="364"/>
      <c r="S938" s="374"/>
      <c r="T938" s="374"/>
    </row>
    <row r="939" spans="2:20" s="116" customFormat="1">
      <c r="B939" s="10" t="s">
        <v>346</v>
      </c>
      <c r="C939" s="483"/>
      <c r="D939" s="270">
        <f>D966</f>
        <v>0</v>
      </c>
      <c r="E939" s="271"/>
      <c r="F939" s="224"/>
      <c r="G939" s="270">
        <f>G966</f>
        <v>0</v>
      </c>
      <c r="H939" s="271"/>
      <c r="I939" s="224"/>
      <c r="J939" s="270">
        <f>J966</f>
        <v>0</v>
      </c>
      <c r="K939" s="271"/>
      <c r="L939" s="224"/>
      <c r="M939" s="270">
        <f>M966</f>
        <v>0</v>
      </c>
      <c r="N939" s="271"/>
      <c r="O939" s="224"/>
      <c r="P939" s="270">
        <f>P966</f>
        <v>0</v>
      </c>
      <c r="Q939" s="271"/>
      <c r="R939" s="364"/>
      <c r="S939" s="374"/>
      <c r="T939" s="374"/>
    </row>
    <row r="940" spans="2:20" s="116" customFormat="1">
      <c r="B940" s="10" t="s">
        <v>99</v>
      </c>
      <c r="C940" s="483"/>
      <c r="D940" s="270">
        <f>D967</f>
        <v>0</v>
      </c>
      <c r="E940" s="271"/>
      <c r="F940" s="224"/>
      <c r="G940" s="270">
        <f>G967</f>
        <v>0</v>
      </c>
      <c r="H940" s="271"/>
      <c r="I940" s="224"/>
      <c r="J940" s="270">
        <f>J967</f>
        <v>0</v>
      </c>
      <c r="K940" s="271"/>
      <c r="L940" s="224"/>
      <c r="M940" s="270">
        <f>M967</f>
        <v>0</v>
      </c>
      <c r="N940" s="271"/>
      <c r="O940" s="224"/>
      <c r="P940" s="270">
        <f>P967</f>
        <v>0</v>
      </c>
      <c r="Q940" s="271"/>
      <c r="R940" s="364"/>
      <c r="S940" s="374"/>
      <c r="T940" s="374"/>
    </row>
    <row r="941" spans="2:20" s="116" customFormat="1">
      <c r="B941" s="122" t="str">
        <f>'корпоративный баланс энергии'!H950</f>
        <v>Кольская АЭС (филиал АО "Концерн Росэнергоатом")</v>
      </c>
      <c r="C941" s="516" t="s">
        <v>364</v>
      </c>
      <c r="D941" s="281">
        <f>'корпоративный баланс энергии'!J950+'корпоративный баланс энергии'!M950+'корпоративный баланс энергии'!P950</f>
        <v>3069</v>
      </c>
      <c r="E941" s="246"/>
      <c r="F941" s="282"/>
      <c r="G941" s="244">
        <f>'корпоративный баланс энергии'!S950+'корпоративный баланс энергии'!V950+'корпоративный баланс энергии'!Y950</f>
        <v>2181</v>
      </c>
      <c r="H941" s="246"/>
      <c r="I941" s="282"/>
      <c r="J941" s="244">
        <f>'корпоративный баланс энергии'!AB950+'корпоративный баланс энергии'!AE950+'корпоративный баланс энергии'!AH950</f>
        <v>2061</v>
      </c>
      <c r="K941" s="246"/>
      <c r="L941" s="282"/>
      <c r="M941" s="244">
        <f>'корпоративный баланс энергии'!AK950+'корпоративный баланс энергии'!AN950+'корпоративный баланс энергии'!AQ950</f>
        <v>2891</v>
      </c>
      <c r="N941" s="246"/>
      <c r="O941" s="282"/>
      <c r="P941" s="244">
        <f>D941+G941+J941+M941</f>
        <v>10202</v>
      </c>
      <c r="Q941" s="246"/>
      <c r="R941" s="282"/>
      <c r="S941" s="374"/>
      <c r="T941" s="374"/>
    </row>
    <row r="942" spans="2:20" s="116" customFormat="1">
      <c r="B942" s="122" t="str">
        <f>'корпоративный баланс энергии'!H951</f>
        <v>Апатитская ТЭЦ (филиал "Кольский" ПАО "ТГК-1")</v>
      </c>
      <c r="C942" s="516" t="s">
        <v>364</v>
      </c>
      <c r="D942" s="281">
        <f>'корпоративный баланс энергии'!J951+'корпоративный баланс энергии'!M951+'корпоративный баланс энергии'!P951</f>
        <v>174.48</v>
      </c>
      <c r="E942" s="246"/>
      <c r="F942" s="282"/>
      <c r="G942" s="244">
        <f>'корпоративный баланс энергии'!S951+'корпоративный баланс энергии'!V951+'корпоративный баланс энергии'!Y951</f>
        <v>83.72</v>
      </c>
      <c r="H942" s="246"/>
      <c r="I942" s="282"/>
      <c r="J942" s="244">
        <f>'корпоративный баланс энергии'!AB951+'корпоративный баланс энергии'!AE951+'корпоративный баланс энергии'!AH951</f>
        <v>44.35</v>
      </c>
      <c r="K942" s="246"/>
      <c r="L942" s="282"/>
      <c r="M942" s="244">
        <f>'корпоративный баланс энергии'!AK951+'корпоративный баланс энергии'!AN951+'корпоративный баланс энергии'!AQ951</f>
        <v>148.75</v>
      </c>
      <c r="N942" s="246"/>
      <c r="O942" s="282"/>
      <c r="P942" s="244">
        <f>D942+G942+J942+M942</f>
        <v>451.3</v>
      </c>
      <c r="Q942" s="246"/>
      <c r="R942" s="282"/>
      <c r="S942" s="374"/>
      <c r="T942" s="374"/>
    </row>
    <row r="943" spans="2:20" s="116" customFormat="1">
      <c r="B943" s="122" t="str">
        <f>'корпоративный баланс энергии'!H952</f>
        <v>Мурманская ТЭЦ  (филиал "Кольский" ПАО "ТГК-1")</v>
      </c>
      <c r="C943" s="519" t="s">
        <v>365</v>
      </c>
      <c r="D943" s="281">
        <f>'корпоративный баланс энергии'!J952+'корпоративный баланс энергии'!M952+'корпоративный баланс энергии'!P952</f>
        <v>7.64</v>
      </c>
      <c r="E943" s="246"/>
      <c r="F943" s="282"/>
      <c r="G943" s="244">
        <f>'корпоративный баланс энергии'!S952+'корпоративный баланс энергии'!V952+'корпоративный баланс энергии'!Y952</f>
        <v>2.44</v>
      </c>
      <c r="H943" s="246"/>
      <c r="I943" s="282"/>
      <c r="J943" s="244">
        <f>'корпоративный баланс энергии'!AB952+'корпоративный баланс энергии'!AE952+'корпоративный баланс энергии'!AH952</f>
        <v>0</v>
      </c>
      <c r="K943" s="246"/>
      <c r="L943" s="282"/>
      <c r="M943" s="244">
        <f>'корпоративный баланс энергии'!AK952+'корпоративный баланс энергии'!AN952+'корпоративный баланс энергии'!AQ952</f>
        <v>7.68</v>
      </c>
      <c r="N943" s="246"/>
      <c r="O943" s="282"/>
      <c r="P943" s="244">
        <f>D943+G943+J943+M943</f>
        <v>17.759999999999998</v>
      </c>
      <c r="Q943" s="283"/>
      <c r="R943" s="299"/>
      <c r="S943" s="374"/>
      <c r="T943" s="374"/>
    </row>
    <row r="944" spans="2:20" s="116" customFormat="1">
      <c r="B944" s="134" t="str">
        <f>'корпоративный баланс энергии'!H953</f>
        <v>к-д Нивских ГЭС (филиал "Кольский" ПАО "ТГК-1")</v>
      </c>
      <c r="C944" s="516" t="s">
        <v>364</v>
      </c>
      <c r="D944" s="317">
        <f>SUM(D945:D950)</f>
        <v>716.12999999999988</v>
      </c>
      <c r="E944" s="246"/>
      <c r="F944" s="282"/>
      <c r="G944" s="317">
        <f>SUM(G945:G950)</f>
        <v>789.49</v>
      </c>
      <c r="H944" s="246"/>
      <c r="I944" s="282"/>
      <c r="J944" s="317">
        <f>SUM(J945:J950)</f>
        <v>625.3599999999999</v>
      </c>
      <c r="K944" s="246"/>
      <c r="L944" s="282"/>
      <c r="M944" s="317">
        <f>SUM(M945:M950)</f>
        <v>818.33000000000015</v>
      </c>
      <c r="N944" s="246"/>
      <c r="O944" s="282"/>
      <c r="P944" s="317">
        <f>SUM(P945:P950)</f>
        <v>2949.3100000000004</v>
      </c>
      <c r="Q944" s="283"/>
      <c r="R944" s="299"/>
      <c r="S944" s="374"/>
      <c r="T944" s="374"/>
    </row>
    <row r="945" spans="2:20" s="116" customFormat="1">
      <c r="B945" s="122" t="str">
        <f>'корпоративный баланс энергии'!H954</f>
        <v>Нива ГЭС-1 (филиал "Кольский" ПАО "ТГК-1")</v>
      </c>
      <c r="C945" s="486"/>
      <c r="D945" s="281">
        <f>'корпоративный баланс энергии'!J954+'корпоративный баланс энергии'!M954+'корпоративный баланс энергии'!P954</f>
        <v>35.78</v>
      </c>
      <c r="E945" s="246"/>
      <c r="F945" s="282"/>
      <c r="G945" s="244">
        <f>'корпоративный баланс энергии'!S954+'корпоративный баланс энергии'!V954+'корпоративный баланс энергии'!Y954</f>
        <v>36.9</v>
      </c>
      <c r="H945" s="246"/>
      <c r="I945" s="282"/>
      <c r="J945" s="244">
        <f>'корпоративный баланс энергии'!AB954+'корпоративный баланс энергии'!AE954+'корпоративный баланс энергии'!AH954</f>
        <v>26.290000000000003</v>
      </c>
      <c r="K945" s="246"/>
      <c r="L945" s="282"/>
      <c r="M945" s="244">
        <f>'корпоративный баланс энергии'!AK954+'корпоративный баланс энергии'!AN954+'корпоративный баланс энергии'!AQ954</f>
        <v>34.06</v>
      </c>
      <c r="N945" s="246"/>
      <c r="O945" s="282"/>
      <c r="P945" s="244">
        <f t="shared" ref="P945:P950" si="64">D945+G945+J945+M945</f>
        <v>133.03000000000003</v>
      </c>
      <c r="Q945" s="283"/>
      <c r="R945" s="299"/>
      <c r="S945" s="374"/>
      <c r="T945" s="374"/>
    </row>
    <row r="946" spans="2:20" s="116" customFormat="1">
      <c r="B946" s="122" t="str">
        <f>'корпоративный баланс энергии'!H955</f>
        <v>Нива ГЭС-2 (филиал "Кольский" ПАО "ТГК-1")</v>
      </c>
      <c r="C946" s="486"/>
      <c r="D946" s="281">
        <f>'корпоративный баланс энергии'!J955+'корпоративный баланс энергии'!M955+'корпоративный баланс энергии'!P955</f>
        <v>107.94</v>
      </c>
      <c r="E946" s="246"/>
      <c r="F946" s="282"/>
      <c r="G946" s="244">
        <f>'корпоративный баланс энергии'!S955+'корпоративный баланс энергии'!V955+'корпоративный баланс энергии'!Y955</f>
        <v>114.13000000000001</v>
      </c>
      <c r="H946" s="246"/>
      <c r="I946" s="282"/>
      <c r="J946" s="244">
        <f>'корпоративный баланс энергии'!AB955+'корпоративный баланс энергии'!AE955+'корпоративный баланс энергии'!AH955</f>
        <v>80.28</v>
      </c>
      <c r="K946" s="246"/>
      <c r="L946" s="282"/>
      <c r="M946" s="244">
        <f>'корпоративный баланс энергии'!AK955+'корпоративный баланс энергии'!AN955+'корпоративный баланс энергии'!AQ955</f>
        <v>109.65</v>
      </c>
      <c r="N946" s="246"/>
      <c r="O946" s="282"/>
      <c r="P946" s="244">
        <f t="shared" si="64"/>
        <v>412</v>
      </c>
      <c r="Q946" s="283"/>
      <c r="R946" s="299"/>
      <c r="S946" s="374"/>
      <c r="T946" s="374"/>
    </row>
    <row r="947" spans="2:20" s="116" customFormat="1">
      <c r="B947" s="122" t="str">
        <f>'корпоративный баланс энергии'!H956</f>
        <v>Нива ГЭС-3 (филиал "Кольский" ПАО "ТГК-1")</v>
      </c>
      <c r="C947" s="486"/>
      <c r="D947" s="281">
        <f>'корпоративный баланс энергии'!J956+'корпоративный баланс энергии'!M956+'корпоративный баланс энергии'!P956</f>
        <v>223.27</v>
      </c>
      <c r="E947" s="246"/>
      <c r="F947" s="282"/>
      <c r="G947" s="244">
        <f>'корпоративный баланс энергии'!S956+'корпоративный баланс энергии'!V956+'корпоративный баланс энергии'!Y956</f>
        <v>237.33</v>
      </c>
      <c r="H947" s="246"/>
      <c r="I947" s="282"/>
      <c r="J947" s="244">
        <f>'корпоративный баланс энергии'!AB956+'корпоративный баланс энергии'!AE956+'корпоративный баланс энергии'!AH956</f>
        <v>165.62</v>
      </c>
      <c r="K947" s="246"/>
      <c r="L947" s="282"/>
      <c r="M947" s="244">
        <f>'корпоративный баланс энергии'!AK956+'корпоративный баланс энергии'!AN956+'корпоративный баланс энергии'!AQ956</f>
        <v>226.23000000000002</v>
      </c>
      <c r="N947" s="246"/>
      <c r="O947" s="282"/>
      <c r="P947" s="244">
        <f t="shared" si="64"/>
        <v>852.45</v>
      </c>
      <c r="Q947" s="283"/>
      <c r="R947" s="299"/>
      <c r="S947" s="374"/>
      <c r="T947" s="374"/>
    </row>
    <row r="948" spans="2:20" s="116" customFormat="1">
      <c r="B948" s="122" t="str">
        <f>'корпоративный баланс энергии'!H957</f>
        <v>Княжегубская ГЭС-11 (филиал "Кольский" ПАО "ТГК-1")</v>
      </c>
      <c r="C948" s="486"/>
      <c r="D948" s="281">
        <f>'корпоративный баланс энергии'!J957+'корпоративный баланс энергии'!M957+'корпоративный баланс энергии'!P957</f>
        <v>161.57999999999998</v>
      </c>
      <c r="E948" s="246"/>
      <c r="F948" s="282"/>
      <c r="G948" s="244">
        <f>'корпоративный баланс энергии'!S957+'корпоративный баланс энергии'!V957+'корпоративный баланс энергии'!Y957</f>
        <v>197.38</v>
      </c>
      <c r="H948" s="246"/>
      <c r="I948" s="282"/>
      <c r="J948" s="244">
        <f>'корпоративный баланс энергии'!AB957+'корпоративный баланс энергии'!AE957+'корпоративный баланс энергии'!AH957</f>
        <v>161.35999999999999</v>
      </c>
      <c r="K948" s="246"/>
      <c r="L948" s="282"/>
      <c r="M948" s="244">
        <f>'корпоративный баланс энергии'!AK957+'корпоративный баланс энергии'!AN957+'корпоративный баланс энергии'!AQ957</f>
        <v>193.85</v>
      </c>
      <c r="N948" s="246"/>
      <c r="O948" s="282"/>
      <c r="P948" s="244">
        <f t="shared" si="64"/>
        <v>714.17</v>
      </c>
      <c r="Q948" s="283"/>
      <c r="R948" s="299"/>
      <c r="S948" s="374"/>
      <c r="T948" s="374"/>
    </row>
    <row r="949" spans="2:20" s="116" customFormat="1">
      <c r="B949" s="122" t="str">
        <f>'корпоративный баланс энергии'!H958</f>
        <v>Кумская ГЭС-9 (филиал "Кольский" ПАО "ТГК-1")</v>
      </c>
      <c r="C949" s="486"/>
      <c r="D949" s="281">
        <f>'корпоративный баланс энергии'!J958+'корпоративный баланс энергии'!M958+'корпоративный баланс энергии'!P958</f>
        <v>73.25</v>
      </c>
      <c r="E949" s="246"/>
      <c r="F949" s="282"/>
      <c r="G949" s="244">
        <f>'корпоративный баланс энергии'!S958+'корпоративный баланс энергии'!V958+'корпоративный баланс энергии'!Y958</f>
        <v>65.350000000000009</v>
      </c>
      <c r="H949" s="246"/>
      <c r="I949" s="282"/>
      <c r="J949" s="244">
        <f>'корпоративный баланс энергии'!AB958+'корпоративный баланс энергии'!AE958+'корпоративный баланс энергии'!AH958</f>
        <v>71.83</v>
      </c>
      <c r="K949" s="246"/>
      <c r="L949" s="282"/>
      <c r="M949" s="244">
        <f>'корпоративный баланс энергии'!AK958+'корпоративный баланс энергии'!AN958+'корпоративный баланс энергии'!AQ958</f>
        <v>106.74000000000001</v>
      </c>
      <c r="N949" s="246"/>
      <c r="O949" s="282"/>
      <c r="P949" s="244">
        <f t="shared" si="64"/>
        <v>317.17</v>
      </c>
      <c r="Q949" s="283"/>
      <c r="R949" s="299"/>
      <c r="S949" s="374"/>
      <c r="T949" s="374"/>
    </row>
    <row r="950" spans="2:20" s="116" customFormat="1">
      <c r="B950" s="122" t="str">
        <f>'корпоративный баланс энергии'!H959</f>
        <v>Иовская ГЭС-10 (филиал "Кольский" ПАО "ТГК-1")</v>
      </c>
      <c r="C950" s="486"/>
      <c r="D950" s="281">
        <f>'корпоративный баланс энергии'!J959+'корпоративный баланс энергии'!M959+'корпоративный баланс энергии'!P959</f>
        <v>114.31</v>
      </c>
      <c r="E950" s="246"/>
      <c r="F950" s="282"/>
      <c r="G950" s="244">
        <f>'корпоративный баланс энергии'!S959+'корпоративный баланс энергии'!V959+'корпоративный баланс энергии'!Y959</f>
        <v>138.4</v>
      </c>
      <c r="H950" s="246"/>
      <c r="I950" s="282"/>
      <c r="J950" s="244">
        <f>'корпоративный баланс энергии'!AB959+'корпоративный баланс энергии'!AE959+'корпоративный баланс энергии'!AH959</f>
        <v>119.97999999999999</v>
      </c>
      <c r="K950" s="246"/>
      <c r="L950" s="282"/>
      <c r="M950" s="244">
        <f>'корпоративный баланс энергии'!AK959+'корпоративный баланс энергии'!AN959+'корпоративный баланс энергии'!AQ959</f>
        <v>147.80000000000001</v>
      </c>
      <c r="N950" s="246"/>
      <c r="O950" s="282"/>
      <c r="P950" s="244">
        <f t="shared" si="64"/>
        <v>520.49</v>
      </c>
      <c r="Q950" s="283"/>
      <c r="R950" s="299"/>
      <c r="S950" s="374"/>
      <c r="T950" s="374"/>
    </row>
    <row r="951" spans="2:20" s="116" customFormat="1">
      <c r="B951" s="134" t="str">
        <f>'корпоративный баланс энергии'!H960</f>
        <v>к-д Пазских ГЭС (филиал "Кольский" ПАО "ТГК-1")</v>
      </c>
      <c r="C951" s="516" t="s">
        <v>364</v>
      </c>
      <c r="D951" s="317">
        <f>SUM(D952:D956)</f>
        <v>259.89</v>
      </c>
      <c r="E951" s="246"/>
      <c r="F951" s="282"/>
      <c r="G951" s="317">
        <f>SUM(G952:G956)</f>
        <v>210.49</v>
      </c>
      <c r="H951" s="246"/>
      <c r="I951" s="282"/>
      <c r="J951" s="317">
        <f>SUM(J952:J956)</f>
        <v>202.37</v>
      </c>
      <c r="K951" s="246"/>
      <c r="L951" s="282"/>
      <c r="M951" s="317">
        <f>SUM(M952:M956)</f>
        <v>240.17000000000002</v>
      </c>
      <c r="N951" s="246"/>
      <c r="O951" s="282"/>
      <c r="P951" s="317">
        <f>SUM(P952:P956)</f>
        <v>912.92000000000007</v>
      </c>
      <c r="Q951" s="283"/>
      <c r="R951" s="299"/>
      <c r="S951" s="374"/>
      <c r="T951" s="374"/>
    </row>
    <row r="952" spans="2:20" s="116" customFormat="1">
      <c r="B952" s="122" t="str">
        <f>'корпоративный баланс энергии'!H961</f>
        <v>Кайтакоски ГЭС-4 (филиал "Кольский" ПАО "ТГК-1")</v>
      </c>
      <c r="C952" s="486"/>
      <c r="D952" s="281">
        <f>'корпоративный баланс энергии'!J961+'корпоративный баланс энергии'!M961+'корпоративный баланс энергии'!P961</f>
        <v>18.77</v>
      </c>
      <c r="E952" s="246"/>
      <c r="F952" s="282"/>
      <c r="G952" s="244">
        <f>'корпоративный баланс энергии'!S961+'корпоративный баланс энергии'!V961+'корпоративный баланс энергии'!Y961</f>
        <v>13.29</v>
      </c>
      <c r="H952" s="246"/>
      <c r="I952" s="282"/>
      <c r="J952" s="244">
        <f>'корпоративный баланс энергии'!AB961+'корпоративный баланс энергии'!AE961+'корпоративный баланс энергии'!AH961</f>
        <v>17.03</v>
      </c>
      <c r="K952" s="246"/>
      <c r="L952" s="282"/>
      <c r="M952" s="244">
        <f>'корпоративный баланс энергии'!AK961+'корпоративный баланс энергии'!AN961+'корпоративный баланс энергии'!AQ961</f>
        <v>20.09</v>
      </c>
      <c r="N952" s="246"/>
      <c r="O952" s="282"/>
      <c r="P952" s="244">
        <f>D952+G952+J952+M952</f>
        <v>69.180000000000007</v>
      </c>
      <c r="Q952" s="283"/>
      <c r="R952" s="299"/>
      <c r="S952" s="374"/>
      <c r="T952" s="374"/>
    </row>
    <row r="953" spans="2:20" s="116" customFormat="1">
      <c r="B953" s="122" t="str">
        <f>'корпоративный баланс энергии'!H962</f>
        <v>Янискоски ГЭС-5 (филиал "Кольский" ПАО "ТГК-1")</v>
      </c>
      <c r="C953" s="486"/>
      <c r="D953" s="281">
        <f>'корпоративный баланс энергии'!J962+'корпоративный баланс энергии'!M962+'корпоративный баланс энергии'!P962</f>
        <v>58.370000000000005</v>
      </c>
      <c r="E953" s="246"/>
      <c r="F953" s="282"/>
      <c r="G953" s="244">
        <f>'корпоративный баланс энергии'!S962+'корпоративный баланс энергии'!V962+'корпоративный баланс энергии'!Y962</f>
        <v>42.89</v>
      </c>
      <c r="H953" s="246"/>
      <c r="I953" s="282"/>
      <c r="J953" s="244">
        <f>'корпоративный баланс энергии'!AB962+'корпоративный баланс энергии'!AE962+'корпоративный баланс энергии'!AH962</f>
        <v>30.509999999999998</v>
      </c>
      <c r="K953" s="246"/>
      <c r="L953" s="282"/>
      <c r="M953" s="244">
        <f>'корпоративный баланс энергии'!AK962+'корпоративный баланс энергии'!AN962+'корпоративный баланс энергии'!AQ962</f>
        <v>42.39</v>
      </c>
      <c r="N953" s="246"/>
      <c r="O953" s="282"/>
      <c r="P953" s="244">
        <f>D953+G953+J953+M953</f>
        <v>174.16000000000003</v>
      </c>
      <c r="Q953" s="283"/>
      <c r="R953" s="299"/>
      <c r="S953" s="374"/>
      <c r="T953" s="374"/>
    </row>
    <row r="954" spans="2:20" s="117" customFormat="1">
      <c r="B954" s="122" t="str">
        <f>'корпоративный баланс энергии'!H963</f>
        <v>Раякоски ГЭС-6 (филиал "Кольский" ПАО "ТГК-1")</v>
      </c>
      <c r="C954" s="486"/>
      <c r="D954" s="281">
        <f>'корпоративный баланс энергии'!J963+'корпоративный баланс энергии'!M963+'корпоративный баланс энергии'!P963</f>
        <v>61.47</v>
      </c>
      <c r="E954" s="246"/>
      <c r="F954" s="282"/>
      <c r="G954" s="244">
        <f>'корпоративный баланс энергии'!S963+'корпоративный баланс энергии'!V963+'корпоративный баланс энергии'!Y963</f>
        <v>45.11</v>
      </c>
      <c r="H954" s="246"/>
      <c r="I954" s="282"/>
      <c r="J954" s="244">
        <f>'корпоративный баланс энергии'!AB963+'корпоративный баланс энергии'!AE963+'корпоративный баланс энергии'!AH963</f>
        <v>48.33</v>
      </c>
      <c r="K954" s="246"/>
      <c r="L954" s="282"/>
      <c r="M954" s="244">
        <f>'корпоративный баланс энергии'!AK963+'корпоративный баланс энергии'!AN963+'корпоративный баланс энергии'!AQ963</f>
        <v>58.17</v>
      </c>
      <c r="N954" s="246"/>
      <c r="O954" s="282"/>
      <c r="P954" s="244">
        <f>D954+G954+J954+M954</f>
        <v>213.07999999999998</v>
      </c>
      <c r="Q954" s="283"/>
      <c r="R954" s="299"/>
      <c r="S954" s="375"/>
      <c r="T954" s="375"/>
    </row>
    <row r="955" spans="2:20" s="117" customFormat="1">
      <c r="B955" s="122" t="str">
        <f>'корпоративный баланс энергии'!H964</f>
        <v>Хеваскоски ГЭС-7 (филиал "Кольский" ПАО "ТГК-1")</v>
      </c>
      <c r="C955" s="486"/>
      <c r="D955" s="281">
        <f>'корпоративный баланс энергии'!J964+'корпоративный баланс энергии'!M964+'корпоративный баланс энергии'!P964</f>
        <v>55.879999999999995</v>
      </c>
      <c r="E955" s="246"/>
      <c r="F955" s="282"/>
      <c r="G955" s="244">
        <f>'корпоративный баланс энергии'!S964+'корпоративный баланс энергии'!V964+'корпоративный баланс энергии'!Y964</f>
        <v>45.06</v>
      </c>
      <c r="H955" s="246"/>
      <c r="I955" s="282"/>
      <c r="J955" s="244">
        <f>'корпоративный баланс энергии'!AB964+'корпоративный баланс энергии'!AE964+'корпоративный баланс энергии'!AH964</f>
        <v>46.31</v>
      </c>
      <c r="K955" s="246"/>
      <c r="L955" s="282"/>
      <c r="M955" s="244">
        <f>'корпоративный баланс энергии'!AK964+'корпоративный баланс энергии'!AN964+'корпоративный баланс энергии'!AQ964</f>
        <v>53.9</v>
      </c>
      <c r="N955" s="246"/>
      <c r="O955" s="282"/>
      <c r="P955" s="244">
        <f>D955+G955+J955+M955</f>
        <v>201.15</v>
      </c>
      <c r="Q955" s="283"/>
      <c r="R955" s="299"/>
      <c r="S955" s="375"/>
      <c r="T955" s="375"/>
    </row>
    <row r="956" spans="2:20" s="117" customFormat="1">
      <c r="B956" s="122" t="str">
        <f>'корпоративный баланс энергии'!H965</f>
        <v>Борисоглебская ГЭС-8 (филиал "Кольский" ПАО "ТГК-1")</v>
      </c>
      <c r="C956" s="486"/>
      <c r="D956" s="281">
        <f>'корпоративный баланс энергии'!J965+'корпоративный баланс энергии'!M965+'корпоративный баланс энергии'!P965</f>
        <v>65.399999999999991</v>
      </c>
      <c r="E956" s="246"/>
      <c r="F956" s="282"/>
      <c r="G956" s="244">
        <f>'корпоративный баланс энергии'!S965+'корпоративный баланс энергии'!V965+'корпоративный баланс энергии'!Y965</f>
        <v>64.14</v>
      </c>
      <c r="H956" s="246"/>
      <c r="I956" s="282"/>
      <c r="J956" s="244">
        <f>'корпоративный баланс энергии'!AB965+'корпоративный баланс энергии'!AE965+'корпоративный баланс энергии'!AH965</f>
        <v>60.19</v>
      </c>
      <c r="K956" s="246"/>
      <c r="L956" s="282"/>
      <c r="M956" s="244">
        <f>'корпоративный баланс энергии'!AK965+'корпоративный баланс энергии'!AN965+'корпоративный баланс энергии'!AQ965</f>
        <v>65.61999999999999</v>
      </c>
      <c r="N956" s="246"/>
      <c r="O956" s="282"/>
      <c r="P956" s="244">
        <f>D956+G956+J956+M956</f>
        <v>255.34999999999997</v>
      </c>
      <c r="Q956" s="283"/>
      <c r="R956" s="299"/>
      <c r="S956" s="375"/>
      <c r="T956" s="375"/>
    </row>
    <row r="957" spans="2:20" s="117" customFormat="1">
      <c r="B957" s="134" t="str">
        <f>'корпоративный баланс энергии'!H966</f>
        <v>к-д Туломских ГЭС (филиал "Кольский" ПАО "ТГК-1")</v>
      </c>
      <c r="C957" s="516" t="s">
        <v>364</v>
      </c>
      <c r="D957" s="314">
        <f>SUM(D958:D959)</f>
        <v>278.27999999999997</v>
      </c>
      <c r="E957" s="283"/>
      <c r="F957" s="299"/>
      <c r="G957" s="314">
        <f>SUM(G958:G959)</f>
        <v>317.67</v>
      </c>
      <c r="H957" s="283"/>
      <c r="I957" s="299"/>
      <c r="J957" s="314">
        <f>SUM(J958:J959)</f>
        <v>340.63</v>
      </c>
      <c r="K957" s="246"/>
      <c r="L957" s="282"/>
      <c r="M957" s="314">
        <f>SUM(M958:M959)</f>
        <v>276.57</v>
      </c>
      <c r="N957" s="246"/>
      <c r="O957" s="282"/>
      <c r="P957" s="314">
        <f>SUM(P958:P959)</f>
        <v>1213.1499999999999</v>
      </c>
      <c r="Q957" s="283"/>
      <c r="R957" s="299"/>
      <c r="S957" s="375"/>
      <c r="T957" s="375"/>
    </row>
    <row r="958" spans="2:20" s="117" customFormat="1">
      <c r="B958" s="122" t="str">
        <f>'корпоративный баланс энергии'!H967</f>
        <v>Верхне-Туломская ГЭС-12 (филиал "Кольский" ПАО "ТГК-1")</v>
      </c>
      <c r="C958" s="486"/>
      <c r="D958" s="281">
        <f>'корпоративный баланс энергии'!J967+'корпоративный баланс энергии'!M967+'корпоративный баланс энергии'!P967</f>
        <v>212.51999999999998</v>
      </c>
      <c r="E958" s="246"/>
      <c r="F958" s="282"/>
      <c r="G958" s="244">
        <f>'корпоративный баланс энергии'!S967+'корпоративный баланс энергии'!V967+'корпоративный баланс энергии'!Y967</f>
        <v>223.14000000000001</v>
      </c>
      <c r="H958" s="246"/>
      <c r="I958" s="282"/>
      <c r="J958" s="244">
        <f>'корпоративный баланс энергии'!AB967+'корпоративный баланс энергии'!AE967+'корпоративный баланс энергии'!AH967</f>
        <v>252.41000000000003</v>
      </c>
      <c r="K958" s="246"/>
      <c r="L958" s="282"/>
      <c r="M958" s="244">
        <f>'корпоративный баланс энергии'!AK967+'корпоративный баланс энергии'!AN967+'корпоративный баланс энергии'!AQ967</f>
        <v>206.29</v>
      </c>
      <c r="N958" s="246"/>
      <c r="O958" s="282"/>
      <c r="P958" s="244">
        <f t="shared" ref="P958:P959" si="65">D958+G958+J958+M958</f>
        <v>894.3599999999999</v>
      </c>
      <c r="Q958" s="283"/>
      <c r="R958" s="299"/>
      <c r="S958" s="375"/>
      <c r="T958" s="375"/>
    </row>
    <row r="959" spans="2:20" s="117" customFormat="1">
      <c r="B959" s="122" t="str">
        <f>'корпоративный баланс энергии'!H968</f>
        <v>Нижне-Туломская ГЭС (филиал "Кольский" ПАО "ТГК-1")</v>
      </c>
      <c r="C959" s="486"/>
      <c r="D959" s="281">
        <f>'корпоративный баланс энергии'!J968+'корпоративный баланс энергии'!M968+'корпоративный баланс энергии'!P968</f>
        <v>65.759999999999991</v>
      </c>
      <c r="E959" s="246"/>
      <c r="F959" s="282"/>
      <c r="G959" s="244">
        <f>'корпоративный баланс энергии'!S968+'корпоративный баланс энергии'!V968+'корпоративный баланс энергии'!Y968</f>
        <v>94.53</v>
      </c>
      <c r="H959" s="246"/>
      <c r="I959" s="282"/>
      <c r="J959" s="244">
        <f>'корпоративный баланс энергии'!AB968+'корпоративный баланс энергии'!AE968+'корпоративный баланс энергии'!AH968</f>
        <v>88.22</v>
      </c>
      <c r="K959" s="246"/>
      <c r="L959" s="282"/>
      <c r="M959" s="244">
        <f>'корпоративный баланс энергии'!AK968+'корпоративный баланс энергии'!AN968+'корпоративный баланс энергии'!AQ968</f>
        <v>70.28</v>
      </c>
      <c r="N959" s="246"/>
      <c r="O959" s="282"/>
      <c r="P959" s="244">
        <f t="shared" si="65"/>
        <v>318.78999999999996</v>
      </c>
      <c r="Q959" s="283"/>
      <c r="R959" s="299"/>
      <c r="S959" s="375"/>
      <c r="T959" s="375"/>
    </row>
    <row r="960" spans="2:20" s="117" customFormat="1">
      <c r="B960" s="134" t="str">
        <f>'корпоративный баланс энергии'!H969</f>
        <v>к-д Серебрянских ГЭС (филиал "Кольский" ПАО "ТГК-1")</v>
      </c>
      <c r="C960" s="516" t="s">
        <v>364</v>
      </c>
      <c r="D960" s="314">
        <f>SUM(D961:D964)</f>
        <v>325.7</v>
      </c>
      <c r="E960" s="283"/>
      <c r="F960" s="299"/>
      <c r="G960" s="314">
        <f>SUM(G961:G964)</f>
        <v>422.35</v>
      </c>
      <c r="H960" s="283"/>
      <c r="I960" s="299"/>
      <c r="J960" s="317">
        <f>SUM(J961:J964)</f>
        <v>511.64000000000004</v>
      </c>
      <c r="K960" s="246"/>
      <c r="L960" s="282"/>
      <c r="M960" s="317">
        <f>SUM(M961:M964)</f>
        <v>264.93</v>
      </c>
      <c r="N960" s="246"/>
      <c r="O960" s="282"/>
      <c r="P960" s="317">
        <f>SUM(P961:P964)</f>
        <v>1524.62</v>
      </c>
      <c r="Q960" s="283"/>
      <c r="R960" s="299"/>
      <c r="S960" s="375"/>
      <c r="T960" s="375"/>
    </row>
    <row r="961" spans="2:20" s="117" customFormat="1">
      <c r="B961" s="122" t="str">
        <f>'корпоративный баланс энергии'!H970</f>
        <v>ГЭС-15 Серебрянская-1 (филиал "Кольский" ПАО "ТГК-1")</v>
      </c>
      <c r="C961" s="486"/>
      <c r="D961" s="281">
        <f>'корпоративный баланс энергии'!J970+'корпоративный баланс энергии'!M970+'корпоративный баланс энергии'!P970</f>
        <v>168.38</v>
      </c>
      <c r="E961" s="246"/>
      <c r="F961" s="282"/>
      <c r="G961" s="244">
        <f>'корпоративный баланс энергии'!S970+'корпоративный баланс энергии'!V970+'корпоративный баланс энергии'!Y970</f>
        <v>126.16</v>
      </c>
      <c r="H961" s="246"/>
      <c r="I961" s="282"/>
      <c r="J961" s="244">
        <f>'корпоративный баланс энергии'!AB970+'корпоративный баланс энергии'!AE970+'корпоративный баланс энергии'!AH970</f>
        <v>224.71</v>
      </c>
      <c r="K961" s="246"/>
      <c r="L961" s="282"/>
      <c r="M961" s="244">
        <f>'корпоративный баланс энергии'!AK970+'корпоративный баланс энергии'!AN970+'корпоративный баланс энергии'!AQ970</f>
        <v>130.99</v>
      </c>
      <c r="N961" s="246"/>
      <c r="O961" s="282"/>
      <c r="P961" s="244">
        <f t="shared" ref="P961:P966" si="66">D961+G961+J961+M961</f>
        <v>650.24</v>
      </c>
      <c r="Q961" s="283"/>
      <c r="R961" s="299"/>
      <c r="S961" s="375"/>
      <c r="T961" s="375"/>
    </row>
    <row r="962" spans="2:20" s="117" customFormat="1">
      <c r="B962" s="122" t="str">
        <f>'корпоративный баланс энергии'!H971</f>
        <v>ГЭС-16 Серебрянская-2 (филиал "Кольский" ПАО "ТГК-1")</v>
      </c>
      <c r="C962" s="486"/>
      <c r="D962" s="281">
        <f>'корпоративный баланс энергии'!J971+'корпоративный баланс энергии'!M971+'корпоративный баланс энергии'!P971</f>
        <v>141.63999999999999</v>
      </c>
      <c r="E962" s="246"/>
      <c r="F962" s="282"/>
      <c r="G962" s="244">
        <f>'корпоративный баланс энергии'!S971+'корпоративный баланс энергии'!V971+'корпоративный баланс энергии'!Y971</f>
        <v>142.19999999999999</v>
      </c>
      <c r="H962" s="246"/>
      <c r="I962" s="282"/>
      <c r="J962" s="244">
        <f>'корпоративный баланс энергии'!AB971+'корпоративный баланс энергии'!AE971+'корпоративный баланс энергии'!AH971</f>
        <v>192.73000000000002</v>
      </c>
      <c r="K962" s="246"/>
      <c r="L962" s="282"/>
      <c r="M962" s="244">
        <f>'корпоративный баланс энергии'!AK971+'корпоративный баланс энергии'!AN971+'корпоративный баланс энергии'!AQ971</f>
        <v>116.56</v>
      </c>
      <c r="N962" s="246"/>
      <c r="O962" s="282"/>
      <c r="P962" s="244">
        <f t="shared" si="66"/>
        <v>593.13</v>
      </c>
      <c r="Q962" s="283"/>
      <c r="R962" s="299"/>
      <c r="S962" s="375"/>
      <c r="T962" s="375"/>
    </row>
    <row r="963" spans="2:20" s="117" customFormat="1">
      <c r="B963" s="122" t="str">
        <f>'корпоративный баланс энергии'!H972</f>
        <v>Верхнетериберская ГЭС-18 (филиал "Кольский" ПАО "ТГК-1")</v>
      </c>
      <c r="C963" s="486"/>
      <c r="D963" s="281">
        <f>'корпоративный баланс энергии'!J972+'корпоративный баланс энергии'!M972+'корпоративный баланс энергии'!P972</f>
        <v>13.27</v>
      </c>
      <c r="E963" s="246"/>
      <c r="F963" s="282"/>
      <c r="G963" s="244">
        <f>'корпоративный баланс энергии'!S972+'корпоративный баланс энергии'!V972+'корпоративный баланс энергии'!Y972</f>
        <v>127.77000000000001</v>
      </c>
      <c r="H963" s="246"/>
      <c r="I963" s="282"/>
      <c r="J963" s="244">
        <f>'корпоративный баланс энергии'!AB972+'корпоративный баланс энергии'!AE972+'корпоративный баланс энергии'!AH972</f>
        <v>77.83</v>
      </c>
      <c r="K963" s="246"/>
      <c r="L963" s="282"/>
      <c r="M963" s="244">
        <f>'корпоративный баланс энергии'!AK972+'корпоративный баланс энергии'!AN972+'корпоративный баланс энергии'!AQ972</f>
        <v>14.120000000000001</v>
      </c>
      <c r="N963" s="246"/>
      <c r="O963" s="282"/>
      <c r="P963" s="244">
        <f t="shared" si="66"/>
        <v>232.99</v>
      </c>
      <c r="Q963" s="283"/>
      <c r="R963" s="299"/>
      <c r="S963" s="375"/>
      <c r="T963" s="375"/>
    </row>
    <row r="964" spans="2:20" s="117" customFormat="1">
      <c r="B964" s="122" t="str">
        <f>'корпоративный баланс энергии'!H973</f>
        <v>Нижнетериберская ГЭС-19 (филиал "Кольский" ПАО "ТГК-1")</v>
      </c>
      <c r="C964" s="486"/>
      <c r="D964" s="281">
        <f>'корпоративный баланс энергии'!J973+'корпоративный баланс энергии'!M973+'корпоративный баланс энергии'!P973</f>
        <v>2.41</v>
      </c>
      <c r="E964" s="246"/>
      <c r="F964" s="282"/>
      <c r="G964" s="244">
        <f>'корпоративный баланс энергии'!S973+'корпоративный баланс энергии'!V973+'корпоративный баланс энергии'!Y973</f>
        <v>26.22</v>
      </c>
      <c r="H964" s="246"/>
      <c r="I964" s="282"/>
      <c r="J964" s="244">
        <f>'корпоративный баланс энергии'!AB973+'корпоративный баланс энергии'!AE973+'корпоративный баланс энергии'!AH973</f>
        <v>16.37</v>
      </c>
      <c r="K964" s="246"/>
      <c r="L964" s="282"/>
      <c r="M964" s="244">
        <f>'корпоративный баланс энергии'!AK973+'корпоративный баланс энергии'!AN973+'корпоративный баланс энергии'!AQ973</f>
        <v>3.26</v>
      </c>
      <c r="N964" s="246"/>
      <c r="O964" s="282"/>
      <c r="P964" s="244">
        <f t="shared" si="66"/>
        <v>48.26</v>
      </c>
      <c r="Q964" s="283"/>
      <c r="R964" s="299"/>
      <c r="S964" s="375"/>
      <c r="T964" s="375"/>
    </row>
    <row r="965" spans="2:20" s="116" customFormat="1">
      <c r="B965" s="129" t="str">
        <f>'корпоративный баланс энергии'!H974</f>
        <v>Кислогубская ПЭС</v>
      </c>
      <c r="C965" s="519" t="s">
        <v>365</v>
      </c>
      <c r="D965" s="281">
        <f>'корпоративный баланс энергии'!J974+'корпоративный баланс энергии'!M974+'корпоративный баланс энергии'!P974</f>
        <v>0</v>
      </c>
      <c r="E965" s="246"/>
      <c r="F965" s="282"/>
      <c r="G965" s="244">
        <f>'корпоративный баланс энергии'!S974+'корпоративный баланс энергии'!V974+'корпоративный баланс энергии'!Y974</f>
        <v>0</v>
      </c>
      <c r="H965" s="246"/>
      <c r="I965" s="282"/>
      <c r="J965" s="244">
        <f>'корпоративный баланс энергии'!AB974+'корпоративный баланс энергии'!AE974+'корпоративный баланс энергии'!AH974</f>
        <v>0</v>
      </c>
      <c r="K965" s="246"/>
      <c r="L965" s="282"/>
      <c r="M965" s="244">
        <f>'корпоративный баланс энергии'!AK974+'корпоративный баланс энергии'!AN974+'корпоративный баланс энергии'!AQ974</f>
        <v>0</v>
      </c>
      <c r="N965" s="246"/>
      <c r="O965" s="282"/>
      <c r="P965" s="244">
        <f t="shared" si="66"/>
        <v>0</v>
      </c>
      <c r="Q965" s="246"/>
      <c r="R965" s="282"/>
      <c r="S965" s="374"/>
      <c r="T965" s="374"/>
    </row>
    <row r="966" spans="2:20" s="116" customFormat="1">
      <c r="B966" s="129" t="str">
        <f>'корпоративный баланс энергии'!H975</f>
        <v>Ветроэнергетическая станция WINCON-200</v>
      </c>
      <c r="C966" s="519" t="s">
        <v>365</v>
      </c>
      <c r="D966" s="281">
        <f>'корпоративный баланс энергии'!J975+'корпоративный баланс энергии'!M975+'корпоративный баланс энергии'!P975</f>
        <v>0</v>
      </c>
      <c r="E966" s="246"/>
      <c r="F966" s="282"/>
      <c r="G966" s="244">
        <f>'корпоративный баланс энергии'!S975+'корпоративный баланс энергии'!V975+'корпоративный баланс энергии'!Y975</f>
        <v>0</v>
      </c>
      <c r="H966" s="246"/>
      <c r="I966" s="282"/>
      <c r="J966" s="244">
        <f>'корпоративный баланс энергии'!AB975+'корпоративный баланс энергии'!AE975+'корпоративный баланс энергии'!AH975</f>
        <v>0</v>
      </c>
      <c r="K966" s="246"/>
      <c r="L966" s="282"/>
      <c r="M966" s="244">
        <f>'корпоративный баланс энергии'!AK975+'корпоративный баланс энергии'!AN975+'корпоративный баланс энергии'!AQ975</f>
        <v>0</v>
      </c>
      <c r="N966" s="246"/>
      <c r="O966" s="282"/>
      <c r="P966" s="244">
        <f t="shared" si="66"/>
        <v>0</v>
      </c>
      <c r="Q966" s="246"/>
      <c r="R966" s="282"/>
      <c r="S966" s="374"/>
      <c r="T966" s="374"/>
    </row>
    <row r="967" spans="2:20" s="116" customFormat="1">
      <c r="B967" s="138" t="s">
        <v>174</v>
      </c>
      <c r="C967" s="518"/>
      <c r="D967" s="287">
        <f>D968</f>
        <v>0</v>
      </c>
      <c r="E967" s="288"/>
      <c r="F967" s="289"/>
      <c r="G967" s="287">
        <f>G968</f>
        <v>0</v>
      </c>
      <c r="H967" s="288"/>
      <c r="I967" s="289"/>
      <c r="J967" s="287">
        <f>J968</f>
        <v>0</v>
      </c>
      <c r="K967" s="288"/>
      <c r="L967" s="289"/>
      <c r="M967" s="287">
        <f>M968</f>
        <v>0</v>
      </c>
      <c r="N967" s="288"/>
      <c r="O967" s="289"/>
      <c r="P967" s="287">
        <f>P968</f>
        <v>0</v>
      </c>
      <c r="Q967" s="288"/>
      <c r="R967" s="289"/>
      <c r="S967" s="374"/>
      <c r="T967" s="374"/>
    </row>
    <row r="968" spans="2:20" s="116" customFormat="1">
      <c r="B968" s="135" t="str">
        <f>'корпоративный баланс энергии'!H977</f>
        <v>ТЭЦ АО "Ковдорский горно-обогатительный комбинат" АО "МКХ "ЕвроХим"</v>
      </c>
      <c r="C968" s="518" t="s">
        <v>365</v>
      </c>
      <c r="D968" s="293">
        <f>'корпоративный баланс энергии'!J977+'корпоративный баланс энергии'!M977+'корпоративный баланс энергии'!P977</f>
        <v>0</v>
      </c>
      <c r="E968" s="288"/>
      <c r="F968" s="289"/>
      <c r="G968" s="294">
        <f>'корпоративный баланс энергии'!S977+'корпоративный баланс энергии'!V977+'корпоративный баланс энергии'!Y977</f>
        <v>0</v>
      </c>
      <c r="H968" s="288"/>
      <c r="I968" s="289"/>
      <c r="J968" s="294">
        <f>'корпоративный баланс энергии'!AB977+'корпоративный баланс энергии'!AE977+'корпоративный баланс энергии'!AH977</f>
        <v>0</v>
      </c>
      <c r="K968" s="288"/>
      <c r="L968" s="289"/>
      <c r="M968" s="294">
        <f>'корпоративный баланс энергии'!AK977+'корпоративный баланс энергии'!AN977+'корпоративный баланс энергии'!AQ977</f>
        <v>0</v>
      </c>
      <c r="N968" s="288"/>
      <c r="O968" s="289"/>
      <c r="P968" s="294">
        <f>D968+G968+J968+M968</f>
        <v>0</v>
      </c>
      <c r="Q968" s="288"/>
      <c r="R968" s="289"/>
      <c r="S968" s="374"/>
      <c r="T968" s="374"/>
    </row>
    <row r="969" spans="2:20" s="116" customFormat="1" ht="18.75">
      <c r="B969" s="475" t="str">
        <f>'корпоративный баланс энергии'!H978</f>
        <v>Энергосистема Новгородской области</v>
      </c>
      <c r="C969" s="505"/>
      <c r="D969" s="274">
        <f>SUM(D970:D971)</f>
        <v>370.70326499999999</v>
      </c>
      <c r="E969" s="275">
        <f>F969-D969</f>
        <v>894.99073499999997</v>
      </c>
      <c r="F969" s="276">
        <f>'корпоративный баланс энергии'!L978+'корпоративный баланс энергии'!O978+'корпоративный баланс энергии'!R978</f>
        <v>1265.694</v>
      </c>
      <c r="G969" s="277">
        <f>SUM(G970:G971)</f>
        <v>293.22905700000001</v>
      </c>
      <c r="H969" s="275">
        <f>I969-G969</f>
        <v>720.70794300000011</v>
      </c>
      <c r="I969" s="276">
        <f>'корпоративный баланс энергии'!U978+'корпоративный баланс энергии'!X978+'корпоративный баланс энергии'!AA978</f>
        <v>1013.9370000000001</v>
      </c>
      <c r="J969" s="277">
        <f>SUM(J970:J971)</f>
        <v>459.15331900000001</v>
      </c>
      <c r="K969" s="275">
        <f>L969-J969</f>
        <v>532.03768100000002</v>
      </c>
      <c r="L969" s="276">
        <f>'корпоративный баланс энергии'!AD978+'корпоративный баланс энергии'!AG978+'корпоративный баланс энергии'!AJ978</f>
        <v>991.19100000000003</v>
      </c>
      <c r="M969" s="277">
        <f>SUM(M970:M971)</f>
        <v>468.65766100000008</v>
      </c>
      <c r="N969" s="275">
        <f>O969-M969</f>
        <v>766.52033899999981</v>
      </c>
      <c r="O969" s="276">
        <f>'корпоративный баланс энергии'!AM978+'корпоративный баланс энергии'!AP978+'корпоративный баланс энергии'!AS978</f>
        <v>1235.1779999999999</v>
      </c>
      <c r="P969" s="277">
        <f>SUM(P970:P971)</f>
        <v>1591.7433020000001</v>
      </c>
      <c r="Q969" s="275">
        <f>R969-P969</f>
        <v>2914.2566980000001</v>
      </c>
      <c r="R969" s="276">
        <f>F969+I969+L969+O969</f>
        <v>4506</v>
      </c>
      <c r="S969" s="374"/>
      <c r="T969" s="374"/>
    </row>
    <row r="970" spans="2:20" s="116" customFormat="1">
      <c r="B970" s="10" t="s">
        <v>56</v>
      </c>
      <c r="C970" s="483"/>
      <c r="D970" s="270">
        <f>D972+D975</f>
        <v>309.47003000000001</v>
      </c>
      <c r="E970" s="271"/>
      <c r="F970" s="224"/>
      <c r="G970" s="270">
        <f>G972+G975</f>
        <v>240.06542000000002</v>
      </c>
      <c r="H970" s="271"/>
      <c r="I970" s="224"/>
      <c r="J970" s="270">
        <f>J972+J975</f>
        <v>403.51302000000004</v>
      </c>
      <c r="K970" s="271"/>
      <c r="L970" s="224"/>
      <c r="M970" s="270">
        <f>M972+M975</f>
        <v>412.52173000000005</v>
      </c>
      <c r="N970" s="271"/>
      <c r="O970" s="224"/>
      <c r="P970" s="270">
        <f>P972+P975</f>
        <v>1365.5702000000001</v>
      </c>
      <c r="Q970" s="271"/>
      <c r="R970" s="364"/>
      <c r="S970" s="374"/>
      <c r="T970" s="374"/>
    </row>
    <row r="971" spans="2:20" s="116" customFormat="1">
      <c r="B971" s="10" t="s">
        <v>99</v>
      </c>
      <c r="C971" s="483"/>
      <c r="D971" s="270">
        <f>D976</f>
        <v>61.233235000000001</v>
      </c>
      <c r="E971" s="271"/>
      <c r="F971" s="224"/>
      <c r="G971" s="223">
        <f>G976</f>
        <v>53.163637000000001</v>
      </c>
      <c r="H971" s="271"/>
      <c r="I971" s="224"/>
      <c r="J971" s="223">
        <f>J976</f>
        <v>55.640298999999999</v>
      </c>
      <c r="K971" s="271"/>
      <c r="L971" s="224"/>
      <c r="M971" s="223">
        <f>M976</f>
        <v>56.135930999999999</v>
      </c>
      <c r="N971" s="271"/>
      <c r="O971" s="224"/>
      <c r="P971" s="223">
        <f>P976</f>
        <v>226.173102</v>
      </c>
      <c r="Q971" s="271"/>
      <c r="R971" s="364"/>
      <c r="S971" s="374"/>
      <c r="T971" s="374"/>
    </row>
    <row r="972" spans="2:20" s="117" customFormat="1">
      <c r="B972" s="134" t="str">
        <f>'корпоративный баланс энергии'!H981</f>
        <v>Новгородская ТЭЦ-20 (филиал ОАО "ТГК-2")</v>
      </c>
      <c r="C972" s="516" t="s">
        <v>364</v>
      </c>
      <c r="D972" s="317">
        <f>SUM(D973:D974)</f>
        <v>306.48802999999998</v>
      </c>
      <c r="E972" s="323"/>
      <c r="F972" s="324"/>
      <c r="G972" s="317">
        <f>SUM(G973:G974)</f>
        <v>235.98802000000001</v>
      </c>
      <c r="H972" s="323"/>
      <c r="I972" s="324"/>
      <c r="J972" s="317">
        <f>SUM(J973:J974)</f>
        <v>395.86402000000004</v>
      </c>
      <c r="K972" s="323"/>
      <c r="L972" s="324"/>
      <c r="M972" s="317">
        <f>SUM(M973:M974)</f>
        <v>404.85603000000003</v>
      </c>
      <c r="N972" s="323"/>
      <c r="O972" s="324"/>
      <c r="P972" s="317">
        <f>SUM(P973:P974)</f>
        <v>1343.1961000000001</v>
      </c>
      <c r="Q972" s="323"/>
      <c r="R972" s="324"/>
      <c r="S972" s="375"/>
      <c r="T972" s="375"/>
    </row>
    <row r="973" spans="2:20" s="117" customFormat="1">
      <c r="B973" s="122" t="str">
        <f>'корпоративный баланс энергии'!H982</f>
        <v>Новгородская ТЭЦ-20 (Новгородский филиал ПАО"ТГК-2")</v>
      </c>
      <c r="C973" s="486"/>
      <c r="D973" s="281">
        <f>'корпоративный баланс энергии'!J982+'корпоративный баланс энергии'!M982+'корпоративный баланс энергии'!P982</f>
        <v>3.0000000000000004E-5</v>
      </c>
      <c r="E973" s="246"/>
      <c r="F973" s="282"/>
      <c r="G973" s="244">
        <f>'корпоративный баланс энергии'!S982+'корпоративный баланс энергии'!V982+'корпоративный баланс энергии'!Y982</f>
        <v>32.400019999999998</v>
      </c>
      <c r="H973" s="246"/>
      <c r="I973" s="282"/>
      <c r="J973" s="244">
        <f>'корпоративный баланс энергии'!AB982+'корпоративный баланс энергии'!AE982+'корпоративный баланс энергии'!AH982</f>
        <v>95.920020000000008</v>
      </c>
      <c r="K973" s="246"/>
      <c r="L973" s="282"/>
      <c r="M973" s="244">
        <f>'корпоративный баланс энергии'!AK982+'корпоративный баланс энергии'!AN982+'корпоративный баланс энергии'!AQ982</f>
        <v>3.0000000000000004E-5</v>
      </c>
      <c r="N973" s="246"/>
      <c r="O973" s="282"/>
      <c r="P973" s="244">
        <f>D973+G973+J973+M973</f>
        <v>128.32010000000002</v>
      </c>
      <c r="Q973" s="246"/>
      <c r="R973" s="282"/>
      <c r="S973" s="375"/>
      <c r="T973" s="375"/>
    </row>
    <row r="974" spans="2:20" s="117" customFormat="1">
      <c r="B974" s="122" t="str">
        <f>'корпоративный баланс энергии'!H983</f>
        <v>Новгородская ТЭЦ-20 (Новгородский филиал ПАО"ТГК-2") ПГУ 221 НВ, ДПМ 01.09.2012</v>
      </c>
      <c r="C974" s="486"/>
      <c r="D974" s="281">
        <f>'корпоративный баланс энергии'!J983+'корпоративный баланс энергии'!M983+'корпоративный баланс энергии'!P983</f>
        <v>306.488</v>
      </c>
      <c r="E974" s="246"/>
      <c r="F974" s="282"/>
      <c r="G974" s="244">
        <f>'корпоративный баланс энергии'!S983+'корпоративный баланс энергии'!V983+'корпоративный баланс энергии'!Y983</f>
        <v>203.58800000000002</v>
      </c>
      <c r="H974" s="246"/>
      <c r="I974" s="282"/>
      <c r="J974" s="244">
        <f>'корпоративный баланс энергии'!AB983+'корпоративный баланс энергии'!AE983+'корпоративный баланс энергии'!AH983</f>
        <v>299.94400000000002</v>
      </c>
      <c r="K974" s="246"/>
      <c r="L974" s="282"/>
      <c r="M974" s="244">
        <f>'корпоративный баланс энергии'!AK983+'корпоративный баланс энергии'!AN983+'корпоративный баланс энергии'!AQ983</f>
        <v>404.85600000000005</v>
      </c>
      <c r="N974" s="246"/>
      <c r="O974" s="282"/>
      <c r="P974" s="244">
        <f>D974+G974+J974+M974</f>
        <v>1214.876</v>
      </c>
      <c r="Q974" s="246"/>
      <c r="R974" s="282"/>
      <c r="S974" s="375"/>
      <c r="T974" s="375"/>
    </row>
    <row r="975" spans="2:20" s="117" customFormat="1">
      <c r="B975" s="122" t="str">
        <f>'корпоративный баланс энергии'!H984</f>
        <v>Лужская ГТ-ТЭЦ (АО "ГТ Энерго") 01.11.2009</v>
      </c>
      <c r="C975" s="516" t="s">
        <v>364</v>
      </c>
      <c r="D975" s="281">
        <f>'корпоративный баланс энергии'!J984+'корпоративный баланс энергии'!M984+'корпоративный баланс энергии'!P984</f>
        <v>2.9819999999999998</v>
      </c>
      <c r="E975" s="246"/>
      <c r="F975" s="282"/>
      <c r="G975" s="244">
        <f>'корпоративный баланс энергии'!S984+'корпоративный баланс энергии'!V984+'корпоративный баланс энергии'!Y984</f>
        <v>4.0773999999999999</v>
      </c>
      <c r="H975" s="246"/>
      <c r="I975" s="282"/>
      <c r="J975" s="244">
        <f>'корпоративный баланс энергии'!AB984+'корпоративный баланс энергии'!AE984+'корпоративный баланс энергии'!AH984</f>
        <v>7.649</v>
      </c>
      <c r="K975" s="246"/>
      <c r="L975" s="282"/>
      <c r="M975" s="244">
        <f>'корпоративный баланс энергии'!AK984+'корпоративный баланс энергии'!AN984+'корпоративный баланс энергии'!AQ984</f>
        <v>7.6657000000000002</v>
      </c>
      <c r="N975" s="246"/>
      <c r="O975" s="282"/>
      <c r="P975" s="244">
        <f>D975+G975+J975+M975</f>
        <v>22.374100000000002</v>
      </c>
      <c r="Q975" s="246"/>
      <c r="R975" s="282"/>
      <c r="S975" s="375"/>
      <c r="T975" s="375"/>
    </row>
    <row r="976" spans="2:20" s="117" customFormat="1">
      <c r="B976" s="138" t="s">
        <v>174</v>
      </c>
      <c r="C976" s="488"/>
      <c r="D976" s="287">
        <f>SUM(D977:D979)</f>
        <v>61.233235000000001</v>
      </c>
      <c r="E976" s="288"/>
      <c r="F976" s="289"/>
      <c r="G976" s="287">
        <f>SUM(G977:G979)</f>
        <v>53.163637000000001</v>
      </c>
      <c r="H976" s="288"/>
      <c r="I976" s="289"/>
      <c r="J976" s="287">
        <f>SUM(J977:J979)</f>
        <v>55.640298999999999</v>
      </c>
      <c r="K976" s="288"/>
      <c r="L976" s="289"/>
      <c r="M976" s="287">
        <f>SUM(M977:M979)</f>
        <v>56.135930999999999</v>
      </c>
      <c r="N976" s="288"/>
      <c r="O976" s="289"/>
      <c r="P976" s="287">
        <f>SUM(P977:P979)</f>
        <v>226.173102</v>
      </c>
      <c r="Q976" s="288"/>
      <c r="R976" s="289"/>
      <c r="S976" s="375"/>
      <c r="T976" s="375"/>
    </row>
    <row r="977" spans="2:20" s="117" customFormat="1">
      <c r="B977" s="142" t="str">
        <f>'корпоративный баланс энергии'!H986</f>
        <v>ТЭЦ (АО "Боровичский комбинат огнеупоров")</v>
      </c>
      <c r="C977" s="518" t="s">
        <v>365</v>
      </c>
      <c r="D977" s="293">
        <f>'корпоративный баланс энергии'!J986+'корпоративный баланс энергии'!M986+'корпоративный баланс энергии'!P986</f>
        <v>41.4</v>
      </c>
      <c r="E977" s="288"/>
      <c r="F977" s="289"/>
      <c r="G977" s="294">
        <f>'корпоративный баланс энергии'!S986+'корпоративный баланс энергии'!V986+'корпоративный баланс энергии'!Y986</f>
        <v>34.660000000000004</v>
      </c>
      <c r="H977" s="288"/>
      <c r="I977" s="289"/>
      <c r="J977" s="294">
        <f>'корпоративный баланс энергии'!AB986+'корпоративный баланс энергии'!AE986+'корпоративный баланс энергии'!AH986</f>
        <v>37</v>
      </c>
      <c r="K977" s="288"/>
      <c r="L977" s="289"/>
      <c r="M977" s="294">
        <f>'корпоративный баланс энергии'!AK986+'корпоративный баланс энергии'!AN986+'корпоративный баланс энергии'!AQ986</f>
        <v>40.299999999999997</v>
      </c>
      <c r="N977" s="288"/>
      <c r="O977" s="289"/>
      <c r="P977" s="294">
        <f>D977+G977+J977+M977</f>
        <v>153.36000000000001</v>
      </c>
      <c r="Q977" s="288"/>
      <c r="R977" s="289"/>
      <c r="S977" s="375"/>
      <c r="T977" s="375"/>
    </row>
    <row r="978" spans="2:20" s="117" customFormat="1">
      <c r="B978" s="142" t="str">
        <f>'корпоративный баланс энергии'!H987</f>
        <v>ГТ ТЭС АО "123 Авиационный ремонтный завод"</v>
      </c>
      <c r="C978" s="518" t="s">
        <v>365</v>
      </c>
      <c r="D978" s="293">
        <f>'корпоративный баланс энергии'!J987+'корпоративный баланс энергии'!M987+'корпоративный баланс энергии'!P987</f>
        <v>5.6300000000000008</v>
      </c>
      <c r="E978" s="288"/>
      <c r="F978" s="289"/>
      <c r="G978" s="294">
        <f>'корпоративный баланс энергии'!S987+'корпоративный баланс энергии'!V987+'корпоративный баланс энергии'!Y987</f>
        <v>3.87</v>
      </c>
      <c r="H978" s="288"/>
      <c r="I978" s="289"/>
      <c r="J978" s="294">
        <f>'корпоративный баланс энергии'!AB987+'корпоративный баланс энергии'!AE987+'корпоративный баланс энергии'!AH987</f>
        <v>3.96</v>
      </c>
      <c r="K978" s="288"/>
      <c r="L978" s="289"/>
      <c r="M978" s="294">
        <f>'корпоративный баланс энергии'!AK987+'корпоративный баланс энергии'!AN987+'корпоративный баланс энергии'!AQ987</f>
        <v>5.24</v>
      </c>
      <c r="N978" s="288"/>
      <c r="O978" s="289"/>
      <c r="P978" s="294">
        <f>D978+G978+J978+M978</f>
        <v>18.700000000000003</v>
      </c>
      <c r="Q978" s="288"/>
      <c r="R978" s="289"/>
      <c r="S978" s="375"/>
      <c r="T978" s="375"/>
    </row>
    <row r="979" spans="2:20" s="117" customFormat="1">
      <c r="B979" s="142" t="str">
        <f>'корпоративный баланс энергии'!H988</f>
        <v>ТЭЦ Акрон  (ПАО Акрон)</v>
      </c>
      <c r="C979" s="518" t="s">
        <v>365</v>
      </c>
      <c r="D979" s="293">
        <f>'корпоративный баланс энергии'!J988+'корпоративный баланс энергии'!M988+'корпоративный баланс энергии'!P988</f>
        <v>14.203234999999999</v>
      </c>
      <c r="E979" s="288"/>
      <c r="F979" s="289"/>
      <c r="G979" s="294">
        <f>'корпоративный баланс энергии'!S988+'корпоративный баланс энергии'!V988+'корпоративный баланс энергии'!Y988</f>
        <v>14.633637</v>
      </c>
      <c r="H979" s="288"/>
      <c r="I979" s="289"/>
      <c r="J979" s="294">
        <f>'корпоративный баланс энергии'!AB988+'корпоративный баланс энергии'!AE988+'корпоративный баланс энергии'!AH988</f>
        <v>14.680299</v>
      </c>
      <c r="K979" s="288"/>
      <c r="L979" s="289"/>
      <c r="M979" s="294">
        <f>'корпоративный баланс энергии'!AK988+'корпоративный баланс энергии'!AN988+'корпоративный баланс энергии'!AQ988</f>
        <v>10.595931</v>
      </c>
      <c r="N979" s="288"/>
      <c r="O979" s="289"/>
      <c r="P979" s="294">
        <f>D979+G979+J979+M979</f>
        <v>54.113101999999998</v>
      </c>
      <c r="Q979" s="288"/>
      <c r="R979" s="289"/>
      <c r="S979" s="375"/>
      <c r="T979" s="375"/>
    </row>
    <row r="980" spans="2:20" s="117" customFormat="1" ht="18.75">
      <c r="B980" s="475" t="str">
        <f>'корпоративный баланс энергии'!H989</f>
        <v>Энергосистема Псковской области</v>
      </c>
      <c r="C980" s="505"/>
      <c r="D980" s="274">
        <f>SUM(D981:D983)</f>
        <v>50.260503</v>
      </c>
      <c r="E980" s="275">
        <f>F980-D980</f>
        <v>600.23749700000008</v>
      </c>
      <c r="F980" s="276">
        <f>'корпоративный баланс энергии'!L989+'корпоративный баланс энергии'!O989+'корпоративный баланс энергии'!R989</f>
        <v>650.49800000000005</v>
      </c>
      <c r="G980" s="274">
        <f>SUM(G981:G983)</f>
        <v>50.591621000000004</v>
      </c>
      <c r="H980" s="275">
        <f>I980-G980</f>
        <v>453.95137899999997</v>
      </c>
      <c r="I980" s="276">
        <f>'корпоративный баланс энергии'!U989+'корпоративный баланс энергии'!X989+'корпоративный баланс энергии'!AA989</f>
        <v>504.54300000000001</v>
      </c>
      <c r="J980" s="274">
        <f>SUM(J981:J983)</f>
        <v>17.694120999999999</v>
      </c>
      <c r="K980" s="275">
        <f>L980-J980</f>
        <v>483.50487900000002</v>
      </c>
      <c r="L980" s="276">
        <f>'корпоративный баланс энергии'!AD989+'корпоративный баланс энергии'!AG989+'корпоративный баланс энергии'!AJ989</f>
        <v>501.19900000000001</v>
      </c>
      <c r="M980" s="274">
        <f>SUM(M981:M983)</f>
        <v>49.368333999999997</v>
      </c>
      <c r="N980" s="275">
        <f>O980-M980</f>
        <v>587.39166599999999</v>
      </c>
      <c r="O980" s="276">
        <f>'корпоративный баланс энергии'!AM989+'корпоративный баланс энергии'!AP989+'корпоративный баланс энергии'!AS989</f>
        <v>636.76</v>
      </c>
      <c r="P980" s="274">
        <f>SUM(P981:P983)</f>
        <v>167.914579</v>
      </c>
      <c r="Q980" s="275">
        <f>R980-P980</f>
        <v>2125.0854209999998</v>
      </c>
      <c r="R980" s="276">
        <f>F980+I980+L980+O980</f>
        <v>2293</v>
      </c>
      <c r="S980" s="375"/>
      <c r="T980" s="375"/>
    </row>
    <row r="981" spans="2:20" s="117" customFormat="1">
      <c r="B981" s="10" t="s">
        <v>56</v>
      </c>
      <c r="C981" s="483"/>
      <c r="D981" s="270">
        <f>D984</f>
        <v>44</v>
      </c>
      <c r="E981" s="271"/>
      <c r="F981" s="224"/>
      <c r="G981" s="270">
        <f>G984</f>
        <v>45</v>
      </c>
      <c r="H981" s="271"/>
      <c r="I981" s="224"/>
      <c r="J981" s="270">
        <f>J984</f>
        <v>16</v>
      </c>
      <c r="K981" s="271"/>
      <c r="L981" s="224"/>
      <c r="M981" s="270">
        <f>M984</f>
        <v>45</v>
      </c>
      <c r="N981" s="271"/>
      <c r="O981" s="224"/>
      <c r="P981" s="270">
        <f>P984</f>
        <v>150</v>
      </c>
      <c r="Q981" s="271"/>
      <c r="R981" s="364"/>
      <c r="S981" s="375"/>
      <c r="T981" s="375"/>
    </row>
    <row r="982" spans="2:20" s="117" customFormat="1">
      <c r="B982" s="10" t="s">
        <v>55</v>
      </c>
      <c r="C982" s="483"/>
      <c r="D982" s="270">
        <f>D985</f>
        <v>3.0496799999999999</v>
      </c>
      <c r="E982" s="271"/>
      <c r="F982" s="224"/>
      <c r="G982" s="270">
        <f>G985</f>
        <v>5.0764800000000001</v>
      </c>
      <c r="H982" s="271"/>
      <c r="I982" s="224"/>
      <c r="J982" s="270">
        <f>J985</f>
        <v>1.4510399999999999</v>
      </c>
      <c r="K982" s="271"/>
      <c r="L982" s="224"/>
      <c r="M982" s="270">
        <f>M985</f>
        <v>2.3742239999999999</v>
      </c>
      <c r="N982" s="271"/>
      <c r="O982" s="224"/>
      <c r="P982" s="270">
        <f>P985</f>
        <v>11.951423999999999</v>
      </c>
      <c r="Q982" s="271"/>
      <c r="R982" s="364"/>
      <c r="S982" s="375"/>
      <c r="T982" s="375"/>
    </row>
    <row r="983" spans="2:20" s="117" customFormat="1">
      <c r="B983" s="10" t="s">
        <v>99</v>
      </c>
      <c r="C983" s="483"/>
      <c r="D983" s="270">
        <f>D988</f>
        <v>3.2108230000000004</v>
      </c>
      <c r="E983" s="271"/>
      <c r="F983" s="224"/>
      <c r="G983" s="270">
        <f>G988</f>
        <v>0.51514099999999996</v>
      </c>
      <c r="H983" s="271"/>
      <c r="I983" s="224"/>
      <c r="J983" s="270">
        <f>J988</f>
        <v>0.24308099999999999</v>
      </c>
      <c r="K983" s="271"/>
      <c r="L983" s="224"/>
      <c r="M983" s="270">
        <f>M988</f>
        <v>1.99411</v>
      </c>
      <c r="N983" s="271"/>
      <c r="O983" s="224"/>
      <c r="P983" s="270">
        <f>P988</f>
        <v>5.9631550000000004</v>
      </c>
      <c r="Q983" s="271"/>
      <c r="R983" s="364"/>
      <c r="S983" s="375"/>
      <c r="T983" s="375"/>
    </row>
    <row r="984" spans="2:20" s="117" customFormat="1">
      <c r="B984" s="122" t="str">
        <f>'корпоративный баланс энергии'!H993</f>
        <v>Псковская ГРЭС (филиал ПАО "ОГК-2")</v>
      </c>
      <c r="C984" s="516" t="s">
        <v>364</v>
      </c>
      <c r="D984" s="281">
        <f>'корпоративный баланс энергии'!J993+'корпоративный баланс энергии'!M993+'корпоративный баланс энергии'!P993</f>
        <v>44</v>
      </c>
      <c r="E984" s="246"/>
      <c r="F984" s="282"/>
      <c r="G984" s="244">
        <f>'корпоративный баланс энергии'!S993+'корпоративный баланс энергии'!V993+'корпоративный баланс энергии'!Y993</f>
        <v>45</v>
      </c>
      <c r="H984" s="246"/>
      <c r="I984" s="282"/>
      <c r="J984" s="244">
        <f>'корпоративный баланс энергии'!AB993+'корпоративный баланс энергии'!AE993+'корпоративный баланс энергии'!AH993</f>
        <v>16</v>
      </c>
      <c r="K984" s="246"/>
      <c r="L984" s="282"/>
      <c r="M984" s="244">
        <f>'корпоративный баланс энергии'!AK993+'корпоративный баланс энергии'!AN993+'корпоративный баланс энергии'!AQ993</f>
        <v>45</v>
      </c>
      <c r="N984" s="246"/>
      <c r="O984" s="282"/>
      <c r="P984" s="244">
        <f>D984+G984+J984+M984</f>
        <v>150</v>
      </c>
      <c r="Q984" s="283"/>
      <c r="R984" s="299"/>
      <c r="S984" s="375"/>
      <c r="T984" s="375"/>
    </row>
    <row r="985" spans="2:20" s="117" customFormat="1">
      <c r="B985" s="131" t="str">
        <f>'корпоративный баланс энергии'!H994</f>
        <v>Шильская и Максютинская ГЭС (АО"Норд Гидро")</v>
      </c>
      <c r="C985" s="519" t="s">
        <v>365</v>
      </c>
      <c r="D985" s="317">
        <f>D986+D987</f>
        <v>3.0496799999999999</v>
      </c>
      <c r="E985" s="323"/>
      <c r="F985" s="324"/>
      <c r="G985" s="317">
        <f>G986+G987</f>
        <v>5.0764800000000001</v>
      </c>
      <c r="H985" s="323"/>
      <c r="I985" s="324"/>
      <c r="J985" s="317">
        <f>J986+J987</f>
        <v>1.4510399999999999</v>
      </c>
      <c r="K985" s="323"/>
      <c r="L985" s="324"/>
      <c r="M985" s="317">
        <f>M986+M987</f>
        <v>2.3742239999999999</v>
      </c>
      <c r="N985" s="323"/>
      <c r="O985" s="324"/>
      <c r="P985" s="317">
        <f>P986+P987</f>
        <v>11.951423999999999</v>
      </c>
      <c r="Q985" s="256"/>
      <c r="R985" s="302"/>
      <c r="S985" s="375"/>
      <c r="T985" s="375"/>
    </row>
    <row r="986" spans="2:20" s="117" customFormat="1">
      <c r="B986" s="127" t="str">
        <f>'корпоративный баланс энергии'!H995</f>
        <v>в т.ч. Шильская ГЭС (АО"Норд Гидро")</v>
      </c>
      <c r="C986" s="487"/>
      <c r="D986" s="281">
        <f>'корпоративный баланс энергии'!J995+'корпоративный баланс энергии'!M995+'корпоративный баланс энергии'!P995</f>
        <v>1.7784</v>
      </c>
      <c r="E986" s="246"/>
      <c r="F986" s="282"/>
      <c r="G986" s="244">
        <f>'корпоративный баланс энергии'!S995+'корпоративный баланс энергии'!V995+'корпоративный баланс энергии'!Y995</f>
        <v>3.2120799999999998</v>
      </c>
      <c r="H986" s="246"/>
      <c r="I986" s="282"/>
      <c r="J986" s="244">
        <f>'корпоративный баланс энергии'!AB995+'корпоративный баланс энергии'!AE995+'корпоративный баланс энергии'!AH995</f>
        <v>0.80103999999999997</v>
      </c>
      <c r="K986" s="246"/>
      <c r="L986" s="282"/>
      <c r="M986" s="244">
        <f>'корпоративный баланс энергии'!AK995+'корпоративный баланс энергии'!AN995+'корпоративный баланс энергии'!AQ995</f>
        <v>1.4841600000000001</v>
      </c>
      <c r="N986" s="246"/>
      <c r="O986" s="282"/>
      <c r="P986" s="244">
        <f>D986+G986+J986+M986</f>
        <v>7.2756800000000004</v>
      </c>
      <c r="Q986" s="283"/>
      <c r="R986" s="299"/>
      <c r="S986" s="375"/>
      <c r="T986" s="375"/>
    </row>
    <row r="987" spans="2:20" s="117" customFormat="1">
      <c r="B987" s="127" t="str">
        <f>'корпоративный баланс энергии'!H996</f>
        <v>в т.ч. Максютинская ГЭС (АО"Норд Гидро")</v>
      </c>
      <c r="C987" s="487"/>
      <c r="D987" s="281">
        <f>'корпоративный баланс энергии'!J996+'корпоративный баланс энергии'!M996+'корпоративный баланс энергии'!P996</f>
        <v>1.27128</v>
      </c>
      <c r="E987" s="246"/>
      <c r="F987" s="282"/>
      <c r="G987" s="244">
        <f>'корпоративный баланс энергии'!S996+'корпоративный баланс энергии'!V996+'корпоративный баланс энергии'!Y996</f>
        <v>1.8643999999999998</v>
      </c>
      <c r="H987" s="246"/>
      <c r="I987" s="282"/>
      <c r="J987" s="244">
        <f>'корпоративный баланс энергии'!AB996+'корпоративный баланс энергии'!AE996+'корпоративный баланс энергии'!AH996</f>
        <v>0.64999999999999991</v>
      </c>
      <c r="K987" s="246"/>
      <c r="L987" s="282"/>
      <c r="M987" s="244">
        <f>'корпоративный баланс энергии'!AK996+'корпоративный баланс энергии'!AN996+'корпоративный баланс энергии'!AQ996</f>
        <v>0.89006399999999997</v>
      </c>
      <c r="N987" s="246"/>
      <c r="O987" s="282"/>
      <c r="P987" s="244">
        <f>D987+G987+J987+M987</f>
        <v>4.6757439999999999</v>
      </c>
      <c r="Q987" s="283"/>
      <c r="R987" s="299"/>
      <c r="S987" s="375"/>
      <c r="T987" s="375"/>
    </row>
    <row r="988" spans="2:20" s="117" customFormat="1">
      <c r="B988" s="138" t="s">
        <v>174</v>
      </c>
      <c r="C988" s="488"/>
      <c r="D988" s="287">
        <f>D989</f>
        <v>3.2108230000000004</v>
      </c>
      <c r="E988" s="288"/>
      <c r="F988" s="289"/>
      <c r="G988" s="287">
        <f>G989</f>
        <v>0.51514099999999996</v>
      </c>
      <c r="H988" s="288"/>
      <c r="I988" s="289"/>
      <c r="J988" s="287">
        <f>J989</f>
        <v>0.24308099999999999</v>
      </c>
      <c r="K988" s="288"/>
      <c r="L988" s="289"/>
      <c r="M988" s="287">
        <f>M989</f>
        <v>1.99411</v>
      </c>
      <c r="N988" s="288"/>
      <c r="O988" s="289"/>
      <c r="P988" s="287">
        <f>P989</f>
        <v>5.9631550000000004</v>
      </c>
      <c r="Q988" s="288"/>
      <c r="R988" s="289"/>
      <c r="S988" s="375"/>
      <c r="T988" s="375"/>
    </row>
    <row r="989" spans="2:20" s="117" customFormat="1">
      <c r="B989" s="703" t="str">
        <f>'корпоративный баланс энергии'!H998</f>
        <v>ТЭЦ (ЗАО "Завод электротехнического оборудования")</v>
      </c>
      <c r="C989" s="518" t="s">
        <v>365</v>
      </c>
      <c r="D989" s="293">
        <f>'корпоративный баланс энергии'!J998+'корпоративный баланс энергии'!M998+'корпоративный баланс энергии'!P998</f>
        <v>3.2108230000000004</v>
      </c>
      <c r="E989" s="288"/>
      <c r="F989" s="289"/>
      <c r="G989" s="294">
        <f>'корпоративный баланс энергии'!S998+'корпоративный баланс энергии'!V998+'корпоративный баланс энергии'!Y998</f>
        <v>0.51514099999999996</v>
      </c>
      <c r="H989" s="288"/>
      <c r="I989" s="289"/>
      <c r="J989" s="294">
        <f>'корпоративный баланс энергии'!AB998+'корпоративный баланс энергии'!AE998+'корпоративный баланс энергии'!AH998</f>
        <v>0.24308099999999999</v>
      </c>
      <c r="K989" s="288"/>
      <c r="L989" s="289"/>
      <c r="M989" s="294">
        <f>'корпоративный баланс энергии'!AK998+'корпоративный баланс энергии'!AN998+'корпоративный баланс энергии'!AQ998</f>
        <v>1.99411</v>
      </c>
      <c r="N989" s="288"/>
      <c r="O989" s="289"/>
      <c r="P989" s="294">
        <f>D989+G989+J989+M989</f>
        <v>5.9631550000000004</v>
      </c>
      <c r="Q989" s="704"/>
      <c r="R989" s="705"/>
      <c r="S989" s="375"/>
      <c r="T989" s="375"/>
    </row>
    <row r="990" spans="2:20" s="117" customFormat="1" ht="18.75">
      <c r="B990" s="475" t="str">
        <f>'корпоративный баланс энергии'!H999</f>
        <v>Энергосистема г.Санкт-Петербург и Ленинградской области</v>
      </c>
      <c r="C990" s="505"/>
      <c r="D990" s="274">
        <f>SUM(D991:D994)</f>
        <v>18313.493455706193</v>
      </c>
      <c r="E990" s="342">
        <f>F990-D990</f>
        <v>-4821.7024557061941</v>
      </c>
      <c r="F990" s="341">
        <f>F995+F1036</f>
        <v>13491.790999999999</v>
      </c>
      <c r="G990" s="274">
        <f>SUM(G991:G994)</f>
        <v>13604.743368012452</v>
      </c>
      <c r="H990" s="342">
        <f>I990-G990</f>
        <v>-2918.2313680124535</v>
      </c>
      <c r="I990" s="341">
        <f>I995+I1036</f>
        <v>10686.511999999999</v>
      </c>
      <c r="J990" s="274">
        <f>SUM(J991:J994)</f>
        <v>13151.251783351319</v>
      </c>
      <c r="K990" s="342">
        <f>L990-J990</f>
        <v>-2885.9027833513192</v>
      </c>
      <c r="L990" s="341">
        <f>L995+L1036</f>
        <v>10265.349</v>
      </c>
      <c r="M990" s="274">
        <f>SUM(M991:M994)</f>
        <v>16698.40698865764</v>
      </c>
      <c r="N990" s="342">
        <f>O990-M990</f>
        <v>-3363.0589886576381</v>
      </c>
      <c r="O990" s="341">
        <f>O995+O1036</f>
        <v>13335.348000000002</v>
      </c>
      <c r="P990" s="274">
        <f>SUM(P991:P994)</f>
        <v>61767.895595727612</v>
      </c>
      <c r="Q990" s="342">
        <f>R990-P990</f>
        <v>-13988.895595727612</v>
      </c>
      <c r="R990" s="341">
        <f>R995+R1036</f>
        <v>47779</v>
      </c>
      <c r="S990" s="375"/>
      <c r="T990" s="375"/>
    </row>
    <row r="991" spans="2:20" s="117" customFormat="1">
      <c r="B991" s="10" t="s">
        <v>56</v>
      </c>
      <c r="C991" s="483"/>
      <c r="D991" s="270">
        <f>D996+D1037</f>
        <v>9292.3077164799997</v>
      </c>
      <c r="E991" s="271"/>
      <c r="F991" s="224"/>
      <c r="G991" s="270">
        <f>G996+G1037</f>
        <v>5979.2207600000002</v>
      </c>
      <c r="H991" s="271"/>
      <c r="I991" s="224"/>
      <c r="J991" s="270">
        <f>J996+J1037</f>
        <v>5943.8558320000011</v>
      </c>
      <c r="K991" s="271"/>
      <c r="L991" s="224"/>
      <c r="M991" s="270">
        <f>M996+M1037</f>
        <v>8823.0353151999989</v>
      </c>
      <c r="N991" s="271"/>
      <c r="O991" s="224"/>
      <c r="P991" s="270">
        <f>P996+P1037</f>
        <v>30038.419623680002</v>
      </c>
      <c r="Q991" s="271"/>
      <c r="R991" s="224"/>
      <c r="S991" s="375"/>
      <c r="T991" s="375"/>
    </row>
    <row r="992" spans="2:20" s="117" customFormat="1">
      <c r="B992" s="10" t="s">
        <v>55</v>
      </c>
      <c r="C992" s="483"/>
      <c r="D992" s="270">
        <f>D1038</f>
        <v>766.60624122619629</v>
      </c>
      <c r="E992" s="271"/>
      <c r="F992" s="224"/>
      <c r="G992" s="270">
        <f>G1038</f>
        <v>928.70151901245117</v>
      </c>
      <c r="H992" s="271"/>
      <c r="I992" s="224"/>
      <c r="J992" s="270">
        <f>J1038</f>
        <v>830.14004135131836</v>
      </c>
      <c r="K992" s="271"/>
      <c r="L992" s="224"/>
      <c r="M992" s="270">
        <f>M1038</f>
        <v>805.0506534576416</v>
      </c>
      <c r="N992" s="271"/>
      <c r="O992" s="224"/>
      <c r="P992" s="270">
        <f>P1038</f>
        <v>3330.4984550476074</v>
      </c>
      <c r="Q992" s="271"/>
      <c r="R992" s="224"/>
      <c r="S992" s="375"/>
      <c r="T992" s="375"/>
    </row>
    <row r="993" spans="2:20" s="117" customFormat="1">
      <c r="B993" s="10" t="s">
        <v>98</v>
      </c>
      <c r="C993" s="483"/>
      <c r="D993" s="270">
        <f>D1039</f>
        <v>7610.93</v>
      </c>
      <c r="E993" s="271"/>
      <c r="F993" s="224"/>
      <c r="G993" s="270">
        <f>G1039</f>
        <v>6171.84</v>
      </c>
      <c r="H993" s="271"/>
      <c r="I993" s="224"/>
      <c r="J993" s="270">
        <f>J1039</f>
        <v>5894.4</v>
      </c>
      <c r="K993" s="271"/>
      <c r="L993" s="224"/>
      <c r="M993" s="270">
        <f>M1039</f>
        <v>6432.829999999999</v>
      </c>
      <c r="N993" s="271"/>
      <c r="O993" s="224"/>
      <c r="P993" s="270">
        <f>P1039</f>
        <v>26110</v>
      </c>
      <c r="Q993" s="271"/>
      <c r="R993" s="224"/>
      <c r="S993" s="375"/>
      <c r="T993" s="375"/>
    </row>
    <row r="994" spans="2:20" s="117" customFormat="1">
      <c r="B994" s="10" t="s">
        <v>99</v>
      </c>
      <c r="C994" s="483"/>
      <c r="D994" s="270">
        <f>D997+D1040</f>
        <v>643.64949799999999</v>
      </c>
      <c r="E994" s="271"/>
      <c r="F994" s="224"/>
      <c r="G994" s="270">
        <f>G997+G1040</f>
        <v>524.98108900000011</v>
      </c>
      <c r="H994" s="271"/>
      <c r="I994" s="224"/>
      <c r="J994" s="270">
        <f>J997+J1040</f>
        <v>482.85590999999999</v>
      </c>
      <c r="K994" s="271"/>
      <c r="L994" s="224"/>
      <c r="M994" s="270">
        <f>M997+M1040</f>
        <v>637.49101999999993</v>
      </c>
      <c r="N994" s="271"/>
      <c r="O994" s="224"/>
      <c r="P994" s="270">
        <f>P997+P1040</f>
        <v>2288.9775169999998</v>
      </c>
      <c r="Q994" s="271"/>
      <c r="R994" s="224"/>
      <c r="S994" s="375"/>
      <c r="T994" s="375"/>
    </row>
    <row r="995" spans="2:20" s="117" customFormat="1">
      <c r="B995" s="112" t="s">
        <v>52</v>
      </c>
      <c r="C995" s="508"/>
      <c r="D995" s="390">
        <f>D996+D997</f>
        <v>7258.340068479999</v>
      </c>
      <c r="E995" s="391">
        <f>F995-D995</f>
        <v>161.69498152000142</v>
      </c>
      <c r="F995" s="276">
        <f>'корпоративный баланс энергии'!L1004+'корпоративный баланс энергии'!O1004+'корпоративный баланс энергии'!R1004</f>
        <v>7420.0350500000004</v>
      </c>
      <c r="G995" s="393">
        <f>G996+G997</f>
        <v>4462.275052</v>
      </c>
      <c r="H995" s="391">
        <f>I995-G995</f>
        <v>1415.3065479999996</v>
      </c>
      <c r="I995" s="276">
        <f>'корпоративный баланс энергии'!U1004+'корпоративный баланс энергии'!X1004+'корпоративный баланс энергии'!AA1004</f>
        <v>5877.5815999999995</v>
      </c>
      <c r="J995" s="393">
        <f>J996+J997</f>
        <v>4487.0049420000005</v>
      </c>
      <c r="K995" s="391">
        <f>L995-J995</f>
        <v>1158.9370079999999</v>
      </c>
      <c r="L995" s="276">
        <f>'корпоративный баланс энергии'!AD1004+'корпоративный баланс энергии'!AG1004+'корпоративный баланс энергии'!AJ1004</f>
        <v>5645.9419500000004</v>
      </c>
      <c r="M995" s="393">
        <f>M996+M997</f>
        <v>7061.2265491999997</v>
      </c>
      <c r="N995" s="391">
        <f>O995-M995</f>
        <v>273.21485080000184</v>
      </c>
      <c r="O995" s="276">
        <f>'корпоративный баланс энергии'!AM1004+'корпоративный баланс энергии'!AP1004+'корпоративный баланс энергии'!AS1004</f>
        <v>7334.4414000000015</v>
      </c>
      <c r="P995" s="393">
        <f>P996+P997</f>
        <v>23268.846611680001</v>
      </c>
      <c r="Q995" s="391">
        <f>R995-P995</f>
        <v>3009.1533883199991</v>
      </c>
      <c r="R995" s="276">
        <f>F995+I995+L995+O995</f>
        <v>26278</v>
      </c>
      <c r="S995" s="375"/>
      <c r="T995" s="375"/>
    </row>
    <row r="996" spans="2:20" s="117" customFormat="1">
      <c r="B996" s="10" t="s">
        <v>56</v>
      </c>
      <c r="C996" s="483"/>
      <c r="D996" s="270">
        <f>D998+SUM(D1001:D1002)+D1005+D1008+D1011+D1015+D1018+D1021+D1022+SUM(D1025:D1026)</f>
        <v>7151.3925164799994</v>
      </c>
      <c r="E996" s="271"/>
      <c r="F996" s="224"/>
      <c r="G996" s="270">
        <f>G998+SUM(G1001:G1002)+G1005+G1008+G1011+G1015+G1018+G1021+G1022+SUM(G1025:G1026)</f>
        <v>4387.6185999999998</v>
      </c>
      <c r="H996" s="271"/>
      <c r="I996" s="224"/>
      <c r="J996" s="270">
        <f>J998+SUM(J1001:J1002)+J1005+J1008+J1011+J1015+J1018+J1021+J1022+SUM(J1025:J1026)</f>
        <v>4442.9399120000007</v>
      </c>
      <c r="K996" s="271"/>
      <c r="L996" s="224"/>
      <c r="M996" s="270">
        <f>M998+SUM(M1001:M1002)+M1005+M1008+M1011+M1015+M1018+M1021+M1022+SUM(M1025:M1026)</f>
        <v>6962.6321951999998</v>
      </c>
      <c r="N996" s="271"/>
      <c r="O996" s="224"/>
      <c r="P996" s="270">
        <f>P998+SUM(P1001:P1002)+P1005+P1008+P1011+P1015+P1018+P1021+P1022+SUM(P1025:P1026)</f>
        <v>22944.583223680002</v>
      </c>
      <c r="Q996" s="271"/>
      <c r="R996" s="364"/>
      <c r="S996" s="375"/>
      <c r="T996" s="375"/>
    </row>
    <row r="997" spans="2:20" s="117" customFormat="1">
      <c r="B997" s="10" t="s">
        <v>99</v>
      </c>
      <c r="C997" s="483"/>
      <c r="D997" s="270">
        <f>D1027</f>
        <v>106.94755200000002</v>
      </c>
      <c r="E997" s="271"/>
      <c r="F997" s="224"/>
      <c r="G997" s="223">
        <f>G1027</f>
        <v>74.656452000000002</v>
      </c>
      <c r="H997" s="271"/>
      <c r="I997" s="224"/>
      <c r="J997" s="223">
        <f>J1027</f>
        <v>44.06503</v>
      </c>
      <c r="K997" s="271"/>
      <c r="L997" s="224"/>
      <c r="M997" s="223">
        <f>M1027</f>
        <v>98.594353999999996</v>
      </c>
      <c r="N997" s="271"/>
      <c r="O997" s="224"/>
      <c r="P997" s="223">
        <f>P1027</f>
        <v>324.26338799999996</v>
      </c>
      <c r="Q997" s="271"/>
      <c r="R997" s="364"/>
      <c r="S997" s="375"/>
      <c r="T997" s="375"/>
    </row>
    <row r="998" spans="2:20" s="117" customFormat="1">
      <c r="B998" s="132" t="str">
        <f>'корпоративный баланс энергии'!H1007</f>
        <v>ЭС-1 Центральной ТЭЦ (филиал "Невский" ПАО "ТГК-1")</v>
      </c>
      <c r="C998" s="516" t="s">
        <v>364</v>
      </c>
      <c r="D998" s="317">
        <f>D999+D1000</f>
        <v>184.79999999999998</v>
      </c>
      <c r="E998" s="246"/>
      <c r="F998" s="282"/>
      <c r="G998" s="317">
        <f>G999+G1000</f>
        <v>101.71199999999999</v>
      </c>
      <c r="H998" s="246"/>
      <c r="I998" s="282"/>
      <c r="J998" s="317">
        <f>J999+J1000</f>
        <v>39.311999999999998</v>
      </c>
      <c r="K998" s="246"/>
      <c r="L998" s="282"/>
      <c r="M998" s="317">
        <f>M999+M1000</f>
        <v>176.84</v>
      </c>
      <c r="N998" s="246"/>
      <c r="O998" s="282"/>
      <c r="P998" s="317">
        <f>P999+P1000</f>
        <v>502.66399999999999</v>
      </c>
      <c r="Q998" s="246"/>
      <c r="R998" s="282"/>
      <c r="S998" s="375"/>
      <c r="T998" s="375"/>
    </row>
    <row r="999" spans="2:20" s="117" customFormat="1">
      <c r="B999" s="148" t="str">
        <f>'корпоративный баланс энергии'!H1008</f>
        <v>ГТУ-ТЭЦ (ГТЭ 1) ДПМ НВ</v>
      </c>
      <c r="C999" s="516"/>
      <c r="D999" s="281">
        <f>'корпоративный баланс энергии'!J1008+'корпоративный баланс энергии'!M1008+'корпоративный баланс энергии'!P1008</f>
        <v>92.399999999999991</v>
      </c>
      <c r="E999" s="246"/>
      <c r="F999" s="282"/>
      <c r="G999" s="244">
        <f>'корпоративный баланс энергии'!S1008+'корпоративный баланс энергии'!V1008+'корпоративный баланс энергии'!Y1008</f>
        <v>45.293999999999997</v>
      </c>
      <c r="H999" s="246"/>
      <c r="I999" s="282"/>
      <c r="J999" s="244">
        <f>'корпоративный баланс энергии'!AB1008+'корпоративный баланс энергии'!AE1008+'корпоративный баланс энергии'!AH1008</f>
        <v>19.655999999999999</v>
      </c>
      <c r="K999" s="246"/>
      <c r="L999" s="282"/>
      <c r="M999" s="244">
        <f>'корпоративный баланс энергии'!AK1008+'корпоративный баланс энергии'!AN1008+'корпоративный баланс энергии'!AQ1008</f>
        <v>88.42</v>
      </c>
      <c r="N999" s="246"/>
      <c r="O999" s="282"/>
      <c r="P999" s="244">
        <f t="shared" ref="P999:P1000" si="67">D999+G999+J999+M999</f>
        <v>245.76999999999998</v>
      </c>
      <c r="Q999" s="246"/>
      <c r="R999" s="282"/>
      <c r="S999" s="375"/>
      <c r="T999" s="375"/>
    </row>
    <row r="1000" spans="2:20" s="117" customFormat="1">
      <c r="B1000" s="148" t="str">
        <f>'корпоративный баланс энергии'!H1009</f>
        <v>ГТУ-ТЭЦ (ГТЭ 2) ДПМ НВ</v>
      </c>
      <c r="C1000" s="516"/>
      <c r="D1000" s="281">
        <f>'корпоративный баланс энергии'!J1009+'корпоративный баланс энергии'!M1009+'корпоративный баланс энергии'!P1009</f>
        <v>92.399999999999991</v>
      </c>
      <c r="E1000" s="246"/>
      <c r="F1000" s="282"/>
      <c r="G1000" s="244">
        <f>'корпоративный баланс энергии'!S1009+'корпоративный баланс энергии'!V1009+'корпоративный баланс энергии'!Y1009</f>
        <v>56.417999999999999</v>
      </c>
      <c r="H1000" s="246"/>
      <c r="I1000" s="282"/>
      <c r="J1000" s="244">
        <f>'корпоративный баланс энергии'!AB1009+'корпоративный баланс энергии'!AE1009+'корпоративный баланс энергии'!AH1009</f>
        <v>19.655999999999999</v>
      </c>
      <c r="K1000" s="246"/>
      <c r="L1000" s="282"/>
      <c r="M1000" s="244">
        <f>'корпоративный баланс энергии'!AK1009+'корпоративный баланс энергии'!AN1009+'корпоративный баланс энергии'!AQ1009</f>
        <v>88.42</v>
      </c>
      <c r="N1000" s="246"/>
      <c r="O1000" s="282"/>
      <c r="P1000" s="244">
        <f t="shared" si="67"/>
        <v>256.89400000000001</v>
      </c>
      <c r="Q1000" s="246"/>
      <c r="R1000" s="282"/>
      <c r="S1000" s="375"/>
      <c r="T1000" s="375"/>
    </row>
    <row r="1001" spans="2:20" s="117" customFormat="1">
      <c r="B1001" s="127" t="str">
        <f>'корпоративный баланс энергии'!H1010</f>
        <v>ЭС-2 Центральной ТЭЦ (филиал "Невский" ПАО "ТГК-1")</v>
      </c>
      <c r="C1001" s="516" t="s">
        <v>364</v>
      </c>
      <c r="D1001" s="281">
        <f>'корпоративный баланс энергии'!J1010+'корпоративный баланс энергии'!M1010+'корпоративный баланс энергии'!P1010</f>
        <v>6.72</v>
      </c>
      <c r="E1001" s="246"/>
      <c r="F1001" s="282"/>
      <c r="G1001" s="244">
        <f>'корпоративный баланс энергии'!S1010+'корпоративный баланс энергии'!V1010+'корпоративный баланс энергии'!Y1010</f>
        <v>5.3760000000000003</v>
      </c>
      <c r="H1001" s="246"/>
      <c r="I1001" s="282"/>
      <c r="J1001" s="244">
        <f>'корпоративный баланс энергии'!AB1010+'корпоративный баланс энергии'!AE1010+'корпоративный баланс энергии'!AH1010</f>
        <v>0</v>
      </c>
      <c r="K1001" s="246"/>
      <c r="L1001" s="282"/>
      <c r="M1001" s="244">
        <f>'корпоративный баланс энергии'!AK1010+'корпоративный баланс энергии'!AN1010+'корпоративный баланс энергии'!AQ1010</f>
        <v>0</v>
      </c>
      <c r="N1001" s="246"/>
      <c r="O1001" s="282"/>
      <c r="P1001" s="244">
        <f>D1001+G1001+J1001+M1001</f>
        <v>12.096</v>
      </c>
      <c r="Q1001" s="246"/>
      <c r="R1001" s="282"/>
      <c r="S1001" s="375"/>
      <c r="T1001" s="375"/>
    </row>
    <row r="1002" spans="2:20" s="117" customFormat="1">
      <c r="B1002" s="132" t="str">
        <f>'корпоративный баланс энергии'!H1011</f>
        <v>Правобережная ТЭЦ-5 (филиал "Невский" ПАО "ТГК-1")</v>
      </c>
      <c r="C1002" s="516" t="s">
        <v>364</v>
      </c>
      <c r="D1002" s="262">
        <f>SUM(D1003:D1004)</f>
        <v>1143.1279999999999</v>
      </c>
      <c r="E1002" s="323"/>
      <c r="F1002" s="324"/>
      <c r="G1002" s="262">
        <f>SUM(G1003:G1004)</f>
        <v>773.87200000000007</v>
      </c>
      <c r="H1002" s="323"/>
      <c r="I1002" s="324"/>
      <c r="J1002" s="262">
        <f>SUM(J1003:J1004)</f>
        <v>755.202</v>
      </c>
      <c r="K1002" s="323"/>
      <c r="L1002" s="324"/>
      <c r="M1002" s="262">
        <f>SUM(M1003:M1004)</f>
        <v>1002.898</v>
      </c>
      <c r="N1002" s="323"/>
      <c r="O1002" s="324"/>
      <c r="P1002" s="262">
        <f>SUM(P1003:P1004)</f>
        <v>3675.1</v>
      </c>
      <c r="Q1002" s="246"/>
      <c r="R1002" s="282"/>
      <c r="S1002" s="375"/>
      <c r="T1002" s="375"/>
    </row>
    <row r="1003" spans="2:20" s="117" customFormat="1">
      <c r="B1003" s="127" t="str">
        <f>'корпоративный баланс энергии'!H1012</f>
        <v>Правобережная ТЭЦ-5  (филиал "Невский" ПАО "ТГК-1") без ДПМ/НВ/ВР</v>
      </c>
      <c r="C1003" s="127"/>
      <c r="D1003" s="281">
        <f>'корпоративный баланс энергии'!J1012+'корпоративный баланс энергии'!M1012+'корпоративный баланс энергии'!P1012</f>
        <v>287.95999999999998</v>
      </c>
      <c r="E1003" s="246"/>
      <c r="F1003" s="282"/>
      <c r="G1003" s="244">
        <f>'корпоративный баланс энергии'!S1012+'корпоративный баланс энергии'!V1012+'корпоративный баланс энергии'!Y1012</f>
        <v>70.2</v>
      </c>
      <c r="H1003" s="246"/>
      <c r="I1003" s="282"/>
      <c r="J1003" s="244">
        <f>'корпоративный баланс энергии'!AB1012+'корпоративный баланс энергии'!AE1012+'корпоративный баланс энергии'!AH1012</f>
        <v>42.480000000000004</v>
      </c>
      <c r="K1003" s="246"/>
      <c r="L1003" s="282"/>
      <c r="M1003" s="244">
        <f>'корпоративный баланс энергии'!AK1012+'корпоративный баланс энергии'!AN1012+'корпоративный баланс энергии'!AQ1012</f>
        <v>241.28</v>
      </c>
      <c r="N1003" s="246"/>
      <c r="O1003" s="282"/>
      <c r="P1003" s="244">
        <f>D1003+G1003+J1003+M1003</f>
        <v>641.91999999999996</v>
      </c>
      <c r="Q1003" s="246"/>
      <c r="R1003" s="282"/>
      <c r="S1003" s="375"/>
      <c r="T1003" s="375"/>
    </row>
    <row r="1004" spans="2:20" s="117" customFormat="1">
      <c r="B1004" s="127" t="str">
        <f>'корпоративный баланс энергии'!H1013</f>
        <v>Правобережная ТЭЦ-5 (филиал "Невский" ПАО "ТГК-1") ПГУ 450 МВт Бл №2 НВ, ДПМ 18.11.2012</v>
      </c>
      <c r="C1004" s="129"/>
      <c r="D1004" s="281">
        <f>'корпоративный баланс энергии'!J1013+'корпоративный баланс энергии'!M1013+'корпоративный баланс энергии'!P1013</f>
        <v>855.16799999999989</v>
      </c>
      <c r="E1004" s="246"/>
      <c r="F1004" s="282"/>
      <c r="G1004" s="244">
        <f>'корпоративный баланс энергии'!S1013+'корпоративный баланс энергии'!V1013+'корпоративный баланс энергии'!Y1013</f>
        <v>703.67200000000003</v>
      </c>
      <c r="H1004" s="246"/>
      <c r="I1004" s="282"/>
      <c r="J1004" s="244">
        <f>'корпоративный баланс энергии'!AB1013+'корпоративный баланс энергии'!AE1013+'корпоративный баланс энергии'!AH1013</f>
        <v>712.72199999999998</v>
      </c>
      <c r="K1004" s="246"/>
      <c r="L1004" s="282"/>
      <c r="M1004" s="244">
        <f>'корпоративный баланс энергии'!AK1013+'корпоративный баланс энергии'!AN1013+'корпоративный баланс энергии'!AQ1013</f>
        <v>761.61800000000005</v>
      </c>
      <c r="N1004" s="246"/>
      <c r="O1004" s="282"/>
      <c r="P1004" s="244">
        <f>D1004+G1004+J1004+M1004</f>
        <v>3033.18</v>
      </c>
      <c r="Q1004" s="246"/>
      <c r="R1004" s="282"/>
      <c r="S1004" s="375"/>
      <c r="T1004" s="375"/>
    </row>
    <row r="1005" spans="2:20" s="117" customFormat="1">
      <c r="B1005" s="132" t="str">
        <f>'корпоративный баланс энергии'!H1014</f>
        <v>Василеостровская ТЭЦ-7 (филиал "Невский" ПАО "ТГК-1")</v>
      </c>
      <c r="C1005" s="516" t="s">
        <v>364</v>
      </c>
      <c r="D1005" s="262">
        <f>D1006+D1007</f>
        <v>289.32000000000005</v>
      </c>
      <c r="E1005" s="246"/>
      <c r="F1005" s="282"/>
      <c r="G1005" s="262">
        <f>G1006+G1007</f>
        <v>174.28199999999998</v>
      </c>
      <c r="H1005" s="246"/>
      <c r="I1005" s="282"/>
      <c r="J1005" s="262">
        <f>J1006+J1007</f>
        <v>77.459000000000003</v>
      </c>
      <c r="K1005" s="246"/>
      <c r="L1005" s="282"/>
      <c r="M1005" s="262">
        <f>M1006+M1007</f>
        <v>284.17599999999999</v>
      </c>
      <c r="N1005" s="246"/>
      <c r="O1005" s="282"/>
      <c r="P1005" s="262">
        <f>P1006+P1007</f>
        <v>825.23700000000008</v>
      </c>
      <c r="Q1005" s="246"/>
      <c r="R1005" s="282"/>
      <c r="S1005" s="375"/>
      <c r="T1005" s="375"/>
    </row>
    <row r="1006" spans="2:20" s="117" customFormat="1">
      <c r="B1006" s="127" t="str">
        <f>'корпоративный баланс энергии'!H1015</f>
        <v>Василеостровская ТЭЦ-7 (филиал "Невский" ПАО "ТГК-1")</v>
      </c>
      <c r="C1006" s="127"/>
      <c r="D1006" s="281">
        <f>'корпоративный баланс энергии'!J1015+'корпоративный баланс энергии'!M1015+'корпоративный баланс энергии'!P1015</f>
        <v>182.04000000000002</v>
      </c>
      <c r="E1006" s="246"/>
      <c r="F1006" s="282"/>
      <c r="G1006" s="244">
        <f>'корпоративный баланс энергии'!S1015+'корпоративный баланс энергии'!V1015+'корпоративный баланс энергии'!Y1015</f>
        <v>139.08199999999999</v>
      </c>
      <c r="H1006" s="246"/>
      <c r="I1006" s="282"/>
      <c r="J1006" s="244">
        <f>'корпоративный баланс энергии'!AB1015+'корпоративный баланс энергии'!AE1015+'корпоративный баланс энергии'!AH1015</f>
        <v>77.459000000000003</v>
      </c>
      <c r="K1006" s="246"/>
      <c r="L1006" s="282"/>
      <c r="M1006" s="244">
        <f>'корпоративный баланс энергии'!AK1015+'корпоративный баланс энергии'!AN1015+'корпоративный баланс энергии'!AQ1015</f>
        <v>180.88</v>
      </c>
      <c r="N1006" s="246"/>
      <c r="O1006" s="282"/>
      <c r="P1006" s="244">
        <f>D1006+G1006+J1006+M1006</f>
        <v>579.46100000000001</v>
      </c>
      <c r="Q1006" s="246"/>
      <c r="R1006" s="282"/>
      <c r="S1006" s="375"/>
      <c r="T1006" s="375"/>
    </row>
    <row r="1007" spans="2:20" s="117" customFormat="1">
      <c r="B1007" s="127" t="str">
        <f>'корпоративный баланс энергии'!H1016</f>
        <v>Василеостровская ТЭЦ-7 (филиал "Невский" ПАО "ТГК-1") - Бл №3 НВ, ДПМ 01.10.2009</v>
      </c>
      <c r="C1007" s="127"/>
      <c r="D1007" s="281">
        <f>'корпоративный баланс энергии'!J1016+'корпоративный баланс энергии'!M1016+'корпоративный баланс энергии'!P1016</f>
        <v>107.28</v>
      </c>
      <c r="E1007" s="246"/>
      <c r="F1007" s="282"/>
      <c r="G1007" s="244">
        <f>'корпоративный баланс энергии'!S1016+'корпоративный баланс энергии'!V1016+'корпоративный баланс энергии'!Y1016</f>
        <v>35.200000000000003</v>
      </c>
      <c r="H1007" s="246"/>
      <c r="I1007" s="282"/>
      <c r="J1007" s="244">
        <f>'корпоративный баланс энергии'!AB1016+'корпоративный баланс энергии'!AE1016+'корпоративный баланс энергии'!AH1016</f>
        <v>0</v>
      </c>
      <c r="K1007" s="246"/>
      <c r="L1007" s="282"/>
      <c r="M1007" s="244">
        <f>'корпоративный баланс энергии'!AK1016+'корпоративный баланс энергии'!AN1016+'корпоративный баланс энергии'!AQ1016</f>
        <v>103.29599999999999</v>
      </c>
      <c r="N1007" s="246"/>
      <c r="O1007" s="282"/>
      <c r="P1007" s="244">
        <f>D1007+G1007+J1007+M1007</f>
        <v>245.77600000000001</v>
      </c>
      <c r="Q1007" s="246"/>
      <c r="R1007" s="282"/>
      <c r="S1007" s="375"/>
      <c r="T1007" s="375"/>
    </row>
    <row r="1008" spans="2:20" s="117" customFormat="1">
      <c r="B1008" s="132" t="str">
        <f>'корпоративный баланс энергии'!H1017</f>
        <v>Первомайская ТЭЦ-14 (филиал "Невский" ПАО "ТГК-1")</v>
      </c>
      <c r="C1008" s="516" t="s">
        <v>364</v>
      </c>
      <c r="D1008" s="262">
        <f>SUM(D1009:D1010)</f>
        <v>562.51</v>
      </c>
      <c r="E1008" s="246"/>
      <c r="F1008" s="282"/>
      <c r="G1008" s="317">
        <f>SUM(G1009:G1010)</f>
        <v>409.38</v>
      </c>
      <c r="H1008" s="246"/>
      <c r="I1008" s="282"/>
      <c r="J1008" s="317">
        <f>SUM(J1009:J1010)</f>
        <v>379.59000000000003</v>
      </c>
      <c r="K1008" s="246"/>
      <c r="L1008" s="282"/>
      <c r="M1008" s="317">
        <f>SUM(M1009:M1010)</f>
        <v>669.75</v>
      </c>
      <c r="N1008" s="246"/>
      <c r="O1008" s="282"/>
      <c r="P1008" s="317">
        <f>SUM(P1009:P1010)</f>
        <v>2021.2300000000002</v>
      </c>
      <c r="Q1008" s="246"/>
      <c r="R1008" s="282"/>
      <c r="S1008" s="375"/>
      <c r="T1008" s="375"/>
    </row>
    <row r="1009" spans="2:20" s="117" customFormat="1">
      <c r="B1009" s="127" t="str">
        <f>'корпоративный баланс энергии'!H1018</f>
        <v>Первомайская ТЭЦ-14 (филиал "Невский" ПАО "ТГК-1") ПГУ 180 Бл №1 НВ, ДПМ 01.01.2011</v>
      </c>
      <c r="C1009" s="127"/>
      <c r="D1009" s="281">
        <f>'корпоративный баланс энергии'!J1018+'корпоративный баланс энергии'!M1018+'корпоративный баланс энергии'!P1018</f>
        <v>259.95999999999998</v>
      </c>
      <c r="E1009" s="246"/>
      <c r="F1009" s="282"/>
      <c r="G1009" s="244">
        <f>'корпоративный баланс энергии'!S1018+'корпоративный баланс энергии'!V1018+'корпоративный баланс энергии'!Y1018</f>
        <v>172.28</v>
      </c>
      <c r="H1009" s="246"/>
      <c r="I1009" s="282"/>
      <c r="J1009" s="244">
        <f>'корпоративный баланс энергии'!AB1018+'корпоративный баланс энергии'!AE1018+'корпоративный баланс энергии'!AH1018</f>
        <v>154</v>
      </c>
      <c r="K1009" s="246"/>
      <c r="L1009" s="282"/>
      <c r="M1009" s="244">
        <f>'корпоративный баланс энергии'!AK1018+'корпоративный баланс энергии'!AN1018+'корпоративный баланс энергии'!AQ1018</f>
        <v>330</v>
      </c>
      <c r="N1009" s="246"/>
      <c r="O1009" s="282"/>
      <c r="P1009" s="244">
        <f>D1009+G1009+J1009+M1009</f>
        <v>916.24</v>
      </c>
      <c r="Q1009" s="246"/>
      <c r="R1009" s="282"/>
      <c r="S1009" s="375"/>
      <c r="T1009" s="375"/>
    </row>
    <row r="1010" spans="2:20" s="117" customFormat="1">
      <c r="B1010" s="127" t="str">
        <f>'корпоративный баланс энергии'!H1019</f>
        <v>Первомайская ТЭЦ-14 (филиал "Невский" ПАО "ТГК-1") ПГУ-180 Бл №2 НВ, ДПМ 01.01.2012</v>
      </c>
      <c r="C1010" s="127"/>
      <c r="D1010" s="281">
        <f>'корпоративный баланс энергии'!J1019+'корпоративный баланс энергии'!M1019+'корпоративный баланс энергии'!P1019</f>
        <v>302.55</v>
      </c>
      <c r="E1010" s="246"/>
      <c r="F1010" s="282"/>
      <c r="G1010" s="244">
        <f>'корпоративный баланс энергии'!S1019+'корпоративный баланс энергии'!V1019+'корпоративный баланс энергии'!Y1019</f>
        <v>237.10000000000002</v>
      </c>
      <c r="H1010" s="246"/>
      <c r="I1010" s="282"/>
      <c r="J1010" s="244">
        <f>'корпоративный баланс энергии'!AB1019+'корпоративный баланс энергии'!AE1019+'корпоративный баланс энергии'!AH1019</f>
        <v>225.59000000000003</v>
      </c>
      <c r="K1010" s="246"/>
      <c r="L1010" s="282"/>
      <c r="M1010" s="244">
        <f>'корпоративный баланс энергии'!AK1019+'корпоративный баланс энергии'!AN1019+'корпоративный баланс энергии'!AQ1019</f>
        <v>339.75</v>
      </c>
      <c r="N1010" s="246"/>
      <c r="O1010" s="282"/>
      <c r="P1010" s="244">
        <f>D1010+G1010+J1010+M1010</f>
        <v>1104.9900000000002</v>
      </c>
      <c r="Q1010" s="246"/>
      <c r="R1010" s="282"/>
      <c r="S1010" s="375"/>
      <c r="T1010" s="375"/>
    </row>
    <row r="1011" spans="2:20" s="116" customFormat="1">
      <c r="B1011" s="132" t="str">
        <f>'корпоративный баланс энергии'!H1020</f>
        <v>Автовская ТЭЦ-15 (филиал "Невский" ПАО "ТГК-1")</v>
      </c>
      <c r="C1011" s="516" t="s">
        <v>364</v>
      </c>
      <c r="D1011" s="317">
        <f>SUM(D1012:D1014)</f>
        <v>503.35</v>
      </c>
      <c r="E1011" s="246"/>
      <c r="F1011" s="282"/>
      <c r="G1011" s="317">
        <f>SUM(G1012:G1014)</f>
        <v>221.71800000000002</v>
      </c>
      <c r="H1011" s="246"/>
      <c r="I1011" s="282"/>
      <c r="J1011" s="317">
        <f>SUM(J1012:J1014)</f>
        <v>91.248000000000005</v>
      </c>
      <c r="K1011" s="246"/>
      <c r="L1011" s="282"/>
      <c r="M1011" s="317">
        <f>SUM(M1012:M1014)</f>
        <v>302.08800000000002</v>
      </c>
      <c r="N1011" s="246"/>
      <c r="O1011" s="282"/>
      <c r="P1011" s="317">
        <f>SUM(P1012:P1014)</f>
        <v>1118.404</v>
      </c>
      <c r="Q1011" s="246"/>
      <c r="R1011" s="282"/>
      <c r="S1011" s="374"/>
      <c r="T1011" s="374"/>
    </row>
    <row r="1012" spans="2:20" s="116" customFormat="1">
      <c r="B1012" s="127" t="str">
        <f>'корпоративный баланс энергии'!H1021</f>
        <v>АвтовскаяТЭЦ (ТЭЦ-15) (филиал "Невский" ПАО "ТГК-1") ТГ-2,3,7 ВР</v>
      </c>
      <c r="C1012" s="516"/>
      <c r="D1012" s="281">
        <f>'корпоративный баланс энергии'!J1021+'корпоративный баланс энергии'!M1021+'корпоративный баланс энергии'!P1021</f>
        <v>17.28</v>
      </c>
      <c r="E1012" s="246"/>
      <c r="F1012" s="282"/>
      <c r="G1012" s="244">
        <f>'корпоративный баланс энергии'!S1021+'корпоративный баланс энергии'!V1021+'корпоративный баланс энергии'!Y1021</f>
        <v>0</v>
      </c>
      <c r="H1012" s="246"/>
      <c r="I1012" s="282"/>
      <c r="J1012" s="244">
        <f>'корпоративный баланс энергии'!AB1021+'корпоративный баланс энергии'!AE1021+'корпоративный баланс энергии'!AH1021</f>
        <v>0</v>
      </c>
      <c r="K1012" s="246"/>
      <c r="L1012" s="282"/>
      <c r="M1012" s="244">
        <f>'корпоративный баланс энергии'!AK1021+'корпоративный баланс энергии'!AN1021+'корпоративный баланс энергии'!AQ1021</f>
        <v>62.088000000000001</v>
      </c>
      <c r="N1012" s="246"/>
      <c r="O1012" s="282"/>
      <c r="P1012" s="244">
        <f>D1012+G1012+J1012+M1012</f>
        <v>79.367999999999995</v>
      </c>
      <c r="Q1012" s="246"/>
      <c r="R1012" s="282"/>
      <c r="S1012" s="374"/>
      <c r="T1012" s="374"/>
    </row>
    <row r="1013" spans="2:20" s="116" customFormat="1">
      <c r="B1013" s="127" t="str">
        <f>'корпоративный баланс энергии'!H1022</f>
        <v>АвтовскаяТЭЦ (ТЭЦ-15) (филиал "Невский" ПАО "ТГК-1") ТГ-6 ВР</v>
      </c>
      <c r="C1013" s="516"/>
      <c r="D1013" s="281">
        <f>'корпоративный баланс энергии'!J1022+'корпоративный баланс энергии'!M1022+'корпоративный баланс энергии'!P1022</f>
        <v>267.67</v>
      </c>
      <c r="E1013" s="246"/>
      <c r="F1013" s="282"/>
      <c r="G1013" s="244">
        <f>'корпоративный баланс энергии'!S1022+'корпоративный баланс энергии'!V1022+'корпоративный баланс энергии'!Y1022</f>
        <v>130.87100000000001</v>
      </c>
      <c r="H1013" s="246"/>
      <c r="I1013" s="282"/>
      <c r="J1013" s="244">
        <f>'корпоративный баланс энергии'!AB1022+'корпоративный баланс энергии'!AE1022+'корпоративный баланс энергии'!AH1022</f>
        <v>91.248000000000005</v>
      </c>
      <c r="K1013" s="246"/>
      <c r="L1013" s="282"/>
      <c r="M1013" s="244">
        <f>'корпоративный баланс энергии'!AK1022+'корпоративный баланс энергии'!AN1022+'корпоративный баланс энергии'!AQ1022</f>
        <v>122.4</v>
      </c>
      <c r="N1013" s="246"/>
      <c r="O1013" s="282"/>
      <c r="P1013" s="244">
        <f>D1013+G1013+J1013+M1013</f>
        <v>612.18900000000008</v>
      </c>
      <c r="Q1013" s="246"/>
      <c r="R1013" s="282"/>
      <c r="S1013" s="374"/>
      <c r="T1013" s="374"/>
    </row>
    <row r="1014" spans="2:20" s="116" customFormat="1">
      <c r="B1014" s="127" t="str">
        <f>'корпоративный баланс энергии'!H1023</f>
        <v>АвтовскаяТЭЦ (ТЭЦ-15) (филиал "Невский" ПАО "ТГК-1") ТГ-1,4,5</v>
      </c>
      <c r="C1014" s="516"/>
      <c r="D1014" s="281">
        <f>'корпоративный баланс энергии'!J1023+'корпоративный баланс энергии'!M1023+'корпоративный баланс энергии'!P1023</f>
        <v>218.4</v>
      </c>
      <c r="E1014" s="246"/>
      <c r="F1014" s="282"/>
      <c r="G1014" s="244">
        <f>'корпоративный баланс энергии'!S1023+'корпоративный баланс энергии'!V1023+'корпоративный баланс энергии'!Y1023</f>
        <v>90.847000000000008</v>
      </c>
      <c r="H1014" s="246"/>
      <c r="I1014" s="282"/>
      <c r="J1014" s="244">
        <f>'корпоративный баланс энергии'!AB1023+'корпоративный баланс энергии'!AE1023+'корпоративный баланс энергии'!AH1023</f>
        <v>0</v>
      </c>
      <c r="K1014" s="246"/>
      <c r="L1014" s="282"/>
      <c r="M1014" s="244">
        <f>'корпоративный баланс энергии'!AK1023+'корпоративный баланс энергии'!AN1023+'корпоративный баланс энергии'!AQ1023</f>
        <v>117.60000000000001</v>
      </c>
      <c r="N1014" s="246"/>
      <c r="O1014" s="282"/>
      <c r="P1014" s="244">
        <f>D1014+G1014+J1014+M1014</f>
        <v>426.84700000000004</v>
      </c>
      <c r="Q1014" s="246"/>
      <c r="R1014" s="282"/>
      <c r="S1014" s="374"/>
      <c r="T1014" s="374"/>
    </row>
    <row r="1015" spans="2:20" s="116" customFormat="1">
      <c r="B1015" s="132" t="str">
        <f>'корпоративный баланс энергии'!H1024</f>
        <v>Выборгская ТЭЦ-17 (филиал "Невский" ПАО "ТГК-1")</v>
      </c>
      <c r="C1015" s="516" t="s">
        <v>364</v>
      </c>
      <c r="D1015" s="317">
        <f>SUM(D1016:D1017)</f>
        <v>292.52199999999999</v>
      </c>
      <c r="E1015" s="246"/>
      <c r="F1015" s="282"/>
      <c r="G1015" s="317">
        <f>SUM(G1016:G1017)</f>
        <v>138.69199999999998</v>
      </c>
      <c r="H1015" s="246"/>
      <c r="I1015" s="282"/>
      <c r="J1015" s="317">
        <f>SUM(J1016:J1017)</f>
        <v>157.35399999999998</v>
      </c>
      <c r="K1015" s="246"/>
      <c r="L1015" s="282"/>
      <c r="M1015" s="317">
        <f>SUM(M1016:M1017)</f>
        <v>292.32600000000002</v>
      </c>
      <c r="N1015" s="246"/>
      <c r="O1015" s="282"/>
      <c r="P1015" s="317">
        <f>SUM(P1016:P1017)</f>
        <v>880.89400000000001</v>
      </c>
      <c r="Q1015" s="246"/>
      <c r="R1015" s="282"/>
      <c r="S1015" s="374"/>
      <c r="T1015" s="374"/>
    </row>
    <row r="1016" spans="2:20" s="116" customFormat="1">
      <c r="B1016" s="127" t="str">
        <f>'корпоративный баланс энергии'!H1025</f>
        <v>Выборгская ТЭЦ-17 (филиал "Невский" ПАО "ТГК-1") ТГ-2,3</v>
      </c>
      <c r="C1016" s="516"/>
      <c r="D1016" s="281">
        <f>'корпоративный баланс энергии'!J1025+'корпоративный баланс энергии'!M1025+'корпоративный баланс энергии'!P1025</f>
        <v>154.15199999999999</v>
      </c>
      <c r="E1016" s="246"/>
      <c r="F1016" s="282"/>
      <c r="G1016" s="244">
        <f>'корпоративный баланс энергии'!S1025+'корпоративный баланс энергии'!V1025+'корпоративный баланс энергии'!Y1025</f>
        <v>22.962</v>
      </c>
      <c r="H1016" s="246"/>
      <c r="I1016" s="282"/>
      <c r="J1016" s="244">
        <f>'корпоративный баланс энергии'!AB1025+'корпоративный баланс энергии'!AE1025+'корпоративный баланс энергии'!AH1025</f>
        <v>31.718</v>
      </c>
      <c r="K1016" s="246"/>
      <c r="L1016" s="282"/>
      <c r="M1016" s="244">
        <f>'корпоративный баланс энергии'!AK1025+'корпоративный баланс энергии'!AN1025+'корпоративный баланс энергии'!AQ1025</f>
        <v>236.124</v>
      </c>
      <c r="N1016" s="246"/>
      <c r="O1016" s="282"/>
      <c r="P1016" s="244">
        <f>D1016+G1016+J1016+M1016</f>
        <v>444.95599999999996</v>
      </c>
      <c r="Q1016" s="246"/>
      <c r="R1016" s="282"/>
      <c r="S1016" s="374"/>
      <c r="T1016" s="374"/>
    </row>
    <row r="1017" spans="2:20" s="116" customFormat="1">
      <c r="B1017" s="127" t="str">
        <f>'корпоративный баланс энергии'!H1026</f>
        <v>Выборгская ТЭЦ-17 (филиал "Невский" ПАО "ТГК-1") ТГ-4 ВР</v>
      </c>
      <c r="C1017" s="516"/>
      <c r="D1017" s="281">
        <f>'корпоративный баланс энергии'!J1026+'корпоративный баланс энергии'!M1026+'корпоративный баланс энергии'!P1026</f>
        <v>138.37</v>
      </c>
      <c r="E1017" s="246"/>
      <c r="F1017" s="282"/>
      <c r="G1017" s="244">
        <f>'корпоративный баланс энергии'!S1026+'корпоративный баланс энергии'!V1026+'корпоративный баланс энергии'!Y1026</f>
        <v>115.72999999999999</v>
      </c>
      <c r="H1017" s="246"/>
      <c r="I1017" s="282"/>
      <c r="J1017" s="244">
        <f>'корпоративный баланс энергии'!AB1026+'корпоративный баланс энергии'!AE1026+'корпоративный баланс энергии'!AH1026</f>
        <v>125.636</v>
      </c>
      <c r="K1017" s="246"/>
      <c r="L1017" s="282"/>
      <c r="M1017" s="244">
        <f>'корпоративный баланс энергии'!AK1026+'корпоративный баланс энергии'!AN1026+'корпоративный баланс энергии'!AQ1026</f>
        <v>56.201999999999998</v>
      </c>
      <c r="N1017" s="246"/>
      <c r="O1017" s="282"/>
      <c r="P1017" s="244">
        <f>D1017+G1017+J1017+M1017</f>
        <v>435.93799999999999</v>
      </c>
      <c r="Q1017" s="246"/>
      <c r="R1017" s="282"/>
      <c r="S1017" s="374"/>
      <c r="T1017" s="374"/>
    </row>
    <row r="1018" spans="2:20" s="116" customFormat="1">
      <c r="B1018" s="132" t="str">
        <f>'корпоративный баланс энергии'!H1027</f>
        <v>Южная ТЭЦ-22 (филиал "Невский" ПАО "ТГК-1")</v>
      </c>
      <c r="C1018" s="516" t="s">
        <v>364</v>
      </c>
      <c r="D1018" s="262">
        <f>SUM(D1019:D1020)</f>
        <v>1694.3519999999999</v>
      </c>
      <c r="E1018" s="246"/>
      <c r="F1018" s="282"/>
      <c r="G1018" s="262">
        <f>SUM(G1019:G1020)</f>
        <v>874.41100000000006</v>
      </c>
      <c r="H1018" s="246"/>
      <c r="I1018" s="282"/>
      <c r="J1018" s="262">
        <f>SUM(J1019:J1020)</f>
        <v>989.36300000000006</v>
      </c>
      <c r="K1018" s="246"/>
      <c r="L1018" s="282"/>
      <c r="M1018" s="262">
        <f>SUM(M1019:M1020)</f>
        <v>1569.473</v>
      </c>
      <c r="N1018" s="246"/>
      <c r="O1018" s="282"/>
      <c r="P1018" s="262">
        <f>SUM(P1019:P1020)</f>
        <v>5127.5990000000002</v>
      </c>
      <c r="Q1018" s="246"/>
      <c r="R1018" s="282"/>
      <c r="S1018" s="374"/>
      <c r="T1018" s="374"/>
    </row>
    <row r="1019" spans="2:20" s="116" customFormat="1">
      <c r="B1019" s="127" t="str">
        <f>'корпоративный баланс энергии'!H1028</f>
        <v>Южная ТЭЦ-22 (филиал "Невский" ПАО "ТГК-1")</v>
      </c>
      <c r="C1019" s="127"/>
      <c r="D1019" s="281">
        <f>'корпоративный баланс энергии'!J1028+'корпоративный баланс энергии'!M1028+'корпоративный баланс энергии'!P1028</f>
        <v>1022.759</v>
      </c>
      <c r="E1019" s="246"/>
      <c r="F1019" s="282"/>
      <c r="G1019" s="244">
        <f>'корпоративный баланс энергии'!S1028+'корпоративный баланс энергии'!V1028+'корпоративный баланс энергии'!Y1028</f>
        <v>482.69499999999999</v>
      </c>
      <c r="H1019" s="246"/>
      <c r="I1019" s="282"/>
      <c r="J1019" s="244">
        <f>'корпоративный баланс энергии'!AB1028+'корпоративный баланс энергии'!AE1028+'корпоративный баланс энергии'!AH1028</f>
        <v>556.56799999999998</v>
      </c>
      <c r="K1019" s="246"/>
      <c r="L1019" s="282"/>
      <c r="M1019" s="244">
        <f>'корпоративный баланс энергии'!AK1028+'корпоративный баланс энергии'!AN1028+'корпоративный баланс энергии'!AQ1028</f>
        <v>691.29399999999998</v>
      </c>
      <c r="N1019" s="246"/>
      <c r="O1019" s="282"/>
      <c r="P1019" s="244">
        <f>D1019+G1019+J1019+M1019</f>
        <v>2753.3159999999998</v>
      </c>
      <c r="Q1019" s="246"/>
      <c r="R1019" s="282"/>
      <c r="S1019" s="374"/>
      <c r="T1019" s="374"/>
    </row>
    <row r="1020" spans="2:20" s="117" customFormat="1">
      <c r="B1020" s="127" t="str">
        <f>'корпоративный баланс энергии'!H1029</f>
        <v>Южная ТЭЦ-22 (филиал "Невский" ПАО "ТГК-1") Бл №4 ПГУ 457 НВ, ДПМ 01.04.2011</v>
      </c>
      <c r="C1020" s="127"/>
      <c r="D1020" s="281">
        <f>'корпоративный баланс энергии'!J1029+'корпоративный баланс энергии'!M1029+'корпоративный баланс энергии'!P1029</f>
        <v>671.59299999999996</v>
      </c>
      <c r="E1020" s="246"/>
      <c r="F1020" s="282"/>
      <c r="G1020" s="244">
        <f>'корпоративный баланс энергии'!S1029+'корпоративный баланс энергии'!V1029+'корпоративный баланс энергии'!Y1029</f>
        <v>391.71600000000001</v>
      </c>
      <c r="H1020" s="246"/>
      <c r="I1020" s="282"/>
      <c r="J1020" s="244">
        <f>'корпоративный баланс энергии'!AB1029+'корпоративный баланс энергии'!AE1029+'корпоративный баланс энергии'!AH1029</f>
        <v>432.79500000000002</v>
      </c>
      <c r="K1020" s="246"/>
      <c r="L1020" s="282"/>
      <c r="M1020" s="244">
        <f>'корпоративный баланс энергии'!AK1029+'корпоративный баланс энергии'!AN1029+'корпоративный баланс энергии'!AQ1029</f>
        <v>878.17900000000009</v>
      </c>
      <c r="N1020" s="246"/>
      <c r="O1020" s="282"/>
      <c r="P1020" s="244">
        <f>D1020+G1020+J1020+M1020</f>
        <v>2374.2830000000004</v>
      </c>
      <c r="Q1020" s="246"/>
      <c r="R1020" s="282"/>
      <c r="S1020" s="375"/>
      <c r="T1020" s="375"/>
    </row>
    <row r="1021" spans="2:20" s="117" customFormat="1">
      <c r="B1021" s="127" t="str">
        <f>'корпоративный баланс энергии'!H1030</f>
        <v>Северо-Западная ТЭЦ (филиал АО "Интер РАО - Электрогенерация")</v>
      </c>
      <c r="C1021" s="516" t="s">
        <v>364</v>
      </c>
      <c r="D1021" s="281">
        <f>'корпоративный баланс энергии'!J1030+'корпоративный баланс энергии'!M1030+'корпоративный баланс энергии'!P1030</f>
        <v>1400.0000004799999</v>
      </c>
      <c r="E1021" s="246"/>
      <c r="F1021" s="282"/>
      <c r="G1021" s="244">
        <f>'корпоративный баланс энергии'!S1030+'корпоративный баланс энергии'!V1030+'корпоративный баланс энергии'!Y1030</f>
        <v>925.49983999999995</v>
      </c>
      <c r="H1021" s="246"/>
      <c r="I1021" s="282"/>
      <c r="J1021" s="244">
        <f>'корпоративный баланс энергии'!AB1030+'корпоративный баланс энергии'!AE1030+'корпоративный баланс энергии'!AH1030</f>
        <v>1016.099912</v>
      </c>
      <c r="K1021" s="246"/>
      <c r="L1021" s="282"/>
      <c r="M1021" s="244">
        <f>'корпоративный баланс энергии'!AK1030+'корпоративный баланс энергии'!AN1030+'корпоративный баланс энергии'!AQ1030</f>
        <v>1635.5000272</v>
      </c>
      <c r="N1021" s="246"/>
      <c r="O1021" s="282"/>
      <c r="P1021" s="244">
        <f>D1021+G1021+J1021+M1021</f>
        <v>4977.0997796800002</v>
      </c>
      <c r="Q1021" s="246"/>
      <c r="R1021" s="282"/>
      <c r="S1021" s="375"/>
      <c r="T1021" s="375"/>
    </row>
    <row r="1022" spans="2:20" s="117" customFormat="1">
      <c r="B1022" s="132" t="str">
        <f>'корпоративный баланс энергии'!H1031</f>
        <v>Юго-Западная ТЭЦ (АО "Юго-Западная ТЭЦ")</v>
      </c>
      <c r="C1022" s="516" t="s">
        <v>364</v>
      </c>
      <c r="D1022" s="262">
        <f>SUM(D1023:D1024)</f>
        <v>828.46800000000007</v>
      </c>
      <c r="E1022" s="246"/>
      <c r="F1022" s="282"/>
      <c r="G1022" s="262">
        <f>SUM(G1023:G1024)</f>
        <v>641.98</v>
      </c>
      <c r="H1022" s="246"/>
      <c r="I1022" s="282"/>
      <c r="J1022" s="262">
        <f>SUM(J1023:J1024)</f>
        <v>709.90000000000009</v>
      </c>
      <c r="K1022" s="246"/>
      <c r="L1022" s="282"/>
      <c r="M1022" s="262">
        <f>SUM(M1023:M1024)</f>
        <v>783.79599999999994</v>
      </c>
      <c r="N1022" s="246"/>
      <c r="O1022" s="282"/>
      <c r="P1022" s="262">
        <f>SUM(P1023:P1024)</f>
        <v>2964.1440000000002</v>
      </c>
      <c r="Q1022" s="246"/>
      <c r="R1022" s="282"/>
      <c r="S1022" s="375"/>
      <c r="T1022" s="375"/>
    </row>
    <row r="1023" spans="2:20" s="117" customFormat="1">
      <c r="B1023" s="127" t="str">
        <f>'корпоративный баланс энергии'!H1032</f>
        <v>Юго-Западная ТЭЦ (АО "Юго-Западная ТЭЦ") Бл №1 ПГУ 185 НВ 01.04.2012</v>
      </c>
      <c r="C1023" s="516"/>
      <c r="D1023" s="281">
        <f>'корпоративный баланс энергии'!J1032+'корпоративный баланс энергии'!M1032+'корпоративный баланс энергии'!P1032</f>
        <v>303.98</v>
      </c>
      <c r="E1023" s="246"/>
      <c r="F1023" s="282"/>
      <c r="G1023" s="244">
        <f>'корпоративный баланс энергии'!S1032+'корпоративный баланс энергии'!V1032+'корпоративный баланс энергии'!Y1032</f>
        <v>254.22</v>
      </c>
      <c r="H1023" s="246"/>
      <c r="I1023" s="282"/>
      <c r="J1023" s="244">
        <f>'корпоративный баланс энергии'!AB1032+'корпоративный баланс энергии'!AE1032+'корпоративный баланс энергии'!AH1032</f>
        <v>347.26</v>
      </c>
      <c r="K1023" s="246"/>
      <c r="L1023" s="282"/>
      <c r="M1023" s="244">
        <f>'корпоративный баланс энергии'!AK1032+'корпоративный баланс энергии'!AN1032+'корпоративный баланс энергии'!AQ1032</f>
        <v>334.88599999999997</v>
      </c>
      <c r="N1023" s="246"/>
      <c r="O1023" s="282"/>
      <c r="P1023" s="244">
        <f>D1023+G1023+J1023+M1023</f>
        <v>1240.346</v>
      </c>
      <c r="Q1023" s="246"/>
      <c r="R1023" s="282"/>
      <c r="S1023" s="375"/>
      <c r="T1023" s="375"/>
    </row>
    <row r="1024" spans="2:20" s="117" customFormat="1">
      <c r="B1024" s="127" t="str">
        <f>'корпоративный баланс энергии'!H1033</f>
        <v>Юго-Западная ТЭЦ (АО "Юго-Западная ТЭЦ") Бл №2 ПГУ 300 НВ 01.09.2016</v>
      </c>
      <c r="C1024" s="516"/>
      <c r="D1024" s="281">
        <f>'корпоративный баланс энергии'!J1033+'корпоративный баланс энергии'!M1033+'корпоративный баланс энергии'!P1033</f>
        <v>524.48800000000006</v>
      </c>
      <c r="E1024" s="246"/>
      <c r="F1024" s="282"/>
      <c r="G1024" s="244">
        <f>'корпоративный баланс энергии'!S1033+'корпоративный баланс энергии'!V1033+'корпоративный баланс энергии'!Y1033</f>
        <v>387.76</v>
      </c>
      <c r="H1024" s="246"/>
      <c r="I1024" s="282"/>
      <c r="J1024" s="244">
        <f>'корпоративный баланс энергии'!AB1033+'корпоративный баланс энергии'!AE1033+'корпоративный баланс энергии'!AH1033</f>
        <v>362.64000000000004</v>
      </c>
      <c r="K1024" s="246"/>
      <c r="L1024" s="282"/>
      <c r="M1024" s="244">
        <f>'корпоративный баланс энергии'!AK1033+'корпоративный баланс энергии'!AN1033+'корпоративный баланс энергии'!AQ1033</f>
        <v>448.90999999999997</v>
      </c>
      <c r="N1024" s="246"/>
      <c r="O1024" s="282"/>
      <c r="P1024" s="244">
        <f>D1024+G1024+J1024+M1024</f>
        <v>1723.7980000000002</v>
      </c>
      <c r="Q1024" s="246"/>
      <c r="R1024" s="282"/>
      <c r="S1024" s="375"/>
      <c r="T1024" s="375"/>
    </row>
    <row r="1025" spans="2:20" s="117" customFormat="1">
      <c r="B1025" s="127" t="str">
        <f>'корпоративный баланс энергии'!H1034</f>
        <v>Новоколпинская ТЭЦ (АО "ГСР ТЭЦ") Бл №1 ПГУ-110 НВ 20.11.2013</v>
      </c>
      <c r="C1025" s="516" t="s">
        <v>364</v>
      </c>
      <c r="D1025" s="281">
        <f>'корпоративный баланс энергии'!J1034+'корпоративный баланс энергии'!M1034+'корпоративный баланс энергии'!P1034</f>
        <v>220.28160000000003</v>
      </c>
      <c r="E1025" s="246"/>
      <c r="F1025" s="282"/>
      <c r="G1025" s="244">
        <f>'корпоративный баланс энергии'!S1034+'корпоративный баланс энергии'!V1034+'корпоративный баланс энергии'!Y1034</f>
        <v>112.64400000000001</v>
      </c>
      <c r="H1025" s="246"/>
      <c r="I1025" s="282"/>
      <c r="J1025" s="244">
        <f>'корпоративный баланс энергии'!AB1034+'корпоративный баланс энергии'!AE1034+'корпоративный баланс энергии'!AH1034</f>
        <v>227.41199999999998</v>
      </c>
      <c r="K1025" s="246"/>
      <c r="L1025" s="282"/>
      <c r="M1025" s="244">
        <f>'корпоративный баланс энергии'!AK1034+'корпоративный баланс энергии'!AN1034+'корпоративный баланс энергии'!AQ1034</f>
        <v>222.78480000000002</v>
      </c>
      <c r="N1025" s="246"/>
      <c r="O1025" s="282"/>
      <c r="P1025" s="244">
        <f>D1025+G1025+J1025+M1025</f>
        <v>783.12240000000008</v>
      </c>
      <c r="Q1025" s="246"/>
      <c r="R1025" s="282"/>
      <c r="S1025" s="375"/>
      <c r="T1025" s="375"/>
    </row>
    <row r="1026" spans="2:20" s="117" customFormat="1">
      <c r="B1026" s="127" t="str">
        <f>'корпоративный баланс энергии'!H1035</f>
        <v>ТЭЦ (АО "ГСР ТЭЦ")</v>
      </c>
      <c r="C1026" s="516"/>
      <c r="D1026" s="281">
        <f>'корпоративный баланс энергии'!J1035+'корпоративный баланс энергии'!M1035+'корпоративный баланс энергии'!P1035</f>
        <v>25.940915999999998</v>
      </c>
      <c r="E1026" s="246"/>
      <c r="F1026" s="282"/>
      <c r="G1026" s="244">
        <f>'корпоративный баланс энергии'!S1035+'корпоративный баланс энергии'!V1035+'корпоративный баланс энергии'!Y1035</f>
        <v>8.0517599999999998</v>
      </c>
      <c r="H1026" s="246"/>
      <c r="I1026" s="282"/>
      <c r="J1026" s="244">
        <f>'корпоративный баланс энергии'!AB1035+'корпоративный баланс энергии'!AE1035+'корпоративный баланс энергии'!AH1035</f>
        <v>0</v>
      </c>
      <c r="K1026" s="246"/>
      <c r="L1026" s="282"/>
      <c r="M1026" s="244">
        <f>'корпоративный баланс энергии'!AK1035+'корпоративный баланс энергии'!AN1035+'корпоративный баланс энергии'!AQ1035</f>
        <v>23.000367999999998</v>
      </c>
      <c r="N1026" s="246"/>
      <c r="O1026" s="282"/>
      <c r="P1026" s="244">
        <f>D1026+G1026+J1026+M1026</f>
        <v>56.993043999999998</v>
      </c>
      <c r="Q1026" s="246"/>
      <c r="R1026" s="282"/>
      <c r="S1026" s="375"/>
      <c r="T1026" s="375"/>
    </row>
    <row r="1027" spans="2:20" s="117" customFormat="1">
      <c r="B1027" s="138" t="s">
        <v>174</v>
      </c>
      <c r="C1027" s="138"/>
      <c r="D1027" s="319">
        <f>SUM(D1028:D1035)</f>
        <v>106.94755200000002</v>
      </c>
      <c r="E1027" s="288"/>
      <c r="F1027" s="289"/>
      <c r="G1027" s="319">
        <f>SUM(G1028:G1035)</f>
        <v>74.656452000000002</v>
      </c>
      <c r="H1027" s="288"/>
      <c r="I1027" s="289"/>
      <c r="J1027" s="319">
        <f>SUM(J1028:J1035)</f>
        <v>44.06503</v>
      </c>
      <c r="K1027" s="288"/>
      <c r="L1027" s="289"/>
      <c r="M1027" s="319">
        <f>SUM(M1028:M1035)</f>
        <v>98.594353999999996</v>
      </c>
      <c r="N1027" s="288"/>
      <c r="O1027" s="289"/>
      <c r="P1027" s="319">
        <f>SUM(P1028:P1035)</f>
        <v>324.26338799999996</v>
      </c>
      <c r="Q1027" s="288"/>
      <c r="R1027" s="289"/>
      <c r="S1027" s="375"/>
      <c r="T1027" s="375"/>
    </row>
    <row r="1028" spans="2:20" s="117" customFormat="1">
      <c r="B1028" s="142" t="str">
        <f>'корпоративный баланс энергии'!H1037</f>
        <v>ТЭС (ООО "Самсон")</v>
      </c>
      <c r="C1028" s="518" t="s">
        <v>365</v>
      </c>
      <c r="D1028" s="293">
        <f>'корпоративный баланс энергии'!J1037+'корпоративный баланс энергии'!M1037+'корпоративный баланс энергии'!P1037</f>
        <v>1.6720000000000002</v>
      </c>
      <c r="E1028" s="288"/>
      <c r="F1028" s="289"/>
      <c r="G1028" s="294">
        <f>'корпоративный баланс энергии'!S1037+'корпоративный баланс энергии'!V1037+'корпоративный баланс энергии'!Y1037</f>
        <v>0.92700000000000005</v>
      </c>
      <c r="H1028" s="288"/>
      <c r="I1028" s="289"/>
      <c r="J1028" s="294">
        <f>'корпоративный баланс энергии'!AB1037+'корпоративный баланс энергии'!AE1037+'корпоративный баланс энергии'!AH1037</f>
        <v>0</v>
      </c>
      <c r="K1028" s="288"/>
      <c r="L1028" s="289"/>
      <c r="M1028" s="294">
        <f>'корпоративный баланс энергии'!AK1037+'корпоративный баланс энергии'!AN1037+'корпоративный баланс энергии'!AQ1037</f>
        <v>0.72</v>
      </c>
      <c r="N1028" s="288"/>
      <c r="O1028" s="289"/>
      <c r="P1028" s="294">
        <f>D1028+G1028+J1028+M1028</f>
        <v>3.319</v>
      </c>
      <c r="Q1028" s="288"/>
      <c r="R1028" s="289"/>
      <c r="S1028" s="375"/>
      <c r="T1028" s="375"/>
    </row>
    <row r="1029" spans="2:20" s="117" customFormat="1">
      <c r="B1029" s="142" t="str">
        <f>'корпоративный баланс энергии'!H1038</f>
        <v>ГУП "ТЭК Санкт-Петербурга"</v>
      </c>
      <c r="C1029" s="518" t="s">
        <v>365</v>
      </c>
      <c r="D1029" s="293">
        <f>'корпоративный баланс энергии'!J1038+'корпоративный баланс энергии'!M1038+'корпоративный баланс энергии'!P1038</f>
        <v>13.336000000000002</v>
      </c>
      <c r="E1029" s="288"/>
      <c r="F1029" s="289"/>
      <c r="G1029" s="294">
        <f>'корпоративный баланс энергии'!S1038+'корпоративный баланс энергии'!V1038+'корпоративный баланс энергии'!Y1038</f>
        <v>10.853</v>
      </c>
      <c r="H1029" s="288"/>
      <c r="I1029" s="289"/>
      <c r="J1029" s="294">
        <f>'корпоративный баланс энергии'!AB1038+'корпоративный баланс энергии'!AE1038+'корпоративный баланс энергии'!AH1038</f>
        <v>8.0380000000000003</v>
      </c>
      <c r="K1029" s="288"/>
      <c r="L1029" s="289"/>
      <c r="M1029" s="294">
        <f>'корпоративный баланс энергии'!AK1038+'корпоративный баланс энергии'!AN1038+'корпоративный баланс энергии'!AQ1038</f>
        <v>12.991199999999999</v>
      </c>
      <c r="N1029" s="288"/>
      <c r="O1029" s="289"/>
      <c r="P1029" s="294">
        <f t="shared" ref="P1029:P1035" si="68">D1029+G1029+J1029+M1029</f>
        <v>45.218200000000003</v>
      </c>
      <c r="Q1029" s="288"/>
      <c r="R1029" s="289"/>
      <c r="S1029" s="375"/>
      <c r="T1029" s="375"/>
    </row>
    <row r="1030" spans="2:20" s="117" customFormat="1">
      <c r="B1030" s="142" t="str">
        <f>'корпоративный баланс энергии'!H1039</f>
        <v>ТЭС (ООО "Газпром трансгаз Санкт-Петербург")</v>
      </c>
      <c r="C1030" s="518" t="s">
        <v>365</v>
      </c>
      <c r="D1030" s="293">
        <f>'корпоративный баланс энергии'!J1039+'корпоративный баланс энергии'!M1039+'корпоративный баланс энергии'!P1039</f>
        <v>0</v>
      </c>
      <c r="E1030" s="288"/>
      <c r="F1030" s="289"/>
      <c r="G1030" s="294">
        <f>'корпоративный баланс энергии'!S1039+'корпоративный баланс энергии'!V1039+'корпоративный баланс энергии'!Y1039</f>
        <v>0</v>
      </c>
      <c r="H1030" s="288"/>
      <c r="I1030" s="289"/>
      <c r="J1030" s="294">
        <f>'корпоративный баланс энергии'!AB1039+'корпоративный баланс энергии'!AE1039+'корпоративный баланс энергии'!AH1039</f>
        <v>0</v>
      </c>
      <c r="K1030" s="288"/>
      <c r="L1030" s="289"/>
      <c r="M1030" s="294">
        <f>'корпоративный баланс энергии'!AK1039+'корпоративный баланс энергии'!AN1039+'корпоративный баланс энергии'!AQ1039</f>
        <v>0</v>
      </c>
      <c r="N1030" s="288"/>
      <c r="O1030" s="289"/>
      <c r="P1030" s="294">
        <f t="shared" si="68"/>
        <v>0</v>
      </c>
      <c r="Q1030" s="288"/>
      <c r="R1030" s="289"/>
      <c r="S1030" s="375"/>
      <c r="T1030" s="375"/>
    </row>
    <row r="1031" spans="2:20" s="117" customFormat="1">
      <c r="B1031" s="142" t="str">
        <f>'корпоративный баланс энергии'!H1040</f>
        <v>ТЭЦ (ОАО "НПО ЦКТИ")</v>
      </c>
      <c r="C1031" s="518" t="s">
        <v>365</v>
      </c>
      <c r="D1031" s="293">
        <f>'корпоративный баланс энергии'!J1040+'корпоративный баланс энергии'!M1040+'корпоративный баланс энергии'!P1040</f>
        <v>20.901325</v>
      </c>
      <c r="E1031" s="288"/>
      <c r="F1031" s="289"/>
      <c r="G1031" s="294">
        <f>'корпоративный баланс энергии'!S1040+'корпоративный баланс энергии'!V1040+'корпоративный баланс энергии'!Y1040</f>
        <v>13.391623000000001</v>
      </c>
      <c r="H1031" s="288"/>
      <c r="I1031" s="289"/>
      <c r="J1031" s="294">
        <f>'корпоративный баланс энергии'!AB1040+'корпоративный баланс энергии'!AE1040+'корпоративный баланс энергии'!AH1040</f>
        <v>8.1199999999999992</v>
      </c>
      <c r="K1031" s="288"/>
      <c r="L1031" s="289"/>
      <c r="M1031" s="294">
        <f>'корпоративный баланс энергии'!AK1040+'корпоративный баланс энергии'!AN1040+'корпоративный баланс энергии'!AQ1040</f>
        <v>18.014551999999998</v>
      </c>
      <c r="N1031" s="288"/>
      <c r="O1031" s="289"/>
      <c r="P1031" s="294">
        <f t="shared" si="68"/>
        <v>60.427499999999995</v>
      </c>
      <c r="Q1031" s="288"/>
      <c r="R1031" s="289"/>
      <c r="S1031" s="375"/>
      <c r="T1031" s="375"/>
    </row>
    <row r="1032" spans="2:20" s="117" customFormat="1">
      <c r="B1032" s="142" t="str">
        <f>'корпоративный баланс энергии'!H1041</f>
        <v>ТЭЦ (ООО "Генерирующая компания "Обуховоэнерго")</v>
      </c>
      <c r="C1032" s="518" t="s">
        <v>365</v>
      </c>
      <c r="D1032" s="293">
        <f>'корпоративный баланс энергии'!J1041+'корпоративный баланс энергии'!M1041+'корпоративный баланс энергии'!P1041</f>
        <v>32.130700000000004</v>
      </c>
      <c r="E1032" s="288"/>
      <c r="F1032" s="289"/>
      <c r="G1032" s="294">
        <f>'корпоративный баланс энергии'!S1041+'корпоративный баланс энергии'!V1041+'корпоративный баланс энергии'!Y1041</f>
        <v>13.062299999999999</v>
      </c>
      <c r="H1032" s="288"/>
      <c r="I1032" s="289"/>
      <c r="J1032" s="294">
        <f>'корпоративный баланс энергии'!AB1041+'корпоративный баланс энергии'!AE1041+'корпоративный баланс энергии'!AH1041</f>
        <v>4.8797999999999995</v>
      </c>
      <c r="K1032" s="288"/>
      <c r="L1032" s="289"/>
      <c r="M1032" s="294">
        <f>'корпоративный баланс энергии'!AK1041+'корпоративный баланс энергии'!AN1041+'корпоративный баланс энергии'!AQ1041</f>
        <v>32.414100000000005</v>
      </c>
      <c r="N1032" s="288"/>
      <c r="O1032" s="289"/>
      <c r="P1032" s="294">
        <f t="shared" si="68"/>
        <v>82.486900000000006</v>
      </c>
      <c r="Q1032" s="288"/>
      <c r="R1032" s="289"/>
      <c r="S1032" s="375"/>
      <c r="T1032" s="375"/>
    </row>
    <row r="1033" spans="2:20" s="117" customFormat="1">
      <c r="B1033" s="142" t="str">
        <f>'корпоративный баланс энергии'!H1042</f>
        <v>ГТ ТЭЦ "Завода Балтика-СПБ" (ООО "Пивоваренная компания Балтика")</v>
      </c>
      <c r="C1033" s="518" t="s">
        <v>365</v>
      </c>
      <c r="D1033" s="293">
        <f>'корпоративный баланс энергии'!J1042+'корпоративный баланс энергии'!M1042+'корпоративный баланс энергии'!P1042</f>
        <v>15.781117</v>
      </c>
      <c r="E1033" s="288"/>
      <c r="F1033" s="289"/>
      <c r="G1033" s="294">
        <f>'корпоративный баланс энергии'!S1042+'корпоративный баланс энергии'!V1042+'корпоративный баланс энергии'!Y1042</f>
        <v>13.012559</v>
      </c>
      <c r="H1033" s="288"/>
      <c r="I1033" s="289"/>
      <c r="J1033" s="294">
        <f>'корпоративный баланс энергии'!AB1042+'корпоративный баланс энергии'!AE1042+'корпоративный баланс энергии'!AH1042</f>
        <v>0</v>
      </c>
      <c r="K1033" s="288"/>
      <c r="L1033" s="289"/>
      <c r="M1033" s="294">
        <f>'корпоративный баланс энергии'!AK1042+'корпоративный баланс энергии'!AN1042+'корпоративный баланс энергии'!AQ1042</f>
        <v>9.9481120000000001</v>
      </c>
      <c r="N1033" s="288"/>
      <c r="O1033" s="289"/>
      <c r="P1033" s="294">
        <f t="shared" si="68"/>
        <v>38.741788</v>
      </c>
      <c r="Q1033" s="288"/>
      <c r="R1033" s="289"/>
      <c r="S1033" s="375"/>
      <c r="T1033" s="375"/>
    </row>
    <row r="1034" spans="2:20" s="117" customFormat="1">
      <c r="B1034" s="142" t="str">
        <f>'корпоративный баланс энергии'!H1043</f>
        <v>ТЭЦ (ООО "Воздушные Ворота Северной Столицы")</v>
      </c>
      <c r="C1034" s="518" t="s">
        <v>365</v>
      </c>
      <c r="D1034" s="293">
        <f>'корпоративный баланс энергии'!J1043+'корпоративный баланс энергии'!M1043+'корпоративный баланс энергии'!P1043</f>
        <v>11.09</v>
      </c>
      <c r="E1034" s="288"/>
      <c r="F1034" s="289"/>
      <c r="G1034" s="294">
        <f>'корпоративный баланс энергии'!S1043+'корпоративный баланс энергии'!V1043+'корпоративный баланс энергии'!Y1043</f>
        <v>10.780000000000001</v>
      </c>
      <c r="H1034" s="288"/>
      <c r="I1034" s="289"/>
      <c r="J1034" s="294">
        <f>'корпоративный баланс энергии'!AB1043+'корпоративный баланс энергии'!AE1043+'корпоративный баланс энергии'!AH1043</f>
        <v>11.299999999999999</v>
      </c>
      <c r="K1034" s="288"/>
      <c r="L1034" s="289"/>
      <c r="M1034" s="294">
        <f>'корпоративный баланс энергии'!AK1043+'корпоративный баланс энергии'!AN1043+'корпоративный баланс энергии'!AQ1043</f>
        <v>11.5</v>
      </c>
      <c r="N1034" s="288"/>
      <c r="O1034" s="289"/>
      <c r="P1034" s="294">
        <f t="shared" si="68"/>
        <v>44.67</v>
      </c>
      <c r="Q1034" s="288"/>
      <c r="R1034" s="289"/>
      <c r="S1034" s="375"/>
      <c r="T1034" s="375"/>
    </row>
    <row r="1035" spans="2:20" s="117" customFormat="1">
      <c r="B1035" s="142" t="str">
        <f>'корпоративный баланс энергии'!H1044</f>
        <v>ТЭС (ООО "ПетербургТеплоэнерго")</v>
      </c>
      <c r="C1035" s="518" t="s">
        <v>365</v>
      </c>
      <c r="D1035" s="293">
        <f>'корпоративный баланс энергии'!J1044+'корпоративный баланс энергии'!M1044+'корпоративный баланс энергии'!P1044</f>
        <v>12.03641</v>
      </c>
      <c r="E1035" s="288"/>
      <c r="F1035" s="289"/>
      <c r="G1035" s="294">
        <f>'корпоративный баланс энергии'!S1044+'корпоративный баланс энергии'!V1044+'корпоративный баланс энергии'!Y1044</f>
        <v>12.62997</v>
      </c>
      <c r="H1035" s="288"/>
      <c r="I1035" s="289"/>
      <c r="J1035" s="294">
        <f>'корпоративный баланс энергии'!AB1044+'корпоративный баланс энергии'!AE1044+'корпоративный баланс энергии'!AH1044</f>
        <v>11.727229999999999</v>
      </c>
      <c r="K1035" s="288"/>
      <c r="L1035" s="289"/>
      <c r="M1035" s="294">
        <f>'корпоративный баланс энергии'!AK1044+'корпоративный баланс энергии'!AN1044+'корпоративный баланс энергии'!AQ1044</f>
        <v>13.00639</v>
      </c>
      <c r="N1035" s="288"/>
      <c r="O1035" s="289"/>
      <c r="P1035" s="294">
        <f t="shared" si="68"/>
        <v>49.399999999999991</v>
      </c>
      <c r="Q1035" s="288"/>
      <c r="R1035" s="289"/>
      <c r="S1035" s="375"/>
      <c r="T1035" s="375"/>
    </row>
    <row r="1036" spans="2:20" s="117" customFormat="1">
      <c r="B1036" s="477" t="s">
        <v>53</v>
      </c>
      <c r="C1036" s="509"/>
      <c r="D1036" s="390">
        <f>D1037+D1038+D1039+D1040</f>
        <v>11055.153387226195</v>
      </c>
      <c r="E1036" s="391">
        <f>F1036-D1036</f>
        <v>-4983.3974372261964</v>
      </c>
      <c r="F1036" s="276">
        <f>'корпоративный баланс энергии'!L1045+'корпоративный баланс энергии'!O1045+'корпоративный баланс энергии'!R1045</f>
        <v>6071.7559499999988</v>
      </c>
      <c r="G1036" s="393">
        <f>G1037+G1038+G1039+G1040</f>
        <v>9142.4683160124514</v>
      </c>
      <c r="H1036" s="391">
        <f>I1036-G1036</f>
        <v>-4333.5379160124521</v>
      </c>
      <c r="I1036" s="276">
        <f>'корпоративный баланс энергии'!U1045+'корпоративный баланс энергии'!X1045+'корпоративный баланс энергии'!AA1045</f>
        <v>4808.9303999999993</v>
      </c>
      <c r="J1036" s="393">
        <f>J1037+J1038+J1039+J1040</f>
        <v>8664.2468413513179</v>
      </c>
      <c r="K1036" s="391">
        <f>L1036-J1036</f>
        <v>-4044.8397913513181</v>
      </c>
      <c r="L1036" s="276">
        <f>'корпоративный баланс энергии'!AD1045+'корпоративный баланс энергии'!AG1045+'корпоративный баланс энергии'!AJ1045</f>
        <v>4619.4070499999998</v>
      </c>
      <c r="M1036" s="393">
        <f>M1037+M1038+M1039+M1040</f>
        <v>9637.1804394576411</v>
      </c>
      <c r="N1036" s="391">
        <f>O1036-M1036</f>
        <v>-3636.2738394576418</v>
      </c>
      <c r="O1036" s="276">
        <f>'корпоративный баланс энергии'!AM1045+'корпоративный баланс энергии'!AP1045+'корпоративный баланс энергии'!AS1045</f>
        <v>6000.9065999999993</v>
      </c>
      <c r="P1036" s="393">
        <f>P1037+P1038+P1039+P1040</f>
        <v>38499.048984047608</v>
      </c>
      <c r="Q1036" s="391">
        <f>R1036-P1036</f>
        <v>-16998.048984047611</v>
      </c>
      <c r="R1036" s="276">
        <f>F1036+I1036+L1036+O1036</f>
        <v>21500.999999999996</v>
      </c>
      <c r="S1036" s="375"/>
      <c r="T1036" s="375"/>
    </row>
    <row r="1037" spans="2:20" s="117" customFormat="1">
      <c r="B1037" s="10" t="s">
        <v>56</v>
      </c>
      <c r="C1037" s="483"/>
      <c r="D1037" s="270">
        <f>D1049+D1053+D1056+D1057+D1061</f>
        <v>2140.9151999999999</v>
      </c>
      <c r="E1037" s="271"/>
      <c r="F1037" s="224"/>
      <c r="G1037" s="270">
        <f>G1049+G1053+G1056+G1057+G1061</f>
        <v>1591.6021600000001</v>
      </c>
      <c r="H1037" s="271"/>
      <c r="I1037" s="224"/>
      <c r="J1037" s="270">
        <f>J1049+J1053+J1056+J1057+J1061</f>
        <v>1500.9159199999999</v>
      </c>
      <c r="K1037" s="271"/>
      <c r="L1037" s="224"/>
      <c r="M1037" s="270">
        <f>M1049+M1053+M1056+M1057+M1061</f>
        <v>1860.4031199999999</v>
      </c>
      <c r="N1037" s="271"/>
      <c r="O1037" s="224"/>
      <c r="P1037" s="270">
        <f>P1049+P1053+P1056+P1057+P1061</f>
        <v>7093.8363999999992</v>
      </c>
      <c r="Q1037" s="271"/>
      <c r="R1037" s="364"/>
      <c r="S1037" s="375"/>
      <c r="T1037" s="375"/>
    </row>
    <row r="1038" spans="2:20" s="117" customFormat="1">
      <c r="B1038" s="10" t="s">
        <v>55</v>
      </c>
      <c r="C1038" s="483"/>
      <c r="D1038" s="270">
        <f>D1041+D1044+D1048</f>
        <v>766.60624122619629</v>
      </c>
      <c r="E1038" s="271"/>
      <c r="F1038" s="224"/>
      <c r="G1038" s="270">
        <f>G1041+G1044+G1048</f>
        <v>928.70151901245117</v>
      </c>
      <c r="H1038" s="271"/>
      <c r="I1038" s="224"/>
      <c r="J1038" s="270">
        <f>J1041+J1044+J1048</f>
        <v>830.14004135131836</v>
      </c>
      <c r="K1038" s="271"/>
      <c r="L1038" s="224"/>
      <c r="M1038" s="270">
        <f>M1041+M1044+M1048</f>
        <v>805.0506534576416</v>
      </c>
      <c r="N1038" s="271"/>
      <c r="O1038" s="224"/>
      <c r="P1038" s="270">
        <f>P1041+P1044+P1048</f>
        <v>3330.4984550476074</v>
      </c>
      <c r="Q1038" s="271"/>
      <c r="R1038" s="364"/>
      <c r="S1038" s="375"/>
      <c r="T1038" s="375"/>
    </row>
    <row r="1039" spans="2:20" s="117" customFormat="1">
      <c r="B1039" s="10" t="s">
        <v>98</v>
      </c>
      <c r="C1039" s="483"/>
      <c r="D1039" s="270">
        <f>D1050+D1051+D1052</f>
        <v>7610.93</v>
      </c>
      <c r="E1039" s="271"/>
      <c r="F1039" s="224"/>
      <c r="G1039" s="270">
        <f>G1050+G1051+G1052</f>
        <v>6171.84</v>
      </c>
      <c r="H1039" s="271"/>
      <c r="I1039" s="224"/>
      <c r="J1039" s="270">
        <f>J1050+J1051+J1052</f>
        <v>5894.4</v>
      </c>
      <c r="K1039" s="271"/>
      <c r="L1039" s="224"/>
      <c r="M1039" s="270">
        <f>M1050+M1051+M1052</f>
        <v>6432.829999999999</v>
      </c>
      <c r="N1039" s="271"/>
      <c r="O1039" s="224"/>
      <c r="P1039" s="270">
        <f>P1050+P1051+P1052</f>
        <v>26110</v>
      </c>
      <c r="Q1039" s="271"/>
      <c r="R1039" s="364"/>
      <c r="S1039" s="375"/>
      <c r="T1039" s="375"/>
    </row>
    <row r="1040" spans="2:20" s="117" customFormat="1">
      <c r="B1040" s="10" t="s">
        <v>99</v>
      </c>
      <c r="C1040" s="483"/>
      <c r="D1040" s="270">
        <f>D1062</f>
        <v>536.70194600000002</v>
      </c>
      <c r="E1040" s="271"/>
      <c r="F1040" s="224"/>
      <c r="G1040" s="223">
        <f>G1062</f>
        <v>450.32463700000005</v>
      </c>
      <c r="H1040" s="271"/>
      <c r="I1040" s="224"/>
      <c r="J1040" s="223">
        <f>J1062</f>
        <v>438.79088000000002</v>
      </c>
      <c r="K1040" s="271"/>
      <c r="L1040" s="224"/>
      <c r="M1040" s="223">
        <f>M1062</f>
        <v>538.89666599999998</v>
      </c>
      <c r="N1040" s="271"/>
      <c r="O1040" s="224"/>
      <c r="P1040" s="223">
        <f>P1062</f>
        <v>1964.714129</v>
      </c>
      <c r="Q1040" s="271"/>
      <c r="R1040" s="364"/>
      <c r="S1040" s="375"/>
      <c r="T1040" s="375"/>
    </row>
    <row r="1041" spans="2:20" s="117" customFormat="1">
      <c r="B1041" s="131" t="str">
        <f>'корпоративный баланс энергии'!H1050</f>
        <v>КАСКАД-1 Каскад Вуоксинских ГЭС (филиал "Невский" ПАО "ТГК-1")</v>
      </c>
      <c r="C1041" s="516" t="s">
        <v>364</v>
      </c>
      <c r="D1041" s="317">
        <f>D1042+D1043</f>
        <v>313.95388031005859</v>
      </c>
      <c r="E1041" s="323"/>
      <c r="F1041" s="324"/>
      <c r="G1041" s="317">
        <f>G1042+G1043</f>
        <v>309.82085418701172</v>
      </c>
      <c r="H1041" s="323"/>
      <c r="I1041" s="324"/>
      <c r="J1041" s="317">
        <f>J1042+J1043</f>
        <v>313.79592895507813</v>
      </c>
      <c r="K1041" s="323"/>
      <c r="L1041" s="324"/>
      <c r="M1041" s="317">
        <f>M1042+M1043</f>
        <v>311.71324920654297</v>
      </c>
      <c r="N1041" s="323"/>
      <c r="O1041" s="324"/>
      <c r="P1041" s="317">
        <f>P1042+P1043</f>
        <v>1249.2839126586914</v>
      </c>
      <c r="Q1041" s="246"/>
      <c r="R1041" s="282"/>
      <c r="S1041" s="375"/>
      <c r="T1041" s="375"/>
    </row>
    <row r="1042" spans="2:20" s="117" customFormat="1">
      <c r="B1042" s="129" t="str">
        <f>'корпоративный баланс энергии'!H1051</f>
        <v xml:space="preserve">Лесогорская ГЭС-10 (филиал "Невский" ПАО "ТГК-1") </v>
      </c>
      <c r="C1042" s="507"/>
      <c r="D1042" s="281">
        <f>'корпоративный баланс энергии'!J1051+'корпоративный баланс энергии'!M1051+'корпоративный баланс энергии'!P1051</f>
        <v>160.9726678867392</v>
      </c>
      <c r="E1042" s="323"/>
      <c r="F1042" s="324"/>
      <c r="G1042" s="281">
        <f>'корпоративный баланс энергии'!S1051+'корпоративный баланс энергии'!V1051+'корпоративный баланс энергии'!Y1051</f>
        <v>154.87101424148662</v>
      </c>
      <c r="H1042" s="323"/>
      <c r="I1042" s="324"/>
      <c r="J1042" s="281">
        <f>'корпоративный баланс энергии'!AB1051+'корпоративный баланс энергии'!AE1051+'корпоративный баланс энергии'!AH1051</f>
        <v>159.34093981861147</v>
      </c>
      <c r="K1042" s="323"/>
      <c r="L1042" s="324"/>
      <c r="M1042" s="281">
        <f>'корпоративный баланс энергии'!AK1051+'корпоративный баланс энергии'!AN1051+'корпоративный баланс энергии'!AQ1051</f>
        <v>157.10303230695925</v>
      </c>
      <c r="N1042" s="323"/>
      <c r="O1042" s="324"/>
      <c r="P1042" s="244">
        <f t="shared" ref="P1042" si="69">D1042+G1042+J1042+M1042</f>
        <v>632.28765425379652</v>
      </c>
      <c r="Q1042" s="246"/>
      <c r="R1042" s="282"/>
      <c r="S1042" s="375"/>
      <c r="T1042" s="375"/>
    </row>
    <row r="1043" spans="2:20" s="117" customFormat="1">
      <c r="B1043" s="129" t="str">
        <f>'корпоративный баланс энергии'!H1052</f>
        <v>Светлогорская ГЭС-11 (филиал "Невский" ПАО "ТГК-1")</v>
      </c>
      <c r="C1043" s="507"/>
      <c r="D1043" s="281">
        <f>'корпоративный баланс энергии'!J1052+'корпоративный баланс энергии'!M1052+'корпоративный баланс энергии'!P1052</f>
        <v>152.98121242331939</v>
      </c>
      <c r="E1043" s="323"/>
      <c r="F1043" s="324"/>
      <c r="G1043" s="281">
        <f>'корпоративный баланс энергии'!S1052+'корпоративный баланс энергии'!V1052+'корпоративный баланс энергии'!Y1052</f>
        <v>154.9498399455251</v>
      </c>
      <c r="H1043" s="323"/>
      <c r="I1043" s="324"/>
      <c r="J1043" s="281">
        <f>'корпоративный баланс энергии'!AB1052+'корпоративный баланс энергии'!AE1052+'корпоративный баланс энергии'!AH1052</f>
        <v>154.45498913646665</v>
      </c>
      <c r="K1043" s="323"/>
      <c r="L1043" s="324"/>
      <c r="M1043" s="281">
        <f>'корпоративный баланс энергии'!AK1052+'корпоративный баланс энергии'!AN1052+'корпоративный баланс энергии'!AQ1052</f>
        <v>154.61021689958372</v>
      </c>
      <c r="N1043" s="323"/>
      <c r="O1043" s="324"/>
      <c r="P1043" s="244">
        <f t="shared" ref="P1043" si="70">D1043+G1043+J1043+M1043</f>
        <v>616.99625840489489</v>
      </c>
      <c r="Q1043" s="246"/>
      <c r="R1043" s="282"/>
      <c r="S1043" s="375"/>
      <c r="T1043" s="375"/>
    </row>
    <row r="1044" spans="2:20" s="117" customFormat="1">
      <c r="B1044" s="131" t="str">
        <f>'корпоративный баланс энергии'!H1053</f>
        <v>КАСКАД-2 Каскад Ладожских ГЭС (филиал "Невский" ПАО "ТГК-1")</v>
      </c>
      <c r="C1044" s="516" t="s">
        <v>364</v>
      </c>
      <c r="D1044" s="317">
        <f>SUM(D1045:D1047)</f>
        <v>309.79908561706543</v>
      </c>
      <c r="E1044" s="246"/>
      <c r="F1044" s="282"/>
      <c r="G1044" s="317">
        <f>SUM(G1045:G1047)</f>
        <v>403.43926620483398</v>
      </c>
      <c r="H1044" s="246"/>
      <c r="I1044" s="282"/>
      <c r="J1044" s="317">
        <f>SUM(J1045:J1047)</f>
        <v>368.27654266357422</v>
      </c>
      <c r="K1044" s="246"/>
      <c r="L1044" s="282"/>
      <c r="M1044" s="317">
        <f>SUM(M1045:M1047)</f>
        <v>346.25433158874512</v>
      </c>
      <c r="N1044" s="246"/>
      <c r="O1044" s="282"/>
      <c r="P1044" s="317">
        <f>SUM(P1045:P1047)</f>
        <v>1427.7692260742188</v>
      </c>
      <c r="Q1044" s="246"/>
      <c r="R1044" s="282"/>
      <c r="S1044" s="375"/>
      <c r="T1044" s="375"/>
    </row>
    <row r="1045" spans="2:20" s="117" customFormat="1">
      <c r="B1045" s="129" t="str">
        <f>'корпоративный баланс энергии'!H1054</f>
        <v>Волховская ГЭС-6 (филиал "Невский" ПАО "ТГК-1")</v>
      </c>
      <c r="C1045" s="486"/>
      <c r="D1045" s="281">
        <f>'корпоративный баланс энергии'!J1054+'корпоративный баланс энергии'!M1054+'корпоративный баланс энергии'!P1054</f>
        <v>70.983160018920898</v>
      </c>
      <c r="E1045" s="246"/>
      <c r="F1045" s="282"/>
      <c r="G1045" s="244">
        <f>'корпоративный баланс энергии'!S1054+'корпоративный баланс энергии'!V1054+'корпоративный баланс энергии'!Y1054</f>
        <v>134.87530899047852</v>
      </c>
      <c r="H1045" s="246"/>
      <c r="I1045" s="282"/>
      <c r="J1045" s="244">
        <f>'корпоративный баланс энергии'!AB1054+'корпоративный баланс энергии'!AE1054+'корпоративный баланс энергии'!AH1054</f>
        <v>88.286262512207031</v>
      </c>
      <c r="K1045" s="246"/>
      <c r="L1045" s="282"/>
      <c r="M1045" s="244">
        <f>'корпоративный баланс энергии'!AK1054+'корпоративный баланс энергии'!AN1054+'корпоративный баланс энергии'!AQ1054</f>
        <v>78.979307174682617</v>
      </c>
      <c r="N1045" s="246"/>
      <c r="O1045" s="282"/>
      <c r="P1045" s="244">
        <f t="shared" ref="P1045:P1050" si="71">D1045+G1045+J1045+M1045</f>
        <v>373.12403869628906</v>
      </c>
      <c r="Q1045" s="246"/>
      <c r="R1045" s="282"/>
      <c r="S1045" s="375"/>
      <c r="T1045" s="375"/>
    </row>
    <row r="1046" spans="2:20" s="117" customFormat="1">
      <c r="B1046" s="129" t="str">
        <f>'корпоративный баланс энергии'!H1055</f>
        <v>Нижне-Свирская ГЭС-9 (филиал "Невский" ПАО "ТГК-1")</v>
      </c>
      <c r="C1046" s="498"/>
      <c r="D1046" s="281">
        <f>'корпоративный баланс энергии'!J1055+'корпоративный баланс энергии'!M1055+'корпоративный баланс энергии'!P1055</f>
        <v>101.24764922873609</v>
      </c>
      <c r="E1046" s="246"/>
      <c r="F1046" s="282"/>
      <c r="G1046" s="244">
        <f>'корпоративный баланс энергии'!S1055+'корпоративный баланс энергии'!V1055+'корпоративный баланс энергии'!Y1055</f>
        <v>122.71169942176377</v>
      </c>
      <c r="H1046" s="246"/>
      <c r="I1046" s="282"/>
      <c r="J1046" s="244">
        <f>'корпоративный баланс энергии'!AB1055+'корпоративный баланс энергии'!AE1055+'корпоративный баланс энергии'!AH1055</f>
        <v>121.28805415323572</v>
      </c>
      <c r="K1046" s="246"/>
      <c r="L1046" s="282"/>
      <c r="M1046" s="244">
        <f>'корпоративный баланс энергии'!AK1055+'корпоративный баланс энергии'!AN1055+'корпоративный баланс энергии'!AQ1055</f>
        <v>118.71367576821811</v>
      </c>
      <c r="N1046" s="246"/>
      <c r="O1046" s="282"/>
      <c r="P1046" s="244">
        <f t="shared" si="71"/>
        <v>463.96107857195364</v>
      </c>
      <c r="Q1046" s="246"/>
      <c r="R1046" s="282"/>
      <c r="S1046" s="375"/>
      <c r="T1046" s="375"/>
    </row>
    <row r="1047" spans="2:20" s="117" customFormat="1">
      <c r="B1047" s="129" t="str">
        <f>'корпоративный баланс энергии'!H1056</f>
        <v>Верхне-Свирская ГЭС-12 (филиал "Невский" ПАО "ТГК-1")</v>
      </c>
      <c r="C1047" s="498"/>
      <c r="D1047" s="281">
        <f>'корпоративный баланс энергии'!J1056+'корпоративный баланс энергии'!M1056+'корпоративный баланс энергии'!P1056</f>
        <v>137.56827636940844</v>
      </c>
      <c r="E1047" s="246"/>
      <c r="F1047" s="282"/>
      <c r="G1047" s="244">
        <f>'корпоративный баланс энергии'!S1056+'корпоративный баланс энергии'!V1056+'корпоративный баланс энергии'!Y1056</f>
        <v>145.8522577925917</v>
      </c>
      <c r="H1047" s="246"/>
      <c r="I1047" s="282"/>
      <c r="J1047" s="244">
        <f>'корпоративный баланс энергии'!AB1056+'корпоративный баланс энергии'!AE1056+'корпоративный баланс энергии'!AH1056</f>
        <v>158.70222599813147</v>
      </c>
      <c r="K1047" s="246"/>
      <c r="L1047" s="282"/>
      <c r="M1047" s="244">
        <f>'корпоративный баланс энергии'!AK1056+'корпоративный баланс энергии'!AN1056+'корпоративный баланс энергии'!AQ1056</f>
        <v>148.56134864584439</v>
      </c>
      <c r="N1047" s="246"/>
      <c r="O1047" s="282"/>
      <c r="P1047" s="244">
        <f t="shared" si="71"/>
        <v>590.68410880597605</v>
      </c>
      <c r="Q1047" s="246"/>
      <c r="R1047" s="282"/>
      <c r="S1047" s="375"/>
      <c r="T1047" s="375"/>
    </row>
    <row r="1048" spans="2:20" s="113" customFormat="1">
      <c r="B1048" s="129" t="str">
        <f>'корпоративный баланс энергии'!H1057</f>
        <v>Нарвская ГЭС-13 (филиал "Невский" ПАО "ТГК-1")</v>
      </c>
      <c r="C1048" s="516" t="s">
        <v>364</v>
      </c>
      <c r="D1048" s="281">
        <f>'корпоративный баланс энергии'!J1057+'корпоративный баланс энергии'!M1057+'корпоративный баланс энергии'!P1057</f>
        <v>142.85327529907227</v>
      </c>
      <c r="E1048" s="246"/>
      <c r="F1048" s="282"/>
      <c r="G1048" s="244">
        <f>'корпоративный баланс энергии'!S1057+'корпоративный баланс энергии'!V1057+'корпоративный баланс энергии'!Y1057</f>
        <v>215.44139862060547</v>
      </c>
      <c r="H1048" s="246"/>
      <c r="I1048" s="282"/>
      <c r="J1048" s="244">
        <f>'корпоративный баланс энергии'!AB1057+'корпоративный баланс энергии'!AE1057+'корпоративный баланс энергии'!AH1057</f>
        <v>148.06756973266602</v>
      </c>
      <c r="K1048" s="246"/>
      <c r="L1048" s="282"/>
      <c r="M1048" s="244">
        <f>'корпоративный баланс энергии'!AK1057+'корпоративный баланс энергии'!AN1057+'корпоративный баланс энергии'!AQ1057</f>
        <v>147.08307266235352</v>
      </c>
      <c r="N1048" s="246"/>
      <c r="O1048" s="282"/>
      <c r="P1048" s="244">
        <f t="shared" si="71"/>
        <v>653.44531631469727</v>
      </c>
      <c r="Q1048" s="246"/>
      <c r="R1048" s="282"/>
      <c r="S1048" s="355"/>
      <c r="T1048" s="355"/>
    </row>
    <row r="1049" spans="2:20" s="113" customFormat="1">
      <c r="B1049" s="129" t="str">
        <f>'корпоративный баланс энергии'!H1058</f>
        <v>Дубровская ТЭЦ (ООО "Дубровская ТЭЦ")</v>
      </c>
      <c r="C1049" s="516" t="s">
        <v>364</v>
      </c>
      <c r="D1049" s="281">
        <f>'корпоративный баланс энергии'!J1058+'корпоративный баланс энергии'!M1058+'корпоративный баланс энергии'!P1058</f>
        <v>0</v>
      </c>
      <c r="E1049" s="246"/>
      <c r="F1049" s="282"/>
      <c r="G1049" s="244">
        <f>'корпоративный баланс энергии'!S1058+'корпоративный баланс энергии'!V1058+'корпоративный баланс энергии'!Y1058</f>
        <v>0</v>
      </c>
      <c r="H1049" s="246"/>
      <c r="I1049" s="282"/>
      <c r="J1049" s="244">
        <f>'корпоративный баланс энергии'!AB1058+'корпоративный баланс энергии'!AE1058+'корпоративный баланс энергии'!AH1058</f>
        <v>0</v>
      </c>
      <c r="K1049" s="246"/>
      <c r="L1049" s="282"/>
      <c r="M1049" s="244">
        <f>'корпоративный баланс энергии'!AK1058+'корпоративный баланс энергии'!AN1058+'корпоративный баланс энергии'!AQ1058</f>
        <v>0</v>
      </c>
      <c r="N1049" s="246"/>
      <c r="O1049" s="282"/>
      <c r="P1049" s="244">
        <f t="shared" si="71"/>
        <v>0</v>
      </c>
      <c r="Q1049" s="246"/>
      <c r="R1049" s="282"/>
      <c r="S1049" s="355"/>
      <c r="T1049" s="355"/>
    </row>
    <row r="1050" spans="2:20" s="113" customFormat="1">
      <c r="B1050" s="129" t="str">
        <f>'корпоративный баланс энергии'!H1059</f>
        <v>Ленинградская АЭС (филиал АО "Концерн Росэнергоатом")</v>
      </c>
      <c r="C1050" s="516" t="s">
        <v>364</v>
      </c>
      <c r="D1050" s="281">
        <f>'корпоративный баланс энергии'!J1059+'корпоративный баланс энергии'!M1059+'корпоративный баланс энергии'!P1059</f>
        <v>5112.6400000000003</v>
      </c>
      <c r="E1050" s="246"/>
      <c r="F1050" s="282"/>
      <c r="G1050" s="244">
        <f>'корпоративный баланс энергии'!S1059+'корпоративный баланс энергии'!V1059+'корпоративный баланс энергии'!Y1059</f>
        <v>4042.7700000000004</v>
      </c>
      <c r="H1050" s="246"/>
      <c r="I1050" s="282"/>
      <c r="J1050" s="244">
        <f>'корпоративный баланс энергии'!AB1059+'корпоративный баланс энергии'!AE1059+'корпоративный баланс энергии'!AH1059</f>
        <v>3436.95</v>
      </c>
      <c r="K1050" s="246"/>
      <c r="L1050" s="282"/>
      <c r="M1050" s="244">
        <f>'корпоративный баланс энергии'!AK1059+'корпоративный баланс энергии'!AN1059+'корпоративный баланс энергии'!AQ1059</f>
        <v>5117.6399999999994</v>
      </c>
      <c r="N1050" s="246"/>
      <c r="O1050" s="282"/>
      <c r="P1050" s="244">
        <f t="shared" si="71"/>
        <v>17710</v>
      </c>
      <c r="Q1050" s="246"/>
      <c r="R1050" s="282"/>
      <c r="S1050" s="355"/>
      <c r="T1050" s="355"/>
    </row>
    <row r="1051" spans="2:20" s="113" customFormat="1">
      <c r="B1051" s="129" t="str">
        <f>'корпоративный баланс энергии'!H1060</f>
        <v>Ленинградская АЭС-2, Блок 1 ДПМ НВ (филиал АО "Концерн Росэнергоатом")</v>
      </c>
      <c r="C1051" s="516" t="s">
        <v>364</v>
      </c>
      <c r="D1051" s="281">
        <f>'корпоративный баланс энергии'!J1060+'корпоративный баланс энергии'!M1060+'корпоративный баланс энергии'!P1060</f>
        <v>2498.29</v>
      </c>
      <c r="E1051" s="246"/>
      <c r="F1051" s="282"/>
      <c r="G1051" s="244">
        <f>'корпоративный баланс энергии'!S1060+'корпоративный баланс энергии'!V1060+'корпоративный баланс энергии'!Y1060</f>
        <v>2121.87</v>
      </c>
      <c r="H1051" s="246"/>
      <c r="I1051" s="282"/>
      <c r="J1051" s="244">
        <f>'корпоративный баланс энергии'!AB1060+'корпоративный баланс энергии'!AE1060+'корпоративный баланс энергии'!AH1060</f>
        <v>2404.2200000000003</v>
      </c>
      <c r="K1051" s="246"/>
      <c r="L1051" s="282"/>
      <c r="M1051" s="244">
        <f>'корпоративный баланс энергии'!AK1060+'корпоративный баланс энергии'!AN1060+'корпоративный баланс энергии'!AQ1060</f>
        <v>875.62</v>
      </c>
      <c r="N1051" s="246"/>
      <c r="O1051" s="282"/>
      <c r="P1051" s="244">
        <f t="shared" ref="P1051" si="72">D1051+G1051+J1051+M1051</f>
        <v>7900</v>
      </c>
      <c r="Q1051" s="246"/>
      <c r="R1051" s="282"/>
      <c r="S1051" s="355"/>
      <c r="T1051" s="355"/>
    </row>
    <row r="1052" spans="2:20" s="113" customFormat="1">
      <c r="B1052" s="129" t="str">
        <f>'корпоративный баланс энергии'!H1061</f>
        <v>Ленинградская АЭС-2, Блок 2 ДПМ НВ (филиал АО "Концерн Росэнергоатом")</v>
      </c>
      <c r="C1052" s="516" t="s">
        <v>364</v>
      </c>
      <c r="D1052" s="281">
        <f>'корпоративный баланс энергии'!J1061+'корпоративный баланс энергии'!M1061+'корпоративный баланс энергии'!P1061</f>
        <v>0</v>
      </c>
      <c r="E1052" s="246"/>
      <c r="F1052" s="282"/>
      <c r="G1052" s="244">
        <f>'корпоративный баланс энергии'!S1061+'корпоративный баланс энергии'!V1061+'корпоративный баланс энергии'!Y1061</f>
        <v>7.2</v>
      </c>
      <c r="H1052" s="246"/>
      <c r="I1052" s="282"/>
      <c r="J1052" s="244">
        <f>'корпоративный баланс энергии'!AB1061+'корпоративный баланс энергии'!AE1061+'корпоративный баланс энергии'!AH1061</f>
        <v>53.23</v>
      </c>
      <c r="K1052" s="246"/>
      <c r="L1052" s="282"/>
      <c r="M1052" s="244">
        <f>'корпоративный баланс энергии'!AK1061+'корпоративный баланс энергии'!AN1061+'корпоративный баланс энергии'!AQ1061</f>
        <v>439.57000000000005</v>
      </c>
      <c r="N1052" s="246"/>
      <c r="O1052" s="282"/>
      <c r="P1052" s="244">
        <f t="shared" ref="P1052" si="73">D1052+G1052+J1052+M1052</f>
        <v>500.00000000000006</v>
      </c>
      <c r="Q1052" s="246"/>
      <c r="R1052" s="282"/>
      <c r="S1052" s="355"/>
      <c r="T1052" s="355"/>
    </row>
    <row r="1053" spans="2:20" s="113" customFormat="1">
      <c r="B1053" s="131" t="str">
        <f>'корпоративный баланс энергии'!H1062</f>
        <v>Киришская ГРЭС/ТЭЦ19 (филиал ПАО "ОГК-2")</v>
      </c>
      <c r="C1053" s="516" t="s">
        <v>364</v>
      </c>
      <c r="D1053" s="317">
        <f>SUM(D1054:D1055)</f>
        <v>1314.8000000000002</v>
      </c>
      <c r="E1053" s="246"/>
      <c r="F1053" s="282"/>
      <c r="G1053" s="317">
        <f>SUM(G1054:G1055)</f>
        <v>1148.18</v>
      </c>
      <c r="H1053" s="246"/>
      <c r="I1053" s="282"/>
      <c r="J1053" s="317">
        <f>SUM(J1054:J1055)</f>
        <v>1142.78</v>
      </c>
      <c r="K1053" s="246"/>
      <c r="L1053" s="282"/>
      <c r="M1053" s="317">
        <f>SUM(M1054:M1055)</f>
        <v>1126.48</v>
      </c>
      <c r="N1053" s="246"/>
      <c r="O1053" s="282"/>
      <c r="P1053" s="317">
        <f>SUM(P1054:P1055)</f>
        <v>4732.24</v>
      </c>
      <c r="Q1053" s="246"/>
      <c r="R1053" s="282"/>
      <c r="S1053" s="355"/>
      <c r="T1053" s="355"/>
    </row>
    <row r="1054" spans="2:20" s="113" customFormat="1">
      <c r="B1054" s="129" t="str">
        <f>'корпоративный баланс энергии'!H1063</f>
        <v>Киришская ГРЭС/ТЭЦ19 (филиал ПАО "ОГК-2")</v>
      </c>
      <c r="C1054" s="487"/>
      <c r="D1054" s="281">
        <f>'корпоративный баланс энергии'!J1063+'корпоративный баланс энергии'!M1063+'корпоративный баланс энергии'!P1063</f>
        <v>316.36</v>
      </c>
      <c r="E1054" s="246"/>
      <c r="F1054" s="282"/>
      <c r="G1054" s="244">
        <f>'корпоративный баланс энергии'!S1063+'корпоративный баланс энергии'!V1063+'корпоративный баланс энергии'!Y1063</f>
        <v>263</v>
      </c>
      <c r="H1054" s="246"/>
      <c r="I1054" s="282"/>
      <c r="J1054" s="244">
        <f>'корпоративный баланс энергии'!AB1063+'корпоративный баланс энергии'!AE1063+'корпоративный баланс энергии'!AH1063</f>
        <v>596.29999999999995</v>
      </c>
      <c r="K1054" s="246"/>
      <c r="L1054" s="282"/>
      <c r="M1054" s="244">
        <f>'корпоративный баланс энергии'!AK1063+'корпоративный баланс энергии'!AN1063+'корпоративный баланс энергии'!AQ1063</f>
        <v>474.48</v>
      </c>
      <c r="N1054" s="246"/>
      <c r="O1054" s="282"/>
      <c r="P1054" s="244">
        <f>D1054+G1054+J1054+M1054</f>
        <v>1650.1399999999999</v>
      </c>
      <c r="Q1054" s="246"/>
      <c r="R1054" s="282"/>
      <c r="S1054" s="355"/>
      <c r="T1054" s="355"/>
    </row>
    <row r="1055" spans="2:20" s="113" customFormat="1">
      <c r="B1055" s="129" t="str">
        <f>'корпоративный баланс энергии'!H1064</f>
        <v>Киришская ГРЭС/ТЭЦ19 (филиал ПАО "ОГК-2") - ПГУ 500, 01.02.2012, ДПМ</v>
      </c>
      <c r="C1055" s="487"/>
      <c r="D1055" s="281">
        <f>'корпоративный баланс энергии'!J1064+'корпоративный баланс энергии'!M1064+'корпоративный баланс энергии'!P1064</f>
        <v>998.44</v>
      </c>
      <c r="E1055" s="246"/>
      <c r="F1055" s="282"/>
      <c r="G1055" s="244">
        <f>'корпоративный баланс энергии'!S1064+'корпоративный баланс энергии'!V1064+'корпоративный баланс энергии'!Y1064</f>
        <v>885.18000000000006</v>
      </c>
      <c r="H1055" s="246"/>
      <c r="I1055" s="282"/>
      <c r="J1055" s="244">
        <f>'корпоративный баланс энергии'!AB1064+'корпоративный баланс энергии'!AE1064+'корпоративный баланс энергии'!AH1064</f>
        <v>546.48</v>
      </c>
      <c r="K1055" s="246"/>
      <c r="L1055" s="282"/>
      <c r="M1055" s="244">
        <f>'корпоративный баланс энергии'!AK1064+'корпоративный баланс энергии'!AN1064+'корпоративный баланс энергии'!AQ1064</f>
        <v>652</v>
      </c>
      <c r="N1055" s="246"/>
      <c r="O1055" s="282"/>
      <c r="P1055" s="244">
        <f>D1055+G1055+J1055+M1055</f>
        <v>3082.1000000000004</v>
      </c>
      <c r="Q1055" s="246"/>
      <c r="R1055" s="282"/>
      <c r="S1055" s="355"/>
      <c r="T1055" s="355"/>
    </row>
    <row r="1056" spans="2:20" s="113" customFormat="1">
      <c r="B1056" s="129" t="str">
        <f>'корпоративный баланс энергии'!H1065</f>
        <v>Всеволожская ГТ-ТЭЦ (АО "ГТ Энерго") НВ</v>
      </c>
      <c r="C1056" s="516" t="s">
        <v>364</v>
      </c>
      <c r="D1056" s="281">
        <f>'корпоративный баланс энергии'!J1065+'корпоративный баланс энергии'!M1065+'корпоративный баланс энергии'!P1065</f>
        <v>22.640799999999999</v>
      </c>
      <c r="E1056" s="246"/>
      <c r="F1056" s="282"/>
      <c r="G1056" s="244">
        <f>'корпоративный баланс энергии'!S1065+'корпоративный баланс энергии'!V1065+'корпоративный баланс энергии'!Y1065</f>
        <v>21.932600000000001</v>
      </c>
      <c r="H1056" s="246"/>
      <c r="I1056" s="282"/>
      <c r="J1056" s="244">
        <f>'корпоративный баланс энергии'!AB1065+'корпоративный баланс энергии'!AE1065+'корпоративный баланс энергии'!AH1065</f>
        <v>23.961199999999998</v>
      </c>
      <c r="K1056" s="246"/>
      <c r="L1056" s="282"/>
      <c r="M1056" s="244">
        <f>'корпоративный баланс энергии'!AK1065+'корпоративный баланс энергии'!AN1065+'корпоративный баланс энергии'!AQ1065</f>
        <v>21.952399999999997</v>
      </c>
      <c r="N1056" s="246"/>
      <c r="O1056" s="282"/>
      <c r="P1056" s="244">
        <f>D1056+G1056+J1056+M1056</f>
        <v>90.486999999999995</v>
      </c>
      <c r="Q1056" s="246"/>
      <c r="R1056" s="282"/>
      <c r="S1056" s="355"/>
      <c r="T1056" s="355"/>
    </row>
    <row r="1057" spans="2:20" s="115" customFormat="1">
      <c r="B1057" s="131" t="str">
        <f>'корпоративный баланс энергии'!H1066</f>
        <v>Северная ТЭЦ-21 (филиал "Невский" ОАО "ТГК-1")</v>
      </c>
      <c r="C1057" s="516" t="s">
        <v>364</v>
      </c>
      <c r="D1057" s="317">
        <f>D1058+D1059+D1060</f>
        <v>796.26</v>
      </c>
      <c r="E1057" s="246"/>
      <c r="F1057" s="282"/>
      <c r="G1057" s="317">
        <f>G1058+G1059+G1060</f>
        <v>414.19500000000005</v>
      </c>
      <c r="H1057" s="246"/>
      <c r="I1057" s="282"/>
      <c r="J1057" s="317">
        <f>J1058+J1059+J1060</f>
        <v>326.8</v>
      </c>
      <c r="K1057" s="246"/>
      <c r="L1057" s="282"/>
      <c r="M1057" s="317">
        <f>M1058+M1059+M1060</f>
        <v>704.596</v>
      </c>
      <c r="N1057" s="246"/>
      <c r="O1057" s="282"/>
      <c r="P1057" s="317">
        <f>P1058+P1059+P1060</f>
        <v>2241.8510000000001</v>
      </c>
      <c r="Q1057" s="246"/>
      <c r="R1057" s="282"/>
      <c r="S1057" s="375"/>
      <c r="T1057" s="375"/>
    </row>
    <row r="1058" spans="2:20" s="115" customFormat="1">
      <c r="B1058" s="129" t="str">
        <f>'корпоративный баланс энергии'!H1067</f>
        <v>Северная ТЭЦ (ТЭЦ-21)  (филиал "Невский" ПАО "ТГК-1") Блок 1,3, ВР</v>
      </c>
      <c r="C1058" s="516"/>
      <c r="D1058" s="281">
        <f>'корпоративный баланс энергии'!J1067+'корпоративный баланс энергии'!M1067+'корпоративный баланс энергии'!P1067</f>
        <v>366.47500000000002</v>
      </c>
      <c r="E1058" s="246"/>
      <c r="F1058" s="282"/>
      <c r="G1058" s="244">
        <f>'корпоративный баланс энергии'!S1067+'корпоративный баланс энергии'!V1067+'корпоративный баланс энергии'!Y1067</f>
        <v>192.39500000000001</v>
      </c>
      <c r="H1058" s="246"/>
      <c r="I1058" s="282"/>
      <c r="J1058" s="244">
        <f>'корпоративный баланс энергии'!AB1067+'корпоративный баланс энергии'!AE1067+'корпоративный баланс энергии'!AH1067</f>
        <v>139.30000000000001</v>
      </c>
      <c r="K1058" s="246"/>
      <c r="L1058" s="282"/>
      <c r="M1058" s="244">
        <f>'корпоративный баланс энергии'!AK1067+'корпоративный баланс энергии'!AN1067+'корпоративный баланс энергии'!AQ1067</f>
        <v>246.09000000000003</v>
      </c>
      <c r="N1058" s="246"/>
      <c r="O1058" s="282"/>
      <c r="P1058" s="244">
        <f t="shared" ref="P1058:P1060" si="74">D1058+G1058+J1058+M1058</f>
        <v>944.2600000000001</v>
      </c>
      <c r="Q1058" s="246"/>
      <c r="R1058" s="282"/>
      <c r="S1058" s="375"/>
      <c r="T1058" s="375"/>
    </row>
    <row r="1059" spans="2:20" s="115" customFormat="1">
      <c r="B1059" s="129" t="str">
        <f>'корпоративный баланс энергии'!H1068</f>
        <v>Северная ТЭЦ (ТЭЦ-21)  (филиал "Невский" ПАО "ТГК-1")Блок 2,4 ВР</v>
      </c>
      <c r="C1059" s="516"/>
      <c r="D1059" s="281">
        <f>'корпоративный баланс энергии'!J1068+'корпоративный баланс энергии'!M1068+'корпоративный баланс энергии'!P1068</f>
        <v>270.89</v>
      </c>
      <c r="E1059" s="246"/>
      <c r="F1059" s="282"/>
      <c r="G1059" s="244">
        <f>'корпоративный баланс энергии'!S1068+'корпоративный баланс энергии'!V1068+'корпоративный баланс энергии'!Y1068</f>
        <v>221.8</v>
      </c>
      <c r="H1059" s="246"/>
      <c r="I1059" s="282"/>
      <c r="J1059" s="244">
        <f>'корпоративный баланс энергии'!AB1068+'корпоративный баланс энергии'!AE1068+'корпоративный баланс энергии'!AH1068</f>
        <v>187.5</v>
      </c>
      <c r="K1059" s="246"/>
      <c r="L1059" s="282"/>
      <c r="M1059" s="244">
        <f>'корпоративный баланс энергии'!AK1068+'корпоративный баланс энергии'!AN1068+'корпоративный баланс энергии'!AQ1068</f>
        <v>340.36599999999999</v>
      </c>
      <c r="N1059" s="246"/>
      <c r="O1059" s="282"/>
      <c r="P1059" s="244">
        <f t="shared" si="74"/>
        <v>1020.556</v>
      </c>
      <c r="Q1059" s="246"/>
      <c r="R1059" s="282"/>
      <c r="S1059" s="375"/>
      <c r="T1059" s="375"/>
    </row>
    <row r="1060" spans="2:20" s="115" customFormat="1">
      <c r="B1060" s="129" t="str">
        <f>'корпоративный баланс энергии'!H1069</f>
        <v>Северная ТЭЦ (ТЭЦ-21)  (филиал "Невский" ПАО "ТГК-1") Блок 5 ВР</v>
      </c>
      <c r="C1060" s="516"/>
      <c r="D1060" s="281">
        <f>'корпоративный баланс энергии'!J1069+'корпоративный баланс энергии'!M1069+'корпоративный баланс энергии'!P1069</f>
        <v>158.89500000000001</v>
      </c>
      <c r="E1060" s="246"/>
      <c r="F1060" s="282"/>
      <c r="G1060" s="244">
        <f>'корпоративный баланс энергии'!S1069+'корпоративный баланс энергии'!V1069+'корпоративный баланс энергии'!Y1069</f>
        <v>0</v>
      </c>
      <c r="H1060" s="246"/>
      <c r="I1060" s="282"/>
      <c r="J1060" s="244">
        <f>'корпоративный баланс энергии'!AB1069+'корпоративный баланс энергии'!AE1069+'корпоративный баланс энергии'!AH1069</f>
        <v>0</v>
      </c>
      <c r="K1060" s="246"/>
      <c r="L1060" s="282"/>
      <c r="M1060" s="244">
        <f>'корпоративный баланс энергии'!AK1069+'корпоративный баланс энергии'!AN1069+'корпоративный баланс энергии'!AQ1069</f>
        <v>118.14</v>
      </c>
      <c r="N1060" s="246"/>
      <c r="O1060" s="282"/>
      <c r="P1060" s="244">
        <f t="shared" si="74"/>
        <v>277.03500000000003</v>
      </c>
      <c r="Q1060" s="246"/>
      <c r="R1060" s="282"/>
      <c r="S1060" s="375"/>
      <c r="T1060" s="375"/>
    </row>
    <row r="1061" spans="2:20" s="115" customFormat="1">
      <c r="B1061" s="129" t="str">
        <f>'корпоративный баланс энергии'!H1070</f>
        <v>БиоТЭС Вирео Энерджи (ООО "Вирео Энерджи")</v>
      </c>
      <c r="C1061" s="519" t="s">
        <v>365</v>
      </c>
      <c r="D1061" s="281">
        <f>'корпоративный баланс энергии'!J1070+'корпоративный баланс энергии'!M1070+'корпоративный баланс энергии'!P1070</f>
        <v>7.2144000000000004</v>
      </c>
      <c r="E1061" s="246"/>
      <c r="F1061" s="282"/>
      <c r="G1061" s="244">
        <f>'корпоративный баланс энергии'!S1070+'корпоративный баланс энергии'!V1070+'корпоративный баланс энергии'!Y1070</f>
        <v>7.2945599999999997</v>
      </c>
      <c r="H1061" s="246"/>
      <c r="I1061" s="282"/>
      <c r="J1061" s="244">
        <f>'корпоративный баланс энергии'!AB1070+'корпоративный баланс энергии'!AE1070+'корпоративный баланс энергии'!AH1070</f>
        <v>7.3747199999999999</v>
      </c>
      <c r="K1061" s="246"/>
      <c r="L1061" s="282"/>
      <c r="M1061" s="244">
        <f>'корпоративный баланс энергии'!AK1070+'корпоративный баланс энергии'!AN1070+'корпоративный баланс энергии'!AQ1070</f>
        <v>7.3747199999999999</v>
      </c>
      <c r="N1061" s="246"/>
      <c r="O1061" s="282"/>
      <c r="P1061" s="244">
        <f>D1061+G1061+J1061+M1061</f>
        <v>29.258399999999998</v>
      </c>
      <c r="Q1061" s="246"/>
      <c r="R1061" s="282"/>
      <c r="S1061" s="375"/>
      <c r="T1061" s="375"/>
    </row>
    <row r="1062" spans="2:20" s="115" customFormat="1">
      <c r="B1062" s="138" t="s">
        <v>174</v>
      </c>
      <c r="C1062" s="488"/>
      <c r="D1062" s="287">
        <f>SUM(D1063:D1072)</f>
        <v>536.70194600000002</v>
      </c>
      <c r="E1062" s="307"/>
      <c r="F1062" s="308"/>
      <c r="G1062" s="287">
        <f>SUM(G1063:G1072)</f>
        <v>450.32463700000005</v>
      </c>
      <c r="H1062" s="307"/>
      <c r="I1062" s="308"/>
      <c r="J1062" s="287">
        <f>SUM(J1063:J1072)</f>
        <v>438.79088000000002</v>
      </c>
      <c r="K1062" s="307"/>
      <c r="L1062" s="308"/>
      <c r="M1062" s="287">
        <f>SUM(M1063:M1072)</f>
        <v>538.89666599999998</v>
      </c>
      <c r="N1062" s="307"/>
      <c r="O1062" s="308"/>
      <c r="P1062" s="287">
        <f>SUM(P1063:P1072)</f>
        <v>1964.714129</v>
      </c>
      <c r="Q1062" s="307"/>
      <c r="R1062" s="308"/>
      <c r="S1062" s="375"/>
      <c r="T1062" s="375"/>
    </row>
    <row r="1063" spans="2:20" s="115" customFormat="1">
      <c r="B1063" s="142" t="str">
        <f>'корпоративный баланс энергии'!H1072</f>
        <v>ТЭЦ Фосфорит (ООО "Промышленная группа Фосфорит") НВ 01.01.2016</v>
      </c>
      <c r="C1063" s="518" t="s">
        <v>365</v>
      </c>
      <c r="D1063" s="293">
        <f>'корпоративный баланс энергии'!J1072+'корпоративный баланс энергии'!M1072+'корпоративный баланс энергии'!P1072</f>
        <v>65.472000000000008</v>
      </c>
      <c r="E1063" s="288"/>
      <c r="F1063" s="289"/>
      <c r="G1063" s="294">
        <f>'корпоративный баланс энергии'!S1072+'корпоративный баланс энергии'!V1072+'корпоративный баланс энергии'!Y1072</f>
        <v>65.472000000000008</v>
      </c>
      <c r="H1063" s="288"/>
      <c r="I1063" s="289"/>
      <c r="J1063" s="294">
        <f>'корпоративный баланс энергии'!AB1072+'корпоративный баланс энергии'!AE1072+'корпоративный баланс энергии'!AH1072</f>
        <v>54.34</v>
      </c>
      <c r="K1063" s="288"/>
      <c r="L1063" s="289"/>
      <c r="M1063" s="294">
        <f>'корпоративный баланс энергии'!AK1072+'корпоративный баланс энергии'!AN1072+'корпоративный баланс энергии'!AQ1072</f>
        <v>66.216000000000008</v>
      </c>
      <c r="N1063" s="288"/>
      <c r="O1063" s="289"/>
      <c r="P1063" s="294">
        <f t="shared" ref="P1063:P1068" si="75">D1063+G1063+J1063+M1063</f>
        <v>251.50000000000003</v>
      </c>
      <c r="Q1063" s="288"/>
      <c r="R1063" s="289"/>
      <c r="S1063" s="375"/>
      <c r="T1063" s="375"/>
    </row>
    <row r="1064" spans="2:20" s="115" customFormat="1">
      <c r="B1064" s="142" t="str">
        <f>'корпоративный баланс энергии'!H1073</f>
        <v>ТЭЦ (АО "КНАУФ ПЕТРОБОРД")</v>
      </c>
      <c r="C1064" s="518" t="s">
        <v>365</v>
      </c>
      <c r="D1064" s="293">
        <f>'корпоративный баланс энергии'!J1073+'корпоративный баланс энергии'!M1073+'корпоративный баланс энергии'!P1073</f>
        <v>24.17</v>
      </c>
      <c r="E1064" s="288"/>
      <c r="F1064" s="289"/>
      <c r="G1064" s="294">
        <f>'корпоративный баланс энергии'!S1073+'корпоративный баланс энергии'!V1073+'корпоративный баланс энергии'!Y1073</f>
        <v>16.78</v>
      </c>
      <c r="H1064" s="288"/>
      <c r="I1064" s="289"/>
      <c r="J1064" s="294">
        <f>'корпоративный баланс энергии'!AB1073+'корпоративный баланс энергии'!AE1073+'корпоративный баланс энергии'!AH1073</f>
        <v>15.16</v>
      </c>
      <c r="K1064" s="288"/>
      <c r="L1064" s="289"/>
      <c r="M1064" s="294">
        <f>'корпоративный баланс энергии'!AK1073+'корпоративный баланс энергии'!AN1073+'корпоративный баланс энергии'!AQ1073</f>
        <v>23.450000000000003</v>
      </c>
      <c r="N1064" s="288"/>
      <c r="O1064" s="289"/>
      <c r="P1064" s="294">
        <f t="shared" si="75"/>
        <v>79.56</v>
      </c>
      <c r="Q1064" s="288"/>
      <c r="R1064" s="289"/>
      <c r="S1064" s="375"/>
      <c r="T1064" s="375"/>
    </row>
    <row r="1065" spans="2:20" s="113" customFormat="1">
      <c r="B1065" s="142" t="str">
        <f>'корпоративный баланс энергии'!H1074</f>
        <v>ТЭЦ (ЗАО "Интернешнл Пейпер")</v>
      </c>
      <c r="C1065" s="518" t="s">
        <v>365</v>
      </c>
      <c r="D1065" s="293">
        <f>'корпоративный баланс энергии'!J1074+'корпоративный баланс энергии'!M1074+'корпоративный баланс энергии'!P1074</f>
        <v>145.75</v>
      </c>
      <c r="E1065" s="288"/>
      <c r="F1065" s="289"/>
      <c r="G1065" s="294">
        <f>'корпоративный баланс энергии'!S1074+'корпоративный баланс энергии'!V1074+'корпоративный баланс энергии'!Y1074</f>
        <v>107.07</v>
      </c>
      <c r="H1065" s="288"/>
      <c r="I1065" s="289"/>
      <c r="J1065" s="294">
        <f>'корпоративный баланс энергии'!AB1074+'корпоративный баланс энергии'!AE1074+'корпоративный баланс энергии'!AH1074</f>
        <v>114.21000000000001</v>
      </c>
      <c r="K1065" s="288"/>
      <c r="L1065" s="289"/>
      <c r="M1065" s="294">
        <f>'корпоративный баланс энергии'!AK1074+'корпоративный баланс энергии'!AN1074+'корпоративный баланс энергии'!AQ1074</f>
        <v>137</v>
      </c>
      <c r="N1065" s="288"/>
      <c r="O1065" s="289"/>
      <c r="P1065" s="294">
        <f t="shared" si="75"/>
        <v>504.03</v>
      </c>
      <c r="Q1065" s="288"/>
      <c r="R1065" s="289"/>
      <c r="S1065" s="355"/>
      <c r="T1065" s="355"/>
    </row>
    <row r="1066" spans="2:20" s="113" customFormat="1">
      <c r="B1066" s="142" t="str">
        <f>'корпоративный баланс энергии'!H1075</f>
        <v>ТЭЦ СЛАНЦЫ (ООО "Завод "Сланцы")</v>
      </c>
      <c r="C1066" s="518" t="s">
        <v>365</v>
      </c>
      <c r="D1066" s="293">
        <f>'корпоративный баланс энергии'!J1075+'корпоративный баланс энергии'!M1075+'корпоративный баланс энергии'!P1075</f>
        <v>32.280798000000004</v>
      </c>
      <c r="E1066" s="288"/>
      <c r="F1066" s="289"/>
      <c r="G1066" s="294">
        <f>'корпоративный баланс энергии'!S1075+'корпоративный баланс энергии'!V1075+'корпоративный баланс энергии'!Y1075</f>
        <v>34.030271999999997</v>
      </c>
      <c r="H1066" s="288"/>
      <c r="I1066" s="289"/>
      <c r="J1066" s="294">
        <f>'корпоративный баланс энергии'!AB1075+'корпоративный баланс энергии'!AE1075+'корпоративный баланс энергии'!AH1075</f>
        <v>37.355615999999998</v>
      </c>
      <c r="K1066" s="288"/>
      <c r="L1066" s="289"/>
      <c r="M1066" s="294">
        <f>'корпоративный баланс энергии'!AK1075+'корпоративный баланс энергии'!AN1075+'корпоративный баланс энергии'!AQ1075</f>
        <v>37.345967999999999</v>
      </c>
      <c r="N1066" s="288"/>
      <c r="O1066" s="289"/>
      <c r="P1066" s="294">
        <f t="shared" si="75"/>
        <v>141.012654</v>
      </c>
      <c r="Q1066" s="288"/>
      <c r="R1066" s="289"/>
      <c r="S1066" s="355"/>
      <c r="T1066" s="355"/>
    </row>
    <row r="1067" spans="2:20" s="113" customFormat="1">
      <c r="B1067" s="142" t="str">
        <f>'корпоративный баланс энергии'!H1076</f>
        <v>ТЭЦ (АО "РУСАЛ Бокситогорск")</v>
      </c>
      <c r="C1067" s="518" t="s">
        <v>365</v>
      </c>
      <c r="D1067" s="293">
        <f>'корпоративный баланс энергии'!J1076+'корпоративный баланс энергии'!M1076+'корпоративный баланс энергии'!P1076</f>
        <v>20.9</v>
      </c>
      <c r="E1067" s="288"/>
      <c r="F1067" s="289"/>
      <c r="G1067" s="294">
        <f>'корпоративный баланс энергии'!S1076+'корпоративный баланс энергии'!V1076+'корпоративный баланс энергии'!Y1076</f>
        <v>11.2</v>
      </c>
      <c r="H1067" s="288"/>
      <c r="I1067" s="289"/>
      <c r="J1067" s="294">
        <f>'корпоративный баланс энергии'!AB1076+'корпоративный баланс энергии'!AE1076+'корпоративный баланс энергии'!AH1076</f>
        <v>15.799999999999999</v>
      </c>
      <c r="K1067" s="288"/>
      <c r="L1067" s="289"/>
      <c r="M1067" s="294">
        <f>'корпоративный баланс энергии'!AK1076+'корпоративный баланс энергии'!AN1076+'корпоративный баланс энергии'!AQ1076</f>
        <v>29.900000000000002</v>
      </c>
      <c r="N1067" s="288"/>
      <c r="O1067" s="289"/>
      <c r="P1067" s="294">
        <f t="shared" si="75"/>
        <v>77.8</v>
      </c>
      <c r="Q1067" s="288"/>
      <c r="R1067" s="289"/>
      <c r="S1067" s="355"/>
      <c r="T1067" s="355"/>
    </row>
    <row r="1068" spans="2:20" s="113" customFormat="1">
      <c r="B1068" s="142" t="str">
        <f>'корпоративный баланс энергии'!H1077</f>
        <v>ТЭЦ (ООО "БазэлЦемент-Пикалево")</v>
      </c>
      <c r="C1068" s="518" t="s">
        <v>365</v>
      </c>
      <c r="D1068" s="293">
        <f>'корпоративный баланс энергии'!J1077+'корпоративный баланс энергии'!M1077+'корпоративный баланс энергии'!P1077</f>
        <v>103.55</v>
      </c>
      <c r="E1068" s="288"/>
      <c r="F1068" s="289"/>
      <c r="G1068" s="294">
        <f>'корпоративный баланс энергии'!S1077+'корпоративный баланс энергии'!V1077+'корпоративный баланс энергии'!Y1077</f>
        <v>93.6</v>
      </c>
      <c r="H1068" s="288"/>
      <c r="I1068" s="289"/>
      <c r="J1068" s="294">
        <f>'корпоративный баланс энергии'!AB1077+'корпоративный баланс энергии'!AE1077+'корпоративный баланс энергии'!AH1077</f>
        <v>86.6</v>
      </c>
      <c r="K1068" s="288"/>
      <c r="L1068" s="289"/>
      <c r="M1068" s="294">
        <f>'корпоративный баланс энергии'!AK1077+'корпоративный баланс энергии'!AN1077+'корпоративный баланс энергии'!AQ1077</f>
        <v>103.6</v>
      </c>
      <c r="N1068" s="288"/>
      <c r="O1068" s="289"/>
      <c r="P1068" s="294">
        <f t="shared" si="75"/>
        <v>387.35</v>
      </c>
      <c r="Q1068" s="288"/>
      <c r="R1068" s="289"/>
      <c r="S1068" s="355"/>
      <c r="T1068" s="355"/>
    </row>
    <row r="1069" spans="2:20" s="115" customFormat="1">
      <c r="B1069" s="142" t="str">
        <f>'корпоративный баланс энергии'!H1078</f>
        <v>ТЭЦ (ОАО "Сясьский ЦБК")</v>
      </c>
      <c r="C1069" s="518" t="s">
        <v>365</v>
      </c>
      <c r="D1069" s="293">
        <f>'корпоративный баланс энергии'!J1078+'корпоративный баланс энергии'!M1078+'корпоративный баланс энергии'!P1078</f>
        <v>38.700000000000003</v>
      </c>
      <c r="E1069" s="288"/>
      <c r="F1069" s="289"/>
      <c r="G1069" s="294">
        <f>'корпоративный баланс энергии'!S1078+'корпоративный баланс энергии'!V1078+'корпоративный баланс энергии'!Y1078</f>
        <v>26.1</v>
      </c>
      <c r="H1069" s="288"/>
      <c r="I1069" s="289"/>
      <c r="J1069" s="294">
        <f>'корпоративный баланс энергии'!AB1078+'корпоративный баланс энергии'!AE1078+'корпоративный баланс энергии'!AH1078</f>
        <v>21.44</v>
      </c>
      <c r="K1069" s="288"/>
      <c r="L1069" s="289"/>
      <c r="M1069" s="294">
        <f>'корпоративный баланс энергии'!AK1078+'корпоративный баланс энергии'!AN1078+'корпоративный баланс энергии'!AQ1078</f>
        <v>35.76</v>
      </c>
      <c r="N1069" s="288"/>
      <c r="O1069" s="289"/>
      <c r="P1069" s="294">
        <f t="shared" ref="P1069:P1071" si="76">D1069+G1069+J1069+M1069</f>
        <v>122</v>
      </c>
      <c r="Q1069" s="288"/>
      <c r="R1069" s="289"/>
      <c r="S1069" s="375"/>
      <c r="T1069" s="375"/>
    </row>
    <row r="1070" spans="2:20" s="115" customFormat="1">
      <c r="B1070" s="142" t="str">
        <f>'корпоративный баланс энергии'!H1079</f>
        <v>Волховская ТЭЦ (АО "ЛОТЭК")</v>
      </c>
      <c r="C1070" s="518" t="s">
        <v>365</v>
      </c>
      <c r="D1070" s="293">
        <f>'корпоративный баланс энергии'!J1079+'корпоративный баланс энергии'!M1079+'корпоративный баланс энергии'!P1079</f>
        <v>15.345099999999999</v>
      </c>
      <c r="E1070" s="288"/>
      <c r="F1070" s="289"/>
      <c r="G1070" s="294">
        <f>'корпоративный баланс энергии'!S1079+'корпоративный баланс энергии'!V1079+'корпоративный баланс энергии'!Y1079</f>
        <v>6.6479999999999997</v>
      </c>
      <c r="H1070" s="288"/>
      <c r="I1070" s="289"/>
      <c r="J1070" s="294">
        <f>'корпоративный баланс энергии'!AB1079+'корпоративный баланс энергии'!AE1079+'корпоративный баланс энергии'!AH1079</f>
        <v>3.1386000000000003</v>
      </c>
      <c r="K1070" s="288"/>
      <c r="L1070" s="289"/>
      <c r="M1070" s="294">
        <f>'корпоративный баланс энергии'!AK1079+'корпоративный баланс энергии'!AN1079+'корпоративный баланс энергии'!AQ1079</f>
        <v>9.8812999999999995</v>
      </c>
      <c r="N1070" s="288"/>
      <c r="O1070" s="289"/>
      <c r="P1070" s="294">
        <f t="shared" si="76"/>
        <v>35.012999999999998</v>
      </c>
      <c r="Q1070" s="288"/>
      <c r="R1070" s="289"/>
      <c r="S1070" s="375"/>
      <c r="T1070" s="375"/>
    </row>
    <row r="1071" spans="2:20" s="115" customFormat="1">
      <c r="B1071" s="142" t="str">
        <f>'корпоративный баланс энергии'!H1080</f>
        <v>Тихвинская ТЭЦ (АО "Тихвинский вагоностроительный завод")</v>
      </c>
      <c r="C1071" s="518" t="s">
        <v>365</v>
      </c>
      <c r="D1071" s="293">
        <f>'корпоративный баланс энергии'!J1080+'корпоративный баланс энергии'!M1080+'корпоративный баланс энергии'!P1080</f>
        <v>90.534048000000013</v>
      </c>
      <c r="E1071" s="288"/>
      <c r="F1071" s="289"/>
      <c r="G1071" s="294">
        <f>'корпоративный баланс энергии'!S1080+'корпоративный баланс энергии'!V1080+'корпоративный баланс энергии'!Y1080</f>
        <v>89.424364999999995</v>
      </c>
      <c r="H1071" s="288"/>
      <c r="I1071" s="289"/>
      <c r="J1071" s="294">
        <f>'корпоративный баланс энергии'!AB1080+'корпоративный баланс энергии'!AE1080+'корпоративный баланс энергии'!AH1080</f>
        <v>90.746663999999996</v>
      </c>
      <c r="K1071" s="288"/>
      <c r="L1071" s="289"/>
      <c r="M1071" s="294">
        <f>'корпоративный баланс энергии'!AK1080+'корпоративный баланс энергии'!AN1080+'корпоративный баланс энергии'!AQ1080</f>
        <v>95.743397999999999</v>
      </c>
      <c r="N1071" s="288"/>
      <c r="O1071" s="289"/>
      <c r="P1071" s="294">
        <f t="shared" si="76"/>
        <v>366.44847500000003</v>
      </c>
      <c r="Q1071" s="288"/>
      <c r="R1071" s="289"/>
      <c r="S1071" s="375"/>
      <c r="T1071" s="375"/>
    </row>
    <row r="1072" spans="2:20" s="115" customFormat="1" ht="16.5" thickBot="1">
      <c r="B1072" s="142" t="str">
        <f>'корпоративный баланс энергии'!H1081</f>
        <v>ТЭЦ БС "Сосновоборская" (ФГУП "НИТИ имени А.П. Александрова")</v>
      </c>
      <c r="C1072" s="518" t="s">
        <v>365</v>
      </c>
      <c r="D1072" s="293">
        <f>'корпоративный баланс энергии'!J1081+'корпоративный баланс энергии'!M1081+'корпоративный баланс энергии'!P1081</f>
        <v>0</v>
      </c>
      <c r="E1072" s="288"/>
      <c r="F1072" s="289"/>
      <c r="G1072" s="294">
        <f>'корпоративный баланс энергии'!S1081+'корпоративный баланс энергии'!V1081+'корпоративный баланс энергии'!Y1081</f>
        <v>0</v>
      </c>
      <c r="H1072" s="288"/>
      <c r="I1072" s="289"/>
      <c r="J1072" s="294">
        <f>'корпоративный баланс энергии'!AB1081+'корпоративный баланс энергии'!AE1081+'корпоративный баланс энергии'!AH1081</f>
        <v>0</v>
      </c>
      <c r="K1072" s="288"/>
      <c r="L1072" s="289"/>
      <c r="M1072" s="294">
        <f>'корпоративный баланс энергии'!AK1081+'корпоративный баланс энергии'!AN1081+'корпоративный баланс энергии'!AQ1081</f>
        <v>0</v>
      </c>
      <c r="N1072" s="288"/>
      <c r="O1072" s="289"/>
      <c r="P1072" s="294">
        <f t="shared" ref="P1072" si="77">D1072+G1072+J1072+M1072</f>
        <v>0</v>
      </c>
      <c r="Q1072" s="288"/>
      <c r="R1072" s="289"/>
      <c r="S1072" s="375"/>
      <c r="T1072" s="375"/>
    </row>
    <row r="1073" spans="2:20" s="115" customFormat="1" ht="18.75">
      <c r="B1073" s="472" t="s">
        <v>85</v>
      </c>
      <c r="C1073" s="494"/>
      <c r="D1073" s="263">
        <f>SUM(D1074:D1079)</f>
        <v>27502.056074465327</v>
      </c>
      <c r="E1073" s="264">
        <f>F1073-D1073</f>
        <v>1428.0136036984441</v>
      </c>
      <c r="F1073" s="265">
        <f>F1080+F1113+F1374+F1141+F1158+F1159+F1173+F1187+F1201+F1279+F1313+F1323+F1381</f>
        <v>28930.069678163771</v>
      </c>
      <c r="G1073" s="263">
        <f>SUM(G1074:G1079)</f>
        <v>25835.218908181843</v>
      </c>
      <c r="H1073" s="264">
        <f>I1073-G1073</f>
        <v>-2559.0033440753614</v>
      </c>
      <c r="I1073" s="265">
        <f>I1080+I1113+I1374+I1141+I1158+I1159+I1173+I1187+I1201+I1279+I1313+I1323+I1381</f>
        <v>23276.215564106482</v>
      </c>
      <c r="J1073" s="263">
        <f>SUM(J1074:J1079)</f>
        <v>27630.519376449294</v>
      </c>
      <c r="K1073" s="264">
        <f>L1073-J1073</f>
        <v>-2667.9890722580167</v>
      </c>
      <c r="L1073" s="265">
        <f>L1080+L1113+L1374+L1141+L1158+L1159+L1173+L1187+L1201+L1279+L1313+L1323+L1381</f>
        <v>24962.530304191278</v>
      </c>
      <c r="M1073" s="263">
        <f>SUM(M1074:M1079)</f>
        <v>28783.282324631604</v>
      </c>
      <c r="N1073" s="264">
        <f>O1073-M1073</f>
        <v>-517.99787109313911</v>
      </c>
      <c r="O1073" s="265">
        <f>O1080+O1113+O1374+O1141+O1158+O1159+O1173+O1187+O1201+O1279+O1313+O1323+O1381</f>
        <v>28265.284453538465</v>
      </c>
      <c r="P1073" s="263">
        <f>SUM(P1074:P1079)</f>
        <v>109751.07668372807</v>
      </c>
      <c r="Q1073" s="264">
        <f>R1073-P1073</f>
        <v>-4316.9766837280768</v>
      </c>
      <c r="R1073" s="414">
        <f>F1073+I1073+L1073+O1073</f>
        <v>105434.09999999999</v>
      </c>
      <c r="S1073" s="375"/>
      <c r="T1073" s="375"/>
    </row>
    <row r="1074" spans="2:20" s="115" customFormat="1">
      <c r="B1074" s="124" t="s">
        <v>56</v>
      </c>
      <c r="C1074" s="497"/>
      <c r="D1074" s="362">
        <f>D1081+D1114+D1142+D1174+D1188+D1202+D1280+D1324+D1375+D1382</f>
        <v>16178.506520000003</v>
      </c>
      <c r="E1074" s="363"/>
      <c r="F1074" s="364"/>
      <c r="G1074" s="362">
        <f>G1081+G1114+G1142+G1174+G1188+G1202+G1280+G1324+G1375+G1382</f>
        <v>9393.347859563999</v>
      </c>
      <c r="H1074" s="363"/>
      <c r="I1074" s="364"/>
      <c r="J1074" s="362">
        <f>J1081+J1114+J1142+J1174+J1188+J1202+J1280+J1324+J1375+J1382</f>
        <v>12132.495970000002</v>
      </c>
      <c r="K1074" s="363"/>
      <c r="L1074" s="364"/>
      <c r="M1074" s="362">
        <f>M1081+M1114+M1142+M1174+M1188+M1202+M1280+M1324+M1375+M1382</f>
        <v>14656.193419999998</v>
      </c>
      <c r="N1074" s="363"/>
      <c r="O1074" s="364"/>
      <c r="P1074" s="362">
        <f>P1081+P1114+P1142+P1174+P1188+P1202+P1280+P1324+P1375+P1382</f>
        <v>52360.543769563999</v>
      </c>
      <c r="Q1074" s="363"/>
      <c r="R1074" s="364"/>
      <c r="S1074" s="375"/>
      <c r="T1074" s="375"/>
    </row>
    <row r="1075" spans="2:20" s="115" customFormat="1">
      <c r="B1075" s="124" t="s">
        <v>55</v>
      </c>
      <c r="C1075" s="497"/>
      <c r="D1075" s="362">
        <f>D1115+D1376+D1143+D1160+D1189+D1203+D1281+D1314+D1325</f>
        <v>4133.7321055653238</v>
      </c>
      <c r="E1075" s="363"/>
      <c r="F1075" s="364"/>
      <c r="G1075" s="362">
        <f>G1115+G1376+G1143+G1160+G1189+G1203+G1281+G1314+G1325</f>
        <v>6989.3407534857433</v>
      </c>
      <c r="H1075" s="363"/>
      <c r="I1075" s="364"/>
      <c r="J1075" s="362">
        <f>J1115+J1376+J1143+J1160+J1189+J1203+J1281+J1314+J1325</f>
        <v>5846.8450236922572</v>
      </c>
      <c r="K1075" s="363"/>
      <c r="L1075" s="364"/>
      <c r="M1075" s="362">
        <f>M1115+M1376+M1143+M1160+M1189+M1203+M1281+M1314+M1325</f>
        <v>4390.5843142547201</v>
      </c>
      <c r="N1075" s="363"/>
      <c r="O1075" s="364"/>
      <c r="P1075" s="362">
        <f>P1115+P1376+P1143+P1160+P1189+P1203+P1281+P1314+P1325</f>
        <v>21360.502196998044</v>
      </c>
      <c r="Q1075" s="363"/>
      <c r="R1075" s="364"/>
      <c r="S1075" s="375"/>
      <c r="T1075" s="375"/>
    </row>
    <row r="1076" spans="2:20" s="115" customFormat="1">
      <c r="B1076" s="124" t="s">
        <v>98</v>
      </c>
      <c r="C1076" s="497"/>
      <c r="D1076" s="362">
        <f>D1282</f>
        <v>6161</v>
      </c>
      <c r="E1076" s="363"/>
      <c r="F1076" s="364"/>
      <c r="G1076" s="362">
        <f>G1282</f>
        <v>8200</v>
      </c>
      <c r="H1076" s="363"/>
      <c r="I1076" s="364"/>
      <c r="J1076" s="362">
        <f>J1282</f>
        <v>8223</v>
      </c>
      <c r="K1076" s="363"/>
      <c r="L1076" s="364"/>
      <c r="M1076" s="362">
        <f>M1282</f>
        <v>8266</v>
      </c>
      <c r="N1076" s="363"/>
      <c r="O1076" s="364"/>
      <c r="P1076" s="362">
        <f>P1282</f>
        <v>30850</v>
      </c>
      <c r="Q1076" s="363"/>
      <c r="R1076" s="364"/>
      <c r="S1076" s="375"/>
      <c r="T1076" s="375"/>
    </row>
    <row r="1077" spans="2:20" s="115" customFormat="1">
      <c r="B1077" s="467" t="s">
        <v>346</v>
      </c>
      <c r="C1077" s="504"/>
      <c r="D1077" s="362">
        <f>D1082+D1175+D1204+D1283+D1326+D1383</f>
        <v>413.55196966666665</v>
      </c>
      <c r="E1077" s="363"/>
      <c r="F1077" s="364"/>
      <c r="G1077" s="362">
        <f>G1082+G1175+G1204+G1283+G1326+G1383</f>
        <v>468.4009299999999</v>
      </c>
      <c r="H1077" s="363"/>
      <c r="I1077" s="364"/>
      <c r="J1077" s="362">
        <f>J1082+J1175+J1204+J1283+J1326+J1383</f>
        <v>374.80776266666669</v>
      </c>
      <c r="K1077" s="363"/>
      <c r="L1077" s="364"/>
      <c r="M1077" s="362">
        <f>M1082+M1175+M1204+M1283+M1326+M1383</f>
        <v>501.06352533333336</v>
      </c>
      <c r="N1077" s="363"/>
      <c r="O1077" s="364"/>
      <c r="P1077" s="362">
        <f>P1082+P1175+P1204+P1283+P1326+P1383</f>
        <v>1757.8241876666664</v>
      </c>
      <c r="Q1077" s="363"/>
      <c r="R1077" s="364"/>
      <c r="S1077" s="375"/>
      <c r="T1077" s="375"/>
    </row>
    <row r="1078" spans="2:20" s="115" customFormat="1">
      <c r="B1078" s="467" t="s">
        <v>347</v>
      </c>
      <c r="C1078" s="504"/>
      <c r="D1078" s="362">
        <f>D1083+D1116+D1144+D1176+D1327+D1384</f>
        <v>177.37184123333333</v>
      </c>
      <c r="E1078" s="363"/>
      <c r="F1078" s="364"/>
      <c r="G1078" s="362">
        <f>G1083+G1116+G1144+G1176+G1327+G1384</f>
        <v>413.00396513210001</v>
      </c>
      <c r="H1078" s="363"/>
      <c r="I1078" s="364"/>
      <c r="J1078" s="362">
        <f>J1083+J1116+J1144+J1176+J1327+J1384</f>
        <v>407.26911009036667</v>
      </c>
      <c r="K1078" s="363"/>
      <c r="L1078" s="364"/>
      <c r="M1078" s="362">
        <f>M1083+M1116+M1144+M1176+M1327+M1384</f>
        <v>156.94577504355044</v>
      </c>
      <c r="N1078" s="363"/>
      <c r="O1078" s="364"/>
      <c r="P1078" s="362">
        <f>P1083+P1116+P1144+P1176+P1327+P1384</f>
        <v>1154.5906914993504</v>
      </c>
      <c r="Q1078" s="363"/>
      <c r="R1078" s="364"/>
      <c r="S1078" s="375"/>
      <c r="T1078" s="375"/>
    </row>
    <row r="1079" spans="2:20" s="115" customFormat="1" ht="16.5" thickBot="1">
      <c r="B1079" s="133" t="s">
        <v>99</v>
      </c>
      <c r="C1079" s="510"/>
      <c r="D1079" s="398">
        <f>D1117+D1161+D1190+D1205+D1284+D1328+D1385</f>
        <v>437.89363800000001</v>
      </c>
      <c r="E1079" s="399"/>
      <c r="F1079" s="400"/>
      <c r="G1079" s="398">
        <f>G1117+G1161+G1190+G1205+G1284+G1328+G1385</f>
        <v>371.12540000000007</v>
      </c>
      <c r="H1079" s="399"/>
      <c r="I1079" s="400"/>
      <c r="J1079" s="398">
        <f>J1117+J1161+J1190+J1205+J1284+J1328+J1385</f>
        <v>646.10150999999996</v>
      </c>
      <c r="K1079" s="399"/>
      <c r="L1079" s="400"/>
      <c r="M1079" s="398">
        <f>M1117+M1161+M1190+M1205+M1284+M1328+M1385</f>
        <v>812.49529000000007</v>
      </c>
      <c r="N1079" s="399"/>
      <c r="O1079" s="400"/>
      <c r="P1079" s="398">
        <f>P1117+P1161+P1190+P1205+P1284+P1328+P1385</f>
        <v>2267.6158379999997</v>
      </c>
      <c r="Q1079" s="399"/>
      <c r="R1079" s="400"/>
      <c r="S1079" s="375"/>
      <c r="T1079" s="375"/>
    </row>
    <row r="1080" spans="2:20" s="115" customFormat="1" ht="18.75">
      <c r="B1080" s="474" t="str">
        <f>'корпоративный баланс энергии'!H1089</f>
        <v>Энергосистема Астраханской области</v>
      </c>
      <c r="C1080" s="501"/>
      <c r="D1080" s="274">
        <f>D1081+D1083</f>
        <v>1213.7750000000001</v>
      </c>
      <c r="E1080" s="275">
        <f>F1080-D1080</f>
        <v>116.73788709747487</v>
      </c>
      <c r="F1080" s="276">
        <f>'корпоративный баланс энергии'!L1089+'корпоративный баланс энергии'!O1089+'корпоративный баланс энергии'!R1089</f>
        <v>1330.512887097475</v>
      </c>
      <c r="G1080" s="274">
        <f>G1081+G1083</f>
        <v>879.60599999999999</v>
      </c>
      <c r="H1080" s="275">
        <f>I1080-G1080</f>
        <v>52.287852887073541</v>
      </c>
      <c r="I1080" s="276">
        <f>'корпоративный баланс энергии'!U1089+'корпоративный баланс энергии'!X1089+'корпоративный баланс энергии'!AA1089</f>
        <v>931.89385288707354</v>
      </c>
      <c r="J1080" s="274">
        <f>J1081+J1083</f>
        <v>956.93700000000001</v>
      </c>
      <c r="K1080" s="275">
        <f>L1080-J1080</f>
        <v>80.458990351208854</v>
      </c>
      <c r="L1080" s="276">
        <f>'корпоративный баланс энергии'!AD1089+'корпоративный баланс энергии'!AG1089+'корпоративный баланс энергии'!AJ1089</f>
        <v>1037.3959903512089</v>
      </c>
      <c r="M1080" s="274">
        <f>M1081+M1083</f>
        <v>1103.5489999999998</v>
      </c>
      <c r="N1080" s="275">
        <f>O1080-M1080</f>
        <v>117.64826966424312</v>
      </c>
      <c r="O1080" s="276">
        <f>'корпоративный баланс энергии'!AM1089+'корпоративный баланс энергии'!AP1089+'корпоративный баланс энергии'!AS1089</f>
        <v>1221.1972696642429</v>
      </c>
      <c r="P1080" s="274">
        <f>P1081+P1083</f>
        <v>4153.8670000000002</v>
      </c>
      <c r="Q1080" s="275">
        <f>R1080-P1080</f>
        <v>367.13299999999981</v>
      </c>
      <c r="R1080" s="276">
        <f>F1080+I1080+L1080+O1080</f>
        <v>4521</v>
      </c>
      <c r="S1080" s="375"/>
      <c r="T1080" s="375"/>
    </row>
    <row r="1081" spans="2:20" s="115" customFormat="1">
      <c r="B1081" s="124" t="s">
        <v>56</v>
      </c>
      <c r="C1081" s="497"/>
      <c r="D1081" s="362">
        <f>SUM(D1084:D1086)+D1089</f>
        <v>1157.5300000000002</v>
      </c>
      <c r="E1081" s="363"/>
      <c r="F1081" s="364"/>
      <c r="G1081" s="362">
        <f>SUM(G1084:G1086)+G1089</f>
        <v>736.57</v>
      </c>
      <c r="H1081" s="363"/>
      <c r="I1081" s="364"/>
      <c r="J1081" s="362">
        <f>SUM(J1084:J1086)+J1089</f>
        <v>825.24</v>
      </c>
      <c r="K1081" s="363"/>
      <c r="L1081" s="364"/>
      <c r="M1081" s="362">
        <f>SUM(M1084:M1086)+M1089</f>
        <v>1066.6099999999997</v>
      </c>
      <c r="N1081" s="363"/>
      <c r="O1081" s="364"/>
      <c r="P1081" s="362">
        <f>SUM(P1084:P1086)+P1089</f>
        <v>3785.9500000000003</v>
      </c>
      <c r="Q1081" s="363"/>
      <c r="R1081" s="364"/>
      <c r="S1081" s="375"/>
      <c r="T1081" s="375"/>
    </row>
    <row r="1082" spans="2:20" s="115" customFormat="1">
      <c r="B1082" s="124" t="s">
        <v>346</v>
      </c>
      <c r="C1082" s="497"/>
      <c r="D1082" s="362">
        <f>D1112</f>
        <v>0</v>
      </c>
      <c r="E1082" s="363"/>
      <c r="F1082" s="364"/>
      <c r="G1082" s="362">
        <f>G1112</f>
        <v>0</v>
      </c>
      <c r="H1082" s="363"/>
      <c r="I1082" s="364"/>
      <c r="J1082" s="362">
        <f>J1112</f>
        <v>0</v>
      </c>
      <c r="K1082" s="363"/>
      <c r="L1082" s="364"/>
      <c r="M1082" s="362">
        <f>M1112</f>
        <v>0</v>
      </c>
      <c r="N1082" s="363"/>
      <c r="O1082" s="364"/>
      <c r="P1082" s="362">
        <f>P1112</f>
        <v>0</v>
      </c>
      <c r="Q1082" s="363"/>
      <c r="R1082" s="364"/>
      <c r="S1082" s="375"/>
      <c r="T1082" s="375"/>
    </row>
    <row r="1083" spans="2:20" s="115" customFormat="1">
      <c r="B1083" s="124" t="s">
        <v>347</v>
      </c>
      <c r="C1083" s="497"/>
      <c r="D1083" s="362">
        <f>SUM(D1090:D1093)+D1098+D1103+SUM(D1106:D1111)</f>
        <v>56.24499999999999</v>
      </c>
      <c r="E1083" s="363"/>
      <c r="F1083" s="364"/>
      <c r="G1083" s="362">
        <f>SUM(G1090:G1093)+G1098+G1103+SUM(G1106:G1111)</f>
        <v>143.036</v>
      </c>
      <c r="H1083" s="363"/>
      <c r="I1083" s="364"/>
      <c r="J1083" s="362">
        <f>SUM(J1090:J1093)+J1098+J1103+SUM(J1106:J1111)</f>
        <v>131.697</v>
      </c>
      <c r="K1083" s="363"/>
      <c r="L1083" s="364"/>
      <c r="M1083" s="362">
        <f>SUM(M1090:M1093)+M1098+M1103+SUM(M1106:M1111)</f>
        <v>36.939</v>
      </c>
      <c r="N1083" s="363"/>
      <c r="O1083" s="364"/>
      <c r="P1083" s="362">
        <f>SUM(P1090:P1093)+P1098+P1103+SUM(P1106:P1111)</f>
        <v>367.91700000000003</v>
      </c>
      <c r="Q1083" s="363"/>
      <c r="R1083" s="364"/>
      <c r="S1083" s="375"/>
      <c r="T1083" s="375"/>
    </row>
    <row r="1084" spans="2:20" s="115" customFormat="1">
      <c r="B1084" s="127" t="str">
        <f>'корпоративный баланс энергии'!H1093</f>
        <v>Астраханская ТЭЦ-2 (ООО "ЛУКОЙЛ-Астраханьэнерго")</v>
      </c>
      <c r="C1084" s="516" t="s">
        <v>364</v>
      </c>
      <c r="D1084" s="281">
        <f>'корпоративный баланс энергии'!J1093+'корпоративный баланс энергии'!M1093+'корпоративный баланс энергии'!P1093</f>
        <v>564.75</v>
      </c>
      <c r="E1084" s="246"/>
      <c r="F1084" s="282"/>
      <c r="G1084" s="244">
        <f>'корпоративный баланс энергии'!S1093+'корпоративный баланс энергии'!V1093+'корпоративный баланс энергии'!Y1093</f>
        <v>254.60000000000002</v>
      </c>
      <c r="H1084" s="246"/>
      <c r="I1084" s="282"/>
      <c r="J1084" s="244">
        <f>'корпоративный баланс энергии'!AB1093+'корпоративный баланс энергии'!AE1093+'корпоративный баланс энергии'!AH1093</f>
        <v>260.70999999999998</v>
      </c>
      <c r="K1084" s="246"/>
      <c r="L1084" s="282"/>
      <c r="M1084" s="244">
        <f>'корпоративный баланс энергии'!AK1093+'корпоративный баланс энергии'!AN1093+'корпоративный баланс энергии'!AQ1093</f>
        <v>478.92999999999995</v>
      </c>
      <c r="N1084" s="246"/>
      <c r="O1084" s="282"/>
      <c r="P1084" s="244">
        <f>D1084+G1084+J1084+M1084</f>
        <v>1558.9899999999998</v>
      </c>
      <c r="Q1084" s="246"/>
      <c r="R1084" s="282"/>
      <c r="S1084" s="375"/>
      <c r="T1084" s="375"/>
    </row>
    <row r="1085" spans="2:20" s="115" customFormat="1">
      <c r="B1085" s="127" t="str">
        <f>'корпоративный баланс энергии'!H1094</f>
        <v>Астраханская ГРЭС (ООО "ЛУКОЙЛ-Астраханьэнерго") - ПГУ 110 НВ, ДПМ 01.07.2011</v>
      </c>
      <c r="C1085" s="516" t="s">
        <v>364</v>
      </c>
      <c r="D1085" s="281">
        <f>'корпоративный баланс энергии'!J1094+'корпоративный баланс энергии'!M1094+'корпоративный баланс энергии'!P1094</f>
        <v>193.49</v>
      </c>
      <c r="E1085" s="246"/>
      <c r="F1085" s="282"/>
      <c r="G1085" s="244">
        <f>'корпоративный баланс энергии'!S1094+'корпоративный баланс энергии'!V1094+'корпоративный баланс энергии'!Y1094</f>
        <v>150.84</v>
      </c>
      <c r="H1085" s="246"/>
      <c r="I1085" s="282"/>
      <c r="J1085" s="244">
        <f>'корпоративный баланс энергии'!AB1094+'корпоративный баланс энергии'!AE1094+'корпоративный баланс энергии'!AH1094</f>
        <v>168.84</v>
      </c>
      <c r="K1085" s="246"/>
      <c r="L1085" s="282"/>
      <c r="M1085" s="244">
        <f>'корпоративный баланс энергии'!AK1094+'корпоративный баланс энергии'!AN1094+'корпоративный баланс энергии'!AQ1094</f>
        <v>190.68</v>
      </c>
      <c r="N1085" s="246"/>
      <c r="O1085" s="282"/>
      <c r="P1085" s="244">
        <f>D1085+G1085+J1085+M1085</f>
        <v>703.85000000000014</v>
      </c>
      <c r="Q1085" s="246"/>
      <c r="R1085" s="282"/>
      <c r="S1085" s="375"/>
      <c r="T1085" s="375"/>
    </row>
    <row r="1086" spans="2:20" s="115" customFormat="1">
      <c r="B1086" s="132" t="str">
        <f>'корпоративный баланс энергии'!H1095</f>
        <v>Котельная "Центральная" (ООО "ЛУКОЙЛ-Астраханьэнерго")</v>
      </c>
      <c r="C1086" s="516" t="s">
        <v>364</v>
      </c>
      <c r="D1086" s="317">
        <f>SUM(D1087:D1088)</f>
        <v>390.41</v>
      </c>
      <c r="E1086" s="246"/>
      <c r="F1086" s="282"/>
      <c r="G1086" s="317">
        <f>SUM(G1087:G1088)</f>
        <v>322.14999999999998</v>
      </c>
      <c r="H1086" s="246"/>
      <c r="I1086" s="282"/>
      <c r="J1086" s="317">
        <f>SUM(J1087:J1088)</f>
        <v>386.61</v>
      </c>
      <c r="K1086" s="246"/>
      <c r="L1086" s="282"/>
      <c r="M1086" s="317">
        <f>SUM(M1087:M1088)</f>
        <v>387.91999999999996</v>
      </c>
      <c r="N1086" s="246"/>
      <c r="O1086" s="282"/>
      <c r="P1086" s="317">
        <f>SUM(P1087:P1088)</f>
        <v>1487.0900000000001</v>
      </c>
      <c r="Q1086" s="246"/>
      <c r="R1086" s="282"/>
      <c r="S1086" s="375"/>
      <c r="T1086" s="375"/>
    </row>
    <row r="1087" spans="2:20" s="115" customFormat="1">
      <c r="B1087" s="127" t="str">
        <f>'корпоративный баланс энергии'!H1096</f>
        <v>Котельная "Центральная" (ООО "ЛУКОЙЛ-Астраханьэнерго") ПГУ №1 118 МВт НВ 28.06.2013</v>
      </c>
      <c r="C1087" s="502"/>
      <c r="D1087" s="281">
        <f>'корпоративный баланс энергии'!J1096+'корпоративный баланс энергии'!M1096+'корпоративный баланс энергии'!P1096</f>
        <v>197.28000000000003</v>
      </c>
      <c r="E1087" s="246"/>
      <c r="F1087" s="282"/>
      <c r="G1087" s="244">
        <f>'корпоративный баланс энергии'!S1096+'корпоративный баланс энергии'!V1096+'корпоративный баланс энергии'!Y1096</f>
        <v>151.20999999999998</v>
      </c>
      <c r="H1087" s="246"/>
      <c r="I1087" s="282"/>
      <c r="J1087" s="244">
        <f>'корпоративный баланс энергии'!AB1096+'корпоративный баланс энергии'!AE1096+'корпоративный баланс энергии'!AH1096</f>
        <v>194.58999999999997</v>
      </c>
      <c r="K1087" s="246"/>
      <c r="L1087" s="282"/>
      <c r="M1087" s="244">
        <f>'корпоративный баланс энергии'!AK1096+'корпоративный баланс энергии'!AN1096+'корпоративный баланс энергии'!AQ1096</f>
        <v>202.7</v>
      </c>
      <c r="N1087" s="246"/>
      <c r="O1087" s="282"/>
      <c r="P1087" s="244">
        <f>D1087+G1087+J1087+M1087</f>
        <v>745.78</v>
      </c>
      <c r="Q1087" s="246"/>
      <c r="R1087" s="282"/>
      <c r="S1087" s="375"/>
      <c r="T1087" s="375"/>
    </row>
    <row r="1088" spans="2:20" s="115" customFormat="1">
      <c r="B1088" s="127" t="str">
        <f>'корпоративный баланс энергии'!H1097</f>
        <v>Котельная "Центральная" (ООО "ЛУКОЙЛ-Астраханьэнерго") ПГУ №2 117 МВт НВ 01.10.2013</v>
      </c>
      <c r="C1088" s="502"/>
      <c r="D1088" s="281">
        <f>'корпоративный баланс энергии'!J1097+'корпоративный баланс энергии'!M1097+'корпоративный баланс энергии'!P1097</f>
        <v>193.13</v>
      </c>
      <c r="E1088" s="246"/>
      <c r="F1088" s="282"/>
      <c r="G1088" s="244">
        <f>'корпоративный баланс энергии'!S1097+'корпоративный баланс энергии'!V1097+'корпоративный баланс энергии'!Y1097</f>
        <v>170.94</v>
      </c>
      <c r="H1088" s="246"/>
      <c r="I1088" s="282"/>
      <c r="J1088" s="244">
        <f>'корпоративный баланс энергии'!AB1097+'корпоративный баланс энергии'!AE1097+'корпоративный баланс энергии'!AH1097</f>
        <v>192.02</v>
      </c>
      <c r="K1088" s="246"/>
      <c r="L1088" s="282"/>
      <c r="M1088" s="244">
        <f>'корпоративный баланс энергии'!AK1097+'корпоративный баланс энергии'!AN1097+'корпоративный баланс энергии'!AQ1097</f>
        <v>185.22</v>
      </c>
      <c r="N1088" s="246"/>
      <c r="O1088" s="282"/>
      <c r="P1088" s="244">
        <f>D1088+G1088+J1088+M1088</f>
        <v>741.31000000000006</v>
      </c>
      <c r="Q1088" s="246"/>
      <c r="R1088" s="282"/>
      <c r="S1088" s="375"/>
      <c r="T1088" s="375"/>
    </row>
    <row r="1089" spans="2:20" s="113" customFormat="1">
      <c r="B1089" s="127" t="str">
        <f>'корпоративный баланс энергии'!H1098</f>
        <v>ТЭЦ Северная (АО "ТЭЦ-Северная")</v>
      </c>
      <c r="C1089" s="526" t="s">
        <v>365</v>
      </c>
      <c r="D1089" s="281">
        <f>'корпоративный баланс энергии'!J1098+'корпоративный баланс энергии'!M1098+'корпоративный баланс энергии'!P1098</f>
        <v>8.8800000000000008</v>
      </c>
      <c r="E1089" s="246"/>
      <c r="F1089" s="282"/>
      <c r="G1089" s="244">
        <f>'корпоративный баланс энергии'!S1098+'корпоративный баланс энергии'!V1098+'корпоративный баланс энергии'!Y1098</f>
        <v>8.98</v>
      </c>
      <c r="H1089" s="246"/>
      <c r="I1089" s="282"/>
      <c r="J1089" s="244">
        <f>'корпоративный баланс энергии'!AB1098+'корпоративный баланс энергии'!AE1098+'корпоративный баланс энергии'!AH1098</f>
        <v>9.08</v>
      </c>
      <c r="K1089" s="246"/>
      <c r="L1089" s="282"/>
      <c r="M1089" s="244">
        <f>'корпоративный баланс энергии'!AK1098+'корпоративный баланс энергии'!AN1098+'корпоративный баланс энергии'!AQ1098</f>
        <v>9.08</v>
      </c>
      <c r="N1089" s="246"/>
      <c r="O1089" s="282"/>
      <c r="P1089" s="244">
        <f>D1089+G1089+J1089+M1089</f>
        <v>36.019999999999996</v>
      </c>
      <c r="Q1089" s="246"/>
      <c r="R1089" s="282"/>
      <c r="S1089" s="355"/>
      <c r="T1089" s="355"/>
    </row>
    <row r="1090" spans="2:20" s="113" customFormat="1">
      <c r="B1090" s="127" t="str">
        <f>'корпоративный баланс энергии'!H1099</f>
        <v>СЭС Заводская (ООО "Сан Проджектс")</v>
      </c>
      <c r="C1090" s="516" t="s">
        <v>364</v>
      </c>
      <c r="D1090" s="281">
        <f>'корпоративный баланс энергии'!J1099+'корпоративный баланс энергии'!M1099+'корпоративный баланс энергии'!P1099</f>
        <v>4.1400000000000006</v>
      </c>
      <c r="E1090" s="246"/>
      <c r="F1090" s="282"/>
      <c r="G1090" s="244">
        <f>'корпоративный баланс энергии'!S1099+'корпоративный баланс энергии'!V1099+'корпоративный баланс энергии'!Y1099</f>
        <v>6.98</v>
      </c>
      <c r="H1090" s="246"/>
      <c r="I1090" s="282"/>
      <c r="J1090" s="244">
        <f>'корпоративный баланс энергии'!AB1099+'корпоративный баланс энергии'!AE1099+'корпоративный баланс энергии'!AH1099</f>
        <v>6.9699999999999989</v>
      </c>
      <c r="K1090" s="246"/>
      <c r="L1090" s="282"/>
      <c r="M1090" s="244">
        <f>'корпоративный баланс энергии'!AK1099+'корпоративный баланс энергии'!AN1099+'корпоративный баланс энергии'!AQ1099</f>
        <v>3.0399999999999996</v>
      </c>
      <c r="N1090" s="246"/>
      <c r="O1090" s="282"/>
      <c r="P1090" s="244">
        <f>D1090+G1090+J1090+M1090</f>
        <v>21.13</v>
      </c>
      <c r="Q1090" s="246"/>
      <c r="R1090" s="282"/>
      <c r="S1090" s="355"/>
      <c r="T1090" s="355"/>
    </row>
    <row r="1091" spans="2:20" s="113" customFormat="1">
      <c r="B1091" s="127" t="str">
        <f>'корпоративный баланс энергии'!H1100</f>
        <v>СЭС Промстройматериалы (ООО "Солар Системс")</v>
      </c>
      <c r="C1091" s="516" t="s">
        <v>364</v>
      </c>
      <c r="D1091" s="281">
        <f>'корпоративный баланс энергии'!J1100+'корпоративный баланс энергии'!M1100+'корпоративный баланс энергии'!P1100</f>
        <v>4.16</v>
      </c>
      <c r="E1091" s="246"/>
      <c r="F1091" s="282"/>
      <c r="G1091" s="244">
        <f>'корпоративный баланс энергии'!S1100+'корпоративный баланс энергии'!V1100+'корпоративный баланс энергии'!Y1100</f>
        <v>6.99</v>
      </c>
      <c r="H1091" s="246"/>
      <c r="I1091" s="282"/>
      <c r="J1091" s="244">
        <f>'корпоративный баланс энергии'!AB1100+'корпоративный баланс энергии'!AE1100+'корпоративный баланс энергии'!AH1100</f>
        <v>6.9799999999999995</v>
      </c>
      <c r="K1091" s="246"/>
      <c r="L1091" s="282"/>
      <c r="M1091" s="244">
        <f>'корпоративный баланс энергии'!AK1100+'корпоративный баланс энергии'!AN1100+'корпоративный баланс энергии'!AQ1100</f>
        <v>3.05</v>
      </c>
      <c r="N1091" s="246"/>
      <c r="O1091" s="282"/>
      <c r="P1091" s="244">
        <f t="shared" ref="P1091:P1102" si="78">D1091+G1091+J1091+M1091</f>
        <v>21.18</v>
      </c>
      <c r="Q1091" s="246"/>
      <c r="R1091" s="282"/>
      <c r="S1091" s="355"/>
      <c r="T1091" s="355"/>
    </row>
    <row r="1092" spans="2:20" s="113" customFormat="1">
      <c r="B1092" s="127" t="str">
        <f>'корпоративный баланс энергии'!H1101</f>
        <v>СЭС Нива (ООО «Грин Энерджи Рус»)</v>
      </c>
      <c r="C1092" s="516" t="s">
        <v>364</v>
      </c>
      <c r="D1092" s="281">
        <f>'корпоративный баланс энергии'!J1101+'корпоративный баланс энергии'!M1101+'корпоративный баланс энергии'!P1101</f>
        <v>2.9430000000000001</v>
      </c>
      <c r="E1092" s="246"/>
      <c r="F1092" s="282"/>
      <c r="G1092" s="244">
        <f>'корпоративный баланс энергии'!S1101+'корпоративный баланс энергии'!V1101+'корпоративный баланс энергии'!Y1101</f>
        <v>7.5299999999999994</v>
      </c>
      <c r="H1092" s="246"/>
      <c r="I1092" s="282"/>
      <c r="J1092" s="244">
        <f>'корпоративный баланс энергии'!AB1101+'корпоративный баланс энергии'!AE1101+'корпоративный баланс энергии'!AH1101</f>
        <v>6.6189999999999998</v>
      </c>
      <c r="K1092" s="246"/>
      <c r="L1092" s="282"/>
      <c r="M1092" s="244">
        <f>'корпоративный баланс энергии'!AK1101+'корпоративный баланс энергии'!AN1101+'корпоративный баланс энергии'!AQ1101</f>
        <v>1.1839999999999999</v>
      </c>
      <c r="N1092" s="246"/>
      <c r="O1092" s="282"/>
      <c r="P1092" s="244">
        <f t="shared" si="78"/>
        <v>18.276</v>
      </c>
      <c r="Q1092" s="246"/>
      <c r="R1092" s="282"/>
      <c r="S1092" s="355"/>
      <c r="T1092" s="355"/>
    </row>
    <row r="1093" spans="2:20" s="113" customFormat="1">
      <c r="B1093" s="132" t="str">
        <f>'корпоративный баланс энергии'!H1102</f>
        <v>Фунтовская СЭС-2 (ООО "Грин Энерджи Рус")</v>
      </c>
      <c r="C1093" s="516" t="s">
        <v>364</v>
      </c>
      <c r="D1093" s="1150">
        <f>SUM(D1094:D1097)</f>
        <v>9.6080000000000005</v>
      </c>
      <c r="E1093" s="246"/>
      <c r="F1093" s="282"/>
      <c r="G1093" s="1150">
        <f>SUM(G1094:G1097)</f>
        <v>30.72</v>
      </c>
      <c r="H1093" s="246"/>
      <c r="I1093" s="282"/>
      <c r="J1093" s="1150">
        <f>SUM(J1094:J1097)</f>
        <v>26.475999999999999</v>
      </c>
      <c r="K1093" s="246"/>
      <c r="L1093" s="282"/>
      <c r="M1093" s="1150">
        <f>SUM(M1094:M1097)</f>
        <v>4.7359999999999998</v>
      </c>
      <c r="N1093" s="246"/>
      <c r="O1093" s="282"/>
      <c r="P1093" s="1150">
        <f>SUM(P1094:P1097)</f>
        <v>71.540000000000006</v>
      </c>
      <c r="Q1093" s="246"/>
      <c r="R1093" s="282"/>
      <c r="S1093" s="355"/>
      <c r="T1093" s="355"/>
    </row>
    <row r="1094" spans="2:20" s="113" customFormat="1">
      <c r="B1094" s="127" t="str">
        <f>'корпоративный баланс энергии'!H1103</f>
        <v>Фунтовская СЭС-2 (1 очередь) (ООО "Грин Энерджи Рус")</v>
      </c>
      <c r="C1094" s="516"/>
      <c r="D1094" s="281">
        <f>'корпоративный баланс энергии'!J1103+'корпоративный баланс энергии'!M1103+'корпоративный баланс энергии'!P1103</f>
        <v>2.4020000000000001</v>
      </c>
      <c r="E1094" s="246"/>
      <c r="F1094" s="282"/>
      <c r="G1094" s="244">
        <f>'корпоративный баланс энергии'!S1103+'корпоративный баланс энергии'!V1103+'корпоративный баланс энергии'!Y1103</f>
        <v>7.68</v>
      </c>
      <c r="H1094" s="246"/>
      <c r="I1094" s="282"/>
      <c r="J1094" s="244">
        <f>'корпоративный баланс энергии'!AB1103+'корпоративный баланс энергии'!AE1103+'корпоративный баланс энергии'!AH1103</f>
        <v>6.6189999999999998</v>
      </c>
      <c r="K1094" s="246"/>
      <c r="L1094" s="282"/>
      <c r="M1094" s="244">
        <f>'корпоративный баланс энергии'!AK1103+'корпоративный баланс энергии'!AN1103+'корпоративный баланс энергии'!AQ1103</f>
        <v>1.1839999999999999</v>
      </c>
      <c r="N1094" s="246"/>
      <c r="O1094" s="282"/>
      <c r="P1094" s="244">
        <f t="shared" si="78"/>
        <v>17.885000000000002</v>
      </c>
      <c r="Q1094" s="246"/>
      <c r="R1094" s="282"/>
      <c r="S1094" s="355"/>
      <c r="T1094" s="355"/>
    </row>
    <row r="1095" spans="2:20" s="113" customFormat="1">
      <c r="B1095" s="127" t="str">
        <f>'корпоративный баланс энергии'!H1104</f>
        <v>Фунтовская СЭС-2 (2 очередь) (ООО "Грин Энерджи Рус")</v>
      </c>
      <c r="C1095" s="516"/>
      <c r="D1095" s="281">
        <f>'корпоративный баланс энергии'!J1104+'корпоративный баланс энергии'!M1104+'корпоративный баланс энергии'!P1104</f>
        <v>2.4020000000000001</v>
      </c>
      <c r="E1095" s="246"/>
      <c r="F1095" s="282"/>
      <c r="G1095" s="244">
        <f>'корпоративный баланс энергии'!S1104+'корпоративный баланс энергии'!V1104+'корпоративный баланс энергии'!Y1104</f>
        <v>7.68</v>
      </c>
      <c r="H1095" s="246"/>
      <c r="I1095" s="282"/>
      <c r="J1095" s="244">
        <f>'корпоративный баланс энергии'!AB1104+'корпоративный баланс энергии'!AE1104+'корпоративный баланс энергии'!AH1104</f>
        <v>6.6189999999999998</v>
      </c>
      <c r="K1095" s="246"/>
      <c r="L1095" s="282"/>
      <c r="M1095" s="244">
        <f>'корпоративный баланс энергии'!AK1104+'корпоративный баланс энергии'!AN1104+'корпоративный баланс энергии'!AQ1104</f>
        <v>1.1839999999999999</v>
      </c>
      <c r="N1095" s="246"/>
      <c r="O1095" s="282"/>
      <c r="P1095" s="244">
        <f t="shared" si="78"/>
        <v>17.885000000000002</v>
      </c>
      <c r="Q1095" s="246"/>
      <c r="R1095" s="282"/>
      <c r="S1095" s="355"/>
      <c r="T1095" s="355"/>
    </row>
    <row r="1096" spans="2:20" s="113" customFormat="1">
      <c r="B1096" s="127" t="str">
        <f>'корпоративный баланс энергии'!H1105</f>
        <v>Фунтовская СЭС-2 (3 очередь) (ООО "Грин Энерджи Рус")</v>
      </c>
      <c r="C1096" s="516"/>
      <c r="D1096" s="281">
        <f>'корпоративный баланс энергии'!J1105+'корпоративный баланс энергии'!M1105+'корпоративный баланс энергии'!P1105</f>
        <v>2.4020000000000001</v>
      </c>
      <c r="E1096" s="246"/>
      <c r="F1096" s="282"/>
      <c r="G1096" s="244">
        <f>'корпоративный баланс энергии'!S1105+'корпоративный баланс энергии'!V1105+'корпоративный баланс энергии'!Y1105</f>
        <v>7.68</v>
      </c>
      <c r="H1096" s="246"/>
      <c r="I1096" s="282"/>
      <c r="J1096" s="244">
        <f>'корпоративный баланс энергии'!AB1105+'корпоративный баланс энергии'!AE1105+'корпоративный баланс энергии'!AH1105</f>
        <v>6.6189999999999998</v>
      </c>
      <c r="K1096" s="246"/>
      <c r="L1096" s="282"/>
      <c r="M1096" s="244">
        <f>'корпоративный баланс энергии'!AK1105+'корпоративный баланс энергии'!AN1105+'корпоративный баланс энергии'!AQ1105</f>
        <v>1.1839999999999999</v>
      </c>
      <c r="N1096" s="246"/>
      <c r="O1096" s="282"/>
      <c r="P1096" s="244">
        <f t="shared" si="78"/>
        <v>17.885000000000002</v>
      </c>
      <c r="Q1096" s="246"/>
      <c r="R1096" s="282"/>
      <c r="S1096" s="355"/>
      <c r="T1096" s="355"/>
    </row>
    <row r="1097" spans="2:20" s="113" customFormat="1">
      <c r="B1097" s="127" t="str">
        <f>'корпоративный баланс энергии'!H1106</f>
        <v>Фунтовская СЭС-2 (4 очередь) (ООО "Грин Энерджи Рус")</v>
      </c>
      <c r="C1097" s="516"/>
      <c r="D1097" s="281">
        <f>'корпоративный баланс энергии'!J1106+'корпоративный баланс энергии'!M1106+'корпоративный баланс энергии'!P1106</f>
        <v>2.4020000000000001</v>
      </c>
      <c r="E1097" s="246"/>
      <c r="F1097" s="282"/>
      <c r="G1097" s="244">
        <f>'корпоративный баланс энергии'!S1106+'корпоративный баланс энергии'!V1106+'корпоративный баланс энергии'!Y1106</f>
        <v>7.68</v>
      </c>
      <c r="H1097" s="246"/>
      <c r="I1097" s="282"/>
      <c r="J1097" s="244">
        <f>'корпоративный баланс энергии'!AB1106+'корпоративный баланс энергии'!AE1106+'корпоративный баланс энергии'!AH1106</f>
        <v>6.6189999999999998</v>
      </c>
      <c r="K1097" s="246"/>
      <c r="L1097" s="282"/>
      <c r="M1097" s="244">
        <f>'корпоративный баланс энергии'!AK1106+'корпоративный баланс энергии'!AN1106+'корпоративный баланс энергии'!AQ1106</f>
        <v>1.1839999999999999</v>
      </c>
      <c r="N1097" s="246"/>
      <c r="O1097" s="282"/>
      <c r="P1097" s="244">
        <f t="shared" si="78"/>
        <v>17.885000000000002</v>
      </c>
      <c r="Q1097" s="246"/>
      <c r="R1097" s="282"/>
      <c r="S1097" s="355"/>
      <c r="T1097" s="355"/>
    </row>
    <row r="1098" spans="2:20" s="113" customFormat="1">
      <c r="B1098" s="132" t="str">
        <f>'корпоративный баланс энергии'!H1107</f>
        <v>Ахтубинская СЭС (ООО "Грин Энерджи Рус")</v>
      </c>
      <c r="C1098" s="516" t="s">
        <v>364</v>
      </c>
      <c r="D1098" s="1150">
        <f>SUM(D1099:D1102)</f>
        <v>10.084</v>
      </c>
      <c r="E1098" s="246"/>
      <c r="F1098" s="282"/>
      <c r="G1098" s="1150">
        <f>SUM(G1099:G1102)</f>
        <v>32.256</v>
      </c>
      <c r="H1098" s="246"/>
      <c r="I1098" s="282"/>
      <c r="J1098" s="1150">
        <f>SUM(J1099:J1102)</f>
        <v>27.8</v>
      </c>
      <c r="K1098" s="246"/>
      <c r="L1098" s="282"/>
      <c r="M1098" s="1150">
        <f>SUM(M1099:M1102)</f>
        <v>4.9720000000000004</v>
      </c>
      <c r="N1098" s="246"/>
      <c r="O1098" s="282"/>
      <c r="P1098" s="1150">
        <f>SUM(P1099:P1102)</f>
        <v>75.111999999999995</v>
      </c>
      <c r="Q1098" s="246"/>
      <c r="R1098" s="282"/>
      <c r="S1098" s="355"/>
      <c r="T1098" s="355"/>
    </row>
    <row r="1099" spans="2:20" s="113" customFormat="1">
      <c r="B1099" s="127" t="str">
        <f>'корпоративный баланс энергии'!H1108</f>
        <v>Ахтубинская СЭС (1 очередь) (ООО "Грин Энерджи Рус")</v>
      </c>
      <c r="C1099" s="516"/>
      <c r="D1099" s="281">
        <f>'корпоративный баланс энергии'!J1108+'корпоративный баланс энергии'!M1108+'корпоративный баланс энергии'!P1108</f>
        <v>2.5209999999999999</v>
      </c>
      <c r="E1099" s="246"/>
      <c r="F1099" s="282"/>
      <c r="G1099" s="244">
        <f>'корпоративный баланс энергии'!S1108+'корпоративный баланс энергии'!V1108+'корпоративный баланс энергии'!Y1108</f>
        <v>8.0640000000000001</v>
      </c>
      <c r="H1099" s="246"/>
      <c r="I1099" s="282"/>
      <c r="J1099" s="244">
        <f>'корпоративный баланс энергии'!AB1108+'корпоративный баланс энергии'!AE1108+'корпоративный баланс энергии'!AH1108</f>
        <v>6.95</v>
      </c>
      <c r="K1099" s="246"/>
      <c r="L1099" s="282"/>
      <c r="M1099" s="244">
        <f>'корпоративный баланс энергии'!AK1108+'корпоративный баланс энергии'!AN1108+'корпоративный баланс энергии'!AQ1108</f>
        <v>1.2430000000000001</v>
      </c>
      <c r="N1099" s="246"/>
      <c r="O1099" s="282"/>
      <c r="P1099" s="244">
        <f t="shared" si="78"/>
        <v>18.777999999999999</v>
      </c>
      <c r="Q1099" s="246"/>
      <c r="R1099" s="282"/>
      <c r="S1099" s="355"/>
      <c r="T1099" s="355"/>
    </row>
    <row r="1100" spans="2:20" s="113" customFormat="1">
      <c r="B1100" s="127" t="str">
        <f>'корпоративный баланс энергии'!H1109</f>
        <v>Ахтубинская СЭС (2 очередь) (ООО "Грин Энерджи Рус")</v>
      </c>
      <c r="C1100" s="516"/>
      <c r="D1100" s="281">
        <f>'корпоративный баланс энергии'!J1109+'корпоративный баланс энергии'!M1109+'корпоративный баланс энергии'!P1109</f>
        <v>2.5209999999999999</v>
      </c>
      <c r="E1100" s="246"/>
      <c r="F1100" s="282"/>
      <c r="G1100" s="244">
        <f>'корпоративный баланс энергии'!S1109+'корпоративный баланс энергии'!V1109+'корпоративный баланс энергии'!Y1109</f>
        <v>8.0640000000000001</v>
      </c>
      <c r="H1100" s="246"/>
      <c r="I1100" s="282"/>
      <c r="J1100" s="244">
        <f>'корпоративный баланс энергии'!AB1109+'корпоративный баланс энергии'!AE1109+'корпоративный баланс энергии'!AH1109</f>
        <v>6.95</v>
      </c>
      <c r="K1100" s="246"/>
      <c r="L1100" s="282"/>
      <c r="M1100" s="244">
        <f>'корпоративный баланс энергии'!AK1109+'корпоративный баланс энергии'!AN1109+'корпоративный баланс энергии'!AQ1109</f>
        <v>1.2430000000000001</v>
      </c>
      <c r="N1100" s="246"/>
      <c r="O1100" s="282"/>
      <c r="P1100" s="244">
        <f t="shared" si="78"/>
        <v>18.777999999999999</v>
      </c>
      <c r="Q1100" s="246"/>
      <c r="R1100" s="282"/>
      <c r="S1100" s="355"/>
      <c r="T1100" s="355"/>
    </row>
    <row r="1101" spans="2:20" s="113" customFormat="1">
      <c r="B1101" s="127" t="str">
        <f>'корпоративный баланс энергии'!H1110</f>
        <v>Ахтубинская СЭС (3 очередь) (ООО "Грин Энерджи Рус")</v>
      </c>
      <c r="C1101" s="516"/>
      <c r="D1101" s="281">
        <f>'корпоративный баланс энергии'!J1110+'корпоративный баланс энергии'!M1110+'корпоративный баланс энергии'!P1110</f>
        <v>2.5209999999999999</v>
      </c>
      <c r="E1101" s="246"/>
      <c r="F1101" s="282"/>
      <c r="G1101" s="244">
        <f>'корпоративный баланс энергии'!S1110+'корпоративный баланс энергии'!V1110+'корпоративный баланс энергии'!Y1110</f>
        <v>8.0640000000000001</v>
      </c>
      <c r="H1101" s="246"/>
      <c r="I1101" s="282"/>
      <c r="J1101" s="244">
        <f>'корпоративный баланс энергии'!AB1110+'корпоративный баланс энергии'!AE1110+'корпоративный баланс энергии'!AH1110</f>
        <v>6.95</v>
      </c>
      <c r="K1101" s="246"/>
      <c r="L1101" s="282"/>
      <c r="M1101" s="244">
        <f>'корпоративный баланс энергии'!AK1110+'корпоративный баланс энергии'!AN1110+'корпоративный баланс энергии'!AQ1110</f>
        <v>1.2430000000000001</v>
      </c>
      <c r="N1101" s="246"/>
      <c r="O1101" s="282"/>
      <c r="P1101" s="244">
        <f t="shared" si="78"/>
        <v>18.777999999999999</v>
      </c>
      <c r="Q1101" s="246"/>
      <c r="R1101" s="282"/>
      <c r="S1101" s="355"/>
      <c r="T1101" s="355"/>
    </row>
    <row r="1102" spans="2:20" s="113" customFormat="1">
      <c r="B1102" s="127" t="str">
        <f>'корпоративный баланс энергии'!H1111</f>
        <v>Ахтубинская СЭС (4 очередь) (ООО "Грин Энерджи Рус")</v>
      </c>
      <c r="C1102" s="516"/>
      <c r="D1102" s="281">
        <f>'корпоративный баланс энергии'!J1111+'корпоративный баланс энергии'!M1111+'корпоративный баланс энергии'!P1111</f>
        <v>2.5209999999999999</v>
      </c>
      <c r="E1102" s="246"/>
      <c r="F1102" s="282"/>
      <c r="G1102" s="244">
        <f>'корпоративный баланс энергии'!S1111+'корпоративный баланс энергии'!V1111+'корпоративный баланс энергии'!Y1111</f>
        <v>8.0640000000000001</v>
      </c>
      <c r="H1102" s="246"/>
      <c r="I1102" s="282"/>
      <c r="J1102" s="244">
        <f>'корпоративный баланс энергии'!AB1111+'корпоративный баланс энергии'!AE1111+'корпоративный баланс энергии'!AH1111</f>
        <v>6.95</v>
      </c>
      <c r="K1102" s="246"/>
      <c r="L1102" s="282"/>
      <c r="M1102" s="244">
        <f>'корпоративный баланс энергии'!AK1111+'корпоративный баланс энергии'!AN1111+'корпоративный баланс энергии'!AQ1111</f>
        <v>1.2430000000000001</v>
      </c>
      <c r="N1102" s="246"/>
      <c r="O1102" s="282"/>
      <c r="P1102" s="244">
        <f t="shared" si="78"/>
        <v>18.777999999999999</v>
      </c>
      <c r="Q1102" s="246"/>
      <c r="R1102" s="282"/>
      <c r="S1102" s="355"/>
      <c r="T1102" s="355"/>
    </row>
    <row r="1103" spans="2:20" s="113" customFormat="1">
      <c r="B1103" s="132" t="str">
        <f>'корпоративный баланс энергии'!H1112</f>
        <v>СЭС Лиманская</v>
      </c>
      <c r="C1103" s="516" t="s">
        <v>364</v>
      </c>
      <c r="D1103" s="1150">
        <f>SUM(D1104:D1105)</f>
        <v>5.0419999999999998</v>
      </c>
      <c r="E1103" s="246"/>
      <c r="F1103" s="282"/>
      <c r="G1103" s="1150">
        <f>SUM(G1104:G1105)</f>
        <v>16.128</v>
      </c>
      <c r="H1103" s="246"/>
      <c r="I1103" s="282"/>
      <c r="J1103" s="1150">
        <f>SUM(J1104:J1105)</f>
        <v>13.9</v>
      </c>
      <c r="K1103" s="246"/>
      <c r="L1103" s="282"/>
      <c r="M1103" s="1150">
        <f>SUM(M1104:M1105)</f>
        <v>2.4860000000000002</v>
      </c>
      <c r="N1103" s="246"/>
      <c r="O1103" s="282"/>
      <c r="P1103" s="1150">
        <f>SUM(P1104:P1105)</f>
        <v>37.555999999999997</v>
      </c>
      <c r="Q1103" s="246"/>
      <c r="R1103" s="282"/>
      <c r="S1103" s="355"/>
      <c r="T1103" s="355"/>
    </row>
    <row r="1104" spans="2:20" s="113" customFormat="1">
      <c r="B1104" s="127" t="str">
        <f>'корпоративный баланс энергии'!H1113</f>
        <v>Лиманская СЭС (1 очередь)</v>
      </c>
      <c r="C1104" s="516"/>
      <c r="D1104" s="281">
        <f>'корпоративный баланс энергии'!J1113+'корпоративный баланс энергии'!M1113+'корпоративный баланс энергии'!P1113</f>
        <v>2.5209999999999999</v>
      </c>
      <c r="E1104" s="246"/>
      <c r="F1104" s="282"/>
      <c r="G1104" s="244">
        <f>'корпоративный баланс энергии'!S1113+'корпоративный баланс энергии'!V1113+'корпоративный баланс энергии'!Y1113</f>
        <v>8.0640000000000001</v>
      </c>
      <c r="H1104" s="246"/>
      <c r="I1104" s="282"/>
      <c r="J1104" s="244">
        <f>'корпоративный баланс энергии'!AB1113+'корпоративный баланс энергии'!AE1113+'корпоративный баланс энергии'!AH1113</f>
        <v>6.95</v>
      </c>
      <c r="K1104" s="246"/>
      <c r="L1104" s="282"/>
      <c r="M1104" s="244">
        <f>'корпоративный баланс энергии'!AK1113+'корпоративный баланс энергии'!AN1113+'корпоративный баланс энергии'!AQ1113</f>
        <v>1.2430000000000001</v>
      </c>
      <c r="N1104" s="246"/>
      <c r="O1104" s="282"/>
      <c r="P1104" s="244">
        <f t="shared" ref="P1104:P1112" si="79">D1104+G1104+J1104+M1104</f>
        <v>18.777999999999999</v>
      </c>
      <c r="Q1104" s="246"/>
      <c r="R1104" s="282"/>
      <c r="S1104" s="355"/>
      <c r="T1104" s="355"/>
    </row>
    <row r="1105" spans="2:20" s="113" customFormat="1">
      <c r="B1105" s="127" t="str">
        <f>'корпоративный баланс энергии'!H1114</f>
        <v>Лиманская СЭС (2 очередь)</v>
      </c>
      <c r="C1105" s="516" t="s">
        <v>364</v>
      </c>
      <c r="D1105" s="281">
        <f>'корпоративный баланс энергии'!J1114+'корпоративный баланс энергии'!M1114+'корпоративный баланс энергии'!P1114</f>
        <v>2.5209999999999999</v>
      </c>
      <c r="E1105" s="246"/>
      <c r="F1105" s="282"/>
      <c r="G1105" s="244">
        <f>'корпоративный баланс энергии'!S1114+'корпоративный баланс энергии'!V1114+'корпоративный баланс энергии'!Y1114</f>
        <v>8.0640000000000001</v>
      </c>
      <c r="H1105" s="246"/>
      <c r="I1105" s="282"/>
      <c r="J1105" s="244">
        <f>'корпоративный баланс энергии'!AB1114+'корпоративный баланс энергии'!AE1114+'корпоративный баланс энергии'!AH1114</f>
        <v>6.95</v>
      </c>
      <c r="K1105" s="246"/>
      <c r="L1105" s="282"/>
      <c r="M1105" s="244">
        <f>'корпоративный баланс энергии'!AK1114+'корпоративный баланс энергии'!AN1114+'корпоративный баланс энергии'!AQ1114</f>
        <v>1.2430000000000001</v>
      </c>
      <c r="N1105" s="246"/>
      <c r="O1105" s="282"/>
      <c r="P1105" s="244">
        <f t="shared" si="79"/>
        <v>18.777999999999999</v>
      </c>
      <c r="Q1105" s="246"/>
      <c r="R1105" s="282"/>
      <c r="S1105" s="355"/>
      <c r="T1105" s="355"/>
    </row>
    <row r="1106" spans="2:20" s="113" customFormat="1">
      <c r="B1106" s="127" t="str">
        <f>'корпоративный баланс энергии'!H1115</f>
        <v>СЭС Володаровка</v>
      </c>
      <c r="C1106" s="516" t="s">
        <v>364</v>
      </c>
      <c r="D1106" s="281">
        <f>'корпоративный баланс энергии'!J1115+'корпоративный баланс энергии'!M1115+'корпоративный баланс энергии'!P1115</f>
        <v>2.95</v>
      </c>
      <c r="E1106" s="246"/>
      <c r="F1106" s="282"/>
      <c r="G1106" s="244">
        <f>'корпоративный баланс энергии'!S1115+'корпоративный баланс энергии'!V1115+'корпоративный баланс энергии'!Y1115</f>
        <v>6.87</v>
      </c>
      <c r="H1106" s="246"/>
      <c r="I1106" s="282"/>
      <c r="J1106" s="244">
        <f>'корпоративный баланс энергии'!AB1115+'корпоративный баланс энергии'!AE1115+'корпоративный баланс энергии'!AH1115</f>
        <v>7</v>
      </c>
      <c r="K1106" s="246"/>
      <c r="L1106" s="282"/>
      <c r="M1106" s="244">
        <f>'корпоративный баланс энергии'!AK1115+'корпоративный баланс энергии'!AN1115+'корпоративный баланс энергии'!AQ1115</f>
        <v>2.8</v>
      </c>
      <c r="N1106" s="246"/>
      <c r="O1106" s="282"/>
      <c r="P1106" s="244">
        <f t="shared" si="79"/>
        <v>19.62</v>
      </c>
      <c r="Q1106" s="246"/>
      <c r="R1106" s="282"/>
      <c r="S1106" s="355"/>
      <c r="T1106" s="355"/>
    </row>
    <row r="1107" spans="2:20" s="113" customFormat="1">
      <c r="B1107" s="127" t="str">
        <f>'корпоративный баланс энергии'!H1116</f>
        <v>СЭС Енотаевка</v>
      </c>
      <c r="C1107" s="516" t="s">
        <v>364</v>
      </c>
      <c r="D1107" s="281">
        <f>'корпоративный баланс энергии'!J1116+'корпоративный баланс энергии'!M1116+'корпоративный баланс энергии'!P1116</f>
        <v>3.0300000000000002</v>
      </c>
      <c r="E1107" s="246"/>
      <c r="F1107" s="282"/>
      <c r="G1107" s="244">
        <f>'корпоративный баланс энергии'!S1116+'корпоративный баланс энергии'!V1116+'корпоративный баланс энергии'!Y1116</f>
        <v>7.7</v>
      </c>
      <c r="H1107" s="246"/>
      <c r="I1107" s="282"/>
      <c r="J1107" s="244">
        <f>'корпоративный баланс энергии'!AB1116+'корпоративный баланс энергии'!AE1116+'корпоративный баланс энергии'!AH1116</f>
        <v>7.8000000000000007</v>
      </c>
      <c r="K1107" s="246"/>
      <c r="L1107" s="282"/>
      <c r="M1107" s="244">
        <f>'корпоративный баланс энергии'!AK1116+'корпоративный баланс энергии'!AN1116+'корпоративный баланс энергии'!AQ1116</f>
        <v>2.9</v>
      </c>
      <c r="N1107" s="246"/>
      <c r="O1107" s="282"/>
      <c r="P1107" s="244">
        <f t="shared" si="79"/>
        <v>21.43</v>
      </c>
      <c r="Q1107" s="246"/>
      <c r="R1107" s="282"/>
      <c r="S1107" s="355"/>
      <c r="T1107" s="355"/>
    </row>
    <row r="1108" spans="2:20" s="113" customFormat="1">
      <c r="B1108" s="127" t="str">
        <f>'корпоративный баланс энергии'!H1117</f>
        <v>СЭС Михайловская</v>
      </c>
      <c r="C1108" s="516" t="s">
        <v>364</v>
      </c>
      <c r="D1108" s="281">
        <f>'корпоративный баланс энергии'!J1117+'корпоративный баланс энергии'!M1117+'корпоративный баланс энергии'!P1117</f>
        <v>2.95</v>
      </c>
      <c r="E1108" s="246"/>
      <c r="F1108" s="282"/>
      <c r="G1108" s="244">
        <f>'корпоративный баланс энергии'!S1117+'корпоративный баланс энергии'!V1117+'корпоративный баланс энергии'!Y1117</f>
        <v>6.87</v>
      </c>
      <c r="H1108" s="246"/>
      <c r="I1108" s="282"/>
      <c r="J1108" s="244">
        <f>'корпоративный баланс энергии'!AB1117+'корпоративный баланс энергии'!AE1117+'корпоративный баланс энергии'!AH1117</f>
        <v>7</v>
      </c>
      <c r="K1108" s="246"/>
      <c r="L1108" s="282"/>
      <c r="M1108" s="244">
        <f>'корпоративный баланс энергии'!AK1117+'корпоративный баланс энергии'!AN1117+'корпоративный баланс энергии'!AQ1117</f>
        <v>2.8</v>
      </c>
      <c r="N1108" s="246"/>
      <c r="O1108" s="282"/>
      <c r="P1108" s="244">
        <f t="shared" si="79"/>
        <v>19.62</v>
      </c>
      <c r="Q1108" s="246"/>
      <c r="R1108" s="282"/>
      <c r="S1108" s="355"/>
      <c r="T1108" s="355"/>
    </row>
    <row r="1109" spans="2:20" s="113" customFormat="1">
      <c r="B1109" s="127" t="str">
        <f>'корпоративный баланс энергии'!H1118</f>
        <v>СЭС Элиста Северная</v>
      </c>
      <c r="C1109" s="516" t="s">
        <v>364</v>
      </c>
      <c r="D1109" s="281">
        <f>'корпоративный баланс энергии'!J1118+'корпоративный баланс энергии'!M1118+'корпоративный баланс энергии'!P1118</f>
        <v>2.95</v>
      </c>
      <c r="E1109" s="246"/>
      <c r="F1109" s="282"/>
      <c r="G1109" s="244">
        <f>'корпоративный баланс энергии'!S1118+'корпоративный баланс энергии'!V1118+'корпоративный баланс энергии'!Y1118</f>
        <v>6.87</v>
      </c>
      <c r="H1109" s="246"/>
      <c r="I1109" s="282"/>
      <c r="J1109" s="244">
        <f>'корпоративный баланс энергии'!AB1118+'корпоративный баланс энергии'!AE1118+'корпоративный баланс энергии'!AH1118</f>
        <v>7</v>
      </c>
      <c r="K1109" s="246"/>
      <c r="L1109" s="282"/>
      <c r="M1109" s="244">
        <f>'корпоративный баланс энергии'!AK1118+'корпоративный баланс энергии'!AN1118+'корпоративный баланс энергии'!AQ1118</f>
        <v>2.8</v>
      </c>
      <c r="N1109" s="246"/>
      <c r="O1109" s="282"/>
      <c r="P1109" s="244">
        <f t="shared" si="79"/>
        <v>19.62</v>
      </c>
      <c r="Q1109" s="246"/>
      <c r="R1109" s="282"/>
      <c r="S1109" s="355"/>
      <c r="T1109" s="355"/>
    </row>
    <row r="1110" spans="2:20" s="113" customFormat="1">
      <c r="B1110" s="127" t="str">
        <f>'корпоративный баланс энергии'!H1119</f>
        <v>СЭС Октябрьская</v>
      </c>
      <c r="C1110" s="516" t="s">
        <v>364</v>
      </c>
      <c r="D1110" s="281">
        <f>'корпоративный баланс энергии'!J1119+'корпоративный баланс энергии'!M1119+'корпоративный баланс энергии'!P1119</f>
        <v>4.194</v>
      </c>
      <c r="E1110" s="246"/>
      <c r="F1110" s="282"/>
      <c r="G1110" s="244">
        <f>'корпоративный баланс энергии'!S1119+'корпоративный баланс энергии'!V1119+'корпоративный баланс энергии'!Y1119</f>
        <v>7.0609999999999999</v>
      </c>
      <c r="H1110" s="246"/>
      <c r="I1110" s="282"/>
      <c r="J1110" s="244">
        <f>'корпоративный баланс энергии'!AB1119+'корпоративный баланс энергии'!AE1119+'корпоративный баланс энергии'!AH1119</f>
        <v>7.0760000000000005</v>
      </c>
      <c r="K1110" s="246"/>
      <c r="L1110" s="282"/>
      <c r="M1110" s="244">
        <f>'корпоративный баланс энергии'!AK1119+'корпоративный баланс энергии'!AN1119+'корпоративный баланс энергии'!AQ1119</f>
        <v>3.0779999999999998</v>
      </c>
      <c r="N1110" s="246"/>
      <c r="O1110" s="282"/>
      <c r="P1110" s="244">
        <f t="shared" si="79"/>
        <v>21.408999999999999</v>
      </c>
      <c r="Q1110" s="246"/>
      <c r="R1110" s="282"/>
      <c r="S1110" s="355"/>
      <c r="T1110" s="355"/>
    </row>
    <row r="1111" spans="2:20" s="113" customFormat="1">
      <c r="B1111" s="127" t="str">
        <f>'корпоративный баланс энергии'!H1120</f>
        <v>СЭС Песчаная</v>
      </c>
      <c r="C1111" s="516" t="s">
        <v>364</v>
      </c>
      <c r="D1111" s="281">
        <f>'корпоративный баланс энергии'!J1120+'корпоративный баланс энергии'!M1120+'корпоративный баланс энергии'!P1120</f>
        <v>4.194</v>
      </c>
      <c r="E1111" s="246"/>
      <c r="F1111" s="282"/>
      <c r="G1111" s="244">
        <f>'корпоративный баланс энергии'!S1120+'корпоративный баланс энергии'!V1120+'корпоративный баланс энергии'!Y1120</f>
        <v>7.0609999999999999</v>
      </c>
      <c r="H1111" s="246"/>
      <c r="I1111" s="282"/>
      <c r="J1111" s="244">
        <f>'корпоративный баланс энергии'!AB1120+'корпоративный баланс энергии'!AE1120+'корпоративный баланс энергии'!AH1120</f>
        <v>7.0760000000000005</v>
      </c>
      <c r="K1111" s="246"/>
      <c r="L1111" s="282"/>
      <c r="M1111" s="244">
        <f>'корпоративный баланс энергии'!AK1120+'корпоративный баланс энергии'!AN1120+'корпоративный баланс энергии'!AQ1120</f>
        <v>3.0929999999999995</v>
      </c>
      <c r="N1111" s="246"/>
      <c r="O1111" s="282"/>
      <c r="P1111" s="244">
        <f t="shared" si="79"/>
        <v>21.423999999999999</v>
      </c>
      <c r="Q1111" s="246"/>
      <c r="R1111" s="282"/>
      <c r="S1111" s="355"/>
      <c r="T1111" s="355"/>
    </row>
    <row r="1112" spans="2:20" s="113" customFormat="1">
      <c r="B1112" s="127" t="str">
        <f>'корпоративный баланс энергии'!H1121</f>
        <v>ВЭС Аксарайская</v>
      </c>
      <c r="C1112" s="516" t="s">
        <v>364</v>
      </c>
      <c r="D1112" s="281">
        <f>'корпоративный баланс энергии'!J1121+'корпоративный баланс энергии'!M1121+'корпоративный баланс энергии'!P1121</f>
        <v>0</v>
      </c>
      <c r="E1112" s="246"/>
      <c r="F1112" s="282"/>
      <c r="G1112" s="244">
        <f>'корпоративный баланс энергии'!S1121+'корпоративный баланс энергии'!V1121+'корпоративный баланс энергии'!Y1121</f>
        <v>0</v>
      </c>
      <c r="H1112" s="246"/>
      <c r="I1112" s="282"/>
      <c r="J1112" s="244">
        <f>'корпоративный баланс энергии'!AB1121+'корпоративный баланс энергии'!AE1121+'корпоративный баланс энергии'!AH1121</f>
        <v>0</v>
      </c>
      <c r="K1112" s="246"/>
      <c r="L1112" s="282"/>
      <c r="M1112" s="244">
        <f>'корпоративный баланс энергии'!AK1121+'корпоративный баланс энергии'!AN1121+'корпоративный баланс энергии'!AQ1121</f>
        <v>0</v>
      </c>
      <c r="N1112" s="246"/>
      <c r="O1112" s="282"/>
      <c r="P1112" s="244">
        <f t="shared" si="79"/>
        <v>0</v>
      </c>
      <c r="Q1112" s="246"/>
      <c r="R1112" s="282"/>
      <c r="S1112" s="355"/>
      <c r="T1112" s="355"/>
    </row>
    <row r="1113" spans="2:20" s="113" customFormat="1" ht="18.75">
      <c r="B1113" s="474" t="str">
        <f>'корпоративный баланс энергии'!H1122</f>
        <v>Энергосистема Волгоградской области</v>
      </c>
      <c r="C1113" s="474"/>
      <c r="D1113" s="277">
        <f>SUM(D1114:D1117)</f>
        <v>4316.7266040039058</v>
      </c>
      <c r="E1113" s="275">
        <f>F1113-D1113</f>
        <v>222.26847239609651</v>
      </c>
      <c r="F1113" s="276">
        <f>'корпоративный баланс энергии'!L1122+'корпоративный баланс энергии'!O1122+'корпоративный баланс энергии'!R1122</f>
        <v>4538.9950764000023</v>
      </c>
      <c r="G1113" s="277">
        <f>SUM(G1114:G1117)</f>
        <v>4692.8362978515624</v>
      </c>
      <c r="H1113" s="275">
        <f>I1113-G1113</f>
        <v>-838.28894143296247</v>
      </c>
      <c r="I1113" s="276">
        <f>'корпоративный баланс энергии'!U1122+'корпоративный баланс энергии'!X1122+'корпоративный баланс энергии'!AA1122</f>
        <v>3854.5473564186</v>
      </c>
      <c r="J1113" s="277">
        <f>SUM(J1114:J1117)</f>
        <v>3621.5321684570308</v>
      </c>
      <c r="K1113" s="275">
        <f>L1113-J1113</f>
        <v>321.54729126516941</v>
      </c>
      <c r="L1113" s="276">
        <f>'корпоративный баланс энергии'!AD1122+'корпоративный баланс энергии'!AG1122+'корпоративный баланс энергии'!AJ1122</f>
        <v>3943.0794597222002</v>
      </c>
      <c r="M1113" s="277">
        <f>SUM(M1114:M1117)</f>
        <v>4200.030061035156</v>
      </c>
      <c r="N1113" s="275">
        <f>O1113-M1113</f>
        <v>283.34804642404379</v>
      </c>
      <c r="O1113" s="276">
        <f>'корпоративный баланс энергии'!AM1122+'корпоративный баланс энергии'!AP1122+'корпоративный баланс энергии'!AS1122</f>
        <v>4483.3781074591998</v>
      </c>
      <c r="P1113" s="277">
        <f>SUM(P1114:P1117)</f>
        <v>16831.125131347657</v>
      </c>
      <c r="Q1113" s="275">
        <f>R1113-P1113</f>
        <v>-11.125131347653223</v>
      </c>
      <c r="R1113" s="276">
        <f>F1113+I1113+L1113+O1113</f>
        <v>16820.000000000004</v>
      </c>
      <c r="S1113" s="355"/>
      <c r="T1113" s="355"/>
    </row>
    <row r="1114" spans="2:20" s="113" customFormat="1">
      <c r="B1114" s="124" t="s">
        <v>56</v>
      </c>
      <c r="C1114" s="124"/>
      <c r="D1114" s="365">
        <f>SUM(D1118:D1122)</f>
        <v>1463.0329999999999</v>
      </c>
      <c r="E1114" s="363"/>
      <c r="F1114" s="364"/>
      <c r="G1114" s="365">
        <f>SUM(G1118:G1122)</f>
        <v>722.71299999999997</v>
      </c>
      <c r="H1114" s="363"/>
      <c r="I1114" s="364"/>
      <c r="J1114" s="365">
        <f>SUM(J1118:J1122)</f>
        <v>710.23199999999997</v>
      </c>
      <c r="K1114" s="363"/>
      <c r="L1114" s="364"/>
      <c r="M1114" s="365">
        <f>SUM(M1118:M1122)</f>
        <v>1312.7260000000001</v>
      </c>
      <c r="N1114" s="363"/>
      <c r="O1114" s="364"/>
      <c r="P1114" s="365">
        <f>SUM(P1118:P1122)</f>
        <v>4208.7039999999997</v>
      </c>
      <c r="Q1114" s="363"/>
      <c r="R1114" s="364"/>
      <c r="S1114" s="355"/>
      <c r="T1114" s="355"/>
    </row>
    <row r="1115" spans="2:20" s="113" customFormat="1">
      <c r="B1115" s="124" t="s">
        <v>55</v>
      </c>
      <c r="C1115" s="124"/>
      <c r="D1115" s="365">
        <f>D1123+D1124</f>
        <v>2682.2066040039063</v>
      </c>
      <c r="E1115" s="363"/>
      <c r="F1115" s="364"/>
      <c r="G1115" s="362">
        <f>G1123+G1124</f>
        <v>3845.5552978515625</v>
      </c>
      <c r="H1115" s="363"/>
      <c r="I1115" s="364"/>
      <c r="J1115" s="362">
        <f>J1123+J1124</f>
        <v>2784.1101684570313</v>
      </c>
      <c r="K1115" s="363"/>
      <c r="L1115" s="364"/>
      <c r="M1115" s="362">
        <f>M1123+M1124</f>
        <v>2710.3750610351563</v>
      </c>
      <c r="N1115" s="363"/>
      <c r="O1115" s="364"/>
      <c r="P1115" s="362">
        <f>P1123+P1124</f>
        <v>12022.247131347656</v>
      </c>
      <c r="Q1115" s="363"/>
      <c r="R1115" s="364"/>
      <c r="S1115" s="355"/>
      <c r="T1115" s="355"/>
    </row>
    <row r="1116" spans="2:20" s="113" customFormat="1">
      <c r="B1116" s="124" t="s">
        <v>347</v>
      </c>
      <c r="C1116" s="124"/>
      <c r="D1116" s="365">
        <f>SUM(D1125:D1129)</f>
        <v>5.36</v>
      </c>
      <c r="E1116" s="363"/>
      <c r="F1116" s="364"/>
      <c r="G1116" s="365">
        <f>SUM(G1125:G1129)</f>
        <v>14.559999999999999</v>
      </c>
      <c r="H1116" s="363"/>
      <c r="I1116" s="364"/>
      <c r="J1116" s="365">
        <f>SUM(J1125:J1129)</f>
        <v>28.239999999999995</v>
      </c>
      <c r="K1116" s="363"/>
      <c r="L1116" s="364"/>
      <c r="M1116" s="365">
        <f>SUM(M1125:M1129)</f>
        <v>16.93</v>
      </c>
      <c r="N1116" s="363"/>
      <c r="O1116" s="364"/>
      <c r="P1116" s="365">
        <f>SUM(P1125:P1129)</f>
        <v>65.089999999999989</v>
      </c>
      <c r="Q1116" s="363"/>
      <c r="R1116" s="364"/>
      <c r="S1116" s="355"/>
      <c r="T1116" s="355"/>
    </row>
    <row r="1117" spans="2:20" s="115" customFormat="1">
      <c r="B1117" s="124" t="s">
        <v>99</v>
      </c>
      <c r="C1117" s="124"/>
      <c r="D1117" s="365">
        <f>D1130</f>
        <v>166.12700000000001</v>
      </c>
      <c r="E1117" s="363"/>
      <c r="F1117" s="364"/>
      <c r="G1117" s="365">
        <f>G1130</f>
        <v>110.008</v>
      </c>
      <c r="H1117" s="363"/>
      <c r="I1117" s="364"/>
      <c r="J1117" s="365">
        <f>J1130</f>
        <v>98.949999999999989</v>
      </c>
      <c r="K1117" s="363"/>
      <c r="L1117" s="364"/>
      <c r="M1117" s="365">
        <f>M1130</f>
        <v>159.99900000000002</v>
      </c>
      <c r="N1117" s="363"/>
      <c r="O1117" s="364"/>
      <c r="P1117" s="365">
        <f>P1130</f>
        <v>535.08400000000006</v>
      </c>
      <c r="Q1117" s="363"/>
      <c r="R1117" s="364"/>
      <c r="S1117" s="375"/>
      <c r="T1117" s="375"/>
    </row>
    <row r="1118" spans="2:20" s="24" customFormat="1">
      <c r="B1118" s="127" t="str">
        <f>'корпоративный баланс энергии'!H1127</f>
        <v>Волгоградская ТЭЦ-2 (ООО "ЛУКОЙЛ-Волгограднефтепереработка")</v>
      </c>
      <c r="C1118" s="516" t="s">
        <v>364</v>
      </c>
      <c r="D1118" s="244">
        <f>'корпоративный баланс энергии'!J1127+'корпоративный баланс энергии'!M1127+'корпоративный баланс энергии'!P1127</f>
        <v>243.96999999999997</v>
      </c>
      <c r="E1118" s="246"/>
      <c r="F1118" s="282"/>
      <c r="G1118" s="244">
        <f>'корпоративный баланс энергии'!S1127+'корпоративный баланс энергии'!V1127+'корпоративный баланс энергии'!Y1127</f>
        <v>165.31</v>
      </c>
      <c r="H1118" s="246"/>
      <c r="I1118" s="282"/>
      <c r="J1118" s="244">
        <f>'корпоративный баланс энергии'!AB1127+'корпоративный баланс энергии'!AE1127+'корпоративный баланс энергии'!AH1127</f>
        <v>172.23000000000002</v>
      </c>
      <c r="K1118" s="246"/>
      <c r="L1118" s="282"/>
      <c r="M1118" s="244">
        <f>'корпоративный баланс энергии'!AK1127+'корпоративный баланс энергии'!AN1127+'корпоративный баланс энергии'!AQ1127</f>
        <v>218.39999999999998</v>
      </c>
      <c r="N1118" s="246"/>
      <c r="O1118" s="282"/>
      <c r="P1118" s="244">
        <f t="shared" ref="P1118:P1124" si="80">D1118+G1118+J1118+M1118</f>
        <v>799.91</v>
      </c>
      <c r="Q1118" s="246"/>
      <c r="R1118" s="282"/>
      <c r="S1118" s="357"/>
      <c r="T1118" s="357"/>
    </row>
    <row r="1119" spans="2:20" s="24" customFormat="1">
      <c r="B1119" s="127" t="str">
        <f>'корпоративный баланс энергии'!H1128</f>
        <v>Волжская ТЭЦ (ООО "Тепловая генерация г.Волжского")</v>
      </c>
      <c r="C1119" s="516" t="s">
        <v>364</v>
      </c>
      <c r="D1119" s="244">
        <f>'корпоративный баланс энергии'!J1128+'корпоративный баланс энергии'!M1128+'корпоративный баланс энергии'!P1128</f>
        <v>404.39</v>
      </c>
      <c r="E1119" s="246"/>
      <c r="F1119" s="282"/>
      <c r="G1119" s="244">
        <f>'корпоративный баланс энергии'!S1128+'корпоративный баланс энергии'!V1128+'корпоративный баланс энергии'!Y1128</f>
        <v>156.57999999999998</v>
      </c>
      <c r="H1119" s="246"/>
      <c r="I1119" s="282"/>
      <c r="J1119" s="244">
        <f>'корпоративный баланс энергии'!AB1128+'корпоративный баланс энергии'!AE1128+'корпоративный баланс энергии'!AH1128</f>
        <v>181.36</v>
      </c>
      <c r="K1119" s="246"/>
      <c r="L1119" s="282"/>
      <c r="M1119" s="244">
        <f>'корпоративный баланс энергии'!AK1128+'корпоративный баланс энергии'!AN1128+'корпоративный баланс энергии'!AQ1128</f>
        <v>363.71000000000004</v>
      </c>
      <c r="N1119" s="246"/>
      <c r="O1119" s="282"/>
      <c r="P1119" s="244">
        <f t="shared" si="80"/>
        <v>1106.04</v>
      </c>
      <c r="Q1119" s="246"/>
      <c r="R1119" s="282"/>
      <c r="S1119" s="357"/>
      <c r="T1119" s="357"/>
    </row>
    <row r="1120" spans="2:20" s="24" customFormat="1">
      <c r="B1120" s="127" t="str">
        <f>'корпоративный баланс энергии'!H1129</f>
        <v>Волжская ТЭЦ-2 (ООО "Тепловая генерация г.Волжского")</v>
      </c>
      <c r="C1120" s="516" t="s">
        <v>364</v>
      </c>
      <c r="D1120" s="244">
        <f>'корпоративный баланс энергии'!J1129+'корпоративный баланс энергии'!M1129+'корпоративный баланс энергии'!P1129</f>
        <v>398.5</v>
      </c>
      <c r="E1120" s="246"/>
      <c r="F1120" s="282"/>
      <c r="G1120" s="244">
        <f>'корпоративный баланс энергии'!S1129+'корпоративный баланс энергии'!V1129+'корпоративный баланс энергии'!Y1129</f>
        <v>141.87</v>
      </c>
      <c r="H1120" s="246"/>
      <c r="I1120" s="282"/>
      <c r="J1120" s="244">
        <f>'корпоративный баланс энергии'!AB1129+'корпоративный баланс энергии'!AE1129+'корпоративный баланс энергии'!AH1129</f>
        <v>120.66</v>
      </c>
      <c r="K1120" s="246"/>
      <c r="L1120" s="282"/>
      <c r="M1120" s="244">
        <f>'корпоративный баланс энергии'!AK1129+'корпоративный баланс энергии'!AN1129+'корпоративный баланс энергии'!AQ1129</f>
        <v>326.03000000000003</v>
      </c>
      <c r="N1120" s="246"/>
      <c r="O1120" s="282"/>
      <c r="P1120" s="244">
        <f t="shared" si="80"/>
        <v>987.06</v>
      </c>
      <c r="Q1120" s="246"/>
      <c r="R1120" s="282"/>
      <c r="S1120" s="357"/>
      <c r="T1120" s="357"/>
    </row>
    <row r="1121" spans="2:20" s="24" customFormat="1">
      <c r="B1121" s="127" t="str">
        <f>'корпоративный баланс энергии'!H1130</f>
        <v>Камышинская ТЭЦ (ООО "Камышинская ТЭЦ")</v>
      </c>
      <c r="C1121" s="516" t="s">
        <v>364</v>
      </c>
      <c r="D1121" s="244">
        <f>'корпоративный баланс энергии'!J1130+'корпоративный баланс энергии'!M1130+'корпоративный баланс энергии'!P1130</f>
        <v>98.8</v>
      </c>
      <c r="E1121" s="246"/>
      <c r="F1121" s="282"/>
      <c r="G1121" s="244">
        <f>'корпоративный баланс энергии'!S1130+'корпоративный баланс энергии'!V1130+'корпоративный баланс энергии'!Y1130</f>
        <v>17.149999999999999</v>
      </c>
      <c r="H1121" s="246"/>
      <c r="I1121" s="282"/>
      <c r="J1121" s="244">
        <f>'корпоративный баланс энергии'!AB1130+'корпоративный баланс энергии'!AE1130+'корпоративный баланс энергии'!AH1130</f>
        <v>4.59</v>
      </c>
      <c r="K1121" s="246"/>
      <c r="L1121" s="282"/>
      <c r="M1121" s="244">
        <f>'корпоративный баланс энергии'!AK1130+'корпоративный баланс энергии'!AN1130+'корпоративный баланс энергии'!AQ1130</f>
        <v>72.099999999999994</v>
      </c>
      <c r="N1121" s="246"/>
      <c r="O1121" s="282"/>
      <c r="P1121" s="244">
        <f t="shared" si="80"/>
        <v>192.64</v>
      </c>
      <c r="Q1121" s="246"/>
      <c r="R1121" s="282"/>
      <c r="S1121" s="357"/>
      <c r="T1121" s="357"/>
    </row>
    <row r="1122" spans="2:20" s="109" customFormat="1">
      <c r="B1122" s="127" t="str">
        <f>'корпоративный баланс энергии'!H1131</f>
        <v>Волгоградская ТЭЦ-3 (АО "Каустик")</v>
      </c>
      <c r="C1122" s="533" t="s">
        <v>365</v>
      </c>
      <c r="D1122" s="244">
        <f>'корпоративный баланс энергии'!J1131+'корпоративный баланс энергии'!M1131+'корпоративный баланс энергии'!P1131</f>
        <v>317.37299999999999</v>
      </c>
      <c r="E1122" s="246"/>
      <c r="F1122" s="282"/>
      <c r="G1122" s="244">
        <f>'корпоративный баланс энергии'!S1131+'корпоративный баланс энергии'!V1131+'корпоративный баланс энергии'!Y1131</f>
        <v>241.803</v>
      </c>
      <c r="H1122" s="246"/>
      <c r="I1122" s="282"/>
      <c r="J1122" s="244">
        <f>'корпоративный баланс энергии'!AB1131+'корпоративный баланс энергии'!AE1131+'корпоративный баланс энергии'!AH1131</f>
        <v>231.392</v>
      </c>
      <c r="K1122" s="246"/>
      <c r="L1122" s="282"/>
      <c r="M1122" s="244">
        <f>'корпоративный баланс энергии'!AK1131+'корпоративный баланс энергии'!AN1131+'корпоративный баланс энергии'!AQ1131</f>
        <v>332.48599999999999</v>
      </c>
      <c r="N1122" s="246"/>
      <c r="O1122" s="282"/>
      <c r="P1122" s="244">
        <f t="shared" si="80"/>
        <v>1123.0540000000001</v>
      </c>
      <c r="Q1122" s="246"/>
      <c r="R1122" s="282"/>
      <c r="S1122" s="368"/>
      <c r="T1122" s="368"/>
    </row>
    <row r="1123" spans="2:20" s="24" customFormat="1">
      <c r="B1123" s="127" t="str">
        <f>'корпоративный баланс энергии'!H1132</f>
        <v>Волжская ГЭС (филиал ПАО "РусГидро")</v>
      </c>
      <c r="C1123" s="516" t="s">
        <v>364</v>
      </c>
      <c r="D1123" s="244">
        <f>'корпоративный баланс энергии'!J1132+'корпоративный баланс энергии'!M1132+'корпоративный баланс энергии'!P1132</f>
        <v>2661.2066040039063</v>
      </c>
      <c r="E1123" s="246"/>
      <c r="F1123" s="282"/>
      <c r="G1123" s="244">
        <f>'корпоративный баланс энергии'!S1132+'корпоративный баланс энергии'!V1132+'корпоративный баланс энергии'!Y1132</f>
        <v>3806.5552978515625</v>
      </c>
      <c r="H1123" s="246"/>
      <c r="I1123" s="282"/>
      <c r="J1123" s="244">
        <f>'корпоративный баланс энергии'!AB1132+'корпоративный баланс энергии'!AE1132+'корпоративный баланс энергии'!AH1132</f>
        <v>2745.1101684570313</v>
      </c>
      <c r="K1123" s="246"/>
      <c r="L1123" s="282"/>
      <c r="M1123" s="244">
        <f>'корпоративный баланс энергии'!AK1132+'корпоративный баланс энергии'!AN1132+'корпоративный баланс энергии'!AQ1132</f>
        <v>2671.3750610351563</v>
      </c>
      <c r="N1123" s="246"/>
      <c r="O1123" s="282"/>
      <c r="P1123" s="244">
        <f t="shared" si="80"/>
        <v>11884.247131347656</v>
      </c>
      <c r="Q1123" s="246"/>
      <c r="R1123" s="282"/>
      <c r="S1123" s="357"/>
      <c r="T1123" s="357"/>
    </row>
    <row r="1124" spans="2:20" s="24" customFormat="1">
      <c r="B1124" s="127" t="str">
        <f>'корпоративный баланс энергии'!H1133</f>
        <v>Межшлюзовая ГЭС (Волгоградский РГСиС - филиал Волго-Донского ГБУВПиС)</v>
      </c>
      <c r="C1124" s="533" t="s">
        <v>365</v>
      </c>
      <c r="D1124" s="244">
        <f>'корпоративный баланс энергии'!J1133+'корпоративный баланс энергии'!M1133+'корпоративный баланс энергии'!P1133</f>
        <v>21</v>
      </c>
      <c r="E1124" s="246"/>
      <c r="F1124" s="282"/>
      <c r="G1124" s="244">
        <f>'корпоративный баланс энергии'!S1133+'корпоративный баланс энергии'!V1133+'корпоративный баланс энергии'!Y1133</f>
        <v>39</v>
      </c>
      <c r="H1124" s="246"/>
      <c r="I1124" s="282"/>
      <c r="J1124" s="244">
        <f>'корпоративный баланс энергии'!AB1133+'корпоративный баланс энергии'!AE1133+'корпоративный баланс энергии'!AH1133</f>
        <v>39</v>
      </c>
      <c r="K1124" s="246"/>
      <c r="L1124" s="282"/>
      <c r="M1124" s="244">
        <f>'корпоративный баланс энергии'!AK1133+'корпоративный баланс энергии'!AN1133+'корпоративный баланс энергии'!AQ1133</f>
        <v>39</v>
      </c>
      <c r="N1124" s="246"/>
      <c r="O1124" s="282"/>
      <c r="P1124" s="244">
        <f t="shared" si="80"/>
        <v>138</v>
      </c>
      <c r="Q1124" s="246"/>
      <c r="R1124" s="282"/>
      <c r="S1124" s="357"/>
      <c r="T1124" s="357"/>
    </row>
    <row r="1125" spans="2:20" s="24" customFormat="1">
      <c r="B1125" s="127" t="str">
        <f>'корпоративный баланс энергии'!H1134</f>
        <v>Волгоградская СЭС (дисп. наим. Красноармейская СЭС ООО "Авелар Солар Технолоджи")</v>
      </c>
      <c r="C1125" s="533" t="s">
        <v>364</v>
      </c>
      <c r="D1125" s="244">
        <f>'корпоративный баланс энергии'!J1134+'корпоративный баланс энергии'!M1134+'корпоративный баланс энергии'!P1134</f>
        <v>2.41</v>
      </c>
      <c r="E1125" s="246"/>
      <c r="F1125" s="282"/>
      <c r="G1125" s="244">
        <f>'корпоративный баланс энергии'!S1134+'корпоративный баланс энергии'!V1134+'корпоративный баланс энергии'!Y1134</f>
        <v>3.95</v>
      </c>
      <c r="H1125" s="246"/>
      <c r="I1125" s="282"/>
      <c r="J1125" s="244">
        <f>'корпоративный баланс энергии'!AB1134+'корпоративный баланс энергии'!AE1134+'корпоративный баланс энергии'!AH1134</f>
        <v>3.8499999999999996</v>
      </c>
      <c r="K1125" s="246"/>
      <c r="L1125" s="282"/>
      <c r="M1125" s="244">
        <f>'корпоративный баланс энергии'!AK1134+'корпоративный баланс энергии'!AN1134+'корпоративный баланс энергии'!AQ1134</f>
        <v>1.7000000000000002</v>
      </c>
      <c r="N1125" s="246"/>
      <c r="O1125" s="282"/>
      <c r="P1125" s="244">
        <f t="shared" ref="P1125" si="81">D1125+G1125+J1125+M1125</f>
        <v>11.91</v>
      </c>
      <c r="Q1125" s="246"/>
      <c r="R1125" s="282"/>
      <c r="S1125" s="357"/>
      <c r="T1125" s="357"/>
    </row>
    <row r="1126" spans="2:20" s="24" customFormat="1">
      <c r="B1126" s="127" t="str">
        <f>'корпоративный баланс энергии'!H1135</f>
        <v>Волгоградская СЭС№1 (ООО "Солар Системс")</v>
      </c>
      <c r="C1126" s="533"/>
      <c r="D1126" s="244">
        <f>'корпоративный баланс энергии'!J1135+'корпоративный баланс энергии'!M1135+'корпоративный баланс энергии'!P1135</f>
        <v>2.95</v>
      </c>
      <c r="E1126" s="246"/>
      <c r="F1126" s="282"/>
      <c r="G1126" s="244">
        <f>'корпоративный баланс энергии'!S1135+'корпоративный баланс энергии'!V1135+'корпоративный баланс энергии'!Y1135</f>
        <v>10.61</v>
      </c>
      <c r="H1126" s="246"/>
      <c r="I1126" s="282"/>
      <c r="J1126" s="244">
        <f>'корпоративный баланс энергии'!AB1135+'корпоративный баланс энергии'!AE1135+'корпоративный баланс энергии'!AH1135</f>
        <v>10.639999999999999</v>
      </c>
      <c r="K1126" s="246"/>
      <c r="L1126" s="282"/>
      <c r="M1126" s="244">
        <f>'корпоративный баланс энергии'!AK1135+'корпоративный баланс энергии'!AN1135+'корпоративный баланс энергии'!AQ1135</f>
        <v>4.6499999999999995</v>
      </c>
      <c r="N1126" s="246"/>
      <c r="O1126" s="282"/>
      <c r="P1126" s="244">
        <f t="shared" ref="P1126:P1129" si="82">D1126+G1126+J1126+M1126</f>
        <v>28.849999999999994</v>
      </c>
      <c r="Q1126" s="246"/>
      <c r="R1126" s="282"/>
      <c r="S1126" s="357"/>
      <c r="T1126" s="357"/>
    </row>
    <row r="1127" spans="2:20" s="24" customFormat="1">
      <c r="B1127" s="127" t="str">
        <f>'корпоративный баланс энергии'!H1136</f>
        <v>СЭС Медведица (ООО "Санлайт Энерджи")</v>
      </c>
      <c r="C1127" s="533"/>
      <c r="D1127" s="244">
        <f>'корпоративный баланс энергии'!J1136+'корпоративный баланс энергии'!M1136+'корпоративный баланс энергии'!P1136</f>
        <v>0</v>
      </c>
      <c r="E1127" s="246"/>
      <c r="F1127" s="282"/>
      <c r="G1127" s="244">
        <f>'корпоративный баланс энергии'!S1136+'корпоративный баланс энергии'!V1136+'корпоративный баланс энергии'!Y1136</f>
        <v>0</v>
      </c>
      <c r="H1127" s="246"/>
      <c r="I1127" s="282"/>
      <c r="J1127" s="244">
        <f>'корпоративный баланс энергии'!AB1136+'корпоративный баланс энергии'!AE1136+'корпоративный баланс энергии'!AH1136</f>
        <v>3.11</v>
      </c>
      <c r="K1127" s="246"/>
      <c r="L1127" s="282"/>
      <c r="M1127" s="244">
        <f>'корпоративный баланс энергии'!AK1136+'корпоративный баланс энергии'!AN1136+'корпоративный баланс энергии'!AQ1136</f>
        <v>4.6499999999999995</v>
      </c>
      <c r="N1127" s="246"/>
      <c r="O1127" s="282"/>
      <c r="P1127" s="244">
        <f t="shared" si="82"/>
        <v>7.76</v>
      </c>
      <c r="Q1127" s="246"/>
      <c r="R1127" s="282"/>
      <c r="S1127" s="357"/>
      <c r="T1127" s="357"/>
    </row>
    <row r="1128" spans="2:20" s="24" customFormat="1">
      <c r="B1128" s="127" t="str">
        <f>'корпоративный баланс энергии'!H1137</f>
        <v>СЭС Луч (ООО "Санлайт Энерджи")</v>
      </c>
      <c r="C1128" s="533"/>
      <c r="D1128" s="244">
        <f>'корпоративный баланс энергии'!J1137+'корпоративный баланс энергии'!M1137+'корпоративный баланс энергии'!P1137</f>
        <v>0</v>
      </c>
      <c r="E1128" s="246"/>
      <c r="F1128" s="282"/>
      <c r="G1128" s="244">
        <f>'корпоративный баланс энергии'!S1137+'корпоративный баланс энергии'!V1137+'корпоративный баланс энергии'!Y1137</f>
        <v>0</v>
      </c>
      <c r="H1128" s="246"/>
      <c r="I1128" s="282"/>
      <c r="J1128" s="244">
        <f>'корпоративный баланс энергии'!AB1137+'корпоративный баланс энергии'!AE1137+'корпоративный баланс энергии'!AH1137</f>
        <v>10.639999999999999</v>
      </c>
      <c r="K1128" s="246"/>
      <c r="L1128" s="282"/>
      <c r="M1128" s="244">
        <f>'корпоративный баланс энергии'!AK1137+'корпоративный баланс энергии'!AN1137+'корпоративный баланс энергии'!AQ1137</f>
        <v>4.6499999999999995</v>
      </c>
      <c r="N1128" s="246"/>
      <c r="O1128" s="282"/>
      <c r="P1128" s="244">
        <f t="shared" si="82"/>
        <v>15.29</v>
      </c>
      <c r="Q1128" s="246"/>
      <c r="R1128" s="282"/>
      <c r="S1128" s="357"/>
      <c r="T1128" s="357"/>
    </row>
    <row r="1129" spans="2:20" s="24" customFormat="1">
      <c r="B1129" s="127" t="str">
        <f>'корпоративный баланс энергии'!H1138</f>
        <v>СЭС Астерион (ООО "Санлайт Энерджи")</v>
      </c>
      <c r="C1129" s="533"/>
      <c r="D1129" s="244">
        <f>'корпоративный баланс энергии'!J1138+'корпоративный баланс энергии'!M1138+'корпоративный баланс энергии'!P1138</f>
        <v>0</v>
      </c>
      <c r="E1129" s="246"/>
      <c r="F1129" s="282"/>
      <c r="G1129" s="244">
        <f>'корпоративный баланс энергии'!S1138+'корпоративный баланс энергии'!V1138+'корпоративный баланс энергии'!Y1138</f>
        <v>0</v>
      </c>
      <c r="H1129" s="246"/>
      <c r="I1129" s="282"/>
      <c r="J1129" s="244">
        <f>'корпоративный баланс энергии'!AB1138+'корпоративный баланс энергии'!AE1138+'корпоративный баланс энергии'!AH1138</f>
        <v>0</v>
      </c>
      <c r="K1129" s="246"/>
      <c r="L1129" s="282"/>
      <c r="M1129" s="244">
        <f>'корпоративный баланс энергии'!AK1138+'корпоративный баланс энергии'!AN1138+'корпоративный баланс энергии'!AQ1138</f>
        <v>1.28</v>
      </c>
      <c r="N1129" s="246"/>
      <c r="O1129" s="282"/>
      <c r="P1129" s="244">
        <f t="shared" si="82"/>
        <v>1.28</v>
      </c>
      <c r="Q1129" s="246"/>
      <c r="R1129" s="282"/>
      <c r="S1129" s="357"/>
      <c r="T1129" s="357"/>
    </row>
    <row r="1130" spans="2:20" s="24" customFormat="1">
      <c r="B1130" s="138" t="s">
        <v>174</v>
      </c>
      <c r="C1130" s="138"/>
      <c r="D1130" s="319">
        <f>SUM(D1131:D1140)</f>
        <v>166.12700000000001</v>
      </c>
      <c r="E1130" s="288"/>
      <c r="F1130" s="289"/>
      <c r="G1130" s="287">
        <f>SUM(G1131:G1140)</f>
        <v>110.008</v>
      </c>
      <c r="H1130" s="288"/>
      <c r="I1130" s="289"/>
      <c r="J1130" s="287">
        <f>SUM(J1131:J1140)</f>
        <v>98.949999999999989</v>
      </c>
      <c r="K1130" s="288"/>
      <c r="L1130" s="289"/>
      <c r="M1130" s="287">
        <f>SUM(M1131:M1140)</f>
        <v>159.99900000000002</v>
      </c>
      <c r="N1130" s="288"/>
      <c r="O1130" s="289"/>
      <c r="P1130" s="287">
        <f>SUM(P1131:P1140)</f>
        <v>535.08400000000006</v>
      </c>
      <c r="Q1130" s="288"/>
      <c r="R1130" s="289"/>
      <c r="S1130" s="357"/>
      <c r="T1130" s="357"/>
    </row>
    <row r="1131" spans="2:20" s="24" customFormat="1">
      <c r="B1131" s="145" t="str">
        <f>'корпоративный баланс энергии'!H1140</f>
        <v>ГПЭС ТПП "Волгограднефтегаз" (АО "РИТЭК" ТПП "Волгограднефтегаз")</v>
      </c>
      <c r="C1131" s="518" t="s">
        <v>365</v>
      </c>
      <c r="D1131" s="294">
        <f>'корпоративный баланс энергии'!J1140+'корпоративный баланс энергии'!M1140+'корпоративный баланс энергии'!P1140</f>
        <v>15.010000000000002</v>
      </c>
      <c r="E1131" s="288"/>
      <c r="F1131" s="289"/>
      <c r="G1131" s="294">
        <f>'корпоративный баланс энергии'!S1140+'корпоративный баланс энергии'!V1140+'корпоративный баланс энергии'!Y1140</f>
        <v>15.02</v>
      </c>
      <c r="H1131" s="288"/>
      <c r="I1131" s="289"/>
      <c r="J1131" s="294">
        <f>'корпоративный баланс энергии'!AB1140+'корпоративный баланс энергии'!AE1140+'корпоративный баланс энергии'!AH1140</f>
        <v>15.190000000000001</v>
      </c>
      <c r="K1131" s="288"/>
      <c r="L1131" s="289"/>
      <c r="M1131" s="294">
        <f>'корпоративный баланс энергии'!AK1140+'корпоративный баланс энергии'!AN1140+'корпоративный баланс энергии'!AQ1140</f>
        <v>15.190000000000001</v>
      </c>
      <c r="N1131" s="288"/>
      <c r="O1131" s="289"/>
      <c r="P1131" s="294">
        <f t="shared" ref="P1131" si="83">D1131+G1131+J1131+M1131</f>
        <v>60.41</v>
      </c>
      <c r="Q1131" s="288"/>
      <c r="R1131" s="289"/>
      <c r="S1131" s="357"/>
      <c r="T1131" s="357"/>
    </row>
    <row r="1132" spans="2:20" s="24" customFormat="1">
      <c r="B1132" s="145" t="str">
        <f>'корпоративный баланс энергии'!H1141</f>
        <v>ТЭС Жирновской компрессорной станции (ООО "Газпром трансгаз Волгоград")</v>
      </c>
      <c r="C1132" s="518" t="s">
        <v>365</v>
      </c>
      <c r="D1132" s="294">
        <f>'корпоративный баланс энергии'!J1141+'корпоративный баланс энергии'!M1141+'корпоративный баланс энергии'!P1141</f>
        <v>1.33</v>
      </c>
      <c r="E1132" s="288"/>
      <c r="F1132" s="289"/>
      <c r="G1132" s="294">
        <f>'корпоративный баланс энергии'!S1141+'корпоративный баланс энергии'!V1141+'корпоративный баланс энергии'!Y1141</f>
        <v>1.29</v>
      </c>
      <c r="H1132" s="288"/>
      <c r="I1132" s="289"/>
      <c r="J1132" s="294">
        <f>'корпоративный баланс энергии'!AB1141+'корпоративный баланс энергии'!AE1141+'корпоративный баланс энергии'!AH1141</f>
        <v>1.45</v>
      </c>
      <c r="K1132" s="288"/>
      <c r="L1132" s="289"/>
      <c r="M1132" s="294">
        <f>'корпоративный баланс энергии'!AK1141+'корпоративный баланс энергии'!AN1141+'корпоративный баланс энергии'!AQ1141</f>
        <v>1.25</v>
      </c>
      <c r="N1132" s="288"/>
      <c r="O1132" s="289"/>
      <c r="P1132" s="294">
        <f t="shared" ref="P1132:P1140" si="84">D1132+G1132+J1132+M1132</f>
        <v>5.32</v>
      </c>
      <c r="Q1132" s="288"/>
      <c r="R1132" s="289"/>
      <c r="S1132" s="357"/>
      <c r="T1132" s="357"/>
    </row>
    <row r="1133" spans="2:20" s="155" customFormat="1">
      <c r="B1133" s="145" t="str">
        <f>'корпоративный баланс энергии'!H1142</f>
        <v>ГПЭС "Оргсинтез" (ПАО "Волжский оргсинтез")</v>
      </c>
      <c r="C1133" s="518" t="s">
        <v>365</v>
      </c>
      <c r="D1133" s="294">
        <f>'корпоративный баланс энергии'!J1142+'корпоративный баланс энергии'!M1142+'корпоративный баланс энергии'!P1142</f>
        <v>8.32</v>
      </c>
      <c r="E1133" s="288"/>
      <c r="F1133" s="289"/>
      <c r="G1133" s="294">
        <f>'корпоративный баланс энергии'!S1142+'корпоративный баланс энергии'!V1142+'корпоративный баланс энергии'!Y1142</f>
        <v>0</v>
      </c>
      <c r="H1133" s="288"/>
      <c r="I1133" s="289"/>
      <c r="J1133" s="294">
        <f>'корпоративный баланс энергии'!AB1142+'корпоративный баланс энергии'!AE1142+'корпоративный баланс энергии'!AH1142</f>
        <v>0</v>
      </c>
      <c r="K1133" s="288"/>
      <c r="L1133" s="289"/>
      <c r="M1133" s="294">
        <f>'корпоративный баланс энергии'!AK1142+'корпоративный баланс энергии'!AN1142+'корпоративный баланс энергии'!AQ1142</f>
        <v>4.74</v>
      </c>
      <c r="N1133" s="288"/>
      <c r="O1133" s="289"/>
      <c r="P1133" s="294">
        <f t="shared" si="84"/>
        <v>13.06</v>
      </c>
      <c r="Q1133" s="288"/>
      <c r="R1133" s="289"/>
      <c r="S1133" s="401"/>
      <c r="T1133" s="401"/>
    </row>
    <row r="1134" spans="2:20" s="24" customFormat="1">
      <c r="B1134" s="145" t="str">
        <f>'корпоративный баланс энергии'!H1143</f>
        <v>Михайловская ТЭЦ (Михайловские теплосети)</v>
      </c>
      <c r="C1134" s="518" t="s">
        <v>365</v>
      </c>
      <c r="D1134" s="294">
        <f>'корпоративный баланс энергии'!J1143+'корпоративный баланс энергии'!M1143+'корпоративный баланс энергии'!P1143</f>
        <v>12.521000000000001</v>
      </c>
      <c r="E1134" s="288"/>
      <c r="F1134" s="289"/>
      <c r="G1134" s="294">
        <f>'корпоративный баланс энергии'!S1143+'корпоративный баланс энергии'!V1143+'корпоративный баланс энергии'!Y1143</f>
        <v>1.8</v>
      </c>
      <c r="H1134" s="288"/>
      <c r="I1134" s="289"/>
      <c r="J1134" s="294">
        <f>'корпоративный баланс энергии'!AB1143+'корпоративный баланс энергии'!AE1143+'корпоративный баланс энергии'!AH1143</f>
        <v>0</v>
      </c>
      <c r="K1134" s="288"/>
      <c r="L1134" s="289"/>
      <c r="M1134" s="294">
        <f>'корпоративный баланс энергии'!AK1143+'корпоративный баланс энергии'!AN1143+'корпоративный баланс энергии'!AQ1143</f>
        <v>10.279</v>
      </c>
      <c r="N1134" s="288"/>
      <c r="O1134" s="289"/>
      <c r="P1134" s="294">
        <f t="shared" si="84"/>
        <v>24.6</v>
      </c>
      <c r="Q1134" s="288"/>
      <c r="R1134" s="289"/>
      <c r="S1134" s="357"/>
      <c r="T1134" s="357"/>
    </row>
    <row r="1135" spans="2:20" s="24" customFormat="1">
      <c r="B1135" s="145" t="str">
        <f>'корпоративный баланс энергии'!H1144</f>
        <v xml:space="preserve">ГПЭС "Овощевод" (ООО "Овощевод") </v>
      </c>
      <c r="C1135" s="518" t="s">
        <v>365</v>
      </c>
      <c r="D1135" s="294">
        <f>'корпоративный баланс энергии'!J1144+'корпоративный баланс энергии'!M1144+'корпоративный баланс энергии'!P1144</f>
        <v>18.52</v>
      </c>
      <c r="E1135" s="288"/>
      <c r="F1135" s="289"/>
      <c r="G1135" s="294">
        <f>'корпоративный баланс энергии'!S1144+'корпоративный баланс энергии'!V1144+'корпоративный баланс энергии'!Y1144</f>
        <v>9.02</v>
      </c>
      <c r="H1135" s="288"/>
      <c r="I1135" s="289"/>
      <c r="J1135" s="294">
        <f>'корпоративный баланс энергии'!AB1144+'корпоративный баланс энергии'!AE1144+'корпоративный баланс энергии'!AH1144</f>
        <v>3.4299999999999997</v>
      </c>
      <c r="K1135" s="288"/>
      <c r="L1135" s="289"/>
      <c r="M1135" s="294">
        <f>'корпоративный баланс энергии'!AK1144+'корпоративный баланс энергии'!AN1144+'корпоративный баланс энергии'!AQ1144</f>
        <v>18.78</v>
      </c>
      <c r="N1135" s="288"/>
      <c r="O1135" s="289"/>
      <c r="P1135" s="294">
        <f t="shared" si="84"/>
        <v>49.75</v>
      </c>
      <c r="Q1135" s="288"/>
      <c r="R1135" s="289"/>
      <c r="S1135" s="357"/>
      <c r="T1135" s="357"/>
    </row>
    <row r="1136" spans="2:20" s="24" customFormat="1">
      <c r="B1136" s="145" t="str">
        <f>'корпоративный баланс энергии'!H1145</f>
        <v>ГПЭС "Ботаника" (ООО "Овощевод")</v>
      </c>
      <c r="C1136" s="518" t="s">
        <v>365</v>
      </c>
      <c r="D1136" s="294">
        <f>'корпоративный баланс энергии'!J1145+'корпоративный баланс энергии'!M1145+'корпоративный баланс энергии'!P1145</f>
        <v>36.300000000000004</v>
      </c>
      <c r="E1136" s="288"/>
      <c r="F1136" s="289"/>
      <c r="G1136" s="294">
        <f>'корпоративный баланс энергии'!S1145+'корпоративный баланс энергии'!V1145+'корпоративный баланс энергии'!Y1145</f>
        <v>5.6000000000000005</v>
      </c>
      <c r="H1136" s="288"/>
      <c r="I1136" s="289"/>
      <c r="J1136" s="294">
        <f>'корпоративный баланс энергии'!AB1145+'корпоративный баланс энергии'!AE1145+'корпоративный баланс энергии'!AH1145</f>
        <v>3.3600000000000003</v>
      </c>
      <c r="K1136" s="288"/>
      <c r="L1136" s="289"/>
      <c r="M1136" s="294">
        <f>'корпоративный баланс энергии'!AK1145+'корпоративный баланс энергии'!AN1145+'корпоративный баланс энергии'!AQ1145</f>
        <v>34.89</v>
      </c>
      <c r="N1136" s="288"/>
      <c r="O1136" s="289"/>
      <c r="P1136" s="294">
        <f t="shared" si="84"/>
        <v>80.150000000000006</v>
      </c>
      <c r="Q1136" s="288"/>
      <c r="R1136" s="289"/>
      <c r="S1136" s="357"/>
      <c r="T1136" s="357"/>
    </row>
    <row r="1137" spans="2:20" s="24" customFormat="1">
      <c r="B1137" s="145" t="str">
        <f>'корпоративный баланс энергии'!H1146</f>
        <v>ТЭС Каргилл (ООО "Каргилл Новоаннинский")</v>
      </c>
      <c r="C1137" s="518" t="s">
        <v>365</v>
      </c>
      <c r="D1137" s="294">
        <f>'корпоративный баланс энергии'!J1146+'корпоративный баланс энергии'!M1146+'корпоративный баланс энергии'!P1146</f>
        <v>8.5</v>
      </c>
      <c r="E1137" s="288"/>
      <c r="F1137" s="289"/>
      <c r="G1137" s="294">
        <f>'корпоративный баланс энергии'!S1146+'корпоративный баланс энергии'!V1146+'корпоративный баланс энергии'!Y1146</f>
        <v>8.5</v>
      </c>
      <c r="H1137" s="288"/>
      <c r="I1137" s="289"/>
      <c r="J1137" s="294">
        <f>'корпоративный баланс энергии'!AB1146+'корпоративный баланс энергии'!AE1146+'корпоративный баланс энергии'!AH1146</f>
        <v>5.8</v>
      </c>
      <c r="K1137" s="288"/>
      <c r="L1137" s="289"/>
      <c r="M1137" s="294">
        <f>'корпоративный баланс энергии'!AK1146+'корпоративный баланс энергии'!AN1146+'корпоративный баланс энергии'!AQ1146</f>
        <v>8.6</v>
      </c>
      <c r="N1137" s="288"/>
      <c r="O1137" s="289"/>
      <c r="P1137" s="294">
        <f t="shared" si="84"/>
        <v>31.4</v>
      </c>
      <c r="Q1137" s="288"/>
      <c r="R1137" s="289"/>
      <c r="S1137" s="357"/>
      <c r="T1137" s="357"/>
    </row>
    <row r="1138" spans="2:20" s="24" customFormat="1">
      <c r="B1138" s="145" t="str">
        <f>'корпоративный баланс энергии'!H1147</f>
        <v>ТЭЦ Техуглерод (ООО"Омский завод технического углерода")</v>
      </c>
      <c r="C1138" s="518" t="s">
        <v>365</v>
      </c>
      <c r="D1138" s="294">
        <f>'корпоративный баланс энергии'!J1147+'корпоративный баланс энергии'!M1147+'корпоративный баланс энергии'!P1147</f>
        <v>37.17</v>
      </c>
      <c r="E1138" s="288"/>
      <c r="F1138" s="289"/>
      <c r="G1138" s="294">
        <f>'корпоративный баланс энергии'!S1147+'корпоративный баланс энергии'!V1147+'корпоративный баланс энергии'!Y1147</f>
        <v>37.46</v>
      </c>
      <c r="H1138" s="288"/>
      <c r="I1138" s="289"/>
      <c r="J1138" s="294">
        <f>'корпоративный баланс энергии'!AB1147+'корпоративный баланс энергии'!AE1147+'корпоративный баланс энергии'!AH1147</f>
        <v>39.04</v>
      </c>
      <c r="K1138" s="288"/>
      <c r="L1138" s="289"/>
      <c r="M1138" s="294">
        <f>'корпоративный баланс энергии'!AK1147+'корпоративный баланс энергии'!AN1147+'корпоративный баланс энергии'!AQ1147</f>
        <v>36.090000000000003</v>
      </c>
      <c r="N1138" s="288"/>
      <c r="O1138" s="289"/>
      <c r="P1138" s="294">
        <f t="shared" si="84"/>
        <v>149.76</v>
      </c>
      <c r="Q1138" s="288"/>
      <c r="R1138" s="289"/>
      <c r="S1138" s="357"/>
      <c r="T1138" s="357"/>
    </row>
    <row r="1139" spans="2:20" s="24" customFormat="1">
      <c r="B1139" s="145" t="str">
        <f>'корпоративный баланс энергии'!H1148</f>
        <v xml:space="preserve"> ГПЭС Химволокно (АО "ТЭКСКОР")</v>
      </c>
      <c r="C1139" s="518" t="s">
        <v>365</v>
      </c>
      <c r="D1139" s="294">
        <f>'корпоративный баланс энергии'!J1148+'корпоративный баланс энергии'!M1148+'корпоративный баланс энергии'!P1148</f>
        <v>22.686</v>
      </c>
      <c r="E1139" s="288"/>
      <c r="F1139" s="289"/>
      <c r="G1139" s="294">
        <f>'корпоративный баланс энергии'!S1148+'корпоративный баланс энергии'!V1148+'корпоративный баланс энергии'!Y1148</f>
        <v>22.938000000000002</v>
      </c>
      <c r="H1139" s="288"/>
      <c r="I1139" s="289"/>
      <c r="J1139" s="294">
        <f>'корпоративный баланс энергии'!AB1148+'корпоративный баланс энергии'!AE1148+'корпоративный баланс энергии'!AH1148</f>
        <v>23.19</v>
      </c>
      <c r="K1139" s="288"/>
      <c r="L1139" s="289"/>
      <c r="M1139" s="294">
        <f>'корпоративный баланс энергии'!AK1148+'корпоративный баланс энергии'!AN1148+'корпоративный баланс энергии'!AQ1148</f>
        <v>23.19</v>
      </c>
      <c r="N1139" s="288"/>
      <c r="O1139" s="289"/>
      <c r="P1139" s="294">
        <f t="shared" si="84"/>
        <v>92.004000000000005</v>
      </c>
      <c r="Q1139" s="288"/>
      <c r="R1139" s="289"/>
      <c r="S1139" s="357"/>
      <c r="T1139" s="357"/>
    </row>
    <row r="1140" spans="2:20" s="24" customFormat="1">
      <c r="B1140" s="145" t="str">
        <f>'корпоративный баланс энергии'!H1149</f>
        <v>ТЭС Алюминиевого завода (АО "РУСАЛ Урал" филиал "РУСАЛ Волгоград")</v>
      </c>
      <c r="C1140" s="518" t="s">
        <v>365</v>
      </c>
      <c r="D1140" s="294">
        <f>'корпоративный баланс энергии'!J1149+'корпоративный баланс энергии'!M1149+'корпоративный баланс энергии'!P1149</f>
        <v>5.77</v>
      </c>
      <c r="E1140" s="288"/>
      <c r="F1140" s="289"/>
      <c r="G1140" s="294">
        <f>'корпоративный баланс энергии'!S1149+'корпоративный баланс энергии'!V1149+'корпоративный баланс энергии'!Y1149</f>
        <v>8.379999999999999</v>
      </c>
      <c r="H1140" s="288"/>
      <c r="I1140" s="289"/>
      <c r="J1140" s="294">
        <f>'корпоративный баланс энергии'!AB1149+'корпоративный баланс энергии'!AE1149+'корпоративный баланс энергии'!AH1149</f>
        <v>7.4899999999999993</v>
      </c>
      <c r="K1140" s="288"/>
      <c r="L1140" s="289"/>
      <c r="M1140" s="294">
        <f>'корпоративный баланс энергии'!AK1149+'корпоративный баланс энергии'!AN1149+'корпоративный баланс энергии'!AQ1149</f>
        <v>6.99</v>
      </c>
      <c r="N1140" s="288"/>
      <c r="O1140" s="289"/>
      <c r="P1140" s="294">
        <f t="shared" si="84"/>
        <v>28.629999999999995</v>
      </c>
      <c r="Q1140" s="288"/>
      <c r="R1140" s="289"/>
      <c r="S1140" s="357"/>
      <c r="T1140" s="357"/>
    </row>
    <row r="1141" spans="2:20" s="24" customFormat="1" ht="18.75">
      <c r="B1141" s="474" t="str">
        <f>'корпоративный баланс энергии'!H1150</f>
        <v>Энергосистема Республики Дагестан</v>
      </c>
      <c r="C1141" s="501"/>
      <c r="D1141" s="274">
        <f>SUM(D1142:D1144)</f>
        <v>923.41340000000002</v>
      </c>
      <c r="E1141" s="275">
        <f>F1141-D1141</f>
        <v>1190.707916855381</v>
      </c>
      <c r="F1141" s="276">
        <f>'корпоративный баланс энергии'!L1150+'корпоративный баланс энергии'!O1150+'корпоративный баланс энергии'!R1150</f>
        <v>2114.1213168553809</v>
      </c>
      <c r="G1141" s="274">
        <f>SUM(G1142:G1144)</f>
        <v>1604.9022</v>
      </c>
      <c r="H1141" s="275">
        <f>I1141-G1141</f>
        <v>-187.89420961739984</v>
      </c>
      <c r="I1141" s="276">
        <f>'корпоративный баланс энергии'!U1150+'корпоративный баланс энергии'!X1150+'корпоративный баланс энергии'!AA1150</f>
        <v>1417.0079903826002</v>
      </c>
      <c r="J1141" s="274">
        <f>SUM(J1142:J1144)</f>
        <v>1489.1522</v>
      </c>
      <c r="K1141" s="275">
        <f>L1141-J1141</f>
        <v>-176.02375784359992</v>
      </c>
      <c r="L1141" s="276">
        <f>'корпоративный баланс энергии'!AD1150+'корпоративный баланс энергии'!AG1150+'корпоративный баланс энергии'!AJ1150</f>
        <v>1313.1284421564001</v>
      </c>
      <c r="M1141" s="274">
        <f>SUM(M1142:M1144)</f>
        <v>1013.7469999999998</v>
      </c>
      <c r="N1141" s="275">
        <f>O1141-M1141</f>
        <v>921.99525060561996</v>
      </c>
      <c r="O1141" s="276">
        <f>'корпоративный баланс энергии'!AM1150+'корпоративный баланс энергии'!AP1150+'корпоративный баланс энергии'!AS1150</f>
        <v>1935.7422506056198</v>
      </c>
      <c r="P1141" s="274">
        <f>SUM(P1142:P1144)</f>
        <v>5031.2147999999997</v>
      </c>
      <c r="Q1141" s="275">
        <f>R1141-P1141</f>
        <v>1748.7852000000012</v>
      </c>
      <c r="R1141" s="276">
        <f>F1141+I1141+L1141+O1141</f>
        <v>6780.0000000000009</v>
      </c>
      <c r="S1141" s="357"/>
      <c r="T1141" s="357"/>
    </row>
    <row r="1142" spans="2:20" s="110" customFormat="1">
      <c r="B1142" s="124" t="s">
        <v>56</v>
      </c>
      <c r="C1142" s="497"/>
      <c r="D1142" s="362">
        <f>D1145</f>
        <v>27.274000000000001</v>
      </c>
      <c r="E1142" s="363"/>
      <c r="F1142" s="364"/>
      <c r="G1142" s="362">
        <f>G1145</f>
        <v>6.4669999999999996</v>
      </c>
      <c r="H1142" s="363"/>
      <c r="I1142" s="364"/>
      <c r="J1142" s="362">
        <f>J1145</f>
        <v>5.5419999999999998</v>
      </c>
      <c r="K1142" s="363"/>
      <c r="L1142" s="364"/>
      <c r="M1142" s="362">
        <f>M1145</f>
        <v>18.024000000000001</v>
      </c>
      <c r="N1142" s="363"/>
      <c r="O1142" s="364"/>
      <c r="P1142" s="362">
        <f>P1145</f>
        <v>57.307000000000002</v>
      </c>
      <c r="Q1142" s="363"/>
      <c r="R1142" s="364"/>
      <c r="S1142" s="356"/>
      <c r="T1142" s="356"/>
    </row>
    <row r="1143" spans="2:20" s="110" customFormat="1">
      <c r="B1143" s="124" t="s">
        <v>55</v>
      </c>
      <c r="C1143" s="497"/>
      <c r="D1143" s="362">
        <f>SUM(D1146:D1150,D1153:D1156)</f>
        <v>895.93939999999998</v>
      </c>
      <c r="E1143" s="363"/>
      <c r="F1143" s="364"/>
      <c r="G1143" s="362">
        <f>SUM(G1146:G1150,G1153:G1156)</f>
        <v>1597.9751999999999</v>
      </c>
      <c r="H1143" s="363"/>
      <c r="I1143" s="364"/>
      <c r="J1143" s="362">
        <f>SUM(J1146:J1150,J1153:J1156)</f>
        <v>1483.1402</v>
      </c>
      <c r="K1143" s="363"/>
      <c r="L1143" s="364"/>
      <c r="M1143" s="362">
        <f>SUM(M1146:M1150,M1153:M1156)</f>
        <v>995.51299999999981</v>
      </c>
      <c r="N1143" s="363"/>
      <c r="O1143" s="364"/>
      <c r="P1143" s="362">
        <f>SUM(P1146:P1150,P1153:P1156)</f>
        <v>4972.5677999999998</v>
      </c>
      <c r="Q1143" s="363"/>
      <c r="R1143" s="364"/>
      <c r="S1143" s="356"/>
      <c r="T1143" s="356"/>
    </row>
    <row r="1144" spans="2:20" s="110" customFormat="1">
      <c r="B1144" s="467" t="s">
        <v>347</v>
      </c>
      <c r="C1144" s="497"/>
      <c r="D1144" s="362">
        <f>D1157</f>
        <v>0.2</v>
      </c>
      <c r="E1144" s="363"/>
      <c r="F1144" s="364"/>
      <c r="G1144" s="362">
        <f>G1157</f>
        <v>0.46000000000000008</v>
      </c>
      <c r="H1144" s="363"/>
      <c r="I1144" s="364"/>
      <c r="J1144" s="362">
        <f>J1157</f>
        <v>0.47000000000000003</v>
      </c>
      <c r="K1144" s="363"/>
      <c r="L1144" s="364"/>
      <c r="M1144" s="362">
        <f>M1157</f>
        <v>0.21000000000000002</v>
      </c>
      <c r="N1144" s="363"/>
      <c r="O1144" s="364"/>
      <c r="P1144" s="362">
        <f>P1157</f>
        <v>1.34</v>
      </c>
      <c r="Q1144" s="363"/>
      <c r="R1144" s="364"/>
      <c r="S1144" s="356"/>
      <c r="T1144" s="356"/>
    </row>
    <row r="1145" spans="2:20" s="110" customFormat="1">
      <c r="B1145" s="125" t="str">
        <f>'корпоративный баланс энергии'!H1154</f>
        <v>Махачкалинская ТЭЦ (ООО "Дагестанэнерго")</v>
      </c>
      <c r="C1145" s="516" t="s">
        <v>364</v>
      </c>
      <c r="D1145" s="281">
        <f>'корпоративный баланс энергии'!J1154+'корпоративный баланс энергии'!M1154+'корпоративный баланс энергии'!P1154</f>
        <v>27.274000000000001</v>
      </c>
      <c r="E1145" s="246"/>
      <c r="F1145" s="282"/>
      <c r="G1145" s="244">
        <f>'корпоративный баланс энергии'!S1154+'корпоративный баланс энергии'!V1154+'корпоративный баланс энергии'!Y1154</f>
        <v>6.4669999999999996</v>
      </c>
      <c r="H1145" s="246"/>
      <c r="I1145" s="282"/>
      <c r="J1145" s="244">
        <f>'корпоративный баланс энергии'!AB1154+'корпоративный баланс энергии'!AE1154+'корпоративный баланс энергии'!AH1154</f>
        <v>5.5419999999999998</v>
      </c>
      <c r="K1145" s="246"/>
      <c r="L1145" s="282"/>
      <c r="M1145" s="244">
        <f>'корпоративный баланс энергии'!AK1154+'корпоративный баланс энергии'!AN1154+'корпоративный баланс энергии'!AQ1154</f>
        <v>18.024000000000001</v>
      </c>
      <c r="N1145" s="246"/>
      <c r="O1145" s="282"/>
      <c r="P1145" s="244">
        <f>D1145+G1145+J1145+M1145</f>
        <v>57.307000000000002</v>
      </c>
      <c r="Q1145" s="246"/>
      <c r="R1145" s="282"/>
      <c r="S1145" s="356"/>
      <c r="T1145" s="356"/>
    </row>
    <row r="1146" spans="2:20" s="24" customFormat="1">
      <c r="B1146" s="125" t="str">
        <f>'корпоративный баланс энергии'!H1155</f>
        <v>Чиркейская ГЭС (Дагестанский филиал ПАО "РусГидро")</v>
      </c>
      <c r="C1146" s="516" t="s">
        <v>364</v>
      </c>
      <c r="D1146" s="281">
        <f>'корпоративный баланс энергии'!J1155+'корпоративный баланс энергии'!M1155+'корпоративный баланс энергии'!P1155</f>
        <v>452.86599999999999</v>
      </c>
      <c r="E1146" s="246"/>
      <c r="F1146" s="282"/>
      <c r="G1146" s="244">
        <f>'корпоративный баланс энергии'!S1155+'корпоративный баланс энергии'!V1155+'корпоративный баланс энергии'!Y1155</f>
        <v>624.21800000000007</v>
      </c>
      <c r="H1146" s="246"/>
      <c r="I1146" s="282"/>
      <c r="J1146" s="244">
        <f>'корпоративный баланс энергии'!AB1155+'корпоративный баланс энергии'!AE1155+'корпоративный баланс энергии'!AH1155</f>
        <v>662.34400000000005</v>
      </c>
      <c r="K1146" s="246"/>
      <c r="L1146" s="282"/>
      <c r="M1146" s="244">
        <f>'корпоративный баланс энергии'!AK1155+'корпоративный баланс энергии'!AN1155+'корпоративный баланс энергии'!AQ1155</f>
        <v>513.59299999999996</v>
      </c>
      <c r="N1146" s="246"/>
      <c r="O1146" s="282"/>
      <c r="P1146" s="244">
        <f>D1146+G1146+J1146+M1146</f>
        <v>2253.0210000000002</v>
      </c>
      <c r="Q1146" s="246"/>
      <c r="R1146" s="282"/>
      <c r="S1146" s="357"/>
      <c r="T1146" s="357"/>
    </row>
    <row r="1147" spans="2:20" s="24" customFormat="1">
      <c r="B1147" s="125" t="str">
        <f>'корпоративный баланс энергии'!H1156</f>
        <v>Ирганайская ГЭС  (Дагестанский филиал ПАО "РусГидро")</v>
      </c>
      <c r="C1147" s="516" t="s">
        <v>364</v>
      </c>
      <c r="D1147" s="281">
        <f>'корпоративный баланс энергии'!J1156+'корпоративный баланс энергии'!M1156+'корпоративный баланс энергии'!P1156</f>
        <v>171.202</v>
      </c>
      <c r="E1147" s="246"/>
      <c r="F1147" s="282"/>
      <c r="G1147" s="244">
        <f>'корпоративный баланс энергии'!S1156+'корпоративный баланс энергии'!V1156+'корпоративный баланс энергии'!Y1156</f>
        <v>461.76400000000001</v>
      </c>
      <c r="H1147" s="246"/>
      <c r="I1147" s="282"/>
      <c r="J1147" s="244">
        <f>'корпоративный баланс энергии'!AB1156+'корпоративный баланс энергии'!AE1156+'корпоративный баланс энергии'!AH1156</f>
        <v>403.36600000000004</v>
      </c>
      <c r="K1147" s="246"/>
      <c r="L1147" s="282"/>
      <c r="M1147" s="244">
        <f>'корпоративный баланс энергии'!AK1156+'корпоративный баланс энергии'!AN1156+'корпоративный баланс энергии'!AQ1156</f>
        <v>196.44200000000001</v>
      </c>
      <c r="N1147" s="246"/>
      <c r="O1147" s="282"/>
      <c r="P1147" s="244">
        <f>D1147+G1147+J1147+M1147</f>
        <v>1232.7740000000001</v>
      </c>
      <c r="Q1147" s="246"/>
      <c r="R1147" s="282"/>
      <c r="S1147" s="357"/>
      <c r="T1147" s="357"/>
    </row>
    <row r="1148" spans="2:20" s="24" customFormat="1">
      <c r="B1148" s="125" t="str">
        <f>'корпоративный баланс энергии'!H1157</f>
        <v>Миатлинская ГЭС  (Дагестанский филиал ПАО "РусГидро")</v>
      </c>
      <c r="C1148" s="516" t="s">
        <v>364</v>
      </c>
      <c r="D1148" s="281">
        <f>'корпоративный баланс энергии'!J1157+'корпоративный баланс энергии'!M1157+'корпоративный баланс энергии'!P1157</f>
        <v>143.93600000000001</v>
      </c>
      <c r="E1148" s="246"/>
      <c r="F1148" s="282"/>
      <c r="G1148" s="244">
        <f>'корпоративный баланс энергии'!S1157+'корпоративный баланс энергии'!V1157+'корпоративный баланс энергии'!Y1157</f>
        <v>184.48500000000001</v>
      </c>
      <c r="H1148" s="246"/>
      <c r="I1148" s="282"/>
      <c r="J1148" s="244">
        <f>'корпоративный баланс энергии'!AB1157+'корпоративный баланс энергии'!AE1157+'корпоративный баланс энергии'!AH1157</f>
        <v>164.02300000000002</v>
      </c>
      <c r="K1148" s="246"/>
      <c r="L1148" s="282"/>
      <c r="M1148" s="244">
        <f>'корпоративный баланс энергии'!AK1157+'корпоративный баланс энергии'!AN1157+'корпоративный баланс энергии'!AQ1157</f>
        <v>143.06299999999999</v>
      </c>
      <c r="N1148" s="246"/>
      <c r="O1148" s="282"/>
      <c r="P1148" s="244">
        <f>D1148+G1148+J1148+M1148</f>
        <v>635.50700000000006</v>
      </c>
      <c r="Q1148" s="246"/>
      <c r="R1148" s="282"/>
      <c r="S1148" s="357"/>
      <c r="T1148" s="357"/>
    </row>
    <row r="1149" spans="2:20" s="24" customFormat="1">
      <c r="B1149" s="125" t="str">
        <f>'корпоративный баланс энергии'!H1158</f>
        <v>Гоцатлинская ГЭС (Дагестанский филиал ПАО "РусГидро") НВ 01.01.2015</v>
      </c>
      <c r="C1149" s="516" t="s">
        <v>364</v>
      </c>
      <c r="D1149" s="281">
        <f>'корпоративный баланс энергии'!J1158+'корпоративный баланс энергии'!M1158+'корпоративный баланс энергии'!P1158</f>
        <v>28.992000000000001</v>
      </c>
      <c r="E1149" s="246"/>
      <c r="F1149" s="282"/>
      <c r="G1149" s="244">
        <f>'корпоративный баланс энергии'!S1158+'корпоративный баланс энергии'!V1158+'корпоративный баланс энергии'!Y1158</f>
        <v>145.15099999999998</v>
      </c>
      <c r="H1149" s="246"/>
      <c r="I1149" s="282"/>
      <c r="J1149" s="244">
        <f>'корпоративный баланс энергии'!AB1158+'корпоративный баланс энергии'!AE1158+'корпоративный баланс энергии'!AH1158</f>
        <v>85.75</v>
      </c>
      <c r="K1149" s="246"/>
      <c r="L1149" s="282"/>
      <c r="M1149" s="244">
        <f>'корпоративный баланс энергии'!AK1158+'корпоративный баланс энергии'!AN1158+'корпоративный баланс энергии'!AQ1158</f>
        <v>31.401</v>
      </c>
      <c r="N1149" s="246"/>
      <c r="O1149" s="282"/>
      <c r="P1149" s="244">
        <f>D1149+G1149+J1149+M1149</f>
        <v>291.29399999999998</v>
      </c>
      <c r="Q1149" s="246"/>
      <c r="R1149" s="282"/>
      <c r="S1149" s="357"/>
      <c r="T1149" s="357"/>
    </row>
    <row r="1150" spans="2:20" s="24" customFormat="1">
      <c r="B1150" s="141" t="str">
        <f>'корпоративный баланс энергии'!H1159</f>
        <v>Каскад Чир-Юртских ГЭС (Дагестанский филиал ПАО "РусГидро")</v>
      </c>
      <c r="C1150" s="516" t="s">
        <v>364</v>
      </c>
      <c r="D1150" s="317">
        <f>D1151+D1152</f>
        <v>84.600000000000009</v>
      </c>
      <c r="E1150" s="323"/>
      <c r="F1150" s="324"/>
      <c r="G1150" s="317">
        <f>G1151+G1152</f>
        <v>122.2</v>
      </c>
      <c r="H1150" s="323"/>
      <c r="I1150" s="324"/>
      <c r="J1150" s="317">
        <f>J1151+J1152</f>
        <v>116.70000000000002</v>
      </c>
      <c r="K1150" s="323"/>
      <c r="L1150" s="324"/>
      <c r="M1150" s="317">
        <f>M1151+M1152</f>
        <v>91.000000000000014</v>
      </c>
      <c r="N1150" s="323"/>
      <c r="O1150" s="324"/>
      <c r="P1150" s="317">
        <f>P1151+P1152</f>
        <v>414.50000000000006</v>
      </c>
      <c r="Q1150" s="323"/>
      <c r="R1150" s="324"/>
      <c r="S1150" s="357"/>
      <c r="T1150" s="357"/>
    </row>
    <row r="1151" spans="2:20" s="24" customFormat="1">
      <c r="B1151" s="125" t="str">
        <f>'корпоративный баланс энергии'!H1160</f>
        <v>Чирюртская ГЭС-1 (Дагестанский филиал ПАО "РусГидро")</v>
      </c>
      <c r="C1151" s="502"/>
      <c r="D1151" s="281">
        <f>'корпоративный баланс энергии'!J1160+'корпоративный баланс энергии'!M1160+'корпоративный баланс энергии'!P1160</f>
        <v>76.800000000000011</v>
      </c>
      <c r="E1151" s="246"/>
      <c r="F1151" s="282"/>
      <c r="G1151" s="244">
        <f>'корпоративный баланс энергии'!S1160+'корпоративный баланс энергии'!V1160+'корпоративный баланс энергии'!Y1160</f>
        <v>111.5</v>
      </c>
      <c r="H1151" s="246"/>
      <c r="I1151" s="282"/>
      <c r="J1151" s="244">
        <f>'корпоративный баланс энергии'!AB1160+'корпоративный баланс энергии'!AE1160+'корпоративный баланс энергии'!AH1160</f>
        <v>107.80000000000001</v>
      </c>
      <c r="K1151" s="246"/>
      <c r="L1151" s="282"/>
      <c r="M1151" s="244">
        <f>'корпоративный баланс энергии'!AK1160+'корпоративный баланс энергии'!AN1160+'корпоративный баланс энергии'!AQ1160</f>
        <v>85.100000000000009</v>
      </c>
      <c r="N1151" s="246"/>
      <c r="O1151" s="282"/>
      <c r="P1151" s="244">
        <f t="shared" ref="P1151:P1156" si="85">D1151+G1151+J1151+M1151</f>
        <v>381.20000000000005</v>
      </c>
      <c r="Q1151" s="246"/>
      <c r="R1151" s="282"/>
      <c r="S1151" s="357"/>
      <c r="T1151" s="357"/>
    </row>
    <row r="1152" spans="2:20" s="24" customFormat="1">
      <c r="B1152" s="125" t="str">
        <f>'корпоративный баланс энергии'!H1161</f>
        <v>Чирюртская ГЭС-2 (Дагестанский филиал ПАО "РусГидро")</v>
      </c>
      <c r="C1152" s="502"/>
      <c r="D1152" s="281">
        <f>'корпоративный баланс энергии'!J1161+'корпоративный баланс энергии'!M1161+'корпоративный баланс энергии'!P1161</f>
        <v>7.8</v>
      </c>
      <c r="E1152" s="246"/>
      <c r="F1152" s="282"/>
      <c r="G1152" s="244">
        <f>'корпоративный баланс энергии'!S1161+'корпоративный баланс энергии'!V1161+'корпоративный баланс энергии'!Y1161</f>
        <v>10.7</v>
      </c>
      <c r="H1152" s="246"/>
      <c r="I1152" s="282"/>
      <c r="J1152" s="244">
        <f>'корпоративный баланс энергии'!AB1161+'корпоративный баланс энергии'!AE1161+'корпоративный баланс энергии'!AH1161</f>
        <v>8.9</v>
      </c>
      <c r="K1152" s="246"/>
      <c r="L1152" s="282"/>
      <c r="M1152" s="244">
        <f>'корпоративный баланс энергии'!AK1161+'корпоративный баланс энергии'!AN1161+'корпоративный баланс энергии'!AQ1161</f>
        <v>5.9</v>
      </c>
      <c r="N1152" s="246"/>
      <c r="O1152" s="282"/>
      <c r="P1152" s="244">
        <f t="shared" si="85"/>
        <v>33.299999999999997</v>
      </c>
      <c r="Q1152" s="246"/>
      <c r="R1152" s="282"/>
      <c r="S1152" s="357"/>
      <c r="T1152" s="357"/>
    </row>
    <row r="1153" spans="2:20" s="24" customFormat="1">
      <c r="B1153" s="125" t="str">
        <f>'корпоративный баланс энергии'!H1162</f>
        <v>Гельбахская ГЭС (Дагестанский филиал ПАО "РусГидро")</v>
      </c>
      <c r="C1153" s="516" t="s">
        <v>364</v>
      </c>
      <c r="D1153" s="281">
        <f>'корпоративный баланс энергии'!J1162+'корпоративный баланс энергии'!M1162+'корпоративный баланс энергии'!P1162</f>
        <v>9.1349999999999998</v>
      </c>
      <c r="E1153" s="246"/>
      <c r="F1153" s="282"/>
      <c r="G1153" s="244">
        <f>'корпоративный баланс энергии'!S1162+'корпоративный баланс энергии'!V1162+'корпоративный баланс энергии'!Y1162</f>
        <v>19.137999999999998</v>
      </c>
      <c r="H1153" s="246"/>
      <c r="I1153" s="282"/>
      <c r="J1153" s="244">
        <f>'корпоративный баланс энергии'!AB1162+'корпоративный баланс энергии'!AE1162+'корпоративный баланс энергии'!AH1162</f>
        <v>8.4930000000000003</v>
      </c>
      <c r="K1153" s="246"/>
      <c r="L1153" s="282"/>
      <c r="M1153" s="244">
        <f>'корпоративный баланс энергии'!AK1162+'корпоративный баланс энергии'!AN1162+'корпоративный баланс энергии'!AQ1162</f>
        <v>6.0069999999999997</v>
      </c>
      <c r="N1153" s="246"/>
      <c r="O1153" s="282"/>
      <c r="P1153" s="244">
        <f t="shared" si="85"/>
        <v>42.772999999999996</v>
      </c>
      <c r="Q1153" s="246"/>
      <c r="R1153" s="282"/>
      <c r="S1153" s="357"/>
      <c r="T1153" s="357"/>
    </row>
    <row r="1154" spans="2:20" s="24" customFormat="1">
      <c r="B1154" s="125" t="str">
        <f>'корпоративный баланс энергии'!H1163</f>
        <v>Гергебильская ГЭС (Дагестанский филиал ПАО "РусГидро")</v>
      </c>
      <c r="C1154" s="516" t="s">
        <v>364</v>
      </c>
      <c r="D1154" s="281">
        <f>'корпоративный баланс энергии'!J1163+'корпоративный баланс энергии'!M1163+'корпоративный баланс энергии'!P1163</f>
        <v>2.2000000000000002</v>
      </c>
      <c r="E1154" s="246"/>
      <c r="F1154" s="282"/>
      <c r="G1154" s="244">
        <f>'корпоративный баланс энергии'!S1163+'корпоративный баланс энергии'!V1163+'корпоративный баланс энергии'!Y1163</f>
        <v>19.350000000000001</v>
      </c>
      <c r="H1154" s="246"/>
      <c r="I1154" s="282"/>
      <c r="J1154" s="244">
        <f>'корпоративный баланс энергии'!AB1163+'корпоративный баланс энергии'!AE1163+'корпоративный баланс энергии'!AH1163</f>
        <v>19.600000000000001</v>
      </c>
      <c r="K1154" s="246"/>
      <c r="L1154" s="282"/>
      <c r="M1154" s="244">
        <f>'корпоративный баланс энергии'!AK1163+'корпоративный баланс энергии'!AN1163+'корпоративный баланс энергии'!AQ1163</f>
        <v>6.1</v>
      </c>
      <c r="N1154" s="246"/>
      <c r="O1154" s="282"/>
      <c r="P1154" s="244">
        <f t="shared" si="85"/>
        <v>47.250000000000007</v>
      </c>
      <c r="Q1154" s="246"/>
      <c r="R1154" s="282"/>
      <c r="S1154" s="357"/>
      <c r="T1154" s="357"/>
    </row>
    <row r="1155" spans="2:20" s="24" customFormat="1">
      <c r="B1155" s="125" t="str">
        <f>'корпоративный баланс энергии'!H1164</f>
        <v>Гунибская ГЭС  (Дагестанский филиал ПАО "РусГидро")</v>
      </c>
      <c r="C1155" s="516" t="s">
        <v>364</v>
      </c>
      <c r="D1155" s="281">
        <f>'корпоративный баланс энергии'!J1164+'корпоративный баланс энергии'!M1164+'корпоративный баланс энергии'!P1164</f>
        <v>2.4</v>
      </c>
      <c r="E1155" s="246"/>
      <c r="F1155" s="282"/>
      <c r="G1155" s="244">
        <f>'корпоративный баланс энергии'!S1164+'корпоративный баланс энергии'!V1164+'корпоративный баланс энергии'!Y1164</f>
        <v>20.350000000000001</v>
      </c>
      <c r="H1155" s="246"/>
      <c r="I1155" s="282"/>
      <c r="J1155" s="244">
        <f>'корпоративный баланс энергии'!AB1164+'корпоративный баланс энергии'!AE1164+'корпоративный баланс энергии'!AH1164</f>
        <v>21.1</v>
      </c>
      <c r="K1155" s="246"/>
      <c r="L1155" s="282"/>
      <c r="M1155" s="244">
        <f>'корпоративный баланс энергии'!AK1164+'корпоративный баланс энергии'!AN1164+'корпоративный баланс энергии'!AQ1164</f>
        <v>6.3999999999999995</v>
      </c>
      <c r="N1155" s="246"/>
      <c r="O1155" s="282"/>
      <c r="P1155" s="244">
        <f t="shared" si="85"/>
        <v>50.25</v>
      </c>
      <c r="Q1155" s="246"/>
      <c r="R1155" s="282"/>
      <c r="S1155" s="357"/>
      <c r="T1155" s="357"/>
    </row>
    <row r="1156" spans="2:20" s="110" customFormat="1">
      <c r="B1156" s="125" t="str">
        <f>'корпоративный баланс энергии'!H1165</f>
        <v>Малые ГЭС  (Дагестанский филиал ПАО "РусГидро")</v>
      </c>
      <c r="C1156" s="526" t="s">
        <v>365</v>
      </c>
      <c r="D1156" s="281">
        <f>'корпоративный баланс энергии'!J1165+'корпоративный баланс энергии'!M1165+'корпоративный баланс энергии'!P1165</f>
        <v>0.60840000000000005</v>
      </c>
      <c r="E1156" s="246"/>
      <c r="F1156" s="282"/>
      <c r="G1156" s="244">
        <f>'корпоративный баланс энергии'!S1165+'корпоративный баланс энергии'!V1165+'корпоративный баланс энергии'!Y1165</f>
        <v>1.3191999999999999</v>
      </c>
      <c r="H1156" s="246"/>
      <c r="I1156" s="282"/>
      <c r="J1156" s="244">
        <f>'корпоративный баланс энергии'!AB1165+'корпоративный баланс энергии'!AE1165+'корпоративный баланс энергии'!AH1165</f>
        <v>1.7642000000000002</v>
      </c>
      <c r="K1156" s="246"/>
      <c r="L1156" s="282"/>
      <c r="M1156" s="244">
        <f>'корпоративный баланс энергии'!AK1165+'корпоративный баланс энергии'!AN1165+'корпоративный баланс энергии'!AQ1165</f>
        <v>1.5070000000000001</v>
      </c>
      <c r="N1156" s="246"/>
      <c r="O1156" s="282"/>
      <c r="P1156" s="244">
        <f t="shared" si="85"/>
        <v>5.1988000000000003</v>
      </c>
      <c r="Q1156" s="246"/>
      <c r="R1156" s="282"/>
      <c r="S1156" s="356"/>
      <c r="T1156" s="356"/>
    </row>
    <row r="1157" spans="2:20" s="110" customFormat="1">
      <c r="B1157" s="125" t="str">
        <f>'корпоративный баланс энергии'!H1166</f>
        <v>Каспийская СЭС (ООО "МЭК-Инжиниринг") НВ</v>
      </c>
      <c r="C1157" s="526" t="s">
        <v>365</v>
      </c>
      <c r="D1157" s="281">
        <f>'корпоративный баланс энергии'!J1166+'корпоративный баланс энергии'!M1166+'корпоративный баланс энергии'!P1166</f>
        <v>0.2</v>
      </c>
      <c r="E1157" s="246"/>
      <c r="F1157" s="282"/>
      <c r="G1157" s="244">
        <f>'корпоративный баланс энергии'!S1166+'корпоративный баланс энергии'!V1166+'корпоративный баланс энергии'!Y1166</f>
        <v>0.46000000000000008</v>
      </c>
      <c r="H1157" s="246"/>
      <c r="I1157" s="282"/>
      <c r="J1157" s="244">
        <f>'корпоративный баланс энергии'!AB1166+'корпоративный баланс энергии'!AE1166+'корпоративный баланс энергии'!AH1166</f>
        <v>0.47000000000000003</v>
      </c>
      <c r="K1157" s="246"/>
      <c r="L1157" s="282"/>
      <c r="M1157" s="244">
        <f>'корпоративный баланс энергии'!AK1166+'корпоративный баланс энергии'!AN1166+'корпоративный баланс энергии'!AQ1166</f>
        <v>0.21000000000000002</v>
      </c>
      <c r="N1157" s="246"/>
      <c r="O1157" s="282"/>
      <c r="P1157" s="244">
        <f>D1157+G1157+J1157+M1157</f>
        <v>1.34</v>
      </c>
      <c r="Q1157" s="246"/>
      <c r="R1157" s="282"/>
      <c r="S1157" s="356"/>
      <c r="T1157" s="356"/>
    </row>
    <row r="1158" spans="2:20" s="110" customFormat="1" ht="18.75">
      <c r="B1158" s="474" t="str">
        <f>'корпоративный баланс энергии'!H1167</f>
        <v>Энергосистема Республики Ингушетия</v>
      </c>
      <c r="C1158" s="501"/>
      <c r="D1158" s="274">
        <v>0</v>
      </c>
      <c r="E1158" s="275">
        <f>F1158-D1158</f>
        <v>243.76269627958007</v>
      </c>
      <c r="F1158" s="276">
        <f>'корпоративный баланс энергии'!L1167+'корпоративный баланс энергии'!O1167+'корпоративный баланс энергии'!R1167</f>
        <v>243.76269627958007</v>
      </c>
      <c r="G1158" s="277">
        <v>0</v>
      </c>
      <c r="H1158" s="275">
        <f>I1158-G1158</f>
        <v>182.74781617209999</v>
      </c>
      <c r="I1158" s="276">
        <f>'корпоративный баланс энергии'!U1167+'корпоративный баланс энергии'!X1167+'корпоративный баланс энергии'!AA1167</f>
        <v>182.74781617209999</v>
      </c>
      <c r="J1158" s="277">
        <v>0</v>
      </c>
      <c r="K1158" s="275">
        <f>L1158-J1158</f>
        <v>180.43222494879998</v>
      </c>
      <c r="L1158" s="276">
        <f>'корпоративный баланс энергии'!AD1167+'корпоративный баланс энергии'!AG1167+'корпоративный баланс энергии'!AJ1167</f>
        <v>180.43222494879998</v>
      </c>
      <c r="M1158" s="277">
        <v>0</v>
      </c>
      <c r="N1158" s="275">
        <f>O1158-M1158</f>
        <v>231.05726259952002</v>
      </c>
      <c r="O1158" s="276">
        <f>'корпоративный баланс энергии'!AM1167+'корпоративный баланс энергии'!AP1167+'корпоративный баланс энергии'!AS1167</f>
        <v>231.05726259952002</v>
      </c>
      <c r="P1158" s="277">
        <v>0</v>
      </c>
      <c r="Q1158" s="275">
        <f>R1158-P1158</f>
        <v>838</v>
      </c>
      <c r="R1158" s="276">
        <f>F1158+I1158+L1158+O1158</f>
        <v>838</v>
      </c>
      <c r="S1158" s="356"/>
      <c r="T1158" s="356"/>
    </row>
    <row r="1159" spans="2:20" s="110" customFormat="1" ht="18.75">
      <c r="B1159" s="474" t="str">
        <f>'корпоративный баланс энергии'!H1168</f>
        <v>Энергосистема Кабардино-Балкарской Республики</v>
      </c>
      <c r="C1159" s="501"/>
      <c r="D1159" s="274">
        <f>SUM(D1160:D1161)</f>
        <v>61.254396785352228</v>
      </c>
      <c r="E1159" s="275">
        <f>F1159-D1159</f>
        <v>412.2541300025822</v>
      </c>
      <c r="F1159" s="276">
        <f>'корпоративный баланс энергии'!L1168+'корпоративный баланс энергии'!O1168+'корпоративный баланс энергии'!R1168</f>
        <v>473.50852678793444</v>
      </c>
      <c r="G1159" s="274">
        <f>SUM(G1160:G1161)</f>
        <v>199.61199324005602</v>
      </c>
      <c r="H1159" s="275">
        <f>I1159-G1159</f>
        <v>191.05970206090794</v>
      </c>
      <c r="I1159" s="276">
        <f>'корпоративный баланс энергии'!U1168+'корпоративный баланс энергии'!X1168+'корпоративный баланс энергии'!AA1168</f>
        <v>390.67169530096396</v>
      </c>
      <c r="J1159" s="274">
        <f>SUM(J1160:J1161)</f>
        <v>313.97111446392063</v>
      </c>
      <c r="K1159" s="275">
        <f>L1159-J1159</f>
        <v>82.138112966012159</v>
      </c>
      <c r="L1159" s="276">
        <f>'корпоративный баланс энергии'!AD1168+'корпоративный баланс энергии'!AG1168+'корпоративный баланс энергии'!AJ1168</f>
        <v>396.10922742993279</v>
      </c>
      <c r="M1159" s="274">
        <f>SUM(M1160:M1161)</f>
        <v>71.569225698668959</v>
      </c>
      <c r="N1159" s="275">
        <f>O1159-M1159</f>
        <v>404.14132478249979</v>
      </c>
      <c r="O1159" s="276">
        <f>'корпоративный баланс энергии'!AM1168+'корпоративный баланс энергии'!AP1168+'корпоративный баланс энергии'!AS1168</f>
        <v>475.71055048116875</v>
      </c>
      <c r="P1159" s="274">
        <f>SUM(P1160:P1161)</f>
        <v>646.40673018799794</v>
      </c>
      <c r="Q1159" s="275">
        <f>R1159-P1159</f>
        <v>1089.5932698120021</v>
      </c>
      <c r="R1159" s="276">
        <f>F1159+I1159+L1159+O1159</f>
        <v>1736</v>
      </c>
      <c r="S1159" s="356"/>
      <c r="T1159" s="356"/>
    </row>
    <row r="1160" spans="2:20" s="24" customFormat="1">
      <c r="B1160" s="124" t="s">
        <v>55</v>
      </c>
      <c r="C1160" s="497"/>
      <c r="D1160" s="362">
        <f>SUM(D1162:D1169)</f>
        <v>59.967486785352229</v>
      </c>
      <c r="E1160" s="363"/>
      <c r="F1160" s="364"/>
      <c r="G1160" s="362">
        <f>SUM(G1162:G1169)</f>
        <v>198.61218324005603</v>
      </c>
      <c r="H1160" s="363"/>
      <c r="I1160" s="364"/>
      <c r="J1160" s="362">
        <f>SUM(J1162:J1169)</f>
        <v>313.15499446392062</v>
      </c>
      <c r="K1160" s="363"/>
      <c r="L1160" s="364"/>
      <c r="M1160" s="362">
        <f>SUM(M1162:M1169)</f>
        <v>70.01420569866896</v>
      </c>
      <c r="N1160" s="363"/>
      <c r="O1160" s="364"/>
      <c r="P1160" s="362">
        <f>SUM(P1162:P1169)</f>
        <v>641.74887018799791</v>
      </c>
      <c r="Q1160" s="363"/>
      <c r="R1160" s="364"/>
      <c r="S1160" s="357"/>
      <c r="T1160" s="357"/>
    </row>
    <row r="1161" spans="2:20" s="24" customFormat="1">
      <c r="B1161" s="124" t="s">
        <v>183</v>
      </c>
      <c r="C1161" s="497"/>
      <c r="D1161" s="362">
        <f>D1170</f>
        <v>1.28691</v>
      </c>
      <c r="E1161" s="363"/>
      <c r="F1161" s="364"/>
      <c r="G1161" s="362">
        <f>G1170</f>
        <v>0.99980999999999987</v>
      </c>
      <c r="H1161" s="363"/>
      <c r="I1161" s="364"/>
      <c r="J1161" s="362">
        <f>J1170</f>
        <v>0.81611999999999996</v>
      </c>
      <c r="K1161" s="363"/>
      <c r="L1161" s="364"/>
      <c r="M1161" s="362">
        <f>M1170</f>
        <v>1.5550200000000001</v>
      </c>
      <c r="N1161" s="363"/>
      <c r="O1161" s="364"/>
      <c r="P1161" s="362">
        <f>P1170</f>
        <v>4.6578599999999994</v>
      </c>
      <c r="Q1161" s="363"/>
      <c r="R1161" s="364"/>
      <c r="S1161" s="357"/>
      <c r="T1161" s="357"/>
    </row>
    <row r="1162" spans="2:20" s="24" customFormat="1">
      <c r="B1162" s="122" t="str">
        <f>'корпоративный баланс энергии'!H1171</f>
        <v>Аушигерская ГЭС (Кабардино-Балкарский филиал ПАО "РусГидро")</v>
      </c>
      <c r="C1162" s="516" t="s">
        <v>364</v>
      </c>
      <c r="D1162" s="281">
        <f>'корпоративный баланс энергии'!J1171+'корпоративный баланс энергии'!M1171+'корпоративный баланс энергии'!P1171</f>
        <v>15.3</v>
      </c>
      <c r="E1162" s="246"/>
      <c r="F1162" s="282"/>
      <c r="G1162" s="244">
        <f>'корпоративный баланс энергии'!S1171+'корпоративный баланс энергии'!V1171+'корпоративный баланс энергии'!Y1171</f>
        <v>58.8</v>
      </c>
      <c r="H1162" s="246"/>
      <c r="I1162" s="282"/>
      <c r="J1162" s="244">
        <f>'корпоративный баланс энергии'!AB1171+'корпоративный баланс энергии'!AE1171+'корпоративный баланс энергии'!AH1171</f>
        <v>101.3</v>
      </c>
      <c r="K1162" s="246"/>
      <c r="L1162" s="282"/>
      <c r="M1162" s="244">
        <f>'корпоративный баланс энергии'!AK1171+'корпоративный баланс энергии'!AN1171+'корпоративный баланс энергии'!AQ1171</f>
        <v>11.5</v>
      </c>
      <c r="N1162" s="246"/>
      <c r="O1162" s="282"/>
      <c r="P1162" s="244">
        <f t="shared" ref="P1162:P1169" si="86">D1162+G1162+J1162+M1162</f>
        <v>186.89999999999998</v>
      </c>
      <c r="Q1162" s="246"/>
      <c r="R1162" s="282"/>
      <c r="S1162" s="357"/>
      <c r="T1162" s="357"/>
    </row>
    <row r="1163" spans="2:20" s="24" customFormat="1">
      <c r="B1163" s="122" t="str">
        <f>'корпоративный баланс энергии'!H1172</f>
        <v>Баксанская ГЭС(Кабардино-Балкарский филиал ПАО "РусГидро")</v>
      </c>
      <c r="C1163" s="516" t="s">
        <v>364</v>
      </c>
      <c r="D1163" s="281">
        <f>'корпоративный баланс энергии'!J1172+'корпоративный баланс энергии'!M1172+'корпоративный баланс энергии'!P1172</f>
        <v>15.5</v>
      </c>
      <c r="E1163" s="246"/>
      <c r="F1163" s="282"/>
      <c r="G1163" s="244">
        <f>'корпоративный баланс энергии'!S1172+'корпоративный баланс энергии'!V1172+'корпоративный баланс энергии'!Y1172</f>
        <v>32.1</v>
      </c>
      <c r="H1163" s="246"/>
      <c r="I1163" s="282"/>
      <c r="J1163" s="244">
        <f>'корпоративный баланс энергии'!AB1172+'корпоративный баланс энергии'!AE1172+'корпоративный баланс энергии'!AH1172</f>
        <v>50</v>
      </c>
      <c r="K1163" s="246"/>
      <c r="L1163" s="282"/>
      <c r="M1163" s="244">
        <f>'корпоративный баланс энергии'!AK1172+'корпоративный баланс энергии'!AN1172+'корпоративный баланс энергии'!AQ1172</f>
        <v>21.700000000000003</v>
      </c>
      <c r="N1163" s="246"/>
      <c r="O1163" s="282"/>
      <c r="P1163" s="244">
        <f t="shared" si="86"/>
        <v>119.3</v>
      </c>
      <c r="Q1163" s="246"/>
      <c r="R1163" s="282"/>
      <c r="S1163" s="357"/>
      <c r="T1163" s="357"/>
    </row>
    <row r="1164" spans="2:20" s="24" customFormat="1">
      <c r="B1164" s="122" t="str">
        <f>'корпоративный баланс энергии'!H1173</f>
        <v>Акбашская ГЭС, Малые ГЭС (Кабардино-Балкарский филиал ПАО "РусГидро")</v>
      </c>
      <c r="C1164" s="526" t="s">
        <v>365</v>
      </c>
      <c r="D1164" s="281">
        <f>'корпоративный баланс энергии'!J1173+'корпоративный баланс энергии'!M1173+'корпоративный баланс энергии'!P1173</f>
        <v>0</v>
      </c>
      <c r="E1164" s="246"/>
      <c r="F1164" s="282"/>
      <c r="G1164" s="244">
        <f>'корпоративный баланс энергии'!S1173+'корпоративный баланс энергии'!V1173+'корпоративный баланс энергии'!Y1173</f>
        <v>0.59578335285186768</v>
      </c>
      <c r="H1164" s="246"/>
      <c r="I1164" s="282"/>
      <c r="J1164" s="244">
        <f>'корпоративный баланс энергии'!AB1173+'корпоративный баланс энергии'!AE1173+'корпоративный баланс энергии'!AH1173</f>
        <v>0.95475000143051147</v>
      </c>
      <c r="K1164" s="246"/>
      <c r="L1164" s="282"/>
      <c r="M1164" s="244">
        <f>'корпоративный баланс энергии'!AK1173+'корпоративный баланс энергии'!AN1173+'корпоративный баланс энергии'!AQ1173</f>
        <v>0.50914164632558823</v>
      </c>
      <c r="N1164" s="246"/>
      <c r="O1164" s="282"/>
      <c r="P1164" s="244">
        <f t="shared" si="86"/>
        <v>2.0596750006079674</v>
      </c>
      <c r="Q1164" s="246"/>
      <c r="R1164" s="282"/>
      <c r="S1164" s="357"/>
      <c r="T1164" s="357"/>
    </row>
    <row r="1165" spans="2:20" s="110" customFormat="1">
      <c r="B1165" s="122" t="str">
        <f>'корпоративный баланс энергии'!H1174</f>
        <v>Мухольская ГЭС, Малые ГЭС (Кабардино-Балкарский филиал ПАО "РусГидро")</v>
      </c>
      <c r="C1165" s="526" t="s">
        <v>365</v>
      </c>
      <c r="D1165" s="281">
        <f>'корпоративный баланс энергии'!J1174+'корпоративный баланс энергии'!M1174+'корпоративный баланс энергии'!P1174</f>
        <v>0.7736305296421051</v>
      </c>
      <c r="E1165" s="246"/>
      <c r="F1165" s="282"/>
      <c r="G1165" s="244">
        <f>'корпоративный баланс энергии'!S1174+'корпоративный баланс энергии'!V1174+'корпоративный баланс энергии'!Y1174</f>
        <v>1.1764047145843506</v>
      </c>
      <c r="H1165" s="246"/>
      <c r="I1165" s="282"/>
      <c r="J1165" s="244">
        <f>'корпоративный баланс энергии'!AB1174+'корпоративный баланс энергии'!AE1174+'корпоративный баланс энергии'!AH1174</f>
        <v>1.2158676981925964</v>
      </c>
      <c r="K1165" s="246"/>
      <c r="L1165" s="282"/>
      <c r="M1165" s="244">
        <f>'корпоративный баланс энергии'!AK1174+'корпоративный баланс энергии'!AN1174+'корпоративный баланс энергии'!AQ1174</f>
        <v>1.0964694321155548</v>
      </c>
      <c r="N1165" s="246"/>
      <c r="O1165" s="282"/>
      <c r="P1165" s="244">
        <f t="shared" si="86"/>
        <v>4.2623723745346069</v>
      </c>
      <c r="Q1165" s="246"/>
      <c r="R1165" s="282"/>
      <c r="S1165" s="356"/>
      <c r="T1165" s="356"/>
    </row>
    <row r="1166" spans="2:20" s="110" customFormat="1">
      <c r="B1166" s="122" t="str">
        <f>'корпоративный баланс энергии'!H1175</f>
        <v>ГЭС-3, Малые ГЭС (Кабардино-Балкарский филиал ПАО "РусГидро")</v>
      </c>
      <c r="C1166" s="526" t="s">
        <v>365</v>
      </c>
      <c r="D1166" s="281">
        <f>'корпоративный баланс энергии'!J1175+'корпоративный баланс энергии'!M1175+'корпоративный баланс энергии'!P1175</f>
        <v>0.29385625571012497</v>
      </c>
      <c r="E1166" s="246"/>
      <c r="F1166" s="282"/>
      <c r="G1166" s="244">
        <f>'корпоративный баланс энергии'!S1175+'корпоративный баланс энергии'!V1175+'корпоративный баланс энергии'!Y1175</f>
        <v>3.1399951726198196</v>
      </c>
      <c r="H1166" s="246"/>
      <c r="I1166" s="282"/>
      <c r="J1166" s="244">
        <f>'корпоративный баланс энергии'!AB1175+'корпоративный баланс энергии'!AE1175+'корпоративный баланс энергии'!AH1175</f>
        <v>5.3843767642974854</v>
      </c>
      <c r="K1166" s="246"/>
      <c r="L1166" s="282"/>
      <c r="M1166" s="244">
        <f>'корпоративный баланс энергии'!AK1175+'корпоративный баланс энергии'!AN1175+'корпоративный баланс энергии'!AQ1175</f>
        <v>3.2085946202278137</v>
      </c>
      <c r="N1166" s="246"/>
      <c r="O1166" s="282"/>
      <c r="P1166" s="244">
        <f t="shared" si="86"/>
        <v>12.026822812855244</v>
      </c>
      <c r="Q1166" s="246"/>
      <c r="R1166" s="282"/>
      <c r="S1166" s="356"/>
      <c r="T1166" s="356"/>
    </row>
    <row r="1167" spans="2:20" s="110" customFormat="1">
      <c r="B1167" s="122" t="str">
        <f>'корпоративный баланс энергии'!H1176</f>
        <v>Кашхатау ГЭС (Кабардино-Балкарский филиал ПАО "РусГидро") - новый ввод, ДПМ</v>
      </c>
      <c r="C1167" s="516" t="s">
        <v>364</v>
      </c>
      <c r="D1167" s="281">
        <f>'корпоративный баланс энергии'!J1176+'корпоративный баланс энергии'!M1176+'корпоративный баланс энергии'!P1176</f>
        <v>15.7</v>
      </c>
      <c r="E1167" s="246"/>
      <c r="F1167" s="282"/>
      <c r="G1167" s="244">
        <f>'корпоративный баланс энергии'!S1176+'корпоративный баланс энергии'!V1176+'корпоративный баланс энергии'!Y1176</f>
        <v>57.8</v>
      </c>
      <c r="H1167" s="246"/>
      <c r="I1167" s="282"/>
      <c r="J1167" s="244">
        <f>'корпоративный баланс энергии'!AB1176+'корпоративный баланс энергии'!AE1176+'корпоративный баланс энергии'!AH1176</f>
        <v>87.3</v>
      </c>
      <c r="K1167" s="246"/>
      <c r="L1167" s="282"/>
      <c r="M1167" s="244">
        <f>'корпоративный баланс энергии'!AK1176+'корпоративный баланс энергии'!AN1176+'корпоративный баланс энергии'!AQ1176</f>
        <v>13.3</v>
      </c>
      <c r="N1167" s="246"/>
      <c r="O1167" s="282"/>
      <c r="P1167" s="244">
        <f t="shared" si="86"/>
        <v>174.10000000000002</v>
      </c>
      <c r="Q1167" s="246"/>
      <c r="R1167" s="282"/>
      <c r="S1167" s="356"/>
      <c r="T1167" s="356"/>
    </row>
    <row r="1168" spans="2:20" s="110" customFormat="1">
      <c r="B1168" s="122" t="str">
        <f>'корпоративный баланс энергии'!H1177</f>
        <v>Зарагижская ГЭС (Кабардино-Балкарский филиал ПАО "РусГидро") ГГ №1,2,3 30,6 МВт НВ 01.07.2016</v>
      </c>
      <c r="C1168" s="516" t="s">
        <v>364</v>
      </c>
      <c r="D1168" s="281">
        <f>'корпоративный баланс энергии'!J1177+'корпоративный баланс энергии'!M1177+'корпоративный баланс энергии'!P1177</f>
        <v>6.1</v>
      </c>
      <c r="E1168" s="246"/>
      <c r="F1168" s="282"/>
      <c r="G1168" s="244">
        <f>'корпоративный баланс энергии'!S1177+'корпоративный баланс энергии'!V1177+'корпоративный баланс энергии'!Y1177</f>
        <v>27.3</v>
      </c>
      <c r="H1168" s="246"/>
      <c r="I1168" s="282"/>
      <c r="J1168" s="244">
        <f>'корпоративный баланс энергии'!AB1177+'корпоративный баланс энергии'!AE1177+'корпоративный баланс энергии'!AH1177</f>
        <v>45</v>
      </c>
      <c r="K1168" s="246"/>
      <c r="L1168" s="282"/>
      <c r="M1168" s="244">
        <f>'корпоративный баланс энергии'!AK1177+'корпоративный баланс энергии'!AN1177+'корпоративный баланс энергии'!AQ1177</f>
        <v>5.5</v>
      </c>
      <c r="N1168" s="246"/>
      <c r="O1168" s="282"/>
      <c r="P1168" s="244">
        <f t="shared" si="86"/>
        <v>83.9</v>
      </c>
      <c r="Q1168" s="246"/>
      <c r="R1168" s="282"/>
      <c r="S1168" s="356"/>
      <c r="T1168" s="356"/>
    </row>
    <row r="1169" spans="2:20" s="110" customFormat="1">
      <c r="B1169" s="122" t="str">
        <f>'корпоративный баланс энергии'!H1178</f>
        <v>Верхнебалкарская МГЭС НВ</v>
      </c>
      <c r="C1169" s="516" t="s">
        <v>364</v>
      </c>
      <c r="D1169" s="244">
        <f>'корпоративный баланс энергии'!J1178+'корпоративный баланс энергии'!M1178+'корпоративный баланс энергии'!P1178</f>
        <v>6.2999999999999989</v>
      </c>
      <c r="E1169" s="246"/>
      <c r="F1169" s="282"/>
      <c r="G1169" s="244">
        <f>'корпоративный баланс энергии'!S1178+'корпоративный баланс энергии'!V1178+'корпоративный баланс энергии'!Y1178</f>
        <v>17.7</v>
      </c>
      <c r="H1169" s="246"/>
      <c r="I1169" s="282"/>
      <c r="J1169" s="244">
        <f>'корпоративный баланс энергии'!AB1178+'корпоративный баланс энергии'!AE1178+'корпоративный баланс энергии'!AH1178</f>
        <v>22</v>
      </c>
      <c r="K1169" s="246"/>
      <c r="L1169" s="282"/>
      <c r="M1169" s="244">
        <f>'корпоративный баланс энергии'!AK1178+'корпоративный баланс энергии'!AN1178+'корпоративный баланс энергии'!AQ1178</f>
        <v>13.2</v>
      </c>
      <c r="N1169" s="246"/>
      <c r="O1169" s="282"/>
      <c r="P1169" s="244">
        <f t="shared" si="86"/>
        <v>59.2</v>
      </c>
      <c r="Q1169" s="246"/>
      <c r="R1169" s="282"/>
      <c r="S1169" s="356"/>
      <c r="T1169" s="356"/>
    </row>
    <row r="1170" spans="2:20" s="110" customFormat="1">
      <c r="B1170" s="138" t="s">
        <v>174</v>
      </c>
      <c r="C1170" s="138"/>
      <c r="D1170" s="319">
        <f>SUM(D1171:D1172)</f>
        <v>1.28691</v>
      </c>
      <c r="E1170" s="288"/>
      <c r="F1170" s="289"/>
      <c r="G1170" s="287">
        <f>SUM(G1171:G1172)</f>
        <v>0.99980999999999987</v>
      </c>
      <c r="H1170" s="288"/>
      <c r="I1170" s="289"/>
      <c r="J1170" s="287">
        <f>SUM(J1171:J1172)</f>
        <v>0.81611999999999996</v>
      </c>
      <c r="K1170" s="288"/>
      <c r="L1170" s="289"/>
      <c r="M1170" s="287">
        <f>SUM(M1171:M1172)</f>
        <v>1.5550200000000001</v>
      </c>
      <c r="N1170" s="288"/>
      <c r="O1170" s="289"/>
      <c r="P1170" s="287">
        <f>SUM(P1171:P1172)</f>
        <v>4.6578599999999994</v>
      </c>
      <c r="Q1170" s="288"/>
      <c r="R1170" s="289"/>
      <c r="S1170" s="356"/>
      <c r="T1170" s="356"/>
    </row>
    <row r="1171" spans="2:20" s="24" customFormat="1">
      <c r="B1171" s="145" t="str">
        <f>'корпоративный баланс энергии'!H1180</f>
        <v>ТЭЦ (ООО "Росс-Спирт")</v>
      </c>
      <c r="C1171" s="518" t="s">
        <v>365</v>
      </c>
      <c r="D1171" s="294">
        <f>'корпоративный баланс энергии'!J1180+'корпоративный баланс энергии'!M1180+'корпоративный баланс энергии'!P1180</f>
        <v>0</v>
      </c>
      <c r="E1171" s="288"/>
      <c r="F1171" s="289"/>
      <c r="G1171" s="294">
        <f>'корпоративный баланс энергии'!S1180+'корпоративный баланс энергии'!V1180+'корпоративный баланс энергии'!Y1180</f>
        <v>0</v>
      </c>
      <c r="H1171" s="288"/>
      <c r="I1171" s="289"/>
      <c r="J1171" s="294">
        <f>'корпоративный баланс энергии'!AB1180+'корпоративный баланс энергии'!AE1180+'корпоративный баланс энергии'!AH1180</f>
        <v>0</v>
      </c>
      <c r="K1171" s="288"/>
      <c r="L1171" s="289"/>
      <c r="M1171" s="294">
        <f>'корпоративный баланс энергии'!AK1180+'корпоративный баланс энергии'!AN1180+'корпоративный баланс энергии'!AQ1180</f>
        <v>0</v>
      </c>
      <c r="N1171" s="288"/>
      <c r="O1171" s="289"/>
      <c r="P1171" s="294">
        <f>D1171+G1171+J1171+M1171</f>
        <v>0</v>
      </c>
      <c r="Q1171" s="288"/>
      <c r="R1171" s="289"/>
      <c r="S1171" s="357"/>
      <c r="T1171" s="357"/>
    </row>
    <row r="1172" spans="2:20" s="24" customFormat="1">
      <c r="B1172" s="145" t="str">
        <f>'корпоративный баланс энергии'!H1181</f>
        <v>ТЭЦ (ОАО "Гидрометаллург")</v>
      </c>
      <c r="C1172" s="518" t="s">
        <v>365</v>
      </c>
      <c r="D1172" s="294">
        <f>'корпоративный баланс энергии'!J1181+'корпоративный баланс энергии'!M1181+'корпоративный баланс энергии'!P1181</f>
        <v>1.28691</v>
      </c>
      <c r="E1172" s="288"/>
      <c r="F1172" s="289"/>
      <c r="G1172" s="294">
        <f>'корпоративный баланс энергии'!S1181+'корпоративный баланс энергии'!V1181+'корпоративный баланс энергии'!Y1181</f>
        <v>0.99980999999999987</v>
      </c>
      <c r="H1172" s="288"/>
      <c r="I1172" s="289"/>
      <c r="J1172" s="294">
        <f>'корпоративный баланс энергии'!AB1181+'корпоративный баланс энергии'!AE1181+'корпоративный баланс энергии'!AH1181</f>
        <v>0.81611999999999996</v>
      </c>
      <c r="K1172" s="288"/>
      <c r="L1172" s="289"/>
      <c r="M1172" s="294">
        <f>'корпоративный баланс энергии'!AK1181+'корпоративный баланс энергии'!AN1181+'корпоративный баланс энергии'!AQ1181</f>
        <v>1.5550200000000001</v>
      </c>
      <c r="N1172" s="288"/>
      <c r="O1172" s="289"/>
      <c r="P1172" s="294">
        <f>D1172+G1172+J1172+M1172</f>
        <v>4.6578599999999994</v>
      </c>
      <c r="Q1172" s="288"/>
      <c r="R1172" s="289"/>
      <c r="S1172" s="357"/>
      <c r="T1172" s="357"/>
    </row>
    <row r="1173" spans="2:20" s="24" customFormat="1" ht="18.75">
      <c r="B1173" s="474" t="str">
        <f>'корпоративный баланс энергии'!H1182</f>
        <v>Энергосистема Республики Калмыкия</v>
      </c>
      <c r="C1173" s="474"/>
      <c r="D1173" s="277">
        <f>SUM(D1174:D1176)</f>
        <v>46.639796700000005</v>
      </c>
      <c r="E1173" s="275">
        <f>F1173-D1173</f>
        <v>164.48788187174767</v>
      </c>
      <c r="F1173" s="276">
        <f>'корпоративный баланс энергии'!L1182+'корпоративный баланс энергии'!O1182+'корпоративный баланс энергии'!R1182</f>
        <v>211.12767857174768</v>
      </c>
      <c r="G1173" s="277">
        <f>SUM(G1174:G1176)</f>
        <v>44.194200200000004</v>
      </c>
      <c r="H1173" s="275">
        <f>I1173-G1173</f>
        <v>134.59325034033759</v>
      </c>
      <c r="I1173" s="276">
        <f>'корпоративный баланс энергии'!U1182+'корпоративный баланс энергии'!X1182+'корпоративный баланс энергии'!AA1182</f>
        <v>178.7874505403376</v>
      </c>
      <c r="J1173" s="277">
        <f>SUM(J1174:J1176)</f>
        <v>37.221879133333331</v>
      </c>
      <c r="K1173" s="275">
        <f>L1173-J1173</f>
        <v>147.27553776400305</v>
      </c>
      <c r="L1173" s="276">
        <f>'корпоративный баланс энергии'!AD1182+'корпоративный баланс энергии'!AG1182+'корпоративный баланс энергии'!AJ1182</f>
        <v>184.49741689733639</v>
      </c>
      <c r="M1173" s="277">
        <f>SUM(M1174:M1176)</f>
        <v>38.355217415053758</v>
      </c>
      <c r="N1173" s="275">
        <f>O1173-M1173</f>
        <v>167.23223657552461</v>
      </c>
      <c r="O1173" s="276">
        <f>'корпоративный баланс энергии'!AM1182+'корпоративный баланс энергии'!AP1182+'корпоративный баланс энергии'!AS1182</f>
        <v>205.58745399057835</v>
      </c>
      <c r="P1173" s="277">
        <f>SUM(P1174:P1176)</f>
        <v>166.41109344838708</v>
      </c>
      <c r="Q1173" s="275">
        <f>R1173-P1173</f>
        <v>613.58890655161292</v>
      </c>
      <c r="R1173" s="276">
        <f>F1173+I1173+L1173+O1173</f>
        <v>780</v>
      </c>
      <c r="S1173" s="357"/>
      <c r="T1173" s="357"/>
    </row>
    <row r="1174" spans="2:20" s="24" customFormat="1">
      <c r="B1174" s="124" t="s">
        <v>56</v>
      </c>
      <c r="C1174" s="124"/>
      <c r="D1174" s="365">
        <f>D1177</f>
        <v>36.6648</v>
      </c>
      <c r="E1174" s="363"/>
      <c r="F1174" s="364"/>
      <c r="G1174" s="365">
        <f>G1177</f>
        <v>19.301300000000001</v>
      </c>
      <c r="H1174" s="363"/>
      <c r="I1174" s="364"/>
      <c r="J1174" s="365">
        <f>J1177</f>
        <v>15.357399999999998</v>
      </c>
      <c r="K1174" s="363"/>
      <c r="L1174" s="364"/>
      <c r="M1174" s="365">
        <f>M1177</f>
        <v>32.836199999999998</v>
      </c>
      <c r="N1174" s="363"/>
      <c r="O1174" s="364"/>
      <c r="P1174" s="365">
        <f>P1177</f>
        <v>104.15969999999999</v>
      </c>
      <c r="Q1174" s="363"/>
      <c r="R1174" s="364"/>
      <c r="S1174" s="357"/>
      <c r="T1174" s="357"/>
    </row>
    <row r="1175" spans="2:20" s="24" customFormat="1">
      <c r="B1175" s="467" t="s">
        <v>346</v>
      </c>
      <c r="C1175" s="467"/>
      <c r="D1175" s="365">
        <f>SUM(D1178:D1181)</f>
        <v>0.45876966666666663</v>
      </c>
      <c r="E1175" s="363"/>
      <c r="F1175" s="364"/>
      <c r="G1175" s="365">
        <f>SUM(G1178:G1181)</f>
        <v>0.54622999999999999</v>
      </c>
      <c r="H1175" s="363"/>
      <c r="I1175" s="364"/>
      <c r="J1175" s="365">
        <f>SUM(J1178:J1181)</f>
        <v>0.4633626666666667</v>
      </c>
      <c r="K1175" s="363"/>
      <c r="L1175" s="364"/>
      <c r="M1175" s="365">
        <f>SUM(M1178:M1181)</f>
        <v>0.54242533333333343</v>
      </c>
      <c r="N1175" s="363"/>
      <c r="O1175" s="364"/>
      <c r="P1175" s="365">
        <f>SUM(P1178:P1181)</f>
        <v>2.0107876666666669</v>
      </c>
      <c r="Q1175" s="363"/>
      <c r="R1175" s="364"/>
      <c r="S1175" s="357"/>
      <c r="T1175" s="357"/>
    </row>
    <row r="1176" spans="2:20" s="24" customFormat="1">
      <c r="B1176" s="467" t="s">
        <v>347</v>
      </c>
      <c r="C1176" s="467"/>
      <c r="D1176" s="365">
        <f>SUM(D1182:D1186)</f>
        <v>9.5162270333333332</v>
      </c>
      <c r="E1176" s="363"/>
      <c r="F1176" s="364"/>
      <c r="G1176" s="365">
        <f>SUM(G1182:G1186)</f>
        <v>24.346670200000002</v>
      </c>
      <c r="H1176" s="363"/>
      <c r="I1176" s="364"/>
      <c r="J1176" s="365">
        <f>SUM(J1182:J1186)</f>
        <v>21.401116466666664</v>
      </c>
      <c r="K1176" s="363"/>
      <c r="L1176" s="364"/>
      <c r="M1176" s="365">
        <f>SUM(M1182:M1186)</f>
        <v>4.9765920817204297</v>
      </c>
      <c r="N1176" s="363"/>
      <c r="O1176" s="364"/>
      <c r="P1176" s="365">
        <f>SUM(P1182:P1186)</f>
        <v>60.240605781720433</v>
      </c>
      <c r="Q1176" s="363"/>
      <c r="R1176" s="364"/>
      <c r="S1176" s="357"/>
      <c r="T1176" s="357"/>
    </row>
    <row r="1177" spans="2:20" s="24" customFormat="1">
      <c r="B1177" s="122" t="str">
        <f>'корпоративный баланс энергии'!H1186</f>
        <v>Элистинская ГТ-ТЭЦ (АО "ГТ Энерго") НВ 01.06.2010</v>
      </c>
      <c r="C1177" s="516" t="s">
        <v>364</v>
      </c>
      <c r="D1177" s="244">
        <f>'корпоративный баланс энергии'!J1186+'корпоративный баланс энергии'!M1186+'корпоративный баланс энергии'!P1186</f>
        <v>36.6648</v>
      </c>
      <c r="E1177" s="246"/>
      <c r="F1177" s="282"/>
      <c r="G1177" s="244">
        <f>'корпоративный баланс энергии'!S1186+'корпоративный баланс энергии'!V1186+'корпоративный баланс энергии'!Y1186</f>
        <v>19.301300000000001</v>
      </c>
      <c r="H1177" s="246"/>
      <c r="I1177" s="282"/>
      <c r="J1177" s="244">
        <f>'корпоративный баланс энергии'!AB1186+'корпоративный баланс энергии'!AE1186+'корпоративный баланс энергии'!AH1186</f>
        <v>15.357399999999998</v>
      </c>
      <c r="K1177" s="246"/>
      <c r="L1177" s="282"/>
      <c r="M1177" s="244">
        <f>'корпоративный баланс энергии'!AK1186+'корпоративный баланс энергии'!AN1186+'корпоративный баланс энергии'!AQ1186</f>
        <v>32.836199999999998</v>
      </c>
      <c r="N1177" s="246"/>
      <c r="O1177" s="282"/>
      <c r="P1177" s="244">
        <f>D1177+G1177+J1177+M1177</f>
        <v>104.15969999999999</v>
      </c>
      <c r="Q1177" s="246"/>
      <c r="R1177" s="282"/>
      <c r="S1177" s="357"/>
      <c r="T1177" s="357"/>
    </row>
    <row r="1178" spans="2:20" s="24" customFormat="1">
      <c r="B1178" s="122" t="str">
        <f>'корпоративный баланс энергии'!H1187</f>
        <v>Калмыцкая ВЭС (филиал ПАО "РусГидро")</v>
      </c>
      <c r="C1178" s="533" t="s">
        <v>365</v>
      </c>
      <c r="D1178" s="244">
        <f>'корпоративный баланс энергии'!J1187+'корпоративный баланс энергии'!M1187+'корпоративный баланс энергии'!P1187</f>
        <v>0</v>
      </c>
      <c r="E1178" s="246"/>
      <c r="F1178" s="282"/>
      <c r="G1178" s="244">
        <f>'корпоративный баланс энергии'!S1187+'корпоративный баланс энергии'!V1187+'корпоративный баланс энергии'!Y1187</f>
        <v>0</v>
      </c>
      <c r="H1178" s="246"/>
      <c r="I1178" s="282"/>
      <c r="J1178" s="244">
        <f>'корпоративный баланс энергии'!AB1187+'корпоративный баланс энергии'!AE1187+'корпоративный баланс энергии'!AH1187</f>
        <v>0</v>
      </c>
      <c r="K1178" s="246"/>
      <c r="L1178" s="282"/>
      <c r="M1178" s="244">
        <f>'корпоративный баланс энергии'!AK1187+'корпоративный баланс энергии'!AN1187+'корпоративный баланс энергии'!AQ1187</f>
        <v>0</v>
      </c>
      <c r="N1178" s="246"/>
      <c r="O1178" s="282"/>
      <c r="P1178" s="244">
        <f>D1178+G1178+J1178+M1178</f>
        <v>0</v>
      </c>
      <c r="Q1178" s="246"/>
      <c r="R1178" s="282"/>
      <c r="S1178" s="357"/>
      <c r="T1178" s="357"/>
    </row>
    <row r="1179" spans="2:20" s="24" customFormat="1">
      <c r="B1179" s="122" t="str">
        <f>'корпоративный баланс энергии'!H1188</f>
        <v>ВЭС (ООО "АЛТЭН") 2,4 МВт НВ 01.01.2016</v>
      </c>
      <c r="C1179" s="516" t="s">
        <v>364</v>
      </c>
      <c r="D1179" s="244">
        <f>'корпоративный баланс энергии'!J1188+'корпоративный баланс энергии'!M1188+'корпоративный баланс энергии'!P1188</f>
        <v>0.45876966666666663</v>
      </c>
      <c r="E1179" s="246"/>
      <c r="F1179" s="282"/>
      <c r="G1179" s="244">
        <f>'корпоративный баланс энергии'!S1188+'корпоративный баланс энергии'!V1188+'корпоративный баланс энергии'!Y1188</f>
        <v>0.54622999999999999</v>
      </c>
      <c r="H1179" s="246"/>
      <c r="I1179" s="282"/>
      <c r="J1179" s="244">
        <f>'корпоративный баланс энергии'!AB1188+'корпоративный баланс энергии'!AE1188+'корпоративный баланс энергии'!AH1188</f>
        <v>0.4633626666666667</v>
      </c>
      <c r="K1179" s="246"/>
      <c r="L1179" s="282"/>
      <c r="M1179" s="244">
        <f>'корпоративный баланс энергии'!AK1188+'корпоративный баланс энергии'!AN1188+'корпоративный баланс энергии'!AQ1188</f>
        <v>0.54242533333333343</v>
      </c>
      <c r="N1179" s="246"/>
      <c r="O1179" s="282"/>
      <c r="P1179" s="244">
        <f>D1179+G1179+J1179+M1179</f>
        <v>2.0107876666666669</v>
      </c>
      <c r="Q1179" s="246"/>
      <c r="R1179" s="282"/>
      <c r="S1179" s="357"/>
      <c r="T1179" s="357"/>
    </row>
    <row r="1180" spans="2:20" s="24" customFormat="1">
      <c r="B1180" s="122" t="str">
        <f>'корпоративный баланс энергии'!H1189</f>
        <v>Приютненская ВЭС (ООО "АЛТЭН") 1 очередь НВ</v>
      </c>
      <c r="C1180" s="516" t="s">
        <v>364</v>
      </c>
      <c r="D1180" s="281">
        <f>'корпоративный баланс энергии'!J1189+'корпоративный баланс энергии'!M1189+'корпоративный баланс энергии'!P1189</f>
        <v>0</v>
      </c>
      <c r="E1180" s="246"/>
      <c r="F1180" s="282"/>
      <c r="G1180" s="244">
        <f>'корпоративный баланс энергии'!S1189+'корпоративный баланс энергии'!V1189+'корпоративный баланс энергии'!Y1189</f>
        <v>0</v>
      </c>
      <c r="H1180" s="246"/>
      <c r="I1180" s="282"/>
      <c r="J1180" s="244">
        <f>'корпоративный баланс энергии'!AB1189+'корпоративный баланс энергии'!AE1189+'корпоративный баланс энергии'!AH1189</f>
        <v>0</v>
      </c>
      <c r="K1180" s="246"/>
      <c r="L1180" s="282"/>
      <c r="M1180" s="244">
        <f>'корпоративный баланс энергии'!AK1189+'корпоративный баланс энергии'!AN1189+'корпоративный баланс энергии'!AQ1189</f>
        <v>0</v>
      </c>
      <c r="N1180" s="246"/>
      <c r="O1180" s="282"/>
      <c r="P1180" s="244">
        <f>D1180+G1180+J1180+M1180</f>
        <v>0</v>
      </c>
      <c r="Q1180" s="246"/>
      <c r="R1180" s="282"/>
      <c r="S1180" s="357"/>
      <c r="T1180" s="357"/>
    </row>
    <row r="1181" spans="2:20" s="24" customFormat="1">
      <c r="B1181" s="122" t="str">
        <f>'корпоративный баланс энергии'!H1190</f>
        <v>ВЭС Фунтово (ООО "ВЭС "Бриз")</v>
      </c>
      <c r="C1181" s="516" t="s">
        <v>364</v>
      </c>
      <c r="D1181" s="281">
        <f>'корпоративный баланс энергии'!J1190+'корпоративный баланс энергии'!M1190+'корпоративный баланс энергии'!P1190</f>
        <v>0</v>
      </c>
      <c r="E1181" s="246"/>
      <c r="F1181" s="282"/>
      <c r="G1181" s="244">
        <f>'корпоративный баланс энергии'!S1190+'корпоративный баланс энергии'!V1190+'корпоративный баланс энергии'!Y1190</f>
        <v>0</v>
      </c>
      <c r="H1181" s="246"/>
      <c r="I1181" s="282"/>
      <c r="J1181" s="244">
        <f>'корпоративный баланс энергии'!AB1190+'корпоративный баланс энергии'!AE1190+'корпоративный баланс энергии'!AH1190</f>
        <v>0</v>
      </c>
      <c r="K1181" s="246"/>
      <c r="L1181" s="282"/>
      <c r="M1181" s="244">
        <f>'корпоративный баланс энергии'!AK1190+'корпоративный баланс энергии'!AN1190+'корпоративный баланс энергии'!AQ1190</f>
        <v>0</v>
      </c>
      <c r="N1181" s="246"/>
      <c r="O1181" s="282"/>
      <c r="P1181" s="244">
        <f t="shared" ref="P1181:P1186" si="87">D1181+G1181+J1181+M1181</f>
        <v>0</v>
      </c>
      <c r="Q1181" s="246"/>
      <c r="R1181" s="282"/>
      <c r="S1181" s="357"/>
      <c r="T1181" s="357"/>
    </row>
    <row r="1182" spans="2:20" s="24" customFormat="1">
      <c r="B1182" s="122" t="str">
        <f>'корпоративный баланс энергии'!H1191</f>
        <v>Малодербетовская СЭС (1 очерадь) (ООО "Авелар Солар Технолоджи")</v>
      </c>
      <c r="C1182" s="516" t="s">
        <v>364</v>
      </c>
      <c r="D1182" s="281">
        <f>'корпоративный баланс энергии'!J1191+'корпоративный баланс энергии'!M1191+'корпоративный баланс энергии'!P1191</f>
        <v>2.9431630000000002</v>
      </c>
      <c r="E1182" s="246"/>
      <c r="F1182" s="282"/>
      <c r="G1182" s="244">
        <f>'корпоративный баланс энергии'!S1191+'корпоративный баланс энергии'!V1191+'корпоративный баланс энергии'!Y1191</f>
        <v>7.5298980000000011</v>
      </c>
      <c r="H1182" s="246"/>
      <c r="I1182" s="282"/>
      <c r="J1182" s="244">
        <f>'корпоративный баланс энергии'!AB1191+'корпоративный баланс энергии'!AE1191+'корпоративный баланс энергии'!AH1191</f>
        <v>6.6189020000000003</v>
      </c>
      <c r="K1182" s="246"/>
      <c r="L1182" s="282"/>
      <c r="M1182" s="244">
        <f>'корпоративный баланс энергии'!AK1191+'корпоративный баланс энергии'!AN1191+'корпоративный баланс энергии'!AQ1191</f>
        <v>1.1838280000000001</v>
      </c>
      <c r="N1182" s="246"/>
      <c r="O1182" s="282"/>
      <c r="P1182" s="244">
        <f t="shared" si="87"/>
        <v>18.275790999999998</v>
      </c>
      <c r="Q1182" s="246"/>
      <c r="R1182" s="282"/>
      <c r="S1182" s="357"/>
      <c r="T1182" s="357"/>
    </row>
    <row r="1183" spans="2:20" s="24" customFormat="1">
      <c r="B1183" s="122" t="str">
        <f>'корпоративный баланс энергии'!H1192</f>
        <v>Малодербетовская СЭС (2 очерадь) (ООО "Авелар Солар Технолоджи")</v>
      </c>
      <c r="C1183" s="516" t="s">
        <v>364</v>
      </c>
      <c r="D1183" s="281">
        <f>'корпоративный баланс энергии'!J1192+'корпоративный баланс энергии'!M1192+'корпоративный баланс энергии'!P1192</f>
        <v>0</v>
      </c>
      <c r="E1183" s="246"/>
      <c r="F1183" s="282"/>
      <c r="G1183" s="244">
        <f>'корпоративный баланс энергии'!S1192+'корпоративный баланс энергии'!V1192+'корпоративный баланс энергии'!Y1192</f>
        <v>0</v>
      </c>
      <c r="H1183" s="246"/>
      <c r="I1183" s="282"/>
      <c r="J1183" s="244">
        <f>'корпоративный баланс энергии'!AB1192+'корпоративный баланс энергии'!AE1192+'корпоративный баланс энергии'!AH1192</f>
        <v>0</v>
      </c>
      <c r="K1183" s="246"/>
      <c r="L1183" s="282"/>
      <c r="M1183" s="244">
        <f>'корпоративный баланс энергии'!AK1192+'корпоративный баланс энергии'!AN1192+'корпоративный баланс энергии'!AQ1192</f>
        <v>0.73856670967741933</v>
      </c>
      <c r="N1183" s="246"/>
      <c r="O1183" s="282"/>
      <c r="P1183" s="244">
        <f t="shared" si="87"/>
        <v>0.73856670967741933</v>
      </c>
      <c r="Q1183" s="246"/>
      <c r="R1183" s="282"/>
      <c r="S1183" s="357"/>
      <c r="T1183" s="357"/>
    </row>
    <row r="1184" spans="2:20" s="24" customFormat="1">
      <c r="B1184" s="122" t="str">
        <f>'корпоративный баланс энергии'!H1193</f>
        <v>Яшкульская СЭС (1 очередь) (ООО "Авелар Солар Технолоджи")</v>
      </c>
      <c r="C1184" s="516" t="s">
        <v>364</v>
      </c>
      <c r="D1184" s="281">
        <f>'корпоративный баланс энергии'!J1193+'корпоративный баланс энергии'!M1193+'корпоративный баланс энергии'!P1193</f>
        <v>4.6109553666666674</v>
      </c>
      <c r="E1184" s="246"/>
      <c r="F1184" s="282"/>
      <c r="G1184" s="244">
        <f>'корпоративный баланс энергии'!S1193+'корпоративный баланс энергии'!V1193+'корпоративный баланс энергии'!Y1193</f>
        <v>11.7968402</v>
      </c>
      <c r="H1184" s="246"/>
      <c r="I1184" s="282"/>
      <c r="J1184" s="244">
        <f>'корпоративный баланс энергии'!AB1193+'корпоративный баланс энергии'!AE1193+'корпоративный баланс энергии'!AH1193</f>
        <v>10.369613133333333</v>
      </c>
      <c r="K1184" s="246"/>
      <c r="L1184" s="282"/>
      <c r="M1184" s="244">
        <f>'корпоративный баланс энергии'!AK1193+'корпоративный баланс энергии'!AN1193+'корпоративный баланс энергии'!AQ1193</f>
        <v>1.8546638666666666</v>
      </c>
      <c r="N1184" s="246"/>
      <c r="O1184" s="282"/>
      <c r="P1184" s="244">
        <f t="shared" si="87"/>
        <v>28.632072566666668</v>
      </c>
      <c r="Q1184" s="246"/>
      <c r="R1184" s="282"/>
      <c r="S1184" s="357"/>
      <c r="T1184" s="357"/>
    </row>
    <row r="1185" spans="2:20" s="24" customFormat="1">
      <c r="B1185" s="122" t="str">
        <f>'корпоративный баланс энергии'!H1194</f>
        <v>Яшкульская СЭС (2 очередь) (ООО "Авелар Солар Технолоджи")</v>
      </c>
      <c r="C1185" s="516" t="s">
        <v>364</v>
      </c>
      <c r="D1185" s="281">
        <f>'корпоративный баланс энергии'!J1194+'корпоративный баланс энергии'!M1194+'корпоративный баланс энергии'!P1194</f>
        <v>1.9621086666666665</v>
      </c>
      <c r="E1185" s="246"/>
      <c r="F1185" s="282"/>
      <c r="G1185" s="244">
        <f>'корпоративный баланс энергии'!S1194+'корпоративный баланс энергии'!V1194+'корпоративный баланс энергии'!Y1194</f>
        <v>5.0199319999999998</v>
      </c>
      <c r="H1185" s="246"/>
      <c r="I1185" s="282"/>
      <c r="J1185" s="244">
        <f>'корпоративный баланс энергии'!AB1194+'корпоративный баланс энергии'!AE1194+'корпоративный баланс энергии'!AH1194</f>
        <v>4.4126013333333329</v>
      </c>
      <c r="K1185" s="246"/>
      <c r="L1185" s="282"/>
      <c r="M1185" s="244">
        <f>'корпоративный баланс энергии'!AK1194+'корпоративный баланс энергии'!AN1194+'корпоративный баланс энергии'!AQ1194</f>
        <v>0.78921866666666662</v>
      </c>
      <c r="N1185" s="246"/>
      <c r="O1185" s="282"/>
      <c r="P1185" s="244">
        <f t="shared" si="87"/>
        <v>12.183860666666666</v>
      </c>
      <c r="Q1185" s="246"/>
      <c r="R1185" s="282"/>
      <c r="S1185" s="357"/>
      <c r="T1185" s="357"/>
    </row>
    <row r="1186" spans="2:20" s="24" customFormat="1">
      <c r="B1186" s="122" t="str">
        <f>'корпоративный баланс энергии'!H1195</f>
        <v>Яшкульская СЭС (3 очередь) (ООО "Авелар Солар Технолоджи")</v>
      </c>
      <c r="C1186" s="516" t="s">
        <v>364</v>
      </c>
      <c r="D1186" s="281">
        <f>'корпоративный баланс энергии'!J1195+'корпоративный баланс энергии'!M1195+'корпоративный баланс энергии'!P1195</f>
        <v>0</v>
      </c>
      <c r="E1186" s="246"/>
      <c r="F1186" s="282"/>
      <c r="G1186" s="244">
        <f>'корпоративный баланс энергии'!S1195+'корпоративный баланс энергии'!V1195+'корпоративный баланс энергии'!Y1195</f>
        <v>0</v>
      </c>
      <c r="H1186" s="246"/>
      <c r="I1186" s="282"/>
      <c r="J1186" s="244">
        <f>'корпоративный баланс энергии'!AB1195+'корпоративный баланс энергии'!AE1195+'корпоративный баланс энергии'!AH1195</f>
        <v>0</v>
      </c>
      <c r="K1186" s="246"/>
      <c r="L1186" s="282"/>
      <c r="M1186" s="244">
        <f>'корпоративный баланс энергии'!AK1195+'корпоративный баланс энергии'!AN1195+'корпоративный баланс энергии'!AQ1195</f>
        <v>0.41031483870967739</v>
      </c>
      <c r="N1186" s="246"/>
      <c r="O1186" s="282"/>
      <c r="P1186" s="244">
        <f t="shared" si="87"/>
        <v>0.41031483870967739</v>
      </c>
      <c r="Q1186" s="246"/>
      <c r="R1186" s="282"/>
      <c r="S1186" s="357"/>
      <c r="T1186" s="357"/>
    </row>
    <row r="1187" spans="2:20" s="24" customFormat="1" ht="18.75">
      <c r="B1187" s="474" t="str">
        <f>'корпоративный баланс энергии'!H1196</f>
        <v>Энергосистема Карачаево-Черкесской Республики</v>
      </c>
      <c r="C1187" s="501"/>
      <c r="D1187" s="274">
        <f>SUM(D1188:D1190)</f>
        <v>48.38099787122011</v>
      </c>
      <c r="E1187" s="275">
        <f>F1187-D1187</f>
        <v>364.52576678087274</v>
      </c>
      <c r="F1187" s="276">
        <f>'корпоративный баланс энергии'!L1196+'корпоративный баланс энергии'!O1196+'корпоративный баланс энергии'!R1196</f>
        <v>412.90676465209287</v>
      </c>
      <c r="G1187" s="274">
        <f>SUM(G1188:G1190)</f>
        <v>206.61779500277714</v>
      </c>
      <c r="H1187" s="275">
        <f>I1187-G1187</f>
        <v>101.32251177472284</v>
      </c>
      <c r="I1187" s="276">
        <f>'корпоративный баланс энергии'!U1196+'корпоративный баланс энергии'!X1196+'корпоративный баланс энергии'!AA1196</f>
        <v>307.94030677749998</v>
      </c>
      <c r="J1187" s="274">
        <f>SUM(J1188:J1190)</f>
        <v>218.03271828265812</v>
      </c>
      <c r="K1187" s="275">
        <f>L1187-J1187</f>
        <v>65.81118771734188</v>
      </c>
      <c r="L1187" s="276">
        <f>'корпоративный баланс энергии'!AD1196+'корпоративный баланс энергии'!AG1196+'корпоративный баланс энергии'!AJ1196</f>
        <v>283.843906</v>
      </c>
      <c r="M1187" s="274">
        <f>SUM(M1188:M1190)</f>
        <v>78.077791570664402</v>
      </c>
      <c r="N1187" s="275">
        <f>O1187-M1187</f>
        <v>332.23123099974259</v>
      </c>
      <c r="O1187" s="276">
        <f>'корпоративный баланс энергии'!AM1196+'корпоративный баланс энергии'!AP1196+'корпоративный баланс энергии'!AS1196</f>
        <v>410.30902257040702</v>
      </c>
      <c r="P1187" s="274">
        <f>SUM(P1188:P1190)</f>
        <v>551.1093027273198</v>
      </c>
      <c r="Q1187" s="275">
        <f>R1187-P1187</f>
        <v>863.8906972726802</v>
      </c>
      <c r="R1187" s="276">
        <f>F1187+I1187+L1187+O1187</f>
        <v>1415</v>
      </c>
      <c r="S1187" s="357"/>
      <c r="T1187" s="357"/>
    </row>
    <row r="1188" spans="2:20" s="24" customFormat="1">
      <c r="B1188" s="124" t="s">
        <v>56</v>
      </c>
      <c r="C1188" s="497"/>
      <c r="D1188" s="362">
        <f>D1193</f>
        <v>6.24</v>
      </c>
      <c r="E1188" s="363"/>
      <c r="F1188" s="364"/>
      <c r="G1188" s="362">
        <f>G1193</f>
        <v>6.24</v>
      </c>
      <c r="H1188" s="363"/>
      <c r="I1188" s="364"/>
      <c r="J1188" s="362">
        <f>J1193</f>
        <v>6.24</v>
      </c>
      <c r="K1188" s="363"/>
      <c r="L1188" s="364"/>
      <c r="M1188" s="362">
        <f>M1193</f>
        <v>6.24</v>
      </c>
      <c r="N1188" s="363"/>
      <c r="O1188" s="364"/>
      <c r="P1188" s="362">
        <f>P1193</f>
        <v>24.96</v>
      </c>
      <c r="Q1188" s="363"/>
      <c r="R1188" s="364"/>
      <c r="S1188" s="357"/>
      <c r="T1188" s="357"/>
    </row>
    <row r="1189" spans="2:20" s="24" customFormat="1">
      <c r="B1189" s="124" t="s">
        <v>55</v>
      </c>
      <c r="C1189" s="497"/>
      <c r="D1189" s="362">
        <f>SUM(D1191:D1192,D1194:D1198)</f>
        <v>42.140997871220108</v>
      </c>
      <c r="E1189" s="363"/>
      <c r="F1189" s="364"/>
      <c r="G1189" s="362">
        <f>SUM(G1191:G1192,G1194:G1198)</f>
        <v>200.37779500277713</v>
      </c>
      <c r="H1189" s="363"/>
      <c r="I1189" s="364"/>
      <c r="J1189" s="362">
        <f>SUM(J1191:J1192,J1194:J1198)</f>
        <v>205.31271828265812</v>
      </c>
      <c r="K1189" s="363"/>
      <c r="L1189" s="364"/>
      <c r="M1189" s="362">
        <f>SUM(M1191:M1192,M1194:M1198)</f>
        <v>53.737791570664406</v>
      </c>
      <c r="N1189" s="363"/>
      <c r="O1189" s="364"/>
      <c r="P1189" s="362">
        <f>SUM(P1191:P1192,P1194:P1198)</f>
        <v>501.56930272731972</v>
      </c>
      <c r="Q1189" s="363"/>
      <c r="R1189" s="364"/>
      <c r="S1189" s="357"/>
      <c r="T1189" s="357"/>
    </row>
    <row r="1190" spans="2:20" s="24" customFormat="1">
      <c r="B1190" s="124" t="s">
        <v>183</v>
      </c>
      <c r="C1190" s="497"/>
      <c r="D1190" s="362">
        <f>D1199</f>
        <v>0</v>
      </c>
      <c r="E1190" s="363"/>
      <c r="F1190" s="364"/>
      <c r="G1190" s="362">
        <f>G1199</f>
        <v>0</v>
      </c>
      <c r="H1190" s="363"/>
      <c r="I1190" s="364"/>
      <c r="J1190" s="362">
        <f>J1199</f>
        <v>6.48</v>
      </c>
      <c r="K1190" s="363"/>
      <c r="L1190" s="364"/>
      <c r="M1190" s="362">
        <f>M1199</f>
        <v>18.100000000000001</v>
      </c>
      <c r="N1190" s="363"/>
      <c r="O1190" s="364"/>
      <c r="P1190" s="362">
        <f>P1199</f>
        <v>24.580000000000002</v>
      </c>
      <c r="Q1190" s="363"/>
      <c r="R1190" s="364"/>
      <c r="S1190" s="357"/>
      <c r="T1190" s="357"/>
    </row>
    <row r="1191" spans="2:20" s="24" customFormat="1">
      <c r="B1191" s="122" t="str">
        <f>'корпоративный баланс энергии'!H1200</f>
        <v>Зеленчукские ГЭС (Карачаево-Черкесский филиал ПАО "РусГидро")</v>
      </c>
      <c r="C1191" s="516" t="s">
        <v>364</v>
      </c>
      <c r="D1191" s="281">
        <f>'корпоративный баланс энергии'!J1200+'корпоративный баланс энергии'!M1200+'корпоративный баланс энергии'!P1200</f>
        <v>34.799999999999997</v>
      </c>
      <c r="E1191" s="246"/>
      <c r="F1191" s="282"/>
      <c r="G1191" s="244">
        <f>'корпоративный баланс энергии'!S1200+'корпоративный баланс энергии'!V1200+'корпоративный баланс энергии'!Y1200</f>
        <v>188.46330700000001</v>
      </c>
      <c r="H1191" s="246"/>
      <c r="I1191" s="282"/>
      <c r="J1191" s="244">
        <f>'корпоративный баланс энергии'!AB1200+'корпоративный баланс энергии'!AE1200+'корпоративный баланс энергии'!AH1200</f>
        <v>192.760594</v>
      </c>
      <c r="K1191" s="246"/>
      <c r="L1191" s="282"/>
      <c r="M1191" s="244">
        <f>'корпоративный баланс энергии'!AK1200+'корпоративный баланс энергии'!AN1200+'корпоративный баланс энергии'!AQ1200</f>
        <v>45.010676000000004</v>
      </c>
      <c r="N1191" s="246"/>
      <c r="O1191" s="282"/>
      <c r="P1191" s="244">
        <f t="shared" ref="P1191" si="88">D1191+G1191+J1191+M1191</f>
        <v>461.03457700000001</v>
      </c>
      <c r="Q1191" s="246"/>
      <c r="R1191" s="282"/>
      <c r="S1191" s="357"/>
      <c r="T1191" s="357"/>
    </row>
    <row r="1192" spans="2:20" s="24" customFormat="1">
      <c r="B1192" s="122" t="str">
        <f>'корпоративный баланс энергии'!H1201</f>
        <v>Зеленчукская ГЭС-ГАЭС (Карачаево-Черкесский филиал ПАО "РусГидро") ГГ №1,2 НВ 01.04.2016</v>
      </c>
      <c r="C1192" s="516" t="s">
        <v>364</v>
      </c>
      <c r="D1192" s="281">
        <f>'корпоративный баланс энергии'!J1201+'корпоративный баланс энергии'!M1201+'корпоративный баланс энергии'!P1201</f>
        <v>0</v>
      </c>
      <c r="E1192" s="246"/>
      <c r="F1192" s="282"/>
      <c r="G1192" s="244">
        <f>'корпоративный баланс энергии'!S1201+'корпоративный баланс энергии'!V1201+'корпоративный баланс энергии'!Y1201</f>
        <v>0</v>
      </c>
      <c r="H1192" s="246"/>
      <c r="I1192" s="282"/>
      <c r="J1192" s="244">
        <f>'корпоративный баланс энергии'!AB1201+'корпоративный баланс энергии'!AE1201+'корпоративный баланс энергии'!AH1201</f>
        <v>0</v>
      </c>
      <c r="K1192" s="246"/>
      <c r="L1192" s="282"/>
      <c r="M1192" s="244">
        <f>'корпоративный баланс энергии'!AK1201+'корпоративный баланс энергии'!AN1201+'корпоративный баланс энергии'!AQ1201</f>
        <v>0</v>
      </c>
      <c r="N1192" s="246"/>
      <c r="O1192" s="282"/>
      <c r="P1192" s="244">
        <f t="shared" ref="P1192:P1198" si="89">D1192+G1192+J1192+M1192</f>
        <v>0</v>
      </c>
      <c r="Q1192" s="246"/>
      <c r="R1192" s="282"/>
      <c r="S1192" s="357"/>
      <c r="T1192" s="357"/>
    </row>
    <row r="1193" spans="2:20" s="24" customFormat="1">
      <c r="B1193" s="122" t="str">
        <f>'корпоративный баланс энергии'!H1202</f>
        <v>Мини-ТЭС г. Черкесск (ООО Генерация)</v>
      </c>
      <c r="C1193" s="526" t="s">
        <v>365</v>
      </c>
      <c r="D1193" s="281">
        <f>'корпоративный баланс энергии'!J1202+'корпоративный баланс энергии'!M1202+'корпоративный баланс энергии'!P1202</f>
        <v>6.24</v>
      </c>
      <c r="E1193" s="246"/>
      <c r="F1193" s="282"/>
      <c r="G1193" s="244">
        <f>'корпоративный баланс энергии'!S1202+'корпоративный баланс энергии'!V1202+'корпоративный баланс энергии'!Y1202</f>
        <v>6.24</v>
      </c>
      <c r="H1193" s="246"/>
      <c r="I1193" s="282"/>
      <c r="J1193" s="244">
        <f>'корпоративный баланс энергии'!AB1202+'корпоративный баланс энергии'!AE1202+'корпоративный баланс энергии'!AH1202</f>
        <v>6.24</v>
      </c>
      <c r="K1193" s="246"/>
      <c r="L1193" s="282"/>
      <c r="M1193" s="244">
        <f>'корпоративный баланс энергии'!AK1202+'корпоративный баланс энергии'!AN1202+'корпоративный баланс энергии'!AQ1202</f>
        <v>6.24</v>
      </c>
      <c r="N1193" s="246"/>
      <c r="O1193" s="282"/>
      <c r="P1193" s="244">
        <f t="shared" si="89"/>
        <v>24.96</v>
      </c>
      <c r="Q1193" s="246"/>
      <c r="R1193" s="282"/>
      <c r="S1193" s="357"/>
      <c r="T1193" s="357"/>
    </row>
    <row r="1194" spans="2:20" s="24" customFormat="1">
      <c r="B1194" s="122" t="str">
        <f>'корпоративный баланс энергии'!H1203</f>
        <v>Эшкаконская малая ГЭС (Карачаево-Черкесский филиал ПАО "РусГидро")</v>
      </c>
      <c r="C1194" s="526" t="s">
        <v>365</v>
      </c>
      <c r="D1194" s="281">
        <f>'корпоративный баланс энергии'!J1203+'корпоративный баланс энергии'!M1203+'корпоративный баланс энергии'!P1203</f>
        <v>0.36499787122011185</v>
      </c>
      <c r="E1194" s="246"/>
      <c r="F1194" s="282"/>
      <c r="G1194" s="244">
        <f>'корпоративный баланс энергии'!S1203+'корпоративный баланс энергии'!V1203+'корпоративный баланс энергии'!Y1203</f>
        <v>0.39248800277709961</v>
      </c>
      <c r="H1194" s="246"/>
      <c r="I1194" s="282"/>
      <c r="J1194" s="244">
        <f>'корпоративный баланс энергии'!AB1203+'корпоративный баланс энергии'!AE1203+'корпоративный баланс энергии'!AH1203</f>
        <v>0.33812428265810013</v>
      </c>
      <c r="K1194" s="246"/>
      <c r="L1194" s="282"/>
      <c r="M1194" s="244">
        <f>'корпоративный баланс энергии'!AK1203+'корпоративный баланс энергии'!AN1203+'корпоративный баланс энергии'!AQ1203</f>
        <v>0.38111557066440582</v>
      </c>
      <c r="N1194" s="246"/>
      <c r="O1194" s="282"/>
      <c r="P1194" s="244">
        <f t="shared" si="89"/>
        <v>1.4767257273197174</v>
      </c>
      <c r="Q1194" s="246"/>
      <c r="R1194" s="282"/>
      <c r="S1194" s="357"/>
      <c r="T1194" s="357"/>
    </row>
    <row r="1195" spans="2:20" s="24" customFormat="1">
      <c r="B1195" s="122" t="str">
        <f>'корпоративный баланс энергии'!H1204</f>
        <v>Новокарачаевская МГЭС (ЗАО "Фотон")</v>
      </c>
      <c r="C1195" s="526" t="s">
        <v>365</v>
      </c>
      <c r="D1195" s="281">
        <f>'корпоративный баланс энергии'!J1204+'корпоративный баланс энергии'!M1204+'корпоративный баланс энергии'!P1204</f>
        <v>1.5329999999999999</v>
      </c>
      <c r="E1195" s="246"/>
      <c r="F1195" s="282"/>
      <c r="G1195" s="244">
        <f>'корпоративный баланс энергии'!S1204+'корпоративный баланс энергии'!V1204+'корпоративный баланс энергии'!Y1204</f>
        <v>2.1579999999999999</v>
      </c>
      <c r="H1195" s="246"/>
      <c r="I1195" s="282"/>
      <c r="J1195" s="244">
        <f>'корпоративный баланс энергии'!AB1204+'корпоративный баланс энергии'!AE1204+'корпоративный баланс энергии'!AH1204</f>
        <v>1.9240000000000002</v>
      </c>
      <c r="K1195" s="246"/>
      <c r="L1195" s="282"/>
      <c r="M1195" s="244">
        <f>'корпоративный баланс энергии'!AK1204+'корпоративный баланс энергии'!AN1204+'корпоративный баланс энергии'!AQ1204</f>
        <v>1.958</v>
      </c>
      <c r="N1195" s="246"/>
      <c r="O1195" s="282"/>
      <c r="P1195" s="244">
        <f t="shared" si="89"/>
        <v>7.5730000000000004</v>
      </c>
      <c r="Q1195" s="246"/>
      <c r="R1195" s="282"/>
      <c r="S1195" s="357"/>
      <c r="T1195" s="357"/>
    </row>
    <row r="1196" spans="2:20" s="24" customFormat="1">
      <c r="B1196" s="122" t="str">
        <f>'корпоративный баланс энергии'!H1205</f>
        <v>Учкуланская МГЭС (ЗАО "Фотон")</v>
      </c>
      <c r="C1196" s="533" t="s">
        <v>365</v>
      </c>
      <c r="D1196" s="281">
        <f>'корпоративный баланс энергии'!J1205+'корпоративный баланс энергии'!M1205+'корпоративный баланс энергии'!P1205</f>
        <v>0.85299999999999998</v>
      </c>
      <c r="E1196" s="246"/>
      <c r="F1196" s="282"/>
      <c r="G1196" s="244">
        <f>'корпоративный баланс энергии'!S1205+'корпоративный баланс энергии'!V1205+'корпоративный баланс энергии'!Y1205</f>
        <v>0.89999999999999991</v>
      </c>
      <c r="H1196" s="246"/>
      <c r="I1196" s="282"/>
      <c r="J1196" s="244">
        <f>'корпоративный баланс энергии'!AB1205+'корпоративный баланс энергии'!AE1205+'корпоративный баланс энергии'!AH1205</f>
        <v>0.8819999999999999</v>
      </c>
      <c r="K1196" s="246"/>
      <c r="L1196" s="282"/>
      <c r="M1196" s="244">
        <f>'корпоративный баланс энергии'!AK1205+'корпоративный баланс энергии'!AN1205+'корпоративный баланс энергии'!AQ1205</f>
        <v>0.86399999999999988</v>
      </c>
      <c r="N1196" s="246"/>
      <c r="O1196" s="282"/>
      <c r="P1196" s="244">
        <f t="shared" si="89"/>
        <v>3.4989999999999997</v>
      </c>
      <c r="Q1196" s="246"/>
      <c r="R1196" s="282"/>
      <c r="S1196" s="357"/>
      <c r="T1196" s="357"/>
    </row>
    <row r="1197" spans="2:20" s="24" customFormat="1">
      <c r="B1197" s="122" t="str">
        <f>'корпоративный баланс энергии'!H1206</f>
        <v>Малая ГЭС на водозаборе р.Б.Зеленчук (Карачаево-Черкесский филиал ПАО "РусГидро") НВ</v>
      </c>
      <c r="C1197" s="526" t="s">
        <v>365</v>
      </c>
      <c r="D1197" s="281">
        <f>'корпоративный баланс энергии'!J1206+'корпоративный баланс энергии'!M1206+'корпоративный баланс энергии'!P1206</f>
        <v>1.08</v>
      </c>
      <c r="E1197" s="246"/>
      <c r="F1197" s="282"/>
      <c r="G1197" s="244">
        <f>'корпоративный баланс энергии'!S1206+'корпоративный баланс энергии'!V1206+'корпоративный баланс энергии'!Y1206</f>
        <v>1.8240000000000001</v>
      </c>
      <c r="H1197" s="246"/>
      <c r="I1197" s="282"/>
      <c r="J1197" s="244">
        <f>'корпоративный баланс энергии'!AB1206+'корпоративный баланс энергии'!AE1206+'корпоративный баланс энергии'!AH1206</f>
        <v>1.8479999999999999</v>
      </c>
      <c r="K1197" s="246"/>
      <c r="L1197" s="282"/>
      <c r="M1197" s="244">
        <f>'корпоративный баланс энергии'!AK1206+'корпоративный баланс энергии'!AN1206+'корпоративный баланс энергии'!AQ1206</f>
        <v>1.1040000000000001</v>
      </c>
      <c r="N1197" s="246"/>
      <c r="O1197" s="282"/>
      <c r="P1197" s="244">
        <f t="shared" si="89"/>
        <v>5.8559999999999999</v>
      </c>
      <c r="Q1197" s="246"/>
      <c r="R1197" s="282"/>
      <c r="S1197" s="357"/>
      <c r="T1197" s="357"/>
    </row>
    <row r="1198" spans="2:20" s="24" customFormat="1">
      <c r="B1198" s="122" t="str">
        <f>'корпоративный баланс энергии'!H1207</f>
        <v>МГЭС Усть-Джегутинская  (Карачаево-Черкесский филиал ПАО "РусГидро")</v>
      </c>
      <c r="C1198" s="533" t="s">
        <v>364</v>
      </c>
      <c r="D1198" s="281">
        <f>'корпоративный баланс энергии'!J1207+'корпоративный баланс энергии'!M1207+'корпоративный баланс энергии'!P1207</f>
        <v>3.51</v>
      </c>
      <c r="E1198" s="246"/>
      <c r="F1198" s="282"/>
      <c r="G1198" s="244">
        <f>'корпоративный баланс энергии'!S1207+'корпоративный баланс энергии'!V1207+'корпоративный баланс энергии'!Y1207</f>
        <v>6.6400000000000006</v>
      </c>
      <c r="H1198" s="246"/>
      <c r="I1198" s="282"/>
      <c r="J1198" s="244">
        <f>'корпоративный баланс энергии'!AB1207+'корпоративный баланс энергии'!AE1207+'корпоративный баланс энергии'!AH1207</f>
        <v>7.56</v>
      </c>
      <c r="K1198" s="246"/>
      <c r="L1198" s="282"/>
      <c r="M1198" s="244">
        <f>'корпоративный баланс энергии'!AK1207+'корпоративный баланс энергии'!AN1207+'корпоративный баланс энергии'!AQ1207</f>
        <v>4.42</v>
      </c>
      <c r="N1198" s="246"/>
      <c r="O1198" s="282"/>
      <c r="P1198" s="244">
        <f t="shared" si="89"/>
        <v>22.130000000000003</v>
      </c>
      <c r="Q1198" s="246"/>
      <c r="R1198" s="282"/>
      <c r="S1198" s="357"/>
      <c r="T1198" s="357"/>
    </row>
    <row r="1199" spans="2:20" s="24" customFormat="1">
      <c r="B1199" s="138" t="s">
        <v>174</v>
      </c>
      <c r="C1199" s="488"/>
      <c r="D1199" s="287">
        <f>D1200</f>
        <v>0</v>
      </c>
      <c r="E1199" s="288"/>
      <c r="F1199" s="289"/>
      <c r="G1199" s="287">
        <f>G1200</f>
        <v>0</v>
      </c>
      <c r="H1199" s="288"/>
      <c r="I1199" s="289"/>
      <c r="J1199" s="287">
        <f>J1200</f>
        <v>6.48</v>
      </c>
      <c r="K1199" s="288"/>
      <c r="L1199" s="289"/>
      <c r="M1199" s="287">
        <f>M1200</f>
        <v>18.100000000000001</v>
      </c>
      <c r="N1199" s="288"/>
      <c r="O1199" s="289"/>
      <c r="P1199" s="287">
        <f>P1200</f>
        <v>24.580000000000002</v>
      </c>
      <c r="Q1199" s="288"/>
      <c r="R1199" s="289"/>
      <c r="S1199" s="357"/>
      <c r="T1199" s="357"/>
    </row>
    <row r="1200" spans="2:20" s="24" customFormat="1">
      <c r="B1200" s="145" t="str">
        <f>'корпоративный баланс энергии'!H1209</f>
        <v>Эркен-Шахарская ТЭЦ (ОАО "Карачаево-Черкесский сахарный завод")</v>
      </c>
      <c r="C1200" s="518" t="s">
        <v>365</v>
      </c>
      <c r="D1200" s="293">
        <f>'корпоративный баланс энергии'!J1209+'корпоративный баланс энергии'!M1209+'корпоративный баланс энергии'!P1209</f>
        <v>0</v>
      </c>
      <c r="E1200" s="288"/>
      <c r="F1200" s="289"/>
      <c r="G1200" s="294">
        <f>'корпоративный баланс энергии'!S1209+'корпоративный баланс энергии'!V1209+'корпоративный баланс энергии'!Y1209</f>
        <v>0</v>
      </c>
      <c r="H1200" s="288"/>
      <c r="I1200" s="289"/>
      <c r="J1200" s="294">
        <f>'корпоративный баланс энергии'!AB1209+'корпоративный баланс энергии'!AE1209+'корпоративный баланс энергии'!AH1209</f>
        <v>6.48</v>
      </c>
      <c r="K1200" s="288"/>
      <c r="L1200" s="289"/>
      <c r="M1200" s="294">
        <f>'корпоративный баланс энергии'!AK1209+'корпоративный баланс энергии'!AN1209+'корпоративный баланс энергии'!AQ1209</f>
        <v>18.100000000000001</v>
      </c>
      <c r="N1200" s="288"/>
      <c r="O1200" s="289"/>
      <c r="P1200" s="294">
        <f>D1200+G1200+J1200+M1200</f>
        <v>24.580000000000002</v>
      </c>
      <c r="Q1200" s="288"/>
      <c r="R1200" s="289"/>
      <c r="S1200" s="357"/>
      <c r="T1200" s="357"/>
    </row>
    <row r="1201" spans="2:20" s="24" customFormat="1" ht="18.75">
      <c r="B1201" s="474" t="str">
        <f>'корпоративный баланс энергии'!H1210</f>
        <v>Энергосистема Республики Адыгея и Краснодарского края</v>
      </c>
      <c r="C1201" s="501"/>
      <c r="D1201" s="274">
        <f>SUM(D1202:D1205)</f>
        <v>3311.7902680000002</v>
      </c>
      <c r="E1201" s="275">
        <f>F1201-D1201</f>
        <v>4289.204665117335</v>
      </c>
      <c r="F1201" s="276">
        <f>'корпоративный баланс энергии'!L1210+'корпоративный баланс энергии'!O1210+'корпоративный баланс энергии'!R1210</f>
        <v>7600.9949331173357</v>
      </c>
      <c r="G1201" s="274">
        <f>SUM(G1202:G1205)</f>
        <v>2503.2815399999995</v>
      </c>
      <c r="H1201" s="275">
        <f>I1201-G1201</f>
        <v>3907.0257095597622</v>
      </c>
      <c r="I1201" s="276">
        <f>'корпоративный баланс энергии'!U1210+'корпоративный баланс энергии'!X1210+'корпоративный баланс энергии'!AA1210</f>
        <v>6410.3072495597617</v>
      </c>
      <c r="J1201" s="274">
        <f>SUM(J1202:J1205)</f>
        <v>3157.1097100000002</v>
      </c>
      <c r="K1201" s="275">
        <f>L1201-J1201</f>
        <v>4333.0682316288221</v>
      </c>
      <c r="L1201" s="276">
        <f>'корпоративный баланс энергии'!AD1210+'корпоративный баланс энергии'!AG1210+'корпоративный баланс энергии'!AJ1210</f>
        <v>7490.1779416288227</v>
      </c>
      <c r="M1201" s="274">
        <f>SUM(M1202:M1205)</f>
        <v>3394.7858799999995</v>
      </c>
      <c r="N1201" s="275">
        <f>O1201-M1201</f>
        <v>4203.7339956940777</v>
      </c>
      <c r="O1201" s="276">
        <f>'корпоративный баланс энергии'!AM1210+'корпоративный баланс энергии'!AP1210+'корпоративный баланс энергии'!AS1210</f>
        <v>7598.5198756940772</v>
      </c>
      <c r="P1201" s="274">
        <f>SUM(P1202:P1205)</f>
        <v>12366.967397999997</v>
      </c>
      <c r="Q1201" s="275">
        <f>R1201-P1201</f>
        <v>16733.032601999999</v>
      </c>
      <c r="R1201" s="276">
        <f>F1201+I1201+L1201+O1201</f>
        <v>29099.999999999996</v>
      </c>
      <c r="S1201" s="357"/>
      <c r="T1201" s="357"/>
    </row>
    <row r="1202" spans="2:20" s="24" customFormat="1">
      <c r="B1202" s="124" t="s">
        <v>56</v>
      </c>
      <c r="C1202" s="497"/>
      <c r="D1202" s="362">
        <f>SUM(D1206,D1214:D1223,D1226)</f>
        <v>2958.0815000000002</v>
      </c>
      <c r="E1202" s="363"/>
      <c r="F1202" s="364"/>
      <c r="G1202" s="362">
        <f>SUM(G1206,G1214:G1223,G1226)</f>
        <v>2068.9422999999997</v>
      </c>
      <c r="H1202" s="363"/>
      <c r="I1202" s="364"/>
      <c r="J1202" s="362">
        <f>SUM(J1206,J1214:J1223,J1226)</f>
        <v>2537.8558200000002</v>
      </c>
      <c r="K1202" s="363"/>
      <c r="L1202" s="364"/>
      <c r="M1202" s="362">
        <f>SUM(M1206,M1214:M1223,M1226)</f>
        <v>2636.9863799999998</v>
      </c>
      <c r="N1202" s="363"/>
      <c r="O1202" s="364"/>
      <c r="P1202" s="362">
        <f>SUM(P1206,P1214:P1223,P1226)</f>
        <v>10201.865999999998</v>
      </c>
      <c r="Q1202" s="363"/>
      <c r="R1202" s="364"/>
      <c r="S1202" s="357"/>
      <c r="T1202" s="357"/>
    </row>
    <row r="1203" spans="2:20" s="24" customFormat="1">
      <c r="B1203" s="124" t="s">
        <v>55</v>
      </c>
      <c r="C1203" s="497"/>
      <c r="D1203" s="362">
        <f>SUM(D1209:D1212)</f>
        <v>88.007040000000003</v>
      </c>
      <c r="E1203" s="363"/>
      <c r="F1203" s="364"/>
      <c r="G1203" s="362">
        <f>SUM(G1209:G1212)</f>
        <v>158.75364999999999</v>
      </c>
      <c r="H1203" s="363"/>
      <c r="I1203" s="364"/>
      <c r="J1203" s="362">
        <f>SUM(J1209:J1212)</f>
        <v>65.522500000000008</v>
      </c>
      <c r="K1203" s="363"/>
      <c r="L1203" s="364"/>
      <c r="M1203" s="362">
        <f>SUM(M1209:M1212)</f>
        <v>86.301230000000004</v>
      </c>
      <c r="N1203" s="363"/>
      <c r="O1203" s="364"/>
      <c r="P1203" s="362">
        <f>SUM(P1209:P1212)</f>
        <v>398.58441999999997</v>
      </c>
      <c r="Q1203" s="363"/>
      <c r="R1203" s="364"/>
      <c r="S1203" s="357"/>
      <c r="T1203" s="357"/>
    </row>
    <row r="1204" spans="2:20" s="24" customFormat="1">
      <c r="B1204" s="124" t="s">
        <v>346</v>
      </c>
      <c r="C1204" s="497"/>
      <c r="D1204" s="362">
        <f>D1229+D1234</f>
        <v>88</v>
      </c>
      <c r="E1204" s="363"/>
      <c r="F1204" s="364"/>
      <c r="G1204" s="362">
        <f>G1229+G1234</f>
        <v>88.45</v>
      </c>
      <c r="H1204" s="363"/>
      <c r="I1204" s="364"/>
      <c r="J1204" s="362">
        <f>J1229+J1234</f>
        <v>89.42</v>
      </c>
      <c r="K1204" s="363"/>
      <c r="L1204" s="364"/>
      <c r="M1204" s="362">
        <f>M1229+M1234</f>
        <v>149.71999999999997</v>
      </c>
      <c r="N1204" s="363"/>
      <c r="O1204" s="364"/>
      <c r="P1204" s="362">
        <f>P1229+P1234</f>
        <v>415.59000000000003</v>
      </c>
      <c r="Q1204" s="363"/>
      <c r="R1204" s="364"/>
      <c r="S1204" s="357"/>
      <c r="T1204" s="357"/>
    </row>
    <row r="1205" spans="2:20" s="24" customFormat="1">
      <c r="B1205" s="124" t="s">
        <v>99</v>
      </c>
      <c r="C1205" s="497"/>
      <c r="D1205" s="362">
        <f>D1248</f>
        <v>177.701728</v>
      </c>
      <c r="E1205" s="363"/>
      <c r="F1205" s="364"/>
      <c r="G1205" s="362">
        <f>G1248</f>
        <v>187.13559000000004</v>
      </c>
      <c r="H1205" s="363"/>
      <c r="I1205" s="364"/>
      <c r="J1205" s="362">
        <f>J1248</f>
        <v>464.31138999999996</v>
      </c>
      <c r="K1205" s="363"/>
      <c r="L1205" s="364"/>
      <c r="M1205" s="362">
        <f>M1248</f>
        <v>521.77827000000002</v>
      </c>
      <c r="N1205" s="363"/>
      <c r="O1205" s="364"/>
      <c r="P1205" s="362">
        <f>P1248</f>
        <v>1350.926978</v>
      </c>
      <c r="Q1205" s="363"/>
      <c r="R1205" s="364"/>
      <c r="S1205" s="357"/>
      <c r="T1205" s="357"/>
    </row>
    <row r="1206" spans="2:20" s="24" customFormat="1">
      <c r="B1206" s="141" t="str">
        <f>'корпоративный баланс энергии'!H1215</f>
        <v>Краснодарская ТЭЦ (ООО "ЛУКОЙЛ-Кубаньэнерго")</v>
      </c>
      <c r="C1206" s="516" t="s">
        <v>364</v>
      </c>
      <c r="D1206" s="317">
        <f>D1207+D1208</f>
        <v>1868.1979999999999</v>
      </c>
      <c r="E1206" s="246"/>
      <c r="F1206" s="282"/>
      <c r="G1206" s="262">
        <f>G1207+G1208</f>
        <v>1232.5629999999999</v>
      </c>
      <c r="H1206" s="246"/>
      <c r="I1206" s="282"/>
      <c r="J1206" s="262">
        <f>J1207+J1208</f>
        <v>1638.125</v>
      </c>
      <c r="K1206" s="246"/>
      <c r="L1206" s="282"/>
      <c r="M1206" s="262">
        <f>M1207+M1208</f>
        <v>1739.38</v>
      </c>
      <c r="N1206" s="246"/>
      <c r="O1206" s="282"/>
      <c r="P1206" s="262">
        <f>P1207+P1208</f>
        <v>6478.2659999999996</v>
      </c>
      <c r="Q1206" s="246"/>
      <c r="R1206" s="282"/>
      <c r="S1206" s="357"/>
      <c r="T1206" s="357"/>
    </row>
    <row r="1207" spans="2:20" s="24" customFormat="1">
      <c r="B1207" s="125" t="str">
        <f>'корпоративный баланс энергии'!H1216</f>
        <v>Краснодарская ТЭЦ  (ООО "ЛУКОЙЛ-Кубаньэнерго") (660 МВт) без ДПМ/НВ/ВР</v>
      </c>
      <c r="C1207" s="502"/>
      <c r="D1207" s="281">
        <f>'корпоративный баланс энергии'!J1216+'корпоративный баланс энергии'!M1216+'корпоративный баланс энергии'!P1216</f>
        <v>1022.8</v>
      </c>
      <c r="E1207" s="246"/>
      <c r="F1207" s="282"/>
      <c r="G1207" s="244">
        <f>'корпоративный баланс энергии'!S1216+'корпоративный баланс энергии'!V1216+'корпоративный баланс энергии'!Y1216</f>
        <v>577</v>
      </c>
      <c r="H1207" s="246"/>
      <c r="I1207" s="282"/>
      <c r="J1207" s="244">
        <f>'корпоративный баланс энергии'!AB1216+'корпоративный баланс энергии'!AE1216+'корпоративный баланс энергии'!AH1216</f>
        <v>856</v>
      </c>
      <c r="K1207" s="246"/>
      <c r="L1207" s="282"/>
      <c r="M1207" s="244">
        <f>'корпоративный баланс энергии'!AK1216+'корпоративный баланс энергии'!AN1216+'корпоративный баланс энергии'!AQ1216</f>
        <v>960.28</v>
      </c>
      <c r="N1207" s="246"/>
      <c r="O1207" s="282"/>
      <c r="P1207" s="244">
        <f t="shared" ref="P1207:P1212" si="90">D1207+G1207+J1207+M1207</f>
        <v>3416.08</v>
      </c>
      <c r="Q1207" s="246"/>
      <c r="R1207" s="282"/>
      <c r="S1207" s="357"/>
      <c r="T1207" s="357"/>
    </row>
    <row r="1208" spans="2:20" s="24" customFormat="1">
      <c r="B1208" s="125" t="str">
        <f>'корпоративный баланс энергии'!H1217</f>
        <v>Краснодарская ТЭЦ (ООО "ЛУКОЙЛ-Кубаньэнерго") ПГУ 410 НВ 15.03.2012</v>
      </c>
      <c r="C1208" s="502"/>
      <c r="D1208" s="281">
        <f>'корпоративный баланс энергии'!J1217+'корпоративный баланс энергии'!M1217+'корпоративный баланс энергии'!P1217</f>
        <v>845.39799999999991</v>
      </c>
      <c r="E1208" s="246"/>
      <c r="F1208" s="282"/>
      <c r="G1208" s="244">
        <f>'корпоративный баланс энергии'!S1217+'корпоративный баланс энергии'!V1217+'корпоративный баланс энергии'!Y1217</f>
        <v>655.56299999999987</v>
      </c>
      <c r="H1208" s="246"/>
      <c r="I1208" s="282"/>
      <c r="J1208" s="244">
        <f>'корпоративный баланс энергии'!AB1217+'корпоративный баланс энергии'!AE1217+'корпоративный баланс энергии'!AH1217</f>
        <v>782.125</v>
      </c>
      <c r="K1208" s="246"/>
      <c r="L1208" s="282"/>
      <c r="M1208" s="244">
        <f>'корпоративный баланс энергии'!AK1217+'корпоративный баланс энергии'!AN1217+'корпоративный баланс энергии'!AQ1217</f>
        <v>779.1</v>
      </c>
      <c r="N1208" s="246"/>
      <c r="O1208" s="282"/>
      <c r="P1208" s="244">
        <f t="shared" si="90"/>
        <v>3062.1859999999997</v>
      </c>
      <c r="Q1208" s="246"/>
      <c r="R1208" s="282"/>
      <c r="S1208" s="357"/>
      <c r="T1208" s="357"/>
    </row>
    <row r="1209" spans="2:20" s="24" customFormat="1">
      <c r="B1209" s="125" t="str">
        <f>'корпоративный баланс энергии'!H1218</f>
        <v>Белореченская ГЭС (ООО "ЛУКОЙЛ-Экоэнерго")</v>
      </c>
      <c r="C1209" s="516" t="s">
        <v>364</v>
      </c>
      <c r="D1209" s="281">
        <f>'корпоративный баланс энергии'!J1218+'корпоративный баланс энергии'!M1218+'корпоративный баланс энергии'!P1218</f>
        <v>52.420550000000006</v>
      </c>
      <c r="E1209" s="246"/>
      <c r="F1209" s="282"/>
      <c r="G1209" s="244">
        <f>'корпоративный баланс энергии'!S1218+'корпоративный баланс энергии'!V1218+'корпоративный баланс энергии'!Y1218</f>
        <v>88.512779999999992</v>
      </c>
      <c r="H1209" s="246"/>
      <c r="I1209" s="282"/>
      <c r="J1209" s="244">
        <f>'корпоративный баланс энергии'!AB1218+'корпоративный баланс энергии'!AE1218+'корпоративный баланс энергии'!AH1218</f>
        <v>26.950699999999998</v>
      </c>
      <c r="K1209" s="246"/>
      <c r="L1209" s="282"/>
      <c r="M1209" s="244">
        <f>'корпоративный баланс энергии'!AK1218+'корпоративный баланс энергии'!AN1218+'корпоративный баланс энергии'!AQ1218</f>
        <v>47.704099999999997</v>
      </c>
      <c r="N1209" s="246"/>
      <c r="O1209" s="282"/>
      <c r="P1209" s="244">
        <f t="shared" si="90"/>
        <v>215.58812999999998</v>
      </c>
      <c r="Q1209" s="246"/>
      <c r="R1209" s="282"/>
      <c r="S1209" s="357"/>
      <c r="T1209" s="357"/>
    </row>
    <row r="1210" spans="2:20" s="24" customFormat="1">
      <c r="B1210" s="125" t="str">
        <f>'корпоративный баланс энергии'!H1219</f>
        <v>Краснополянская ГЭС (ООО "ЛУКОЙЛ-Экоэнерго")</v>
      </c>
      <c r="C1210" s="516" t="s">
        <v>364</v>
      </c>
      <c r="D1210" s="281">
        <f>'корпоративный баланс энергии'!J1219+'корпоративный баланс энергии'!M1219+'корпоративный баланс энергии'!P1219</f>
        <v>26.66995</v>
      </c>
      <c r="E1210" s="246"/>
      <c r="F1210" s="282"/>
      <c r="G1210" s="244">
        <f>'корпоративный баланс энергии'!S1219+'корпоративный баланс энергии'!V1219+'корпоративный баланс энергии'!Y1219</f>
        <v>51.104230000000001</v>
      </c>
      <c r="H1210" s="246"/>
      <c r="I1210" s="282"/>
      <c r="J1210" s="244">
        <f>'корпоративный баланс энергии'!AB1219+'корпоративный баланс энергии'!AE1219+'корпоративный баланс энергии'!AH1219</f>
        <v>28.679930000000002</v>
      </c>
      <c r="K1210" s="246"/>
      <c r="L1210" s="282"/>
      <c r="M1210" s="244">
        <f>'корпоративный баланс энергии'!AK1219+'корпоративный баланс энергии'!AN1219+'корпоративный баланс энергии'!AQ1219</f>
        <v>29.852309999999999</v>
      </c>
      <c r="N1210" s="246"/>
      <c r="O1210" s="282"/>
      <c r="P1210" s="244">
        <f t="shared" si="90"/>
        <v>136.30642</v>
      </c>
      <c r="Q1210" s="246"/>
      <c r="R1210" s="282"/>
      <c r="S1210" s="357"/>
      <c r="T1210" s="357"/>
    </row>
    <row r="1211" spans="2:20" s="24" customFormat="1">
      <c r="B1211" s="125" t="str">
        <f>'корпоративный баланс энергии'!H1220</f>
        <v>Майкопская ГЭС (ООО "ЛУКОЙЛ-Экоэнерго")</v>
      </c>
      <c r="C1211" s="526" t="s">
        <v>365</v>
      </c>
      <c r="D1211" s="281">
        <f>'корпоративный баланс энергии'!J1220+'корпоративный баланс энергии'!M1220+'корпоративный баланс энергии'!P1220</f>
        <v>8.2872900000000005</v>
      </c>
      <c r="E1211" s="246"/>
      <c r="F1211" s="282"/>
      <c r="G1211" s="244">
        <f>'корпоративный баланс энергии'!S1220+'корпоративный баланс энергии'!V1220+'корпоративный баланс энергии'!Y1220</f>
        <v>18.57958</v>
      </c>
      <c r="H1211" s="246"/>
      <c r="I1211" s="282"/>
      <c r="J1211" s="244">
        <f>'корпоративный баланс энергии'!AB1220+'корпоративный баланс энергии'!AE1220+'корпоративный баланс энергии'!AH1220</f>
        <v>9.4150000000000009</v>
      </c>
      <c r="K1211" s="246"/>
      <c r="L1211" s="282"/>
      <c r="M1211" s="244">
        <f>'корпоративный баланс энергии'!AK1220+'корпоративный баланс энергии'!AN1220+'корпоративный баланс энергии'!AQ1220</f>
        <v>8.1438100000000002</v>
      </c>
      <c r="N1211" s="246"/>
      <c r="O1211" s="282"/>
      <c r="P1211" s="244">
        <f t="shared" si="90"/>
        <v>44.42568</v>
      </c>
      <c r="Q1211" s="246"/>
      <c r="R1211" s="282"/>
      <c r="S1211" s="357"/>
      <c r="T1211" s="357"/>
    </row>
    <row r="1212" spans="2:20" s="24" customFormat="1">
      <c r="B1212" s="125" t="str">
        <f>'корпоративный баланс энергии'!H1221</f>
        <v>ГЭС ОАО "Адыгэнергострой"</v>
      </c>
      <c r="C1212" s="526" t="s">
        <v>365</v>
      </c>
      <c r="D1212" s="281">
        <f>'корпоративный баланс энергии'!J1221+'корпоративный баланс энергии'!M1221+'корпоративный баланс энергии'!P1221</f>
        <v>0.62924999999999998</v>
      </c>
      <c r="E1212" s="246"/>
      <c r="F1212" s="282"/>
      <c r="G1212" s="244">
        <f>'корпоративный баланс энергии'!S1221+'корпоративный баланс энергии'!V1221+'корпоративный баланс энергии'!Y1221</f>
        <v>0.55706</v>
      </c>
      <c r="H1212" s="246"/>
      <c r="I1212" s="282"/>
      <c r="J1212" s="244">
        <f>'корпоративный баланс энергии'!AB1221+'корпоративный баланс энергии'!AE1221+'корпоративный баланс энергии'!AH1221</f>
        <v>0.47687000000000002</v>
      </c>
      <c r="K1212" s="246"/>
      <c r="L1212" s="282"/>
      <c r="M1212" s="244">
        <f>'корпоративный баланс энергии'!AK1221+'корпоративный баланс энергии'!AN1221+'корпоративный баланс энергии'!AQ1221</f>
        <v>0.60101000000000004</v>
      </c>
      <c r="N1212" s="246"/>
      <c r="O1212" s="282"/>
      <c r="P1212" s="244">
        <f t="shared" si="90"/>
        <v>2.2641900000000001</v>
      </c>
      <c r="Q1212" s="246"/>
      <c r="R1212" s="282"/>
      <c r="S1212" s="357"/>
      <c r="T1212" s="357"/>
    </row>
    <row r="1213" spans="2:20" s="24" customFormat="1">
      <c r="B1213" s="141" t="str">
        <f>'корпоративный баланс энергии'!H1222</f>
        <v xml:space="preserve">Сочинская ТЭС (филиал АО "Интер РАО-Электрогенерация") </v>
      </c>
      <c r="C1213" s="516" t="s">
        <v>364</v>
      </c>
      <c r="D1213" s="317">
        <f>SUM(D1214:D1215)</f>
        <v>285.70000000000005</v>
      </c>
      <c r="E1213" s="246"/>
      <c r="F1213" s="282"/>
      <c r="G1213" s="317">
        <f>SUM(G1214:G1215)</f>
        <v>179.1</v>
      </c>
      <c r="H1213" s="246"/>
      <c r="I1213" s="282"/>
      <c r="J1213" s="317">
        <f>SUM(J1214:J1215)</f>
        <v>173.83</v>
      </c>
      <c r="K1213" s="246"/>
      <c r="L1213" s="282"/>
      <c r="M1213" s="317">
        <f>SUM(M1214:M1215)</f>
        <v>203.39999999999998</v>
      </c>
      <c r="N1213" s="246"/>
      <c r="O1213" s="282"/>
      <c r="P1213" s="317">
        <f>SUM(P1214:P1215)</f>
        <v>842.03</v>
      </c>
      <c r="Q1213" s="246"/>
      <c r="R1213" s="282"/>
      <c r="S1213" s="357"/>
      <c r="T1213" s="357"/>
    </row>
    <row r="1214" spans="2:20" s="24" customFormat="1">
      <c r="B1214" s="125" t="str">
        <f>'корпоративный баланс энергии'!H1223</f>
        <v xml:space="preserve">Сочинская ТЭС (филиал АО "Интер РАО-Электрогенерация") </v>
      </c>
      <c r="C1214" s="486"/>
      <c r="D1214" s="281">
        <f>'корпоративный баланс энергии'!J1223+'корпоративный баланс энергии'!M1223+'корпоративный баланс энергии'!P1223</f>
        <v>139.9</v>
      </c>
      <c r="E1214" s="246"/>
      <c r="F1214" s="282"/>
      <c r="G1214" s="244">
        <f>'корпоративный баланс энергии'!S1223+'корпоративный баланс энергии'!V1223+'корпоративный баланс энергии'!Y1223</f>
        <v>72.099999999999994</v>
      </c>
      <c r="H1214" s="246"/>
      <c r="I1214" s="282"/>
      <c r="J1214" s="244">
        <f>'корпоративный баланс энергии'!AB1223+'корпоративный баланс энергии'!AE1223+'корпоративный баланс энергии'!AH1223</f>
        <v>54.77</v>
      </c>
      <c r="K1214" s="246"/>
      <c r="L1214" s="282"/>
      <c r="M1214" s="244">
        <f>'корпоративный баланс энергии'!AK1223+'корпоративный баланс энергии'!AN1223+'корпоративный баланс энергии'!AQ1223</f>
        <v>120.29999999999998</v>
      </c>
      <c r="N1214" s="246"/>
      <c r="O1214" s="282"/>
      <c r="P1214" s="244">
        <f t="shared" ref="P1214:P1222" si="91">D1214+G1214+J1214+M1214</f>
        <v>387.06999999999994</v>
      </c>
      <c r="Q1214" s="246"/>
      <c r="R1214" s="282"/>
      <c r="S1214" s="357"/>
      <c r="T1214" s="357"/>
    </row>
    <row r="1215" spans="2:20" s="24" customFormat="1">
      <c r="B1215" s="125" t="str">
        <f>'корпоративный баланс энергии'!H1224</f>
        <v>Сочинская ТЭС (филиал АО "Интер РАО-Электрогенерация") - Бл №3 НВ, ДПМ 01.01.2010</v>
      </c>
      <c r="C1215" s="486"/>
      <c r="D1215" s="281">
        <f>'корпоративный баланс энергии'!J1224+'корпоративный баланс энергии'!M1224+'корпоративный баланс энергии'!P1224</f>
        <v>145.80000000000001</v>
      </c>
      <c r="E1215" s="246"/>
      <c r="F1215" s="282"/>
      <c r="G1215" s="244">
        <f>'корпоративный баланс энергии'!S1224+'корпоративный баланс энергии'!V1224+'корпоративный баланс энергии'!Y1224</f>
        <v>107</v>
      </c>
      <c r="H1215" s="246"/>
      <c r="I1215" s="282"/>
      <c r="J1215" s="244">
        <f>'корпоративный баланс энергии'!AB1224+'корпоративный баланс энергии'!AE1224+'корпоративный баланс энергии'!AH1224</f>
        <v>119.06</v>
      </c>
      <c r="K1215" s="246"/>
      <c r="L1215" s="282"/>
      <c r="M1215" s="244">
        <f>'корпоративный баланс энергии'!AK1224+'корпоративный баланс энергии'!AN1224+'корпоративный баланс энергии'!AQ1224</f>
        <v>83.1</v>
      </c>
      <c r="N1215" s="246"/>
      <c r="O1215" s="282"/>
      <c r="P1215" s="244">
        <f t="shared" si="91"/>
        <v>454.96000000000004</v>
      </c>
      <c r="Q1215" s="246"/>
      <c r="R1215" s="282"/>
      <c r="S1215" s="357"/>
      <c r="T1215" s="357"/>
    </row>
    <row r="1216" spans="2:20" s="24" customFormat="1">
      <c r="B1216" s="125" t="str">
        <f>'корпоративный баланс энергии'!H1225</f>
        <v>Крымская ГТ-ТЭЦ (АО "ГТ Энерго")</v>
      </c>
      <c r="C1216" s="526" t="s">
        <v>365</v>
      </c>
      <c r="D1216" s="281">
        <f>'корпоративный баланс энергии'!J1225+'корпоративный баланс энергии'!M1225+'корпоративный баланс энергии'!P1225</f>
        <v>19.899999999999999</v>
      </c>
      <c r="E1216" s="246"/>
      <c r="F1216" s="282"/>
      <c r="G1216" s="244">
        <f>'корпоративный баланс энергии'!S1225+'корпоративный баланс энергии'!V1225+'корпоративный баланс энергии'!Y1225</f>
        <v>19.62</v>
      </c>
      <c r="H1216" s="246"/>
      <c r="I1216" s="282"/>
      <c r="J1216" s="244">
        <f>'корпоративный баланс энергии'!AB1225+'корпоративный баланс энергии'!AE1225+'корпоративный баланс энергии'!AH1225</f>
        <v>22.22</v>
      </c>
      <c r="K1216" s="246"/>
      <c r="L1216" s="282"/>
      <c r="M1216" s="244">
        <f>'корпоративный баланс энергии'!AK1225+'корпоративный баланс энергии'!AN1225+'корпоративный баланс энергии'!AQ1225</f>
        <v>24.87</v>
      </c>
      <c r="N1216" s="246"/>
      <c r="O1216" s="282"/>
      <c r="P1216" s="244">
        <f t="shared" si="91"/>
        <v>86.61</v>
      </c>
      <c r="Q1216" s="246"/>
      <c r="R1216" s="282"/>
      <c r="S1216" s="357"/>
      <c r="T1216" s="357"/>
    </row>
    <row r="1217" spans="2:20" s="24" customFormat="1">
      <c r="B1217" s="125" t="str">
        <f>'корпоративный баланс энергии'!H1226</f>
        <v>ТЭЦ ЗАО "Кубаньжелдормаш"</v>
      </c>
      <c r="C1217" s="519" t="s">
        <v>365</v>
      </c>
      <c r="D1217" s="281">
        <f>'корпоративный баланс энергии'!J1226+'корпоративный баланс энергии'!M1226+'корпоративный баланс энергии'!P1226</f>
        <v>3.2</v>
      </c>
      <c r="E1217" s="246"/>
      <c r="F1217" s="282"/>
      <c r="G1217" s="244">
        <f>'корпоративный баланс энергии'!S1226+'корпоративный баланс энергии'!V1226+'корпоративный баланс энергии'!Y1226</f>
        <v>2.21</v>
      </c>
      <c r="H1217" s="246"/>
      <c r="I1217" s="282"/>
      <c r="J1217" s="244">
        <f>'корпоративный баланс энергии'!AB1226+'корпоративный баланс энергии'!AE1226+'корпоративный баланс энергии'!AH1226</f>
        <v>2.2000000000000002</v>
      </c>
      <c r="K1217" s="246"/>
      <c r="L1217" s="282"/>
      <c r="M1217" s="244">
        <f>'корпоративный баланс энергии'!AK1226+'корпоративный баланс энергии'!AN1226+'корпоративный баланс энергии'!AQ1226</f>
        <v>3.7</v>
      </c>
      <c r="N1217" s="246"/>
      <c r="O1217" s="282"/>
      <c r="P1217" s="244">
        <f t="shared" si="91"/>
        <v>11.31</v>
      </c>
      <c r="Q1217" s="246"/>
      <c r="R1217" s="282"/>
      <c r="S1217" s="357"/>
      <c r="T1217" s="357"/>
    </row>
    <row r="1218" spans="2:20" s="24" customFormat="1">
      <c r="B1218" s="125" t="str">
        <f>'корпоративный баланс энергии'!H1227</f>
        <v>ТЭЦ АО "РАМО-М"филиал "Краснодарское военно-энергетическое предприятие"</v>
      </c>
      <c r="C1218" s="526" t="s">
        <v>365</v>
      </c>
      <c r="D1218" s="281">
        <f>'корпоративный баланс энергии'!J1227+'корпоративный баланс энергии'!M1227+'корпоративный баланс энергии'!P1227</f>
        <v>4.42</v>
      </c>
      <c r="E1218" s="246"/>
      <c r="F1218" s="282"/>
      <c r="G1218" s="244">
        <f>'корпоративный баланс энергии'!S1227+'корпоративный баланс энергии'!V1227+'корпоративный баланс энергии'!Y1227</f>
        <v>4.8100000000000005</v>
      </c>
      <c r="H1218" s="246"/>
      <c r="I1218" s="282"/>
      <c r="J1218" s="244">
        <f>'корпоративный баланс энергии'!AB1227+'корпоративный баланс энергии'!AE1227+'корпоративный баланс энергии'!AH1227</f>
        <v>5.5100000000000007</v>
      </c>
      <c r="K1218" s="246"/>
      <c r="L1218" s="282"/>
      <c r="M1218" s="244">
        <f>'корпоративный баланс энергии'!AK1227+'корпоративный баланс энергии'!AN1227+'корпоративный баланс энергии'!AQ1227</f>
        <v>5.3100000000000005</v>
      </c>
      <c r="N1218" s="246"/>
      <c r="O1218" s="282"/>
      <c r="P1218" s="244">
        <f t="shared" si="91"/>
        <v>20.050000000000004</v>
      </c>
      <c r="Q1218" s="246"/>
      <c r="R1218" s="282"/>
      <c r="S1218" s="357"/>
      <c r="T1218" s="357"/>
    </row>
    <row r="1219" spans="2:20" s="24" customFormat="1">
      <c r="B1219" s="125" t="str">
        <f>'корпоративный баланс энергии'!H1228</f>
        <v>Ейская ТЭС (ООО "Ейская ТЭС")</v>
      </c>
      <c r="C1219" s="526" t="s">
        <v>365</v>
      </c>
      <c r="D1219" s="281">
        <f>'корпоративный баланс энергии'!J1228+'корпоративный баланс энергии'!M1228+'корпоративный баланс энергии'!P1228</f>
        <v>30.58</v>
      </c>
      <c r="E1219" s="246"/>
      <c r="F1219" s="282"/>
      <c r="G1219" s="244">
        <f>'корпоративный баланс энергии'!S1228+'корпоративный баланс энергии'!V1228+'корпоративный баланс энергии'!Y1228</f>
        <v>31.85</v>
      </c>
      <c r="H1219" s="246"/>
      <c r="I1219" s="282"/>
      <c r="J1219" s="244">
        <f>'корпоративный баланс энергии'!AB1228+'корпоративный баланс энергии'!AE1228+'корпоративный баланс энергии'!AH1228</f>
        <v>36.04</v>
      </c>
      <c r="K1219" s="246"/>
      <c r="L1219" s="282"/>
      <c r="M1219" s="244">
        <f>'корпоративный баланс энергии'!AK1228+'корпоративный баланс энергии'!AN1228+'корпоративный баланс энергии'!AQ1228</f>
        <v>36.03</v>
      </c>
      <c r="N1219" s="246"/>
      <c r="O1219" s="282"/>
      <c r="P1219" s="244">
        <f t="shared" si="91"/>
        <v>134.5</v>
      </c>
      <c r="Q1219" s="246"/>
      <c r="R1219" s="282"/>
      <c r="S1219" s="357"/>
      <c r="T1219" s="357"/>
    </row>
    <row r="1220" spans="2:20" s="24" customFormat="1">
      <c r="B1220" s="125" t="str">
        <f>'корпоративный баланс энергии'!H1229</f>
        <v>ТЭЦ-1 (ООО "Коммунальная энергетика" )</v>
      </c>
      <c r="C1220" s="526" t="s">
        <v>365</v>
      </c>
      <c r="D1220" s="281">
        <f>'корпоративный баланс энергии'!J1229+'корпоративный баланс энергии'!M1229+'корпоративный баланс энергии'!P1229</f>
        <v>11.3</v>
      </c>
      <c r="E1220" s="246"/>
      <c r="F1220" s="282"/>
      <c r="G1220" s="244">
        <f>'корпоративный баланс энергии'!S1229+'корпоративный баланс энергии'!V1229+'корпоративный баланс энергии'!Y1229</f>
        <v>11.7</v>
      </c>
      <c r="H1220" s="246"/>
      <c r="I1220" s="282"/>
      <c r="J1220" s="244">
        <f>'корпоративный баланс энергии'!AB1229+'корпоративный баланс энергии'!AE1229+'корпоративный баланс энергии'!AH1229</f>
        <v>11.83</v>
      </c>
      <c r="K1220" s="246"/>
      <c r="L1220" s="282"/>
      <c r="M1220" s="244">
        <f>'корпоративный баланс энергии'!AK1229+'корпоративный баланс энергии'!AN1229+'корпоративный баланс энергии'!AQ1229</f>
        <v>11.16</v>
      </c>
      <c r="N1220" s="246"/>
      <c r="O1220" s="282"/>
      <c r="P1220" s="244">
        <f t="shared" si="91"/>
        <v>45.989999999999995</v>
      </c>
      <c r="Q1220" s="246"/>
      <c r="R1220" s="282"/>
      <c r="S1220" s="357"/>
      <c r="T1220" s="357"/>
    </row>
    <row r="1221" spans="2:20" s="24" customFormat="1">
      <c r="B1221" s="125" t="str">
        <f>'корпоративный баланс энергии'!H1230</f>
        <v>ТЭЦ ООО "Хоста"</v>
      </c>
      <c r="C1221" s="526" t="s">
        <v>365</v>
      </c>
      <c r="D1221" s="281">
        <f>'корпоративный баланс энергии'!J1230+'корпоративный баланс энергии'!M1230+'корпоративный баланс энергии'!P1230</f>
        <v>6.0335000000000001</v>
      </c>
      <c r="E1221" s="246"/>
      <c r="F1221" s="282"/>
      <c r="G1221" s="244">
        <f>'корпоративный баланс энергии'!S1230+'корпоративный баланс энергии'!V1230+'корпоративный баланс энергии'!Y1230</f>
        <v>6.2492999999999999</v>
      </c>
      <c r="H1221" s="246"/>
      <c r="I1221" s="282"/>
      <c r="J1221" s="244">
        <f>'корпоративный баланс энергии'!AB1230+'корпоративный баланс энергии'!AE1230+'корпоративный баланс энергии'!AH1230</f>
        <v>3.6408199999999997</v>
      </c>
      <c r="K1221" s="246"/>
      <c r="L1221" s="282"/>
      <c r="M1221" s="244">
        <f>'корпоративный баланс энергии'!AK1230+'корпоративный баланс энергии'!AN1230+'корпоративный баланс энергии'!AQ1230</f>
        <v>4.17638</v>
      </c>
      <c r="N1221" s="246"/>
      <c r="O1221" s="282"/>
      <c r="P1221" s="244">
        <f t="shared" si="91"/>
        <v>20.100000000000001</v>
      </c>
      <c r="Q1221" s="246"/>
      <c r="R1221" s="282"/>
      <c r="S1221" s="357"/>
      <c r="T1221" s="357"/>
    </row>
    <row r="1222" spans="2:20" s="24" customFormat="1">
      <c r="B1222" s="125" t="str">
        <f>'корпоративный баланс энергии'!H1231</f>
        <v>ОАО "Мобильные ГТЭС" (площадка ПС "Кирилловская" 45 МВт)</v>
      </c>
      <c r="C1222" s="516" t="s">
        <v>364</v>
      </c>
      <c r="D1222" s="244">
        <f>'корпоративный баланс энергии'!J1231+'корпоративный баланс энергии'!M1231+'корпоративный баланс энергии'!P1231</f>
        <v>0.85</v>
      </c>
      <c r="E1222" s="246"/>
      <c r="F1222" s="282"/>
      <c r="G1222" s="244">
        <f>'корпоративный баланс энергии'!S1231+'корпоративный баланс энергии'!V1231+'корпоративный баланс энергии'!Y1231</f>
        <v>1.04</v>
      </c>
      <c r="H1222" s="246"/>
      <c r="I1222" s="282"/>
      <c r="J1222" s="244">
        <f>'корпоративный баланс энергии'!AB1231+'корпоративный баланс энергии'!AE1231+'корпоративный баланс энергии'!AH1231</f>
        <v>2.0599999999999996</v>
      </c>
      <c r="K1222" s="246"/>
      <c r="L1222" s="282"/>
      <c r="M1222" s="244">
        <f>'корпоративный баланс энергии'!AK1231+'корпоративный баланс энергии'!AN1231+'корпоративный баланс энергии'!AQ1231</f>
        <v>0.26</v>
      </c>
      <c r="N1222" s="246"/>
      <c r="O1222" s="282"/>
      <c r="P1222" s="244">
        <f t="shared" si="91"/>
        <v>4.21</v>
      </c>
      <c r="Q1222" s="246"/>
      <c r="R1222" s="282"/>
      <c r="S1222" s="357"/>
      <c r="T1222" s="357"/>
    </row>
    <row r="1223" spans="2:20" s="24" customFormat="1">
      <c r="B1223" s="141" t="str">
        <f>'корпоративный баланс энергии'!H1232</f>
        <v>Адлерская ТЭС (Филиал ПАО "ОГК-2")</v>
      </c>
      <c r="C1223" s="516" t="s">
        <v>364</v>
      </c>
      <c r="D1223" s="262">
        <f>SUM(D1224:D1225)</f>
        <v>544</v>
      </c>
      <c r="E1223" s="246"/>
      <c r="F1223" s="282"/>
      <c r="G1223" s="262">
        <f>SUM(G1224:G1225)</f>
        <v>483</v>
      </c>
      <c r="H1223" s="246"/>
      <c r="I1223" s="282"/>
      <c r="J1223" s="262">
        <f>SUM(J1224:J1225)</f>
        <v>542</v>
      </c>
      <c r="K1223" s="246"/>
      <c r="L1223" s="282"/>
      <c r="M1223" s="262">
        <f>SUM(M1224:M1225)</f>
        <v>496</v>
      </c>
      <c r="N1223" s="246"/>
      <c r="O1223" s="282"/>
      <c r="P1223" s="262">
        <f>SUM(P1224:P1225)</f>
        <v>2065</v>
      </c>
      <c r="Q1223" s="246"/>
      <c r="R1223" s="282"/>
      <c r="S1223" s="357"/>
      <c r="T1223" s="357"/>
    </row>
    <row r="1224" spans="2:20" s="24" customFormat="1">
      <c r="B1224" s="125" t="str">
        <f>'корпоративный баланс энергии'!H1233</f>
        <v>Адлерская ТЭС (Филиал ПАО "ОГК-2") Бл №1 НВ, ДПМ 07.11.2012</v>
      </c>
      <c r="C1224" s="502"/>
      <c r="D1224" s="281">
        <f>'корпоративный баланс энергии'!J1233+'корпоративный баланс энергии'!M1233+'корпоративный баланс энергии'!P1233</f>
        <v>263</v>
      </c>
      <c r="E1224" s="246"/>
      <c r="F1224" s="282"/>
      <c r="G1224" s="244">
        <f>'корпоративный баланс энергии'!S1233+'корпоративный баланс энергии'!V1233+'корпоративный баланс энергии'!Y1233</f>
        <v>255</v>
      </c>
      <c r="H1224" s="246"/>
      <c r="I1224" s="282"/>
      <c r="J1224" s="244">
        <f>'корпоративный баланс энергии'!AB1233+'корпоративный баланс энергии'!AE1233+'корпоративный баланс энергии'!AH1233</f>
        <v>266</v>
      </c>
      <c r="K1224" s="246"/>
      <c r="L1224" s="282"/>
      <c r="M1224" s="244">
        <f>'корпоративный баланс энергии'!AK1233+'корпоративный баланс энергии'!AN1233+'корпоративный баланс энергии'!AQ1233</f>
        <v>275</v>
      </c>
      <c r="N1224" s="246"/>
      <c r="O1224" s="282"/>
      <c r="P1224" s="244">
        <f>D1224+G1224+J1224+M1224</f>
        <v>1059</v>
      </c>
      <c r="Q1224" s="246"/>
      <c r="R1224" s="282"/>
      <c r="S1224" s="357"/>
      <c r="T1224" s="357"/>
    </row>
    <row r="1225" spans="2:20" s="24" customFormat="1">
      <c r="B1225" s="125" t="str">
        <f>'корпоративный баланс энергии'!H1234</f>
        <v>Адлерская ТЭС (Филиал ПАО "ОГК-2") Бл №2 НВ, ДПМ 07.11.2012</v>
      </c>
      <c r="C1225" s="502"/>
      <c r="D1225" s="281">
        <f>'корпоративный баланс энергии'!J1234+'корпоративный баланс энергии'!M1234+'корпоративный баланс энергии'!P1234</f>
        <v>281</v>
      </c>
      <c r="E1225" s="246"/>
      <c r="F1225" s="282"/>
      <c r="G1225" s="244">
        <f>'корпоративный баланс энергии'!S1234+'корпоративный баланс энергии'!V1234+'корпоративный баланс энергии'!Y1234</f>
        <v>228</v>
      </c>
      <c r="H1225" s="246"/>
      <c r="I1225" s="282"/>
      <c r="J1225" s="244">
        <f>'корпоративный баланс энергии'!AB1234+'корпоративный баланс энергии'!AE1234+'корпоративный баланс энергии'!AH1234</f>
        <v>276</v>
      </c>
      <c r="K1225" s="246"/>
      <c r="L1225" s="282"/>
      <c r="M1225" s="244">
        <f>'корпоративный баланс энергии'!AK1234+'корпоративный баланс энергии'!AN1234+'корпоративный баланс энергии'!AQ1234</f>
        <v>221</v>
      </c>
      <c r="N1225" s="246"/>
      <c r="O1225" s="282"/>
      <c r="P1225" s="244">
        <f>D1225+G1225+J1225+M1225</f>
        <v>1006</v>
      </c>
      <c r="Q1225" s="246"/>
      <c r="R1225" s="282"/>
      <c r="S1225" s="357"/>
      <c r="T1225" s="357"/>
    </row>
    <row r="1226" spans="2:20" s="24" customFormat="1">
      <c r="B1226" s="141" t="str">
        <f>'корпоративный баланс энергии'!H1235</f>
        <v>Джубгинская ТЭС (филиал АО "Интер РАО-Электрогенерация")</v>
      </c>
      <c r="C1226" s="516" t="s">
        <v>364</v>
      </c>
      <c r="D1226" s="317">
        <f>SUM(D1227:D1228)</f>
        <v>183.9</v>
      </c>
      <c r="E1226" s="246"/>
      <c r="F1226" s="282"/>
      <c r="G1226" s="317">
        <f>SUM(G1227:G1228)</f>
        <v>96.8</v>
      </c>
      <c r="H1226" s="246"/>
      <c r="I1226" s="282"/>
      <c r="J1226" s="317">
        <f>SUM(J1227:J1228)</f>
        <v>100.4</v>
      </c>
      <c r="K1226" s="246"/>
      <c r="L1226" s="282"/>
      <c r="M1226" s="317">
        <f>SUM(M1227:M1228)</f>
        <v>112.7</v>
      </c>
      <c r="N1226" s="246"/>
      <c r="O1226" s="282"/>
      <c r="P1226" s="317">
        <f>SUM(P1227:P1228)</f>
        <v>493.79999999999995</v>
      </c>
      <c r="Q1226" s="246"/>
      <c r="R1226" s="282"/>
      <c r="S1226" s="357"/>
      <c r="T1226" s="357"/>
    </row>
    <row r="1227" spans="2:20" s="24" customFormat="1">
      <c r="B1227" s="125" t="str">
        <f>'корпоративный баланс энергии'!H1236</f>
        <v>Джубгинская ТЭС (филиал АО "Интер РАО-Электрогенерация") Бл №1 НВ, ДПМ 15.10.2013</v>
      </c>
      <c r="C1227" s="502"/>
      <c r="D1227" s="281">
        <f>'корпоративный баланс энергии'!J1236+'корпоративный баланс энергии'!M1236+'корпоративный баланс энергии'!P1236</f>
        <v>93.7</v>
      </c>
      <c r="E1227" s="246"/>
      <c r="F1227" s="282"/>
      <c r="G1227" s="244">
        <f>'корпоративный баланс энергии'!S1236+'корпоративный баланс энергии'!V1236+'корпоративный баланс энергии'!Y1236</f>
        <v>52.199999999999996</v>
      </c>
      <c r="H1227" s="246"/>
      <c r="I1227" s="282"/>
      <c r="J1227" s="244">
        <f>'корпоративный баланс энергии'!AB1236+'корпоративный баланс энергии'!AE1236+'корпоративный баланс энергии'!AH1236</f>
        <v>50.199999999999996</v>
      </c>
      <c r="K1227" s="246"/>
      <c r="L1227" s="282"/>
      <c r="M1227" s="244">
        <f>'корпоративный баланс энергии'!AK1236+'корпоративный баланс энергии'!AN1236+'корпоративный баланс энергии'!AQ1236</f>
        <v>55.5</v>
      </c>
      <c r="N1227" s="246"/>
      <c r="O1227" s="282"/>
      <c r="P1227" s="244">
        <f>D1227+G1227+J1227+M1227</f>
        <v>251.6</v>
      </c>
      <c r="Q1227" s="246"/>
      <c r="R1227" s="282"/>
      <c r="S1227" s="357"/>
      <c r="T1227" s="357"/>
    </row>
    <row r="1228" spans="2:20" s="24" customFormat="1">
      <c r="B1228" s="125" t="str">
        <f>'корпоративный баланс энергии'!H1237</f>
        <v>Джубгинская ТЭС (филиал АО "Интер РАО-Электрогенерация") Бл №2 НВ, ДПМ 16.10.2013</v>
      </c>
      <c r="C1228" s="502"/>
      <c r="D1228" s="281">
        <f>'корпоративный баланс энергии'!J1237+'корпоративный баланс энергии'!M1237+'корпоративный баланс энергии'!P1237</f>
        <v>90.2</v>
      </c>
      <c r="E1228" s="246"/>
      <c r="F1228" s="282"/>
      <c r="G1228" s="244">
        <f>'корпоративный баланс энергии'!S1237+'корпоративный баланс энергии'!V1237+'корпоративный баланс энергии'!Y1237</f>
        <v>44.6</v>
      </c>
      <c r="H1228" s="246"/>
      <c r="I1228" s="282"/>
      <c r="J1228" s="244">
        <f>'корпоративный баланс энергии'!AB1237+'корпоративный баланс энергии'!AE1237+'корпоративный баланс энергии'!AH1237</f>
        <v>50.2</v>
      </c>
      <c r="K1228" s="246"/>
      <c r="L1228" s="282"/>
      <c r="M1228" s="244">
        <f>'корпоративный баланс энергии'!AK1237+'корпоративный баланс энергии'!AN1237+'корпоративный баланс энергии'!AQ1237</f>
        <v>57.2</v>
      </c>
      <c r="N1228" s="246"/>
      <c r="O1228" s="282"/>
      <c r="P1228" s="244">
        <f>D1228+G1228+J1228+M1228</f>
        <v>242.2</v>
      </c>
      <c r="Q1228" s="246"/>
      <c r="R1228" s="282"/>
      <c r="S1228" s="357"/>
      <c r="T1228" s="357"/>
    </row>
    <row r="1229" spans="2:20" s="24" customFormat="1">
      <c r="B1229" s="141" t="str">
        <f>'корпоративный баланс энергии'!H1238</f>
        <v>Шовгеновская ВЭС (АО "ВЕТРООГК")</v>
      </c>
      <c r="C1229" s="516" t="s">
        <v>364</v>
      </c>
      <c r="D1229" s="317">
        <f>D1230+D1231+D1232+D1233</f>
        <v>88</v>
      </c>
      <c r="E1229" s="246"/>
      <c r="F1229" s="282"/>
      <c r="G1229" s="317">
        <f>G1230+G1231+G1232+G1233</f>
        <v>88.45</v>
      </c>
      <c r="H1229" s="246"/>
      <c r="I1229" s="282"/>
      <c r="J1229" s="317">
        <f>J1230+J1231+J1232+J1233</f>
        <v>89.42</v>
      </c>
      <c r="K1229" s="246"/>
      <c r="L1229" s="282"/>
      <c r="M1229" s="317">
        <f>M1230+M1231+M1232+M1233</f>
        <v>97.460000000000008</v>
      </c>
      <c r="N1229" s="246"/>
      <c r="O1229" s="282"/>
      <c r="P1229" s="317">
        <f>P1230+P1231+P1232+P1233</f>
        <v>363.33000000000004</v>
      </c>
      <c r="Q1229" s="246"/>
      <c r="R1229" s="282"/>
      <c r="S1229" s="357"/>
      <c r="T1229" s="357"/>
    </row>
    <row r="1230" spans="2:20" s="24" customFormat="1">
      <c r="B1230" s="125" t="str">
        <f>'корпоративный баланс энергии'!H1239</f>
        <v>Шовгеновская ВЭС (АО "ВЕТРООГК") 1 очередь</v>
      </c>
      <c r="C1230" s="502"/>
      <c r="D1230" s="281">
        <f>'корпоративный баланс энергии'!J1239+'корпоративный баланс энергии'!M1239+'корпоративный баланс энергии'!P1239</f>
        <v>19.170000000000002</v>
      </c>
      <c r="E1230" s="246"/>
      <c r="F1230" s="282"/>
      <c r="G1230" s="244">
        <f>'корпоративный баланс энергии'!S1239+'корпоративный баланс энергии'!V1239+'корпоративный баланс энергии'!Y1239</f>
        <v>19.170000000000002</v>
      </c>
      <c r="H1230" s="246"/>
      <c r="I1230" s="282"/>
      <c r="J1230" s="244">
        <f>'корпоративный баланс энергии'!AB1239+'корпоративный баланс энергии'!AE1239+'корпоративный баланс энергии'!AH1239</f>
        <v>19.380000000000003</v>
      </c>
      <c r="K1230" s="246"/>
      <c r="L1230" s="282"/>
      <c r="M1230" s="244">
        <f>'корпоративный баланс энергии'!AK1239+'корпоративный баланс энергии'!AN1239+'корпоративный баланс энергии'!AQ1239</f>
        <v>19.380000000000003</v>
      </c>
      <c r="N1230" s="246"/>
      <c r="O1230" s="282"/>
      <c r="P1230" s="244">
        <f t="shared" ref="P1230:P1232" si="92">D1230+G1230+J1230+M1230</f>
        <v>77.100000000000009</v>
      </c>
      <c r="Q1230" s="246"/>
      <c r="R1230" s="282"/>
      <c r="S1230" s="357"/>
      <c r="T1230" s="357"/>
    </row>
    <row r="1231" spans="2:20" s="24" customFormat="1">
      <c r="B1231" s="125" t="str">
        <f>'корпоративный баланс энергии'!H1240</f>
        <v>Шовгеновская ВЭС (АО "ВЕТРООГК") 2 очередь</v>
      </c>
      <c r="C1231" s="502"/>
      <c r="D1231" s="281">
        <f>'корпоративный баланс энергии'!J1240+'корпоративный баланс энергии'!M1240+'корпоративный баланс энергии'!P1240</f>
        <v>40.82</v>
      </c>
      <c r="E1231" s="246"/>
      <c r="F1231" s="282"/>
      <c r="G1231" s="244">
        <f>'корпоративный баланс энергии'!S1240+'корпоративный баланс энергии'!V1240+'корпоративный баланс энергии'!Y1240</f>
        <v>41.28</v>
      </c>
      <c r="H1231" s="246"/>
      <c r="I1231" s="282"/>
      <c r="J1231" s="244">
        <f>'корпоративный баланс энергии'!AB1240+'корпоративный баланс энергии'!AE1240+'корпоративный баланс энергии'!AH1240</f>
        <v>41.730000000000004</v>
      </c>
      <c r="K1231" s="246"/>
      <c r="L1231" s="282"/>
      <c r="M1231" s="244">
        <f>'корпоративный баланс энергии'!AK1240+'корпоративный баланс энергии'!AN1240+'корпоративный баланс энергии'!AQ1240</f>
        <v>41.730000000000004</v>
      </c>
      <c r="N1231" s="246"/>
      <c r="O1231" s="282"/>
      <c r="P1231" s="244">
        <f t="shared" si="92"/>
        <v>165.56</v>
      </c>
      <c r="Q1231" s="246"/>
      <c r="R1231" s="282"/>
      <c r="S1231" s="357"/>
      <c r="T1231" s="357"/>
    </row>
    <row r="1232" spans="2:20" s="24" customFormat="1">
      <c r="B1232" s="125" t="str">
        <f>'корпоративный баланс энергии'!H1241</f>
        <v>Шовгеновская ВЭС (АО "ВЕТРООГК") 3 очередь</v>
      </c>
      <c r="C1232" s="502"/>
      <c r="D1232" s="281">
        <f>'корпоративный баланс энергии'!J1241+'корпоративный баланс энергии'!M1241+'корпоративный баланс энергии'!P1241</f>
        <v>28.009999999999998</v>
      </c>
      <c r="E1232" s="246"/>
      <c r="F1232" s="282"/>
      <c r="G1232" s="244">
        <f>'корпоративный баланс энергии'!S1241+'корпоративный баланс энергии'!V1241+'корпоративный баланс энергии'!Y1241</f>
        <v>28</v>
      </c>
      <c r="H1232" s="246"/>
      <c r="I1232" s="282"/>
      <c r="J1232" s="244">
        <f>'корпоративный баланс энергии'!AB1241+'корпоративный баланс энергии'!AE1241+'корпоративный баланс энергии'!AH1241</f>
        <v>28.31</v>
      </c>
      <c r="K1232" s="246"/>
      <c r="L1232" s="282"/>
      <c r="M1232" s="244">
        <f>'корпоративный баланс энергии'!AK1241+'корпоративный баланс энергии'!AN1241+'корпоративный баланс энергии'!AQ1241</f>
        <v>28.31</v>
      </c>
      <c r="N1232" s="246"/>
      <c r="O1232" s="282"/>
      <c r="P1232" s="244">
        <f t="shared" si="92"/>
        <v>112.63</v>
      </c>
      <c r="Q1232" s="246"/>
      <c r="R1232" s="282"/>
      <c r="S1232" s="357"/>
      <c r="T1232" s="357"/>
    </row>
    <row r="1233" spans="2:20" s="24" customFormat="1">
      <c r="B1233" s="125" t="str">
        <f>'корпоративный баланс энергии'!H1242</f>
        <v>Шовгеновская ВЭС (АО "ВЕТРООГК") 4 очередь</v>
      </c>
      <c r="C1233" s="502"/>
      <c r="D1233" s="281">
        <f>'корпоративный баланс энергии'!J1242+'корпоративный баланс энергии'!M1242+'корпоративный баланс энергии'!P1242</f>
        <v>0</v>
      </c>
      <c r="E1233" s="246"/>
      <c r="F1233" s="282"/>
      <c r="G1233" s="244">
        <f>'корпоративный баланс энергии'!S1242+'корпоративный баланс энергии'!V1242+'корпоративный баланс энергии'!Y1242</f>
        <v>0</v>
      </c>
      <c r="H1233" s="246"/>
      <c r="I1233" s="282"/>
      <c r="J1233" s="244">
        <f>'корпоративный баланс энергии'!AB1242+'корпоративный баланс энергии'!AE1242+'корпоративный баланс энергии'!AH1242</f>
        <v>0</v>
      </c>
      <c r="K1233" s="246"/>
      <c r="L1233" s="282"/>
      <c r="M1233" s="244">
        <f>'корпоративный баланс энергии'!AK1242+'корпоративный баланс энергии'!AN1242+'корпоративный баланс энергии'!AQ1242</f>
        <v>8.0399999999999991</v>
      </c>
      <c r="N1233" s="246"/>
      <c r="O1233" s="282"/>
      <c r="P1233" s="244">
        <f t="shared" ref="P1233" si="93">D1233+G1233+J1233+M1233</f>
        <v>8.0399999999999991</v>
      </c>
      <c r="Q1233" s="246"/>
      <c r="R1233" s="282"/>
      <c r="S1233" s="357"/>
      <c r="T1233" s="357"/>
    </row>
    <row r="1234" spans="2:20" s="24" customFormat="1">
      <c r="B1234" s="141" t="str">
        <f>'корпоративный баланс энергии'!H1243</f>
        <v>Пилотная ВЭС (АО "ВЕТРООГК")</v>
      </c>
      <c r="C1234" s="516" t="s">
        <v>364</v>
      </c>
      <c r="D1234" s="317">
        <f>SUM(D1235:D1247)</f>
        <v>0</v>
      </c>
      <c r="E1234" s="246"/>
      <c r="F1234" s="282"/>
      <c r="G1234" s="317">
        <f>SUM(G1235:G1247)</f>
        <v>0</v>
      </c>
      <c r="H1234" s="246"/>
      <c r="I1234" s="282"/>
      <c r="J1234" s="317">
        <f>SUM(J1235:J1247)</f>
        <v>0</v>
      </c>
      <c r="K1234" s="246"/>
      <c r="L1234" s="282"/>
      <c r="M1234" s="317">
        <f>SUM(M1235:M1247)</f>
        <v>52.259999999999977</v>
      </c>
      <c r="N1234" s="246"/>
      <c r="O1234" s="282"/>
      <c r="P1234" s="317">
        <f>SUM(P1235:P1247)</f>
        <v>52.259999999999977</v>
      </c>
      <c r="Q1234" s="246"/>
      <c r="R1234" s="282"/>
      <c r="S1234" s="357"/>
      <c r="T1234" s="357"/>
    </row>
    <row r="1235" spans="2:20" s="24" customFormat="1">
      <c r="B1235" s="125" t="str">
        <f>'корпоративный баланс энергии'!H1244</f>
        <v>Пилотная ВЭС (АО "ВЕТРООГК") - 2020-1</v>
      </c>
      <c r="C1235" s="502"/>
      <c r="D1235" s="281">
        <f>'корпоративный баланс энергии'!J1244+'корпоративный баланс энергии'!M1244+'корпоративный баланс энергии'!P1244</f>
        <v>0</v>
      </c>
      <c r="E1235" s="246"/>
      <c r="F1235" s="282"/>
      <c r="G1235" s="244">
        <f>'корпоративный баланс энергии'!S1244+'корпоративный баланс энергии'!V1244+'корпоративный баланс энергии'!Y1244</f>
        <v>0</v>
      </c>
      <c r="H1235" s="246"/>
      <c r="I1235" s="282"/>
      <c r="J1235" s="244">
        <f>'корпоративный баланс энергии'!AB1244+'корпоративный баланс энергии'!AE1244+'корпоративный баланс энергии'!AH1244</f>
        <v>0</v>
      </c>
      <c r="K1235" s="246"/>
      <c r="L1235" s="282"/>
      <c r="M1235" s="244">
        <f>'корпоративный баланс энергии'!AK1244+'корпоративный баланс энергии'!AN1244+'корпоративный баланс энергии'!AQ1244</f>
        <v>4.0199999999999996</v>
      </c>
      <c r="N1235" s="246"/>
      <c r="O1235" s="282"/>
      <c r="P1235" s="244">
        <f t="shared" ref="P1235" si="94">D1235+G1235+J1235+M1235</f>
        <v>4.0199999999999996</v>
      </c>
      <c r="Q1235" s="246"/>
      <c r="R1235" s="282"/>
      <c r="S1235" s="357"/>
      <c r="T1235" s="357"/>
    </row>
    <row r="1236" spans="2:20" s="24" customFormat="1">
      <c r="B1236" s="125" t="str">
        <f>'корпоративный баланс энергии'!H1245</f>
        <v>Пилотная ВЭС (АО "ВЕТРООГК") - 2020-2</v>
      </c>
      <c r="C1236" s="502"/>
      <c r="D1236" s="281">
        <f>'корпоративный баланс энергии'!J1245+'корпоративный баланс энергии'!M1245+'корпоративный баланс энергии'!P1245</f>
        <v>0</v>
      </c>
      <c r="E1236" s="246"/>
      <c r="F1236" s="282"/>
      <c r="G1236" s="244">
        <f>'корпоративный баланс энергии'!S1245+'корпоративный баланс энергии'!V1245+'корпоративный баланс энергии'!Y1245</f>
        <v>0</v>
      </c>
      <c r="H1236" s="246"/>
      <c r="I1236" s="282"/>
      <c r="J1236" s="244">
        <f>'корпоративный баланс энергии'!AB1245+'корпоративный баланс энергии'!AE1245+'корпоративный баланс энергии'!AH1245</f>
        <v>0</v>
      </c>
      <c r="K1236" s="246"/>
      <c r="L1236" s="282"/>
      <c r="M1236" s="244">
        <f>'корпоративный баланс энергии'!AK1245+'корпоративный баланс энергии'!AN1245+'корпоративный баланс энергии'!AQ1245</f>
        <v>4.0199999999999996</v>
      </c>
      <c r="N1236" s="246"/>
      <c r="O1236" s="282"/>
      <c r="P1236" s="244">
        <f t="shared" ref="P1236:P1247" si="95">D1236+G1236+J1236+M1236</f>
        <v>4.0199999999999996</v>
      </c>
      <c r="Q1236" s="246"/>
      <c r="R1236" s="282"/>
      <c r="S1236" s="357"/>
      <c r="T1236" s="357"/>
    </row>
    <row r="1237" spans="2:20" s="24" customFormat="1">
      <c r="B1237" s="125" t="str">
        <f>'корпоративный баланс энергии'!H1246</f>
        <v>Пилотная ВЭС (АО "ВЕТРООГК") - 2020-3</v>
      </c>
      <c r="C1237" s="502"/>
      <c r="D1237" s="281">
        <f>'корпоративный баланс энергии'!J1246+'корпоративный баланс энергии'!M1246+'корпоративный баланс энергии'!P1246</f>
        <v>0</v>
      </c>
      <c r="E1237" s="246"/>
      <c r="F1237" s="282"/>
      <c r="G1237" s="244">
        <f>'корпоративный баланс энергии'!S1246+'корпоративный баланс энергии'!V1246+'корпоративный баланс энергии'!Y1246</f>
        <v>0</v>
      </c>
      <c r="H1237" s="246"/>
      <c r="I1237" s="282"/>
      <c r="J1237" s="244">
        <f>'корпоративный баланс энергии'!AB1246+'корпоративный баланс энергии'!AE1246+'корпоративный баланс энергии'!AH1246</f>
        <v>0</v>
      </c>
      <c r="K1237" s="246"/>
      <c r="L1237" s="282"/>
      <c r="M1237" s="244">
        <f>'корпоративный баланс энергии'!AK1246+'корпоративный баланс энергии'!AN1246+'корпоративный баланс энергии'!AQ1246</f>
        <v>4.0199999999999996</v>
      </c>
      <c r="N1237" s="246"/>
      <c r="O1237" s="282"/>
      <c r="P1237" s="244">
        <f t="shared" si="95"/>
        <v>4.0199999999999996</v>
      </c>
      <c r="Q1237" s="246"/>
      <c r="R1237" s="282"/>
      <c r="S1237" s="357"/>
      <c r="T1237" s="357"/>
    </row>
    <row r="1238" spans="2:20" s="24" customFormat="1">
      <c r="B1238" s="125" t="str">
        <f>'корпоративный баланс энергии'!H1247</f>
        <v>Пилотная ВЭС (АО "ВЕТРООГК") - 2020-4</v>
      </c>
      <c r="C1238" s="502"/>
      <c r="D1238" s="281">
        <f>'корпоративный баланс энергии'!J1247+'корпоративный баланс энергии'!M1247+'корпоративный баланс энергии'!P1247</f>
        <v>0</v>
      </c>
      <c r="E1238" s="246"/>
      <c r="F1238" s="282"/>
      <c r="G1238" s="244">
        <f>'корпоративный баланс энергии'!S1247+'корпоративный баланс энергии'!V1247+'корпоративный баланс энергии'!Y1247</f>
        <v>0</v>
      </c>
      <c r="H1238" s="246"/>
      <c r="I1238" s="282"/>
      <c r="J1238" s="244">
        <f>'корпоративный баланс энергии'!AB1247+'корпоративный баланс энергии'!AE1247+'корпоративный баланс энергии'!AH1247</f>
        <v>0</v>
      </c>
      <c r="K1238" s="246"/>
      <c r="L1238" s="282"/>
      <c r="M1238" s="244">
        <f>'корпоративный баланс энергии'!AK1247+'корпоративный баланс энергии'!AN1247+'корпоративный баланс энергии'!AQ1247</f>
        <v>4.0199999999999996</v>
      </c>
      <c r="N1238" s="246"/>
      <c r="O1238" s="282"/>
      <c r="P1238" s="244">
        <f t="shared" si="95"/>
        <v>4.0199999999999996</v>
      </c>
      <c r="Q1238" s="246"/>
      <c r="R1238" s="282"/>
      <c r="S1238" s="357"/>
      <c r="T1238" s="357"/>
    </row>
    <row r="1239" spans="2:20" s="24" customFormat="1">
      <c r="B1239" s="125" t="str">
        <f>'корпоративный баланс энергии'!H1248</f>
        <v>Пилотная ВЭС (АО "ВЕТРООГК") - 2020-5</v>
      </c>
      <c r="C1239" s="502"/>
      <c r="D1239" s="281">
        <f>'корпоративный баланс энергии'!J1248+'корпоративный баланс энергии'!M1248+'корпоративный баланс энергии'!P1248</f>
        <v>0</v>
      </c>
      <c r="E1239" s="246"/>
      <c r="F1239" s="282"/>
      <c r="G1239" s="244">
        <f>'корпоративный баланс энергии'!S1248+'корпоративный баланс энергии'!V1248+'корпоративный баланс энергии'!Y1248</f>
        <v>0</v>
      </c>
      <c r="H1239" s="246"/>
      <c r="I1239" s="282"/>
      <c r="J1239" s="244">
        <f>'корпоративный баланс энергии'!AB1248+'корпоративный баланс энергии'!AE1248+'корпоративный баланс энергии'!AH1248</f>
        <v>0</v>
      </c>
      <c r="K1239" s="246"/>
      <c r="L1239" s="282"/>
      <c r="M1239" s="244">
        <f>'корпоративный баланс энергии'!AK1248+'корпоративный баланс энергии'!AN1248+'корпоративный баланс энергии'!AQ1248</f>
        <v>4.0199999999999996</v>
      </c>
      <c r="N1239" s="246"/>
      <c r="O1239" s="282"/>
      <c r="P1239" s="244">
        <f t="shared" si="95"/>
        <v>4.0199999999999996</v>
      </c>
      <c r="Q1239" s="246"/>
      <c r="R1239" s="282"/>
      <c r="S1239" s="357"/>
      <c r="T1239" s="357"/>
    </row>
    <row r="1240" spans="2:20" s="24" customFormat="1">
      <c r="B1240" s="125" t="str">
        <f>'корпоративный баланс энергии'!H1249</f>
        <v>Пилотная ВЭС (АО "ВЕТРООГК") - 2020-6</v>
      </c>
      <c r="C1240" s="502"/>
      <c r="D1240" s="281">
        <f>'корпоративный баланс энергии'!J1249+'корпоративный баланс энергии'!M1249+'корпоративный баланс энергии'!P1249</f>
        <v>0</v>
      </c>
      <c r="E1240" s="246"/>
      <c r="F1240" s="282"/>
      <c r="G1240" s="244">
        <f>'корпоративный баланс энергии'!S1249+'корпоративный баланс энергии'!V1249+'корпоративный баланс энергии'!Y1249</f>
        <v>0</v>
      </c>
      <c r="H1240" s="246"/>
      <c r="I1240" s="282"/>
      <c r="J1240" s="244">
        <f>'корпоративный баланс энергии'!AB1249+'корпоративный баланс энергии'!AE1249+'корпоративный баланс энергии'!AH1249</f>
        <v>0</v>
      </c>
      <c r="K1240" s="246"/>
      <c r="L1240" s="282"/>
      <c r="M1240" s="244">
        <f>'корпоративный баланс энергии'!AK1249+'корпоративный баланс энергии'!AN1249+'корпоративный баланс энергии'!AQ1249</f>
        <v>4.0199999999999996</v>
      </c>
      <c r="N1240" s="246"/>
      <c r="O1240" s="282"/>
      <c r="P1240" s="244">
        <f t="shared" si="95"/>
        <v>4.0199999999999996</v>
      </c>
      <c r="Q1240" s="246"/>
      <c r="R1240" s="282"/>
      <c r="S1240" s="357"/>
      <c r="T1240" s="357"/>
    </row>
    <row r="1241" spans="2:20" s="24" customFormat="1">
      <c r="B1241" s="125" t="str">
        <f>'корпоративный баланс энергии'!H1250</f>
        <v>Пилотная ВЭС (АО "ВЕТРООГК") - 2020-7</v>
      </c>
      <c r="C1241" s="502"/>
      <c r="D1241" s="281">
        <f>'корпоративный баланс энергии'!J1250+'корпоративный баланс энергии'!M1250+'корпоративный баланс энергии'!P1250</f>
        <v>0</v>
      </c>
      <c r="E1241" s="246"/>
      <c r="F1241" s="282"/>
      <c r="G1241" s="244">
        <f>'корпоративный баланс энергии'!S1250+'корпоративный баланс энергии'!V1250+'корпоративный баланс энергии'!Y1250</f>
        <v>0</v>
      </c>
      <c r="H1241" s="246"/>
      <c r="I1241" s="282"/>
      <c r="J1241" s="244">
        <f>'корпоративный баланс энергии'!AB1250+'корпоративный баланс энергии'!AE1250+'корпоративный баланс энергии'!AH1250</f>
        <v>0</v>
      </c>
      <c r="K1241" s="246"/>
      <c r="L1241" s="282"/>
      <c r="M1241" s="244">
        <f>'корпоративный баланс энергии'!AK1250+'корпоративный баланс энергии'!AN1250+'корпоративный баланс энергии'!AQ1250</f>
        <v>4.0199999999999996</v>
      </c>
      <c r="N1241" s="246"/>
      <c r="O1241" s="282"/>
      <c r="P1241" s="244">
        <f t="shared" si="95"/>
        <v>4.0199999999999996</v>
      </c>
      <c r="Q1241" s="246"/>
      <c r="R1241" s="282"/>
      <c r="S1241" s="357"/>
      <c r="T1241" s="357"/>
    </row>
    <row r="1242" spans="2:20" s="24" customFormat="1">
      <c r="B1242" s="125" t="str">
        <f>'корпоративный баланс энергии'!H1251</f>
        <v>Пилотная ВЭС (АО "ВЕТРООГК") - 2020-8</v>
      </c>
      <c r="C1242" s="502"/>
      <c r="D1242" s="281">
        <f>'корпоративный баланс энергии'!J1251+'корпоративный баланс энергии'!M1251+'корпоративный баланс энергии'!P1251</f>
        <v>0</v>
      </c>
      <c r="E1242" s="246"/>
      <c r="F1242" s="282"/>
      <c r="G1242" s="244">
        <f>'корпоративный баланс энергии'!S1251+'корпоративный баланс энергии'!V1251+'корпоративный баланс энергии'!Y1251</f>
        <v>0</v>
      </c>
      <c r="H1242" s="246"/>
      <c r="I1242" s="282"/>
      <c r="J1242" s="244">
        <f>'корпоративный баланс энергии'!AB1251+'корпоративный баланс энергии'!AE1251+'корпоративный баланс энергии'!AH1251</f>
        <v>0</v>
      </c>
      <c r="K1242" s="246"/>
      <c r="L1242" s="282"/>
      <c r="M1242" s="244">
        <f>'корпоративный баланс энергии'!AK1251+'корпоративный баланс энергии'!AN1251+'корпоративный баланс энергии'!AQ1251</f>
        <v>4.0199999999999996</v>
      </c>
      <c r="N1242" s="246"/>
      <c r="O1242" s="282"/>
      <c r="P1242" s="244">
        <f t="shared" si="95"/>
        <v>4.0199999999999996</v>
      </c>
      <c r="Q1242" s="246"/>
      <c r="R1242" s="282"/>
      <c r="S1242" s="357"/>
      <c r="T1242" s="357"/>
    </row>
    <row r="1243" spans="2:20" s="24" customFormat="1">
      <c r="B1243" s="125" t="str">
        <f>'корпоративный баланс энергии'!H1252</f>
        <v>Пилотная ВЭС (АО "ВЕТРООГК") - 2020-9</v>
      </c>
      <c r="C1243" s="502"/>
      <c r="D1243" s="281">
        <f>'корпоративный баланс энергии'!J1252+'корпоративный баланс энергии'!M1252+'корпоративный баланс энергии'!P1252</f>
        <v>0</v>
      </c>
      <c r="E1243" s="246"/>
      <c r="F1243" s="282"/>
      <c r="G1243" s="244">
        <f>'корпоративный баланс энергии'!S1252+'корпоративный баланс энергии'!V1252+'корпоративный баланс энергии'!Y1252</f>
        <v>0</v>
      </c>
      <c r="H1243" s="246"/>
      <c r="I1243" s="282"/>
      <c r="J1243" s="244">
        <f>'корпоративный баланс энергии'!AB1252+'корпоративный баланс энергии'!AE1252+'корпоративный баланс энергии'!AH1252</f>
        <v>0</v>
      </c>
      <c r="K1243" s="246"/>
      <c r="L1243" s="282"/>
      <c r="M1243" s="244">
        <f>'корпоративный баланс энергии'!AK1252+'корпоративный баланс энергии'!AN1252+'корпоративный баланс энергии'!AQ1252</f>
        <v>4.0199999999999996</v>
      </c>
      <c r="N1243" s="246"/>
      <c r="O1243" s="282"/>
      <c r="P1243" s="244">
        <f t="shared" si="95"/>
        <v>4.0199999999999996</v>
      </c>
      <c r="Q1243" s="246"/>
      <c r="R1243" s="282"/>
      <c r="S1243" s="357"/>
      <c r="T1243" s="357"/>
    </row>
    <row r="1244" spans="2:20" s="24" customFormat="1">
      <c r="B1244" s="125" t="str">
        <f>'корпоративный баланс энергии'!H1253</f>
        <v>Пилотная ВЭС (АО "ВЕТРООГК") - 2020-10</v>
      </c>
      <c r="C1244" s="502"/>
      <c r="D1244" s="281">
        <f>'корпоративный баланс энергии'!J1253+'корпоративный баланс энергии'!M1253+'корпоративный баланс энергии'!P1253</f>
        <v>0</v>
      </c>
      <c r="E1244" s="246"/>
      <c r="F1244" s="282"/>
      <c r="G1244" s="244">
        <f>'корпоративный баланс энергии'!S1253+'корпоративный баланс энергии'!V1253+'корпоративный баланс энергии'!Y1253</f>
        <v>0</v>
      </c>
      <c r="H1244" s="246"/>
      <c r="I1244" s="282"/>
      <c r="J1244" s="244">
        <f>'корпоративный баланс энергии'!AB1253+'корпоративный баланс энергии'!AE1253+'корпоративный баланс энергии'!AH1253</f>
        <v>0</v>
      </c>
      <c r="K1244" s="246"/>
      <c r="L1244" s="282"/>
      <c r="M1244" s="244">
        <f>'корпоративный баланс энергии'!AK1253+'корпоративный баланс энергии'!AN1253+'корпоративный баланс энергии'!AQ1253</f>
        <v>4.0199999999999996</v>
      </c>
      <c r="N1244" s="246"/>
      <c r="O1244" s="282"/>
      <c r="P1244" s="244">
        <f t="shared" si="95"/>
        <v>4.0199999999999996</v>
      </c>
      <c r="Q1244" s="246"/>
      <c r="R1244" s="282"/>
      <c r="S1244" s="357"/>
      <c r="T1244" s="357"/>
    </row>
    <row r="1245" spans="2:20" s="24" customFormat="1">
      <c r="B1245" s="125" t="str">
        <f>'корпоративный баланс энергии'!H1254</f>
        <v>Пилотная ВЭС (АО "ВЕТРООГК") - 2020-11</v>
      </c>
      <c r="C1245" s="502"/>
      <c r="D1245" s="281">
        <f>'корпоративный баланс энергии'!J1254+'корпоративный баланс энергии'!M1254+'корпоративный баланс энергии'!P1254</f>
        <v>0</v>
      </c>
      <c r="E1245" s="246"/>
      <c r="F1245" s="282"/>
      <c r="G1245" s="244">
        <f>'корпоративный баланс энергии'!S1254+'корпоративный баланс энергии'!V1254+'корпоративный баланс энергии'!Y1254</f>
        <v>0</v>
      </c>
      <c r="H1245" s="246"/>
      <c r="I1245" s="282"/>
      <c r="J1245" s="244">
        <f>'корпоративный баланс энергии'!AB1254+'корпоративный баланс энергии'!AE1254+'корпоративный баланс энергии'!AH1254</f>
        <v>0</v>
      </c>
      <c r="K1245" s="246"/>
      <c r="L1245" s="282"/>
      <c r="M1245" s="244">
        <f>'корпоративный баланс энергии'!AK1254+'корпоративный баланс энергии'!AN1254+'корпоративный баланс энергии'!AQ1254</f>
        <v>4.0199999999999996</v>
      </c>
      <c r="N1245" s="246"/>
      <c r="O1245" s="282"/>
      <c r="P1245" s="244">
        <f t="shared" si="95"/>
        <v>4.0199999999999996</v>
      </c>
      <c r="Q1245" s="246"/>
      <c r="R1245" s="282"/>
      <c r="S1245" s="357"/>
      <c r="T1245" s="357"/>
    </row>
    <row r="1246" spans="2:20" s="24" customFormat="1">
      <c r="B1246" s="125" t="str">
        <f>'корпоративный баланс энергии'!H1255</f>
        <v>Пилотная ВЭС (АО "ВЕТРООГК") - 2020-12</v>
      </c>
      <c r="C1246" s="502"/>
      <c r="D1246" s="281">
        <f>'корпоративный баланс энергии'!J1255+'корпоративный баланс энергии'!M1255+'корпоративный баланс энергии'!P1255</f>
        <v>0</v>
      </c>
      <c r="E1246" s="246"/>
      <c r="F1246" s="282"/>
      <c r="G1246" s="244">
        <f>'корпоративный баланс энергии'!S1255+'корпоративный баланс энергии'!V1255+'корпоративный баланс энергии'!Y1255</f>
        <v>0</v>
      </c>
      <c r="H1246" s="246"/>
      <c r="I1246" s="282"/>
      <c r="J1246" s="244">
        <f>'корпоративный баланс энергии'!AB1255+'корпоративный баланс энергии'!AE1255+'корпоративный баланс энергии'!AH1255</f>
        <v>0</v>
      </c>
      <c r="K1246" s="246"/>
      <c r="L1246" s="282"/>
      <c r="M1246" s="244">
        <f>'корпоративный баланс энергии'!AK1255+'корпоративный баланс энергии'!AN1255+'корпоративный баланс энергии'!AQ1255</f>
        <v>4.0199999999999996</v>
      </c>
      <c r="N1246" s="246"/>
      <c r="O1246" s="282"/>
      <c r="P1246" s="244">
        <f t="shared" si="95"/>
        <v>4.0199999999999996</v>
      </c>
      <c r="Q1246" s="246"/>
      <c r="R1246" s="282"/>
      <c r="S1246" s="357"/>
      <c r="T1246" s="357"/>
    </row>
    <row r="1247" spans="2:20" s="24" customFormat="1">
      <c r="B1247" s="125" t="str">
        <f>'корпоративный баланс энергии'!H1256</f>
        <v>Пилотная ВЭС (АО "ВЕТРООГК") - 2020-13</v>
      </c>
      <c r="C1247" s="502"/>
      <c r="D1247" s="281">
        <f>'корпоративный баланс энергии'!J1256+'корпоративный баланс энергии'!M1256+'корпоративный баланс энергии'!P1256</f>
        <v>0</v>
      </c>
      <c r="E1247" s="246"/>
      <c r="F1247" s="282"/>
      <c r="G1247" s="244">
        <f>'корпоративный баланс энергии'!S1256+'корпоративный баланс энергии'!V1256+'корпоративный баланс энергии'!Y1256</f>
        <v>0</v>
      </c>
      <c r="H1247" s="246"/>
      <c r="I1247" s="282"/>
      <c r="J1247" s="244">
        <f>'корпоративный баланс энергии'!AB1256+'корпоративный баланс энергии'!AE1256+'корпоративный баланс энергии'!AH1256</f>
        <v>0</v>
      </c>
      <c r="K1247" s="246"/>
      <c r="L1247" s="282"/>
      <c r="M1247" s="244">
        <f>'корпоративный баланс энергии'!AK1256+'корпоративный баланс энергии'!AN1256+'корпоративный баланс энергии'!AQ1256</f>
        <v>4.0199999999999996</v>
      </c>
      <c r="N1247" s="246"/>
      <c r="O1247" s="282"/>
      <c r="P1247" s="244">
        <f t="shared" si="95"/>
        <v>4.0199999999999996</v>
      </c>
      <c r="Q1247" s="246"/>
      <c r="R1247" s="282"/>
      <c r="S1247" s="357"/>
      <c r="T1247" s="357"/>
    </row>
    <row r="1248" spans="2:20" s="24" customFormat="1">
      <c r="B1248" s="138" t="s">
        <v>174</v>
      </c>
      <c r="C1248" s="488"/>
      <c r="D1248" s="287">
        <f>SUM(D1249:D1273)</f>
        <v>177.701728</v>
      </c>
      <c r="E1248" s="288"/>
      <c r="F1248" s="289"/>
      <c r="G1248" s="287">
        <f>SUM(G1249:G1273)</f>
        <v>187.13559000000004</v>
      </c>
      <c r="H1248" s="288"/>
      <c r="I1248" s="289" t="s">
        <v>90</v>
      </c>
      <c r="J1248" s="287">
        <f>SUM(J1249:J1273)</f>
        <v>464.31138999999996</v>
      </c>
      <c r="K1248" s="288"/>
      <c r="L1248" s="289"/>
      <c r="M1248" s="287">
        <f>SUM(M1249:M1273)</f>
        <v>521.77827000000002</v>
      </c>
      <c r="N1248" s="288"/>
      <c r="O1248" s="289"/>
      <c r="P1248" s="287">
        <f>SUM(P1249:P1273)</f>
        <v>1350.926978</v>
      </c>
      <c r="Q1248" s="288"/>
      <c r="R1248" s="289"/>
      <c r="S1248" s="357"/>
      <c r="T1248" s="357"/>
    </row>
    <row r="1249" spans="2:20" s="24" customFormat="1">
      <c r="B1249" s="135" t="str">
        <f>'корпоративный баланс энергии'!H1258</f>
        <v>ТЭЦ ЗАО " Сахарный комбинат Тихорецкий"</v>
      </c>
      <c r="C1249" s="518" t="s">
        <v>365</v>
      </c>
      <c r="D1249" s="293">
        <f>'корпоративный баланс энергии'!J1258+'корпоративный баланс энергии'!M1258+'корпоративный баланс энергии'!P1258</f>
        <v>0</v>
      </c>
      <c r="E1249" s="288"/>
      <c r="F1249" s="289"/>
      <c r="G1249" s="294">
        <f>'корпоративный баланс энергии'!S1258+'корпоративный баланс энергии'!V1258+'корпоративный баланс энергии'!Y1258</f>
        <v>0</v>
      </c>
      <c r="H1249" s="288"/>
      <c r="I1249" s="289"/>
      <c r="J1249" s="294">
        <f>'корпоративный баланс энергии'!AB1258+'корпоративный баланс энергии'!AE1258+'корпоративный баланс энергии'!AH1258</f>
        <v>8.870000000000001</v>
      </c>
      <c r="K1249" s="288"/>
      <c r="L1249" s="289"/>
      <c r="M1249" s="294">
        <f>'корпоративный баланс энергии'!AK1258+'корпоративный баланс энергии'!AN1258+'корпоративный баланс энергии'!AQ1258</f>
        <v>8.56</v>
      </c>
      <c r="N1249" s="288"/>
      <c r="O1249" s="289"/>
      <c r="P1249" s="294">
        <f>D1249+G1249+J1249+M1249</f>
        <v>17.43</v>
      </c>
      <c r="Q1249" s="288"/>
      <c r="R1249" s="289"/>
      <c r="S1249" s="357"/>
      <c r="T1249" s="357"/>
    </row>
    <row r="1250" spans="2:20" s="24" customFormat="1">
      <c r="B1250" s="135" t="str">
        <f>'корпоративный баланс энергии'!H1259</f>
        <v>ТЭЦ ЗАО "Картонтара"</v>
      </c>
      <c r="C1250" s="518" t="s">
        <v>365</v>
      </c>
      <c r="D1250" s="293">
        <f>'корпоративный баланс энергии'!J1259+'корпоративный баланс энергии'!M1259+'корпоративный баланс энергии'!P1259</f>
        <v>0</v>
      </c>
      <c r="E1250" s="288"/>
      <c r="F1250" s="289"/>
      <c r="G1250" s="294">
        <f>'корпоративный баланс энергии'!S1259+'корпоративный баланс энергии'!V1259+'корпоративный баланс энергии'!Y1259</f>
        <v>0</v>
      </c>
      <c r="H1250" s="288"/>
      <c r="I1250" s="289"/>
      <c r="J1250" s="294">
        <f>'корпоративный баланс энергии'!AB1259+'корпоративный баланс энергии'!AE1259+'корпоративный баланс энергии'!AH1259</f>
        <v>0</v>
      </c>
      <c r="K1250" s="288"/>
      <c r="L1250" s="289"/>
      <c r="M1250" s="294">
        <f>'корпоративный баланс энергии'!AK1259+'корпоративный баланс энергии'!AN1259+'корпоративный баланс энергии'!AQ1259</f>
        <v>0</v>
      </c>
      <c r="N1250" s="288"/>
      <c r="O1250" s="289"/>
      <c r="P1250" s="294">
        <f t="shared" ref="P1250:P1272" si="96">D1250+G1250+J1250+M1250</f>
        <v>0</v>
      </c>
      <c r="Q1250" s="288"/>
      <c r="R1250" s="289"/>
      <c r="S1250" s="357"/>
      <c r="T1250" s="357"/>
    </row>
    <row r="1251" spans="2:20" s="24" customFormat="1">
      <c r="B1251" s="135" t="str">
        <f>'корпоративный баланс энергии'!H1260</f>
        <v>ТЭЦ Выселковского сахарного завода</v>
      </c>
      <c r="C1251" s="518" t="s">
        <v>365</v>
      </c>
      <c r="D1251" s="293">
        <f>'корпоративный баланс энергии'!J1260+'корпоративный баланс энергии'!M1260+'корпоративный баланс энергии'!P1260</f>
        <v>2.4121600000000001</v>
      </c>
      <c r="E1251" s="288"/>
      <c r="F1251" s="289"/>
      <c r="G1251" s="294">
        <f>'корпоративный баланс энергии'!S1260+'корпоративный баланс энергии'!V1260+'корпоративный баланс энергии'!Y1260</f>
        <v>0.31658999999999998</v>
      </c>
      <c r="H1251" s="288"/>
      <c r="I1251" s="289"/>
      <c r="J1251" s="294">
        <f>'корпоративный баланс энергии'!AB1260+'корпоративный баланс энергии'!AE1260+'корпоративный баланс энергии'!AH1260</f>
        <v>12.65279</v>
      </c>
      <c r="K1251" s="288"/>
      <c r="L1251" s="289"/>
      <c r="M1251" s="294">
        <f>'корпоративный баланс энергии'!AK1260+'корпоративный баланс энергии'!AN1260+'корпоративный баланс энергии'!AQ1260</f>
        <v>8.1726700000000001</v>
      </c>
      <c r="N1251" s="288"/>
      <c r="O1251" s="289"/>
      <c r="P1251" s="294">
        <f t="shared" si="96"/>
        <v>23.554209999999998</v>
      </c>
      <c r="Q1251" s="288"/>
      <c r="R1251" s="289"/>
      <c r="S1251" s="357"/>
      <c r="T1251" s="357"/>
    </row>
    <row r="1252" spans="2:20" s="24" customFormat="1">
      <c r="B1252" s="135" t="str">
        <f>'корпоративный баланс энергии'!H1261</f>
        <v>ТЭЦ Усть-Лабинского сахарного завода</v>
      </c>
      <c r="C1252" s="518" t="s">
        <v>365</v>
      </c>
      <c r="D1252" s="293">
        <f>'корпоративный баланс энергии'!J1261+'корпоративный баланс энергии'!M1261+'корпоративный баланс энергии'!P1261</f>
        <v>0</v>
      </c>
      <c r="E1252" s="288"/>
      <c r="F1252" s="289"/>
      <c r="G1252" s="294">
        <f>'корпоративный баланс энергии'!S1261+'корпоративный баланс энергии'!V1261+'корпоративный баланс энергии'!Y1261</f>
        <v>0</v>
      </c>
      <c r="H1252" s="288"/>
      <c r="I1252" s="289"/>
      <c r="J1252" s="294">
        <f>'корпоративный баланс энергии'!AB1261+'корпоративный баланс энергии'!AE1261+'корпоративный баланс энергии'!AH1261</f>
        <v>10.5</v>
      </c>
      <c r="K1252" s="288"/>
      <c r="L1252" s="289"/>
      <c r="M1252" s="294">
        <f>'корпоративный баланс энергии'!AK1261+'корпоративный баланс энергии'!AN1261+'корпоративный баланс энергии'!AQ1261</f>
        <v>7.28</v>
      </c>
      <c r="N1252" s="288"/>
      <c r="O1252" s="289"/>
      <c r="P1252" s="294">
        <f t="shared" si="96"/>
        <v>17.78</v>
      </c>
      <c r="Q1252" s="288"/>
      <c r="R1252" s="289"/>
      <c r="S1252" s="357"/>
      <c r="T1252" s="357"/>
    </row>
    <row r="1253" spans="2:20" s="24" customFormat="1">
      <c r="B1253" s="135" t="str">
        <f>'корпоративный баланс энергии'!H1262</f>
        <v>ТЭЦ Курганинского сахарного завода</v>
      </c>
      <c r="C1253" s="518" t="s">
        <v>365</v>
      </c>
      <c r="D1253" s="293">
        <f>'корпоративный баланс энергии'!J1262+'корпоративный баланс энергии'!M1262+'корпоративный баланс энергии'!P1262</f>
        <v>0</v>
      </c>
      <c r="E1253" s="288"/>
      <c r="F1253" s="289"/>
      <c r="G1253" s="294">
        <f>'корпоративный баланс энергии'!S1262+'корпоративный баланс энергии'!V1262+'корпоративный баланс энергии'!Y1262</f>
        <v>0</v>
      </c>
      <c r="H1253" s="288"/>
      <c r="I1253" s="289"/>
      <c r="J1253" s="294">
        <f>'корпоративный баланс энергии'!AB1262+'корпоративный баланс энергии'!AE1262+'корпоративный баланс энергии'!AH1262</f>
        <v>7.4</v>
      </c>
      <c r="K1253" s="288"/>
      <c r="L1253" s="289"/>
      <c r="M1253" s="294">
        <f>'корпоративный баланс энергии'!AK1262+'корпоративный баланс энергии'!AN1262+'корпоративный баланс энергии'!AQ1262</f>
        <v>7.05</v>
      </c>
      <c r="N1253" s="288"/>
      <c r="O1253" s="289"/>
      <c r="P1253" s="294">
        <f t="shared" si="96"/>
        <v>14.45</v>
      </c>
      <c r="Q1253" s="288"/>
      <c r="R1253" s="289"/>
      <c r="S1253" s="357"/>
      <c r="T1253" s="357"/>
    </row>
    <row r="1254" spans="2:20" s="24" customFormat="1">
      <c r="B1254" s="135" t="str">
        <f>'корпоративный баланс энергии'!H1263</f>
        <v>ЗАО "ССК "Ленинградский"</v>
      </c>
      <c r="C1254" s="518" t="s">
        <v>365</v>
      </c>
      <c r="D1254" s="293">
        <f>'корпоративный баланс энергии'!J1263+'корпоративный баланс энергии'!M1263+'корпоративный баланс энергии'!P1263</f>
        <v>3.2</v>
      </c>
      <c r="E1254" s="288"/>
      <c r="F1254" s="289"/>
      <c r="G1254" s="294">
        <f>'корпоративный баланс энергии'!S1263+'корпоративный баланс энергии'!V1263+'корпоративный баланс энергии'!Y1263</f>
        <v>1.2000000000000002</v>
      </c>
      <c r="H1254" s="288"/>
      <c r="I1254" s="289"/>
      <c r="J1254" s="294">
        <f>'корпоративный баланс энергии'!AB1263+'корпоративный баланс энергии'!AE1263+'корпоративный баланс энергии'!AH1263</f>
        <v>14.3</v>
      </c>
      <c r="K1254" s="288"/>
      <c r="L1254" s="289"/>
      <c r="M1254" s="294">
        <f>'корпоративный баланс энергии'!AK1263+'корпоративный баланс энергии'!AN1263+'корпоративный баланс энергии'!AQ1263</f>
        <v>19.5</v>
      </c>
      <c r="N1254" s="288"/>
      <c r="O1254" s="289"/>
      <c r="P1254" s="294">
        <f t="shared" si="96"/>
        <v>38.200000000000003</v>
      </c>
      <c r="Q1254" s="288"/>
      <c r="R1254" s="289"/>
      <c r="S1254" s="357"/>
      <c r="T1254" s="357"/>
    </row>
    <row r="1255" spans="2:20" s="24" customFormat="1">
      <c r="B1255" s="135" t="str">
        <f>'корпоративный баланс энергии'!H1264</f>
        <v>ТЭЦ Тбилисского сахарного завода</v>
      </c>
      <c r="C1255" s="518" t="s">
        <v>365</v>
      </c>
      <c r="D1255" s="293">
        <f>'корпоративный баланс энергии'!J1264+'корпоративный баланс энергии'!M1264+'корпоративный баланс энергии'!P1264</f>
        <v>2.1800000000000002</v>
      </c>
      <c r="E1255" s="288"/>
      <c r="F1255" s="289"/>
      <c r="G1255" s="294">
        <f>'корпоративный баланс энергии'!S1264+'корпоративный баланс энергии'!V1264+'корпоративный баланс энергии'!Y1264</f>
        <v>0.01</v>
      </c>
      <c r="H1255" s="288"/>
      <c r="I1255" s="289"/>
      <c r="J1255" s="294">
        <f>'корпоративный баланс энергии'!AB1264+'корпоративный баланс энергии'!AE1264+'корпоративный баланс энергии'!AH1264</f>
        <v>8.07</v>
      </c>
      <c r="K1255" s="288"/>
      <c r="L1255" s="289"/>
      <c r="M1255" s="294">
        <f>'корпоративный баланс энергии'!AK1264+'корпоративный баланс энергии'!AN1264+'корпоративный баланс энергии'!AQ1264</f>
        <v>9.4600000000000009</v>
      </c>
      <c r="N1255" s="288"/>
      <c r="O1255" s="289"/>
      <c r="P1255" s="294">
        <f t="shared" si="96"/>
        <v>19.72</v>
      </c>
      <c r="Q1255" s="288"/>
      <c r="R1255" s="289"/>
      <c r="S1255" s="357"/>
      <c r="T1255" s="357"/>
    </row>
    <row r="1256" spans="2:20" s="24" customFormat="1">
      <c r="B1256" s="135" t="str">
        <f>'корпоративный баланс энергии'!H1265</f>
        <v>ТЭЦ Успенского сахарного завода</v>
      </c>
      <c r="C1256" s="518" t="s">
        <v>365</v>
      </c>
      <c r="D1256" s="293">
        <f>'корпоративный баланс энергии'!J1265+'корпоративный баланс энергии'!M1265+'корпоративный баланс энергии'!P1265</f>
        <v>0</v>
      </c>
      <c r="E1256" s="288"/>
      <c r="F1256" s="289"/>
      <c r="G1256" s="294">
        <f>'корпоративный баланс энергии'!S1265+'корпоративный баланс энергии'!V1265+'корпоративный баланс энергии'!Y1265</f>
        <v>0</v>
      </c>
      <c r="H1256" s="288"/>
      <c r="I1256" s="289"/>
      <c r="J1256" s="294">
        <f>'корпоративный баланс энергии'!AB1265+'корпоративный баланс энергии'!AE1265+'корпоративный баланс энергии'!AH1265</f>
        <v>12.7</v>
      </c>
      <c r="K1256" s="288"/>
      <c r="L1256" s="289"/>
      <c r="M1256" s="294">
        <f>'корпоративный баланс энергии'!AK1265+'корпоративный баланс энергии'!AN1265+'корпоративный баланс энергии'!AQ1265</f>
        <v>21.599999999999998</v>
      </c>
      <c r="N1256" s="288"/>
      <c r="O1256" s="289"/>
      <c r="P1256" s="294">
        <f t="shared" si="96"/>
        <v>34.299999999999997</v>
      </c>
      <c r="Q1256" s="288"/>
      <c r="R1256" s="289"/>
      <c r="S1256" s="357"/>
      <c r="T1256" s="357"/>
    </row>
    <row r="1257" spans="2:20" s="24" customFormat="1">
      <c r="B1257" s="135" t="str">
        <f>'корпоративный баланс энергии'!H1266</f>
        <v>ТЭЦ Новопокровского сахарного завода</v>
      </c>
      <c r="C1257" s="518" t="s">
        <v>365</v>
      </c>
      <c r="D1257" s="293">
        <f>'корпоративный баланс энергии'!J1266+'корпоративный баланс энергии'!M1266+'корпоративный баланс энергии'!P1266</f>
        <v>0</v>
      </c>
      <c r="E1257" s="288"/>
      <c r="F1257" s="289"/>
      <c r="G1257" s="294">
        <f>'корпоративный баланс энергии'!S1266+'корпоративный баланс энергии'!V1266+'корпоративный баланс энергии'!Y1266</f>
        <v>0</v>
      </c>
      <c r="H1257" s="288"/>
      <c r="I1257" s="289"/>
      <c r="J1257" s="294">
        <f>'корпоративный баланс энергии'!AB1266+'корпоративный баланс энергии'!AE1266+'корпоративный баланс энергии'!AH1266</f>
        <v>13</v>
      </c>
      <c r="K1257" s="288"/>
      <c r="L1257" s="289"/>
      <c r="M1257" s="294">
        <f>'корпоративный баланс энергии'!AK1266+'корпоративный баланс энергии'!AN1266+'корпоративный баланс энергии'!AQ1266</f>
        <v>10.48</v>
      </c>
      <c r="N1257" s="288"/>
      <c r="O1257" s="289"/>
      <c r="P1257" s="294">
        <f t="shared" si="96"/>
        <v>23.48</v>
      </c>
      <c r="Q1257" s="288"/>
      <c r="R1257" s="289"/>
      <c r="S1257" s="357"/>
      <c r="T1257" s="357"/>
    </row>
    <row r="1258" spans="2:20" s="24" customFormat="1">
      <c r="B1258" s="135" t="str">
        <f>'корпоративный баланс энергии'!H1267</f>
        <v>ТЭЦ Гулькевичского сахарного завода</v>
      </c>
      <c r="C1258" s="518" t="s">
        <v>365</v>
      </c>
      <c r="D1258" s="293">
        <f>'корпоративный баланс энергии'!J1267+'корпоративный баланс энергии'!M1267+'корпоративный баланс энергии'!P1267</f>
        <v>0.78</v>
      </c>
      <c r="E1258" s="288"/>
      <c r="F1258" s="289"/>
      <c r="G1258" s="294">
        <f>'корпоративный баланс энергии'!S1267+'корпоративный баланс энергии'!V1267+'корпоративный баланс энергии'!Y1267</f>
        <v>0.74</v>
      </c>
      <c r="H1258" s="288"/>
      <c r="I1258" s="289"/>
      <c r="J1258" s="294">
        <f>'корпоративный баланс энергии'!AB1267+'корпоративный баланс энергии'!AE1267+'корпоративный баланс энергии'!AH1267</f>
        <v>8.43</v>
      </c>
      <c r="K1258" s="288"/>
      <c r="L1258" s="289"/>
      <c r="M1258" s="294">
        <f>'корпоративный баланс энергии'!AK1267+'корпоративный баланс энергии'!AN1267+'корпоративный баланс энергии'!AQ1267</f>
        <v>7.57</v>
      </c>
      <c r="N1258" s="288"/>
      <c r="O1258" s="289"/>
      <c r="P1258" s="294">
        <f t="shared" si="96"/>
        <v>17.52</v>
      </c>
      <c r="Q1258" s="288"/>
      <c r="R1258" s="289"/>
      <c r="S1258" s="357"/>
      <c r="T1258" s="357"/>
    </row>
    <row r="1259" spans="2:20" s="24" customFormat="1">
      <c r="B1259" s="135" t="str">
        <f>'корпоративный баланс энергии'!H1268</f>
        <v>ТЭЦ Динского сахарного завода</v>
      </c>
      <c r="C1259" s="518" t="s">
        <v>365</v>
      </c>
      <c r="D1259" s="293">
        <f>'корпоративный баланс энергии'!J1268+'корпоративный баланс энергии'!M1268+'корпоративный баланс энергии'!P1268</f>
        <v>0</v>
      </c>
      <c r="E1259" s="288"/>
      <c r="F1259" s="289"/>
      <c r="G1259" s="294">
        <f>'корпоративный баланс энергии'!S1268+'корпоративный баланс энергии'!V1268+'корпоративный баланс энергии'!Y1268</f>
        <v>0.21</v>
      </c>
      <c r="H1259" s="288"/>
      <c r="I1259" s="289"/>
      <c r="J1259" s="294">
        <f>'корпоративный баланс энергии'!AB1268+'корпоративный баланс энергии'!AE1268+'корпоративный баланс энергии'!AH1268</f>
        <v>8.48</v>
      </c>
      <c r="K1259" s="288"/>
      <c r="L1259" s="289"/>
      <c r="M1259" s="294">
        <f>'корпоративный баланс энергии'!AK1268+'корпоративный баланс энергии'!AN1268+'корпоративный баланс энергии'!AQ1268</f>
        <v>6.3100000000000005</v>
      </c>
      <c r="N1259" s="288"/>
      <c r="O1259" s="289"/>
      <c r="P1259" s="294">
        <f t="shared" si="96"/>
        <v>15.000000000000002</v>
      </c>
      <c r="Q1259" s="288"/>
      <c r="R1259" s="289"/>
      <c r="S1259" s="357"/>
      <c r="T1259" s="357"/>
    </row>
    <row r="1260" spans="2:20" s="156" customFormat="1">
      <c r="B1260" s="135" t="str">
        <f>'корпоративный баланс энергии'!H1269</f>
        <v>ТЭЦ Тимошевского сахарного завода</v>
      </c>
      <c r="C1260" s="518" t="s">
        <v>365</v>
      </c>
      <c r="D1260" s="293">
        <f>'корпоративный баланс энергии'!J1269+'корпоративный баланс энергии'!M1269+'корпоративный баланс энергии'!P1269</f>
        <v>0</v>
      </c>
      <c r="E1260" s="288"/>
      <c r="F1260" s="289"/>
      <c r="G1260" s="294">
        <f>'корпоративный баланс энергии'!S1269+'корпоративный баланс энергии'!V1269+'корпоративный баланс энергии'!Y1269</f>
        <v>0</v>
      </c>
      <c r="H1260" s="288"/>
      <c r="I1260" s="289"/>
      <c r="J1260" s="294">
        <f>'корпоративный баланс энергии'!AB1269+'корпоративный баланс энергии'!AE1269+'корпоративный баланс энергии'!AH1269</f>
        <v>0</v>
      </c>
      <c r="K1260" s="288"/>
      <c r="L1260" s="289"/>
      <c r="M1260" s="294">
        <f>'корпоративный баланс энергии'!AK1269+'корпоративный баланс энергии'!AN1269+'корпоративный баланс энергии'!AQ1269</f>
        <v>0</v>
      </c>
      <c r="N1260" s="288"/>
      <c r="O1260" s="289"/>
      <c r="P1260" s="294">
        <f t="shared" si="96"/>
        <v>0</v>
      </c>
      <c r="Q1260" s="288"/>
      <c r="R1260" s="289"/>
      <c r="S1260" s="403"/>
      <c r="T1260" s="403"/>
    </row>
    <row r="1261" spans="2:20" s="24" customFormat="1">
      <c r="B1261" s="135" t="str">
        <f>'корпоративный баланс энергии'!H1270</f>
        <v>ТЭЦ Каневского сахарного завода</v>
      </c>
      <c r="C1261" s="518" t="s">
        <v>365</v>
      </c>
      <c r="D1261" s="293">
        <f>'корпоративный баланс энергии'!J1270+'корпоративный баланс энергии'!M1270+'корпоративный баланс энергии'!P1270</f>
        <v>0</v>
      </c>
      <c r="E1261" s="288"/>
      <c r="F1261" s="289"/>
      <c r="G1261" s="294">
        <f>'корпоративный баланс энергии'!S1270+'корпоративный баланс энергии'!V1270+'корпоративный баланс энергии'!Y1270</f>
        <v>0</v>
      </c>
      <c r="H1261" s="288"/>
      <c r="I1261" s="289"/>
      <c r="J1261" s="294">
        <f>'корпоративный баланс энергии'!AB1270+'корпоративный баланс энергии'!AE1270+'корпоративный баланс энергии'!AH1270</f>
        <v>11.35</v>
      </c>
      <c r="K1261" s="288"/>
      <c r="L1261" s="289"/>
      <c r="M1261" s="294">
        <f>'корпоративный баланс энергии'!AK1270+'корпоративный баланс энергии'!AN1270+'корпоративный баланс энергии'!AQ1270</f>
        <v>7.8</v>
      </c>
      <c r="N1261" s="288"/>
      <c r="O1261" s="289"/>
      <c r="P1261" s="294">
        <f t="shared" si="96"/>
        <v>19.149999999999999</v>
      </c>
      <c r="Q1261" s="288"/>
      <c r="R1261" s="289"/>
      <c r="S1261" s="357"/>
      <c r="T1261" s="357"/>
    </row>
    <row r="1262" spans="2:20" s="24" customFormat="1">
      <c r="B1262" s="135" t="str">
        <f>'корпоративный баланс энергии'!H1271</f>
        <v>ТЭЦ Филиала "Кореновский"</v>
      </c>
      <c r="C1262" s="518" t="s">
        <v>365</v>
      </c>
      <c r="D1262" s="293">
        <f>'корпоративный баланс энергии'!J1271+'корпоративный баланс энергии'!M1271+'корпоративный баланс энергии'!P1271</f>
        <v>0</v>
      </c>
      <c r="E1262" s="288"/>
      <c r="F1262" s="289"/>
      <c r="G1262" s="294">
        <f>'корпоративный баланс энергии'!S1271+'корпоративный баланс энергии'!V1271+'корпоративный баланс энергии'!Y1271</f>
        <v>0</v>
      </c>
      <c r="H1262" s="288"/>
      <c r="I1262" s="289"/>
      <c r="J1262" s="294">
        <f>'корпоративный баланс энергии'!AB1271+'корпоративный баланс энергии'!AE1271+'корпоративный баланс энергии'!AH1271</f>
        <v>0</v>
      </c>
      <c r="K1262" s="288"/>
      <c r="L1262" s="289"/>
      <c r="M1262" s="294">
        <f>'корпоративный баланс энергии'!AK1271+'корпоративный баланс энергии'!AN1271+'корпоративный баланс энергии'!AQ1271</f>
        <v>0</v>
      </c>
      <c r="N1262" s="288"/>
      <c r="O1262" s="289"/>
      <c r="P1262" s="294">
        <f t="shared" si="96"/>
        <v>0</v>
      </c>
      <c r="Q1262" s="288"/>
      <c r="R1262" s="289"/>
      <c r="S1262" s="357"/>
      <c r="T1262" s="357"/>
    </row>
    <row r="1263" spans="2:20" s="24" customFormat="1">
      <c r="B1263" s="135" t="str">
        <f>'корпоративный баланс энергии'!H1272</f>
        <v>ТЭЦ Новокубанского сахарного завода</v>
      </c>
      <c r="C1263" s="518" t="s">
        <v>365</v>
      </c>
      <c r="D1263" s="293">
        <f>'корпоративный баланс энергии'!J1272+'корпоративный баланс энергии'!M1272+'корпоративный баланс энергии'!P1272</f>
        <v>0</v>
      </c>
      <c r="E1263" s="288"/>
      <c r="F1263" s="289"/>
      <c r="G1263" s="294">
        <f>'корпоративный баланс энергии'!S1272+'корпоративный баланс энергии'!V1272+'корпоративный баланс энергии'!Y1272</f>
        <v>0</v>
      </c>
      <c r="H1263" s="288"/>
      <c r="I1263" s="289"/>
      <c r="J1263" s="294">
        <f>'корпоративный баланс энергии'!AB1272+'корпоративный баланс энергии'!AE1272+'корпоративный баланс энергии'!AH1272</f>
        <v>8</v>
      </c>
      <c r="K1263" s="288"/>
      <c r="L1263" s="289"/>
      <c r="M1263" s="294">
        <f>'корпоративный баланс энергии'!AK1272+'корпоративный баланс энергии'!AN1272+'корпоративный баланс энергии'!AQ1272</f>
        <v>6.6999999999999993</v>
      </c>
      <c r="N1263" s="288"/>
      <c r="O1263" s="289"/>
      <c r="P1263" s="294">
        <f t="shared" si="96"/>
        <v>14.7</v>
      </c>
      <c r="Q1263" s="288"/>
      <c r="R1263" s="289"/>
      <c r="S1263" s="357"/>
      <c r="T1263" s="357"/>
    </row>
    <row r="1264" spans="2:20" s="110" customFormat="1">
      <c r="B1264" s="135" t="str">
        <f>'корпоративный баланс энергии'!H1273</f>
        <v>ТЭЦ ОАО "НСРЗ"</v>
      </c>
      <c r="C1264" s="518" t="s">
        <v>365</v>
      </c>
      <c r="D1264" s="293">
        <f>'корпоративный баланс энергии'!J1273+'корпоративный баланс энергии'!M1273+'корпоративный баланс энергии'!P1273</f>
        <v>0</v>
      </c>
      <c r="E1264" s="288"/>
      <c r="F1264" s="289"/>
      <c r="G1264" s="294">
        <f>'корпоративный баланс энергии'!S1273+'корпоративный баланс энергии'!V1273+'корпоративный баланс энергии'!Y1273</f>
        <v>0</v>
      </c>
      <c r="H1264" s="288"/>
      <c r="I1264" s="289"/>
      <c r="J1264" s="294">
        <f>'корпоративный баланс энергии'!AB1273+'корпоративный баланс энергии'!AE1273+'корпоративный баланс энергии'!AH1273</f>
        <v>0</v>
      </c>
      <c r="K1264" s="288"/>
      <c r="L1264" s="289"/>
      <c r="M1264" s="294">
        <f>'корпоративный баланс энергии'!AK1273+'корпоративный баланс энергии'!AN1273+'корпоративный баланс энергии'!AQ1273</f>
        <v>0</v>
      </c>
      <c r="N1264" s="288"/>
      <c r="O1264" s="289"/>
      <c r="P1264" s="294">
        <f t="shared" si="96"/>
        <v>0</v>
      </c>
      <c r="Q1264" s="288"/>
      <c r="R1264" s="289"/>
      <c r="S1264" s="356"/>
      <c r="T1264" s="356"/>
    </row>
    <row r="1265" spans="2:20" s="110" customFormat="1">
      <c r="B1265" s="135" t="str">
        <f>'корпоративный баланс энергии'!H1274</f>
        <v>ТЭЦ Павловского сахарного завода</v>
      </c>
      <c r="C1265" s="518" t="s">
        <v>365</v>
      </c>
      <c r="D1265" s="293">
        <f>'корпоративный баланс энергии'!J1274+'корпоративный баланс энергии'!M1274+'корпоративный баланс энергии'!P1274</f>
        <v>0</v>
      </c>
      <c r="E1265" s="288"/>
      <c r="F1265" s="289"/>
      <c r="G1265" s="294">
        <f>'корпоративный баланс энергии'!S1274+'корпоративный баланс энергии'!V1274+'корпоративный баланс энергии'!Y1274</f>
        <v>0</v>
      </c>
      <c r="H1265" s="288"/>
      <c r="I1265" s="289"/>
      <c r="J1265" s="294">
        <f>'корпоративный баланс энергии'!AB1274+'корпоративный баланс энергии'!AE1274+'корпоративный баланс энергии'!AH1274</f>
        <v>10.76</v>
      </c>
      <c r="K1265" s="288"/>
      <c r="L1265" s="289"/>
      <c r="M1265" s="294">
        <f>'корпоративный баланс энергии'!AK1274+'корпоративный баланс энергии'!AN1274+'корпоративный баланс энергии'!AQ1274</f>
        <v>12.2</v>
      </c>
      <c r="N1265" s="288"/>
      <c r="O1265" s="289"/>
      <c r="P1265" s="294">
        <f t="shared" si="96"/>
        <v>22.96</v>
      </c>
      <c r="Q1265" s="288"/>
      <c r="R1265" s="289"/>
      <c r="S1265" s="356"/>
      <c r="T1265" s="356"/>
    </row>
    <row r="1266" spans="2:20" s="110" customFormat="1">
      <c r="B1266" s="135" t="str">
        <f>'корпоративный баланс энергии'!H1275</f>
        <v>ТЭЦ Лабинского сахарного завода</v>
      </c>
      <c r="C1266" s="518" t="s">
        <v>365</v>
      </c>
      <c r="D1266" s="293">
        <f>'корпоративный баланс энергии'!J1275+'корпоративный баланс энергии'!M1275+'корпоративный баланс энергии'!P1275</f>
        <v>0</v>
      </c>
      <c r="E1266" s="288"/>
      <c r="F1266" s="289"/>
      <c r="G1266" s="294">
        <f>'корпоративный баланс энергии'!S1275+'корпоративный баланс энергии'!V1275+'корпоративный баланс энергии'!Y1275</f>
        <v>0</v>
      </c>
      <c r="H1266" s="288"/>
      <c r="I1266" s="289"/>
      <c r="J1266" s="294">
        <f>'корпоративный баланс энергии'!AB1275+'корпоративный баланс энергии'!AE1275+'корпоративный баланс энергии'!AH1275</f>
        <v>6.6999999999999993</v>
      </c>
      <c r="K1266" s="288"/>
      <c r="L1266" s="289"/>
      <c r="M1266" s="294">
        <f>'корпоративный баланс энергии'!AK1275+'корпоративный баланс энергии'!AN1275+'корпоративный баланс энергии'!AQ1275</f>
        <v>6.6</v>
      </c>
      <c r="N1266" s="288"/>
      <c r="O1266" s="289"/>
      <c r="P1266" s="294">
        <f t="shared" si="96"/>
        <v>13.299999999999999</v>
      </c>
      <c r="Q1266" s="288"/>
      <c r="R1266" s="289"/>
      <c r="S1266" s="356"/>
      <c r="T1266" s="356"/>
    </row>
    <row r="1267" spans="2:20" s="110" customFormat="1">
      <c r="B1267" s="135" t="str">
        <f>'корпоративный баланс энергии'!H1276</f>
        <v>ТЭЦ ООО "ЕвроХим-БМУ"</v>
      </c>
      <c r="C1267" s="518" t="s">
        <v>365</v>
      </c>
      <c r="D1267" s="293">
        <f>'корпоративный баланс энергии'!J1276+'корпоративный баланс энергии'!M1276+'корпоративный баланс энергии'!P1276</f>
        <v>43.774568000000002</v>
      </c>
      <c r="E1267" s="288"/>
      <c r="F1267" s="289"/>
      <c r="G1267" s="294">
        <f>'корпоративный баланс энергии'!S1276+'корпоративный баланс энергии'!V1276+'корпоративный баланс энергии'!Y1276</f>
        <v>38.494</v>
      </c>
      <c r="H1267" s="288"/>
      <c r="I1267" s="289"/>
      <c r="J1267" s="294">
        <f>'корпоративный баланс энергии'!AB1276+'корпоративный баланс энергии'!AE1276+'корпоративный баланс энергии'!AH1276</f>
        <v>44.617599999999996</v>
      </c>
      <c r="K1267" s="288"/>
      <c r="L1267" s="289"/>
      <c r="M1267" s="294">
        <f>'корпоративный баланс энергии'!AK1276+'корпоративный баланс энергии'!AN1276+'корпоративный баланс энергии'!AQ1276</f>
        <v>44.617599999999996</v>
      </c>
      <c r="N1267" s="288"/>
      <c r="O1267" s="289"/>
      <c r="P1267" s="294">
        <f t="shared" si="96"/>
        <v>171.50376799999998</v>
      </c>
      <c r="Q1267" s="288"/>
      <c r="R1267" s="289"/>
      <c r="S1267" s="356"/>
      <c r="T1267" s="356"/>
    </row>
    <row r="1268" spans="2:20" s="24" customFormat="1">
      <c r="B1268" s="135" t="str">
        <f>'корпоративный баланс энергии'!H1277</f>
        <v>Приазовская ТЭЦ</v>
      </c>
      <c r="C1268" s="518" t="s">
        <v>365</v>
      </c>
      <c r="D1268" s="293">
        <f>'корпоративный баланс энергии'!J1277+'корпоративный баланс энергии'!M1277+'корпоративный баланс энергии'!P1277</f>
        <v>0</v>
      </c>
      <c r="E1268" s="288"/>
      <c r="F1268" s="289"/>
      <c r="G1268" s="294">
        <f>'корпоративный баланс энергии'!S1277+'корпоративный баланс энергии'!V1277+'корпоративный баланс энергии'!Y1277</f>
        <v>0</v>
      </c>
      <c r="H1268" s="288"/>
      <c r="I1268" s="289"/>
      <c r="J1268" s="294">
        <f>'корпоративный баланс энергии'!AB1277+'корпоративный баланс энергии'!AE1277+'корпоративный баланс энергии'!AH1277</f>
        <v>0</v>
      </c>
      <c r="K1268" s="288"/>
      <c r="L1268" s="289"/>
      <c r="M1268" s="294">
        <f>'корпоративный баланс энергии'!AK1277+'корпоративный баланс энергии'!AN1277+'корпоративный баланс энергии'!AQ1277</f>
        <v>0</v>
      </c>
      <c r="N1268" s="288"/>
      <c r="O1268" s="289"/>
      <c r="P1268" s="294">
        <f t="shared" si="96"/>
        <v>0</v>
      </c>
      <c r="Q1268" s="288"/>
      <c r="R1268" s="289"/>
      <c r="S1268" s="357"/>
      <c r="T1268" s="357"/>
    </row>
    <row r="1269" spans="2:20" s="24" customFormat="1">
      <c r="B1269" s="135" t="str">
        <f>'корпоративный баланс энергии'!H1278</f>
        <v>Армавирская ТЭЦ</v>
      </c>
      <c r="C1269" s="518" t="s">
        <v>365</v>
      </c>
      <c r="D1269" s="293">
        <f>'корпоративный баланс энергии'!J1278+'корпоративный баланс энергии'!M1278+'корпоративный баланс энергии'!P1278</f>
        <v>0</v>
      </c>
      <c r="E1269" s="288"/>
      <c r="F1269" s="289"/>
      <c r="G1269" s="294">
        <f>'корпоративный баланс энергии'!S1278+'корпоративный баланс энергии'!V1278+'корпоративный баланс энергии'!Y1278</f>
        <v>0</v>
      </c>
      <c r="H1269" s="288"/>
      <c r="I1269" s="289"/>
      <c r="J1269" s="294">
        <f>'корпоративный баланс энергии'!AB1278+'корпоративный баланс энергии'!AE1278+'корпоративный баланс энергии'!AH1278</f>
        <v>0</v>
      </c>
      <c r="K1269" s="288"/>
      <c r="L1269" s="289"/>
      <c r="M1269" s="294">
        <f>'корпоративный баланс энергии'!AK1278+'корпоративный баланс энергии'!AN1278+'корпоративный баланс энергии'!AQ1278</f>
        <v>0</v>
      </c>
      <c r="N1269" s="288"/>
      <c r="O1269" s="289"/>
      <c r="P1269" s="294">
        <f t="shared" si="96"/>
        <v>0</v>
      </c>
      <c r="Q1269" s="288"/>
      <c r="R1269" s="289"/>
      <c r="S1269" s="357"/>
      <c r="T1269" s="357"/>
    </row>
    <row r="1270" spans="2:20" s="24" customFormat="1">
      <c r="B1270" s="135" t="str">
        <f>'корпоративный баланс энергии'!H1279</f>
        <v>ООО "Свод Интернешнл"</v>
      </c>
      <c r="C1270" s="518" t="s">
        <v>365</v>
      </c>
      <c r="D1270" s="293">
        <f>'корпоративный баланс энергии'!J1279+'корпоративный баланс энергии'!M1279+'корпоративный баланс энергии'!P1279</f>
        <v>4.79</v>
      </c>
      <c r="E1270" s="288"/>
      <c r="F1270" s="289"/>
      <c r="G1270" s="294">
        <f>'корпоративный баланс энергии'!S1279+'корпоративный баланс энергии'!V1279+'корпоративный баланс энергии'!Y1279</f>
        <v>5.1099999999999994</v>
      </c>
      <c r="H1270" s="288"/>
      <c r="I1270" s="289"/>
      <c r="J1270" s="294">
        <f>'корпоративный баланс энергии'!AB1279+'корпоративный баланс энергии'!AE1279+'корпоративный баланс энергии'!AH1279</f>
        <v>3.3499999999999996</v>
      </c>
      <c r="K1270" s="288"/>
      <c r="L1270" s="289"/>
      <c r="M1270" s="294">
        <f>'корпоративный баланс энергии'!AK1279+'корпоративный баланс энергии'!AN1279+'корпоративный баланс энергии'!AQ1279</f>
        <v>4.82</v>
      </c>
      <c r="N1270" s="288"/>
      <c r="O1270" s="289"/>
      <c r="P1270" s="294">
        <f t="shared" si="96"/>
        <v>18.07</v>
      </c>
      <c r="Q1270" s="288"/>
      <c r="R1270" s="289"/>
      <c r="S1270" s="357"/>
      <c r="T1270" s="357"/>
    </row>
    <row r="1271" spans="2:20" s="24" customFormat="1">
      <c r="B1271" s="135" t="str">
        <f>'корпоративный баланс энергии'!H1280</f>
        <v>ГТУ-ТЭС ООО "РН-Туапсинский НПЗ"</v>
      </c>
      <c r="C1271" s="518" t="s">
        <v>365</v>
      </c>
      <c r="D1271" s="293">
        <f>'корпоративный баланс энергии'!J1280+'корпоративный баланс энергии'!M1280+'корпоративный баланс энергии'!P1280</f>
        <v>46.14</v>
      </c>
      <c r="E1271" s="288"/>
      <c r="F1271" s="289"/>
      <c r="G1271" s="294">
        <f>'корпоративный баланс энергии'!S1280+'корпоративный баланс энергии'!V1280+'корпоративный баланс энергии'!Y1280</f>
        <v>67.650000000000006</v>
      </c>
      <c r="H1271" s="288"/>
      <c r="I1271" s="289"/>
      <c r="J1271" s="294">
        <f>'корпоративный баланс энергии'!AB1280+'корпоративный баланс энергии'!AE1280+'корпоративный баланс энергии'!AH1280</f>
        <v>199.94</v>
      </c>
      <c r="K1271" s="288"/>
      <c r="L1271" s="289"/>
      <c r="M1271" s="294">
        <f>'корпоративный баланс энергии'!AK1280+'корпоративный баланс энергии'!AN1280+'корпоративный баланс энергии'!AQ1280</f>
        <v>257.84000000000003</v>
      </c>
      <c r="N1271" s="288"/>
      <c r="O1271" s="289"/>
      <c r="P1271" s="294">
        <f t="shared" si="96"/>
        <v>571.57000000000005</v>
      </c>
      <c r="Q1271" s="288"/>
      <c r="R1271" s="289"/>
      <c r="S1271" s="357"/>
      <c r="T1271" s="357"/>
    </row>
    <row r="1272" spans="2:20" s="24" customFormat="1">
      <c r="B1272" s="135" t="str">
        <f>'корпоративный баланс энергии'!H1281</f>
        <v>ТЭЦ Краснодарского масложиркомбината</v>
      </c>
      <c r="C1272" s="518" t="s">
        <v>365</v>
      </c>
      <c r="D1272" s="293">
        <f>'корпоративный баланс энергии'!J1281+'корпоративный баланс энергии'!M1281+'корпоративный баланс энергии'!P1281</f>
        <v>2.8000000000000003</v>
      </c>
      <c r="E1272" s="288"/>
      <c r="F1272" s="289"/>
      <c r="G1272" s="294">
        <f>'корпоративный баланс энергии'!S1281+'корпоративный баланс энергии'!V1281+'корпоративный баланс энергии'!Y1281</f>
        <v>0.15</v>
      </c>
      <c r="H1272" s="288"/>
      <c r="I1272" s="289"/>
      <c r="J1272" s="294">
        <f>'корпоративный баланс энергии'!AB1281+'корпоративный баланс энергии'!AE1281+'корпоративный баланс энергии'!AH1281</f>
        <v>0</v>
      </c>
      <c r="K1272" s="288"/>
      <c r="L1272" s="289"/>
      <c r="M1272" s="294">
        <f>'корпоративный баланс энергии'!AK1281+'корпоративный баланс энергии'!AN1281+'корпоративный баланс энергии'!AQ1281</f>
        <v>2.2000000000000002</v>
      </c>
      <c r="N1272" s="288"/>
      <c r="O1272" s="289"/>
      <c r="P1272" s="294">
        <f t="shared" si="96"/>
        <v>5.15</v>
      </c>
      <c r="Q1272" s="288"/>
      <c r="R1272" s="289"/>
      <c r="S1272" s="357"/>
      <c r="T1272" s="357"/>
    </row>
    <row r="1273" spans="2:20" s="24" customFormat="1">
      <c r="B1273" s="527" t="str">
        <f>'корпоративный баланс энергии'!H1282</f>
        <v>Прочие поставщики Кубанской энергосистемы (для ПО ОАО "СО ЕЭС")</v>
      </c>
      <c r="C1273" s="518" t="s">
        <v>365</v>
      </c>
      <c r="D1273" s="287">
        <f>SUM(D1274:D1278)</f>
        <v>71.625</v>
      </c>
      <c r="E1273" s="288"/>
      <c r="F1273" s="289"/>
      <c r="G1273" s="287">
        <f>SUM(G1274:G1278)</f>
        <v>73.25500000000001</v>
      </c>
      <c r="H1273" s="288"/>
      <c r="I1273" s="289"/>
      <c r="J1273" s="287">
        <f>SUM(J1274:J1278)</f>
        <v>75.191000000000003</v>
      </c>
      <c r="K1273" s="288"/>
      <c r="L1273" s="289"/>
      <c r="M1273" s="287">
        <f>SUM(M1274:M1278)</f>
        <v>73.018000000000015</v>
      </c>
      <c r="N1273" s="288"/>
      <c r="O1273" s="289"/>
      <c r="P1273" s="287">
        <f>SUM(P1274:P1278)</f>
        <v>293.089</v>
      </c>
      <c r="Q1273" s="307"/>
      <c r="R1273" s="308"/>
      <c r="S1273" s="357"/>
      <c r="T1273" s="357"/>
    </row>
    <row r="1274" spans="2:20" s="24" customFormat="1">
      <c r="B1274" s="135" t="str">
        <f>'корпоративный баланс энергии'!H1283</f>
        <v>ООО "Теплоэнергодар"</v>
      </c>
      <c r="C1274" s="518" t="s">
        <v>365</v>
      </c>
      <c r="D1274" s="293">
        <f>'корпоративный баланс энергии'!J1283+'корпоративный баланс энергии'!M1283+'корпоративный баланс энергии'!P1283</f>
        <v>0.995</v>
      </c>
      <c r="E1274" s="288"/>
      <c r="F1274" s="289"/>
      <c r="G1274" s="294">
        <f>'корпоративный баланс энергии'!S1283+'корпоративный баланс энергии'!V1283+'корпоративный баланс энергии'!Y1283</f>
        <v>0.745</v>
      </c>
      <c r="H1274" s="288"/>
      <c r="I1274" s="289"/>
      <c r="J1274" s="294">
        <f>'корпоративный баланс энергии'!AB1283+'корпоративный баланс энергии'!AE1283+'корпоративный баланс энергии'!AH1283</f>
        <v>0.84099999999999997</v>
      </c>
      <c r="K1274" s="288"/>
      <c r="L1274" s="289"/>
      <c r="M1274" s="294">
        <f>'корпоративный баланс энергии'!AK1283+'корпоративный баланс энергии'!AN1283+'корпоративный баланс энергии'!AQ1283</f>
        <v>0.81800000000000006</v>
      </c>
      <c r="N1274" s="288"/>
      <c r="O1274" s="289"/>
      <c r="P1274" s="294">
        <f t="shared" ref="P1274" si="97">D1274+G1274+J1274+M1274</f>
        <v>3.399</v>
      </c>
      <c r="Q1274" s="288"/>
      <c r="R1274" s="289"/>
      <c r="S1274" s="357"/>
      <c r="T1274" s="357"/>
    </row>
    <row r="1275" spans="2:20" s="24" customFormat="1">
      <c r="B1275" s="135" t="str">
        <f>'корпоративный баланс энергии'!H1284</f>
        <v>ООО "ЭНЕРГОГАРАНТ"</v>
      </c>
      <c r="C1275" s="518" t="s">
        <v>365</v>
      </c>
      <c r="D1275" s="293">
        <f>'корпоративный баланс энергии'!J1284+'корпоративный баланс энергии'!M1284+'корпоративный баланс энергии'!P1284</f>
        <v>3.7299999999999995</v>
      </c>
      <c r="E1275" s="288"/>
      <c r="F1275" s="289"/>
      <c r="G1275" s="294">
        <f>'корпоративный баланс энергии'!S1284+'корпоративный баланс энергии'!V1284+'корпоративный баланс энергии'!Y1284</f>
        <v>4.41</v>
      </c>
      <c r="H1275" s="288"/>
      <c r="I1275" s="289"/>
      <c r="J1275" s="294">
        <f>'корпоративный баланс энергии'!AB1284+'корпоративный баланс энергии'!AE1284+'корпоративный баланс энергии'!AH1284</f>
        <v>6.25</v>
      </c>
      <c r="K1275" s="288"/>
      <c r="L1275" s="289"/>
      <c r="M1275" s="294">
        <f>'корпоративный баланс энергии'!AK1284+'корпоративный баланс энергии'!AN1284+'корпоративный баланс энергии'!AQ1284</f>
        <v>4.0999999999999996</v>
      </c>
      <c r="N1275" s="288"/>
      <c r="O1275" s="289"/>
      <c r="P1275" s="294">
        <f t="shared" ref="P1275:P1278" si="98">D1275+G1275+J1275+M1275</f>
        <v>18.490000000000002</v>
      </c>
      <c r="Q1275" s="288"/>
      <c r="R1275" s="289"/>
      <c r="S1275" s="357"/>
      <c r="T1275" s="357"/>
    </row>
    <row r="1276" spans="2:20" s="24" customFormat="1">
      <c r="B1276" s="135" t="str">
        <f>'корпоративный баланс энергии'!H1285</f>
        <v>ООО "ИнвестГруппЭнержди"</v>
      </c>
      <c r="C1276" s="518" t="s">
        <v>365</v>
      </c>
      <c r="D1276" s="293">
        <f>'корпоративный баланс энергии'!J1285+'корпоративный баланс энергии'!M1285+'корпоративный баланс энергии'!P1285</f>
        <v>0</v>
      </c>
      <c r="E1276" s="288"/>
      <c r="F1276" s="289"/>
      <c r="G1276" s="294">
        <f>'корпоративный баланс энергии'!S1285+'корпоративный баланс энергии'!V1285+'корпоративный баланс энергии'!Y1285</f>
        <v>0</v>
      </c>
      <c r="H1276" s="288"/>
      <c r="I1276" s="289"/>
      <c r="J1276" s="294">
        <f>'корпоративный баланс энергии'!AB1285+'корпоративный баланс энергии'!AE1285+'корпоративный баланс энергии'!AH1285</f>
        <v>0</v>
      </c>
      <c r="K1276" s="288"/>
      <c r="L1276" s="289"/>
      <c r="M1276" s="294">
        <f>'корпоративный баланс энергии'!AK1285+'корпоративный баланс энергии'!AN1285+'корпоративный баланс энергии'!AQ1285</f>
        <v>0</v>
      </c>
      <c r="N1276" s="288"/>
      <c r="O1276" s="289"/>
      <c r="P1276" s="294">
        <f t="shared" si="98"/>
        <v>0</v>
      </c>
      <c r="Q1276" s="288"/>
      <c r="R1276" s="289"/>
      <c r="S1276" s="357"/>
      <c r="T1276" s="357"/>
    </row>
    <row r="1277" spans="2:20" s="24" customFormat="1">
      <c r="B1277" s="135" t="str">
        <f>'корпоративный баланс энергии'!H1286</f>
        <v>ГПУ ОАО "ВБЦЗ"</v>
      </c>
      <c r="C1277" s="518" t="s">
        <v>365</v>
      </c>
      <c r="D1277" s="293">
        <f>'корпоративный баланс энергии'!J1286+'корпоративный баланс энергии'!M1286+'корпоративный баланс энергии'!P1286</f>
        <v>63.6</v>
      </c>
      <c r="E1277" s="288"/>
      <c r="F1277" s="289"/>
      <c r="G1277" s="294">
        <f>'корпоративный баланс энергии'!S1286+'корпоративный баланс энергии'!V1286+'корпоративный баланс энергии'!Y1286</f>
        <v>64.800000000000011</v>
      </c>
      <c r="H1277" s="288"/>
      <c r="I1277" s="289"/>
      <c r="J1277" s="294">
        <f>'корпоративный баланс энергии'!AB1286+'корпоративный баланс энергии'!AE1286+'корпоративный баланс энергии'!AH1286</f>
        <v>64.800000000000011</v>
      </c>
      <c r="K1277" s="288"/>
      <c r="L1277" s="289"/>
      <c r="M1277" s="294">
        <f>'корпоративный баланс энергии'!AK1286+'корпоративный баланс энергии'!AN1286+'корпоративный баланс энергии'!AQ1286</f>
        <v>64.800000000000011</v>
      </c>
      <c r="N1277" s="288"/>
      <c r="O1277" s="289"/>
      <c r="P1277" s="294">
        <f t="shared" si="98"/>
        <v>258</v>
      </c>
      <c r="Q1277" s="288"/>
      <c r="R1277" s="289"/>
      <c r="S1277" s="357"/>
      <c r="T1277" s="357"/>
    </row>
    <row r="1278" spans="2:20" s="24" customFormat="1">
      <c r="B1278" s="135" t="str">
        <f>'корпоративный баланс энергии'!H1287</f>
        <v>мини ТЭЦ ОАО АПФ "Фанагория"</v>
      </c>
      <c r="C1278" s="518" t="s">
        <v>365</v>
      </c>
      <c r="D1278" s="293">
        <f>'корпоративный баланс энергии'!J1287+'корпоративный баланс энергии'!M1287+'корпоративный баланс энергии'!P1287</f>
        <v>3.3000000000000003</v>
      </c>
      <c r="E1278" s="288"/>
      <c r="F1278" s="289"/>
      <c r="G1278" s="294">
        <f>'корпоративный баланс энергии'!S1287+'корпоративный баланс энергии'!V1287+'корпоративный баланс энергии'!Y1287</f>
        <v>3.3000000000000003</v>
      </c>
      <c r="H1278" s="288"/>
      <c r="I1278" s="289"/>
      <c r="J1278" s="294">
        <f>'корпоративный баланс энергии'!AB1287+'корпоративный баланс энергии'!AE1287+'корпоративный баланс энергии'!AH1287</f>
        <v>3.3000000000000003</v>
      </c>
      <c r="K1278" s="288"/>
      <c r="L1278" s="289"/>
      <c r="M1278" s="294">
        <f>'корпоративный баланс энергии'!AK1287+'корпоративный баланс энергии'!AN1287+'корпоративный баланс энергии'!AQ1287</f>
        <v>3.3000000000000003</v>
      </c>
      <c r="N1278" s="288"/>
      <c r="O1278" s="289"/>
      <c r="P1278" s="294">
        <f t="shared" si="98"/>
        <v>13.200000000000001</v>
      </c>
      <c r="Q1278" s="288"/>
      <c r="R1278" s="289"/>
      <c r="S1278" s="357"/>
      <c r="T1278" s="357"/>
    </row>
    <row r="1279" spans="2:20" s="24" customFormat="1" ht="18.75">
      <c r="B1279" s="474" t="str">
        <f>'корпоративный баланс энергии'!H1288</f>
        <v>Энергосистема Ростовской области</v>
      </c>
      <c r="C1279" s="501"/>
      <c r="D1279" s="274">
        <f>SUM(D1280:D1284)</f>
        <v>10056.32764677</v>
      </c>
      <c r="E1279" s="275">
        <f>F1279-D1279</f>
        <v>-4699.678330055739</v>
      </c>
      <c r="F1279" s="276">
        <f>'корпоративный баланс энергии'!L1288+'корпоративный баланс энергии'!O1288+'корпоративный баланс энергии'!R1288</f>
        <v>5356.6493167142607</v>
      </c>
      <c r="G1279" s="274">
        <f>SUM(G1280:G1284)</f>
        <v>10751.62954722</v>
      </c>
      <c r="H1279" s="275">
        <f>I1279-G1279</f>
        <v>-6461.5278225168722</v>
      </c>
      <c r="I1279" s="276">
        <f>'корпоративный баланс энергии'!U1288+'корпоративный баланс энергии'!X1288+'корпоративный баланс энергии'!AA1288</f>
        <v>4290.1017247031277</v>
      </c>
      <c r="J1279" s="274">
        <f>SUM(J1280:J1284)</f>
        <v>11063.07829032</v>
      </c>
      <c r="K1279" s="275">
        <f>L1279-J1279</f>
        <v>-6579.1946710202683</v>
      </c>
      <c r="L1279" s="276">
        <f>'корпоративный баланс энергии'!AD1288+'корпоративный баланс энергии'!AG1288+'корпоративный баланс энергии'!AJ1288</f>
        <v>4483.8836192997314</v>
      </c>
      <c r="M1279" s="274">
        <f>SUM(M1280:M1284)</f>
        <v>11638.82032402</v>
      </c>
      <c r="N1279" s="275">
        <f>O1279-M1279</f>
        <v>-6438.3549847371214</v>
      </c>
      <c r="O1279" s="276">
        <f>'корпоративный баланс энергии'!AM1288+'корпоративный баланс энергии'!AP1288+'корпоративный баланс энергии'!AS1288</f>
        <v>5200.4653392828786</v>
      </c>
      <c r="P1279" s="274">
        <f>SUM(P1280:P1284)</f>
        <v>43509.855808330001</v>
      </c>
      <c r="Q1279" s="275">
        <f>R1279-P1279</f>
        <v>-24178.755808330003</v>
      </c>
      <c r="R1279" s="276">
        <f>F1279+I1279+L1279+O1279</f>
        <v>19331.099999999999</v>
      </c>
      <c r="S1279" s="357"/>
      <c r="T1279" s="357"/>
    </row>
    <row r="1280" spans="2:20" s="24" customFormat="1">
      <c r="B1280" s="124" t="s">
        <v>56</v>
      </c>
      <c r="C1280" s="124"/>
      <c r="D1280" s="365">
        <f>SUM(D1290,D1299:D1299,D1302:D1306)</f>
        <v>3610.4199000000003</v>
      </c>
      <c r="E1280" s="363"/>
      <c r="F1280" s="364"/>
      <c r="G1280" s="362">
        <f>SUM(G1290,G1299:G1299,G1302:G1306)</f>
        <v>2109.6829000000002</v>
      </c>
      <c r="H1280" s="363"/>
      <c r="I1280" s="364"/>
      <c r="J1280" s="362">
        <f>SUM(J1290,J1299:J1299,J1302:J1306)</f>
        <v>2534.6765499999997</v>
      </c>
      <c r="K1280" s="363"/>
      <c r="L1280" s="364"/>
      <c r="M1280" s="362">
        <f>SUM(M1290,M1299:M1299,M1302:M1306)</f>
        <v>3042.2897999999996</v>
      </c>
      <c r="N1280" s="363"/>
      <c r="O1280" s="364"/>
      <c r="P1280" s="362">
        <f>SUM(P1290,P1299:P1299,P1302:P1306)</f>
        <v>11297.069149999999</v>
      </c>
      <c r="Q1280" s="363"/>
      <c r="R1280" s="364"/>
      <c r="S1280" s="357"/>
      <c r="T1280" s="357"/>
    </row>
    <row r="1281" spans="2:20" s="24" customFormat="1">
      <c r="B1281" s="124" t="s">
        <v>55</v>
      </c>
      <c r="C1281" s="124"/>
      <c r="D1281" s="365">
        <f>D1300</f>
        <v>112.96074676999999</v>
      </c>
      <c r="E1281" s="363"/>
      <c r="F1281" s="364"/>
      <c r="G1281" s="362">
        <f>G1300</f>
        <v>209.79464722</v>
      </c>
      <c r="H1281" s="363"/>
      <c r="I1281" s="364"/>
      <c r="J1281" s="362">
        <f>J1300</f>
        <v>170.68774031999999</v>
      </c>
      <c r="K1281" s="363"/>
      <c r="L1281" s="364"/>
      <c r="M1281" s="362">
        <f>M1300</f>
        <v>139.42852402</v>
      </c>
      <c r="N1281" s="363"/>
      <c r="O1281" s="364"/>
      <c r="P1281" s="362">
        <f>P1300</f>
        <v>632.87165832999995</v>
      </c>
      <c r="Q1281" s="363"/>
      <c r="R1281" s="364"/>
      <c r="S1281" s="357"/>
      <c r="T1281" s="357"/>
    </row>
    <row r="1282" spans="2:20" s="24" customFormat="1">
      <c r="B1282" s="124" t="s">
        <v>98</v>
      </c>
      <c r="C1282" s="124"/>
      <c r="D1282" s="365">
        <f>D1285</f>
        <v>6161</v>
      </c>
      <c r="E1282" s="363"/>
      <c r="F1282" s="364"/>
      <c r="G1282" s="362">
        <f>G1285</f>
        <v>8200</v>
      </c>
      <c r="H1282" s="363"/>
      <c r="I1282" s="364"/>
      <c r="J1282" s="362">
        <f>J1285</f>
        <v>8223</v>
      </c>
      <c r="K1282" s="363"/>
      <c r="L1282" s="364"/>
      <c r="M1282" s="362">
        <f>M1285</f>
        <v>8266</v>
      </c>
      <c r="N1282" s="363"/>
      <c r="O1282" s="364"/>
      <c r="P1282" s="362">
        <f>P1285</f>
        <v>30850</v>
      </c>
      <c r="Q1282" s="363"/>
      <c r="R1282" s="364"/>
      <c r="S1282" s="357"/>
      <c r="T1282" s="357"/>
    </row>
    <row r="1283" spans="2:20" s="24" customFormat="1">
      <c r="B1283" s="467" t="s">
        <v>346</v>
      </c>
      <c r="C1283" s="124"/>
      <c r="D1283" s="365">
        <f>SUM(D1307:D1310)</f>
        <v>163.447</v>
      </c>
      <c r="E1283" s="363"/>
      <c r="F1283" s="364"/>
      <c r="G1283" s="365">
        <f>SUM(G1307:G1310)</f>
        <v>231.85199999999998</v>
      </c>
      <c r="H1283" s="363"/>
      <c r="I1283" s="364"/>
      <c r="J1283" s="365">
        <f>SUM(J1307:J1310)</f>
        <v>134.714</v>
      </c>
      <c r="K1283" s="363"/>
      <c r="L1283" s="364"/>
      <c r="M1283" s="365">
        <f>SUM(M1307:M1310)</f>
        <v>186.90200000000002</v>
      </c>
      <c r="N1283" s="363"/>
      <c r="O1283" s="364"/>
      <c r="P1283" s="365">
        <f>SUM(P1307:P1310)</f>
        <v>716.91499999999985</v>
      </c>
      <c r="Q1283" s="363"/>
      <c r="R1283" s="364"/>
      <c r="S1283" s="357"/>
      <c r="T1283" s="357"/>
    </row>
    <row r="1284" spans="2:20" s="110" customFormat="1">
      <c r="B1284" s="124" t="s">
        <v>99</v>
      </c>
      <c r="C1284" s="124"/>
      <c r="D1284" s="365">
        <f>D1311</f>
        <v>8.5</v>
      </c>
      <c r="E1284" s="363"/>
      <c r="F1284" s="364"/>
      <c r="G1284" s="362">
        <f>G1311</f>
        <v>0.3</v>
      </c>
      <c r="H1284" s="363"/>
      <c r="I1284" s="364"/>
      <c r="J1284" s="362">
        <f>J1311</f>
        <v>0</v>
      </c>
      <c r="K1284" s="363"/>
      <c r="L1284" s="364"/>
      <c r="M1284" s="362">
        <f>M1311</f>
        <v>4.2</v>
      </c>
      <c r="N1284" s="363"/>
      <c r="O1284" s="364"/>
      <c r="P1284" s="362">
        <f>P1311</f>
        <v>13</v>
      </c>
      <c r="Q1284" s="363"/>
      <c r="R1284" s="364"/>
      <c r="S1284" s="356"/>
      <c r="T1284" s="356"/>
    </row>
    <row r="1285" spans="2:20" s="110" customFormat="1">
      <c r="B1285" s="134" t="str">
        <f>'корпоративный баланс энергии'!H1294</f>
        <v>Ростовская АЭС (филиал АО "Концерн Росэнергоатом")</v>
      </c>
      <c r="C1285" s="516" t="s">
        <v>364</v>
      </c>
      <c r="D1285" s="262">
        <f>SUM(D1286:D1289)</f>
        <v>6161</v>
      </c>
      <c r="E1285" s="246"/>
      <c r="F1285" s="282"/>
      <c r="G1285" s="317">
        <f>SUM(G1286:G1289)</f>
        <v>8200</v>
      </c>
      <c r="H1285" s="246"/>
      <c r="I1285" s="282"/>
      <c r="J1285" s="317">
        <f>SUM(J1286:J1289)</f>
        <v>8223</v>
      </c>
      <c r="K1285" s="246"/>
      <c r="L1285" s="282"/>
      <c r="M1285" s="317">
        <f>SUM(M1286:M1289)</f>
        <v>8266</v>
      </c>
      <c r="N1285" s="246"/>
      <c r="O1285" s="282"/>
      <c r="P1285" s="317">
        <f>SUM(P1286:P1289)</f>
        <v>30850</v>
      </c>
      <c r="Q1285" s="246"/>
      <c r="R1285" s="282"/>
      <c r="S1285" s="356"/>
      <c r="T1285" s="356"/>
    </row>
    <row r="1286" spans="2:20" s="24" customFormat="1">
      <c r="B1286" s="122" t="str">
        <f>'корпоративный баланс энергии'!H1295</f>
        <v>Ростовская АЭС (филиал АО "Концерн Росэнергоатом") Бл №1</v>
      </c>
      <c r="C1286" s="122"/>
      <c r="D1286" s="244">
        <f>'корпоративный баланс энергии'!J1295+'корпоративный баланс энергии'!M1295+'корпоративный баланс энергии'!P1295</f>
        <v>1394</v>
      </c>
      <c r="E1286" s="246"/>
      <c r="F1286" s="282"/>
      <c r="G1286" s="244">
        <f>'корпоративный баланс энергии'!S1295+'корпоративный баланс энергии'!V1295+'корпоративный баланс энергии'!Y1295</f>
        <v>1940</v>
      </c>
      <c r="H1286" s="246"/>
      <c r="I1286" s="282"/>
      <c r="J1286" s="244">
        <f>'корпоративный баланс энергии'!AB1295+'корпоративный баланс энергии'!AE1295+'корпоративный баланс энергии'!AH1295</f>
        <v>2179</v>
      </c>
      <c r="K1286" s="246"/>
      <c r="L1286" s="282"/>
      <c r="M1286" s="244">
        <f>'корпоративный баланс энергии'!AK1295+'корпоративный баланс энергии'!AN1295+'корпоративный баланс энергии'!AQ1295</f>
        <v>2297</v>
      </c>
      <c r="N1286" s="246"/>
      <c r="O1286" s="282"/>
      <c r="P1286" s="244">
        <f>D1286+G1286+J1286+M1286</f>
        <v>7810</v>
      </c>
      <c r="Q1286" s="246"/>
      <c r="R1286" s="282"/>
      <c r="S1286" s="357"/>
      <c r="T1286" s="357"/>
    </row>
    <row r="1287" spans="2:20" s="24" customFormat="1">
      <c r="B1287" s="122" t="str">
        <f>'корпоративный баланс энергии'!H1296</f>
        <v>Ростовская АЭС (филиал АО "Концерн Росэнергоатом") Бл №2 НВ, ДПМ 29.11.2010</v>
      </c>
      <c r="C1287" s="122"/>
      <c r="D1287" s="244">
        <f>'корпоративный баланс энергии'!J1296+'корпоративный баланс энергии'!M1296+'корпоративный баланс энергии'!P1296</f>
        <v>1440</v>
      </c>
      <c r="E1287" s="246"/>
      <c r="F1287" s="282"/>
      <c r="G1287" s="244">
        <f>'корпоративный баланс энергии'!S1296+'корпоративный баланс энергии'!V1296+'корпоративный баланс энергии'!Y1296</f>
        <v>2199</v>
      </c>
      <c r="H1287" s="246"/>
      <c r="I1287" s="282"/>
      <c r="J1287" s="244">
        <f>'корпоративный баланс энергии'!AB1296+'корпоративный баланс энергии'!AE1296+'корпоративный баланс энергии'!AH1296</f>
        <v>2129</v>
      </c>
      <c r="K1287" s="246"/>
      <c r="L1287" s="282"/>
      <c r="M1287" s="244">
        <f>'корпоративный баланс энергии'!AK1296+'корпоративный баланс энергии'!AN1296+'корпоративный баланс энергии'!AQ1296</f>
        <v>2012</v>
      </c>
      <c r="N1287" s="246"/>
      <c r="O1287" s="282"/>
      <c r="P1287" s="244">
        <f>D1287+G1287+J1287+M1287</f>
        <v>7780</v>
      </c>
      <c r="Q1287" s="246"/>
      <c r="R1287" s="282"/>
      <c r="S1287" s="357"/>
      <c r="T1287" s="357"/>
    </row>
    <row r="1288" spans="2:20" s="24" customFormat="1">
      <c r="B1288" s="122" t="str">
        <f>'корпоративный баланс энергии'!H1297</f>
        <v>Ростовская АЭС (филиал АО "Концерн Росэнергоатом") Бл №3 НВ, ДПМ 25.12.2014</v>
      </c>
      <c r="C1288" s="486"/>
      <c r="D1288" s="281">
        <f>'корпоративный баланс энергии'!J1297+'корпоративный баланс энергии'!M1297+'корпоративный баланс энергии'!P1297</f>
        <v>1088</v>
      </c>
      <c r="E1288" s="246"/>
      <c r="F1288" s="282"/>
      <c r="G1288" s="244">
        <f>'корпоративный баланс энергии'!S1297+'корпоративный баланс энергии'!V1297+'корпоративный баланс энергии'!Y1297</f>
        <v>2039</v>
      </c>
      <c r="H1288" s="246"/>
      <c r="I1288" s="282"/>
      <c r="J1288" s="244">
        <f>'корпоративный баланс энергии'!AB1297+'корпоративный баланс энергии'!AE1297+'корпоративный баланс энергии'!AH1297</f>
        <v>1964</v>
      </c>
      <c r="K1288" s="246"/>
      <c r="L1288" s="282"/>
      <c r="M1288" s="244">
        <f>'корпоративный баланс энергии'!AK1297+'корпоративный баланс энергии'!AN1297+'корпоративный баланс энергии'!AQ1297</f>
        <v>1939</v>
      </c>
      <c r="N1288" s="246"/>
      <c r="O1288" s="282"/>
      <c r="P1288" s="244">
        <f>D1288+G1288+J1288+M1288</f>
        <v>7030</v>
      </c>
      <c r="Q1288" s="246"/>
      <c r="R1288" s="282"/>
      <c r="S1288" s="357"/>
      <c r="T1288" s="357"/>
    </row>
    <row r="1289" spans="2:20" s="24" customFormat="1">
      <c r="B1289" s="122" t="str">
        <f>'корпоративный баланс энергии'!H1298</f>
        <v>Ростовская АЭС (филиал АО "Концерн Росэнергоатом") Бл №4 НВ, ДПМ 31.12.2017</v>
      </c>
      <c r="C1289" s="486"/>
      <c r="D1289" s="281">
        <f>'корпоративный баланс энергии'!J1298+'корпоративный баланс энергии'!M1298+'корпоративный баланс энергии'!P1298</f>
        <v>2239</v>
      </c>
      <c r="E1289" s="246"/>
      <c r="F1289" s="282"/>
      <c r="G1289" s="244">
        <f>'корпоративный баланс энергии'!S1298+'корпоративный баланс энергии'!V1298+'корпоративный баланс энергии'!Y1298</f>
        <v>2022</v>
      </c>
      <c r="H1289" s="246"/>
      <c r="I1289" s="282"/>
      <c r="J1289" s="244">
        <f>'корпоративный баланс энергии'!AB1298+'корпоративный баланс энергии'!AE1298+'корпоративный баланс энергии'!AH1298</f>
        <v>1951</v>
      </c>
      <c r="K1289" s="246"/>
      <c r="L1289" s="282"/>
      <c r="M1289" s="244">
        <f>'корпоративный баланс энергии'!AK1298+'корпоративный баланс энергии'!AN1298+'корпоративный баланс энергии'!AQ1298</f>
        <v>2018</v>
      </c>
      <c r="N1289" s="246"/>
      <c r="O1289" s="282"/>
      <c r="P1289" s="244">
        <f>D1289+G1289+J1289+M1289</f>
        <v>8230</v>
      </c>
      <c r="Q1289" s="246"/>
      <c r="R1289" s="282"/>
      <c r="S1289" s="357"/>
      <c r="T1289" s="357"/>
    </row>
    <row r="1290" spans="2:20" s="24" customFormat="1">
      <c r="B1290" s="134" t="str">
        <f>'корпоративный баланс энергии'!H1299</f>
        <v>Новочеркасская ГРЭС (филиал ПАО "ОГК-2")</v>
      </c>
      <c r="C1290" s="516" t="s">
        <v>364</v>
      </c>
      <c r="D1290" s="317">
        <f>SUM(D1291:D1298)</f>
        <v>2600</v>
      </c>
      <c r="E1290" s="246"/>
      <c r="F1290" s="282"/>
      <c r="G1290" s="317">
        <f>SUM(G1291:G1298)</f>
        <v>1746</v>
      </c>
      <c r="H1290" s="246"/>
      <c r="I1290" s="282"/>
      <c r="J1290" s="317">
        <f>SUM(J1291:J1298)</f>
        <v>2247</v>
      </c>
      <c r="K1290" s="246"/>
      <c r="L1290" s="282"/>
      <c r="M1290" s="317">
        <f>SUM(M1291:M1298)</f>
        <v>2247</v>
      </c>
      <c r="N1290" s="246"/>
      <c r="O1290" s="282"/>
      <c r="P1290" s="317">
        <f>SUM(P1291:P1298)</f>
        <v>8840</v>
      </c>
      <c r="Q1290" s="246"/>
      <c r="R1290" s="282"/>
      <c r="S1290" s="357"/>
      <c r="T1290" s="357"/>
    </row>
    <row r="1291" spans="2:20" s="109" customFormat="1">
      <c r="B1291" s="122" t="str">
        <f>'корпоративный баланс энергии'!H1300</f>
        <v>Новочеркасская ГРЭС  (филиал ПАО "ОГК-2")(ТГ 1) ВР</v>
      </c>
      <c r="C1291" s="486"/>
      <c r="D1291" s="281">
        <f>'корпоративный баланс энергии'!J1300+'корпоративный баланс энергии'!M1300+'корпоративный баланс энергии'!P1300</f>
        <v>300</v>
      </c>
      <c r="E1291" s="246"/>
      <c r="F1291" s="282"/>
      <c r="G1291" s="244">
        <f>'корпоративный баланс энергии'!S1300+'корпоративный баланс энергии'!V1300+'корпоративный баланс энергии'!Y1300</f>
        <v>195</v>
      </c>
      <c r="H1291" s="246"/>
      <c r="I1291" s="282"/>
      <c r="J1291" s="244">
        <f>'корпоративный баланс энергии'!AB1300+'корпоративный баланс энергии'!AE1300+'корпоративный баланс энергии'!AH1300</f>
        <v>386</v>
      </c>
      <c r="K1291" s="246"/>
      <c r="L1291" s="282"/>
      <c r="M1291" s="244">
        <f>'корпоративный баланс энергии'!AK1300+'корпоративный баланс энергии'!AN1300+'корпоративный баланс энергии'!AQ1300</f>
        <v>251</v>
      </c>
      <c r="N1291" s="246"/>
      <c r="O1291" s="282"/>
      <c r="P1291" s="244">
        <f t="shared" ref="P1291:P1300" si="99">D1291+G1291+J1291+M1291</f>
        <v>1132</v>
      </c>
      <c r="Q1291" s="246"/>
      <c r="R1291" s="282"/>
      <c r="S1291" s="368"/>
      <c r="T1291" s="368"/>
    </row>
    <row r="1292" spans="2:20" s="109" customFormat="1">
      <c r="B1292" s="122" t="str">
        <f>'корпоративный баланс энергии'!H1301</f>
        <v>Новочеркасская ГРЭС (филиал ПАО "ОГК-2") (ТГ 2) ВР</v>
      </c>
      <c r="C1292" s="486"/>
      <c r="D1292" s="281">
        <f>'корпоративный баланс энергии'!J1301+'корпоративный баланс энергии'!M1301+'корпоративный баланс энергии'!P1301</f>
        <v>342</v>
      </c>
      <c r="E1292" s="246"/>
      <c r="F1292" s="282"/>
      <c r="G1292" s="244">
        <f>'корпоративный баланс энергии'!S1301+'корпоративный баланс энергии'!V1301+'корпоративный баланс энергии'!Y1301</f>
        <v>84</v>
      </c>
      <c r="H1292" s="246"/>
      <c r="I1292" s="282"/>
      <c r="J1292" s="244">
        <f>'корпоративный баланс энергии'!AB1301+'корпоративный баланс энергии'!AE1301+'корпоративный баланс энергии'!AH1301</f>
        <v>221</v>
      </c>
      <c r="K1292" s="246"/>
      <c r="L1292" s="282"/>
      <c r="M1292" s="244">
        <f>'корпоративный баланс энергии'!AK1301+'корпоративный баланс энергии'!AN1301+'корпоративный баланс энергии'!AQ1301</f>
        <v>349</v>
      </c>
      <c r="N1292" s="246"/>
      <c r="O1292" s="282"/>
      <c r="P1292" s="244">
        <f t="shared" ref="P1292:P1296" si="100">D1292+G1292+J1292+M1292</f>
        <v>996</v>
      </c>
      <c r="Q1292" s="246"/>
      <c r="R1292" s="282"/>
      <c r="S1292" s="368"/>
      <c r="T1292" s="368"/>
    </row>
    <row r="1293" spans="2:20" s="109" customFormat="1">
      <c r="B1293" s="122" t="str">
        <f>'корпоративный баланс энергии'!H1302</f>
        <v>Новочеркасская ГРЭС (филиал ПАО "ОГК-2") (ТГ 3) ВР</v>
      </c>
      <c r="C1293" s="486"/>
      <c r="D1293" s="281">
        <f>'корпоративный баланс энергии'!J1302+'корпоративный баланс энергии'!M1302+'корпоративный баланс энергии'!P1302</f>
        <v>303</v>
      </c>
      <c r="E1293" s="246"/>
      <c r="F1293" s="282"/>
      <c r="G1293" s="244">
        <f>'корпоративный баланс энергии'!S1302+'корпоративный баланс энергии'!V1302+'корпоративный баланс энергии'!Y1302</f>
        <v>410</v>
      </c>
      <c r="H1293" s="246"/>
      <c r="I1293" s="282"/>
      <c r="J1293" s="244">
        <f>'корпоративный баланс энергии'!AB1302+'корпоративный баланс энергии'!AE1302+'корпоративный баланс энергии'!AH1302</f>
        <v>286</v>
      </c>
      <c r="K1293" s="246"/>
      <c r="L1293" s="282"/>
      <c r="M1293" s="244">
        <f>'корпоративный баланс энергии'!AK1302+'корпоративный баланс энергии'!AN1302+'корпоративный баланс энергии'!AQ1302</f>
        <v>317</v>
      </c>
      <c r="N1293" s="246"/>
      <c r="O1293" s="282"/>
      <c r="P1293" s="244">
        <f t="shared" si="100"/>
        <v>1316</v>
      </c>
      <c r="Q1293" s="246"/>
      <c r="R1293" s="282"/>
      <c r="S1293" s="368"/>
      <c r="T1293" s="368"/>
    </row>
    <row r="1294" spans="2:20" s="109" customFormat="1">
      <c r="B1294" s="122" t="str">
        <f>'корпоративный баланс энергии'!H1303</f>
        <v>Новочеркасская ГРЭС (филиал ПАО "ОГК-2") (ТГ 4) ВР</v>
      </c>
      <c r="C1294" s="486"/>
      <c r="D1294" s="281">
        <f>'корпоративный баланс энергии'!J1303+'корпоративный баланс энергии'!M1303+'корпоративный баланс энергии'!P1303</f>
        <v>335</v>
      </c>
      <c r="E1294" s="246"/>
      <c r="F1294" s="282"/>
      <c r="G1294" s="244">
        <f>'корпоративный баланс энергии'!S1303+'корпоративный баланс энергии'!V1303+'корпоративный баланс энергии'!Y1303</f>
        <v>106</v>
      </c>
      <c r="H1294" s="246"/>
      <c r="I1294" s="282"/>
      <c r="J1294" s="244">
        <f>'корпоративный баланс энергии'!AB1303+'корпоративный баланс энергии'!AE1303+'корпоративный баланс энергии'!AH1303</f>
        <v>381</v>
      </c>
      <c r="K1294" s="246"/>
      <c r="L1294" s="282"/>
      <c r="M1294" s="244">
        <f>'корпоративный баланс энергии'!AK1303+'корпоративный баланс энергии'!AN1303+'корпоративный баланс энергии'!AQ1303</f>
        <v>377</v>
      </c>
      <c r="N1294" s="246"/>
      <c r="O1294" s="282"/>
      <c r="P1294" s="244">
        <f t="shared" si="100"/>
        <v>1199</v>
      </c>
      <c r="Q1294" s="246"/>
      <c r="R1294" s="282"/>
      <c r="S1294" s="368"/>
      <c r="T1294" s="368"/>
    </row>
    <row r="1295" spans="2:20" s="109" customFormat="1">
      <c r="B1295" s="122" t="str">
        <f>'корпоративный баланс энергии'!H1304</f>
        <v>Новочеркасская ГРЭС  (филиал ПАО "ОГК-2")(ТГ 5) ВР</v>
      </c>
      <c r="C1295" s="486"/>
      <c r="D1295" s="281">
        <f>'корпоративный баланс энергии'!J1304+'корпоративный баланс энергии'!M1304+'корпоративный баланс энергии'!P1304</f>
        <v>294</v>
      </c>
      <c r="E1295" s="246"/>
      <c r="F1295" s="282"/>
      <c r="G1295" s="244">
        <f>'корпоративный баланс энергии'!S1304+'корпоративный баланс энергии'!V1304+'корпоративный баланс энергии'!Y1304</f>
        <v>255</v>
      </c>
      <c r="H1295" s="246"/>
      <c r="I1295" s="282"/>
      <c r="J1295" s="244">
        <f>'корпоративный баланс энергии'!AB1304+'корпоративный баланс энергии'!AE1304+'корпоративный баланс энергии'!AH1304</f>
        <v>217</v>
      </c>
      <c r="K1295" s="246"/>
      <c r="L1295" s="282"/>
      <c r="M1295" s="244">
        <f>'корпоративный баланс энергии'!AK1304+'корпоративный баланс энергии'!AN1304+'корпоративный баланс энергии'!AQ1304</f>
        <v>332</v>
      </c>
      <c r="N1295" s="246"/>
      <c r="O1295" s="282"/>
      <c r="P1295" s="244">
        <f t="shared" si="100"/>
        <v>1098</v>
      </c>
      <c r="Q1295" s="246"/>
      <c r="R1295" s="282"/>
      <c r="S1295" s="368"/>
      <c r="T1295" s="368"/>
    </row>
    <row r="1296" spans="2:20" s="109" customFormat="1">
      <c r="B1296" s="122" t="str">
        <f>'корпоративный баланс энергии'!H1305</f>
        <v>Новочеркасская ГРЭС (филиал ПАО "ОГК-2") Бл №6 модерн 01.01.2015</v>
      </c>
      <c r="C1296" s="486"/>
      <c r="D1296" s="281">
        <f>'корпоративный баланс энергии'!J1305+'корпоративный баланс энергии'!M1305+'корпоративный баланс энергии'!P1305</f>
        <v>337</v>
      </c>
      <c r="E1296" s="246"/>
      <c r="F1296" s="282"/>
      <c r="G1296" s="244">
        <f>'корпоративный баланс энергии'!S1305+'корпоративный баланс энергии'!V1305+'корпоративный баланс энергии'!Y1305</f>
        <v>257</v>
      </c>
      <c r="H1296" s="246"/>
      <c r="I1296" s="282"/>
      <c r="J1296" s="244">
        <f>'корпоративный баланс энергии'!AB1305+'корпоративный баланс энергии'!AE1305+'корпоративный баланс энергии'!AH1305</f>
        <v>358</v>
      </c>
      <c r="K1296" s="246"/>
      <c r="L1296" s="282"/>
      <c r="M1296" s="244">
        <f>'корпоративный баланс энергии'!AK1305+'корпоративный баланс энергии'!AN1305+'корпоративный баланс энергии'!AQ1305</f>
        <v>83</v>
      </c>
      <c r="N1296" s="246"/>
      <c r="O1296" s="282"/>
      <c r="P1296" s="244">
        <f t="shared" si="100"/>
        <v>1035</v>
      </c>
      <c r="Q1296" s="246"/>
      <c r="R1296" s="282"/>
      <c r="S1296" s="368"/>
      <c r="T1296" s="368"/>
    </row>
    <row r="1297" spans="2:20" s="24" customFormat="1">
      <c r="B1297" s="122" t="str">
        <f>'корпоративный баланс энергии'!H1306</f>
        <v>Новочеркасская ГРЭС (филиал ПАО "ОГК-2") Бл №7 модерн 01.01.2013</v>
      </c>
      <c r="C1297" s="502"/>
      <c r="D1297" s="281">
        <f>'корпоративный баланс энергии'!J1306+'корпоративный баланс энергии'!M1306+'корпоративный баланс энергии'!P1306</f>
        <v>354</v>
      </c>
      <c r="E1297" s="246"/>
      <c r="F1297" s="282"/>
      <c r="G1297" s="244">
        <f>'корпоративный баланс энергии'!S1306+'корпоративный баланс энергии'!V1306+'корпоративный баланс энергии'!Y1306</f>
        <v>62</v>
      </c>
      <c r="H1297" s="246"/>
      <c r="I1297" s="282"/>
      <c r="J1297" s="244">
        <f>'корпоративный баланс энергии'!AB1306+'корпоративный баланс энергии'!AE1306+'корпоративный баланс энергии'!AH1306</f>
        <v>344</v>
      </c>
      <c r="K1297" s="246"/>
      <c r="L1297" s="282"/>
      <c r="M1297" s="244">
        <f>'корпоративный баланс энергии'!AK1306+'корпоративный баланс энергии'!AN1306+'корпоративный баланс энергии'!AQ1306</f>
        <v>254</v>
      </c>
      <c r="N1297" s="246"/>
      <c r="O1297" s="282"/>
      <c r="P1297" s="244">
        <f t="shared" si="99"/>
        <v>1014</v>
      </c>
      <c r="Q1297" s="246"/>
      <c r="R1297" s="282"/>
      <c r="S1297" s="357"/>
      <c r="T1297" s="357"/>
    </row>
    <row r="1298" spans="2:20" s="24" customFormat="1">
      <c r="B1298" s="122" t="str">
        <f>'корпоративный баланс энергии'!H1307</f>
        <v>Новочеркасская ГРЭС (филиал ПАО "ОГК-2") Бл №9 НВ, ДПМ 01.04.2016</v>
      </c>
      <c r="C1298" s="502"/>
      <c r="D1298" s="281">
        <f>'корпоративный баланс энергии'!J1307+'корпоративный баланс энергии'!M1307+'корпоративный баланс энергии'!P1307</f>
        <v>335</v>
      </c>
      <c r="E1298" s="246"/>
      <c r="F1298" s="282"/>
      <c r="G1298" s="244">
        <f>'корпоративный баланс энергии'!S1307+'корпоративный баланс энергии'!V1307+'корпоративный баланс энергии'!Y1307</f>
        <v>377</v>
      </c>
      <c r="H1298" s="246"/>
      <c r="I1298" s="282"/>
      <c r="J1298" s="244">
        <f>'корпоративный баланс энергии'!AB1307+'корпоративный баланс энергии'!AE1307+'корпоративный баланс энергии'!AH1307</f>
        <v>54</v>
      </c>
      <c r="K1298" s="246"/>
      <c r="L1298" s="282"/>
      <c r="M1298" s="244">
        <f>'корпоративный баланс энергии'!AK1307+'корпоративный баланс энергии'!AN1307+'корпоративный баланс энергии'!AQ1307</f>
        <v>284</v>
      </c>
      <c r="N1298" s="246"/>
      <c r="O1298" s="282"/>
      <c r="P1298" s="244">
        <f t="shared" si="99"/>
        <v>1050</v>
      </c>
      <c r="Q1298" s="246"/>
      <c r="R1298" s="282"/>
      <c r="S1298" s="357"/>
      <c r="T1298" s="357"/>
    </row>
    <row r="1299" spans="2:20" s="24" customFormat="1">
      <c r="B1299" s="122" t="str">
        <f>'корпоративный баланс энергии'!H1308</f>
        <v>Волгодонская ТЭЦ-2 (ООО "ЛУКОЙЛ-Ростовэнерго")</v>
      </c>
      <c r="C1299" s="516" t="s">
        <v>364</v>
      </c>
      <c r="D1299" s="281">
        <f>'корпоративный баланс энергии'!J1308+'корпоративный баланс энергии'!M1308+'корпоративный баланс энергии'!P1308</f>
        <v>396.37500000000006</v>
      </c>
      <c r="E1299" s="246"/>
      <c r="F1299" s="282"/>
      <c r="G1299" s="244">
        <f>'корпоративный баланс энергии'!S1308+'корпоративный баланс энергии'!V1308+'корпоративный баланс энергии'!Y1308</f>
        <v>123.512</v>
      </c>
      <c r="H1299" s="246"/>
      <c r="I1299" s="282"/>
      <c r="J1299" s="244">
        <f>'корпоративный баланс энергии'!AB1308+'корпоративный баланс энергии'!AE1308+'корпоративный баланс энергии'!AH1308</f>
        <v>93.2</v>
      </c>
      <c r="K1299" s="246"/>
      <c r="L1299" s="282"/>
      <c r="M1299" s="244">
        <f>'корпоративный баланс энергии'!AK1308+'корпоративный баланс энергии'!AN1308+'корпоративный баланс энергии'!AQ1308</f>
        <v>351.90999999999997</v>
      </c>
      <c r="N1299" s="246"/>
      <c r="O1299" s="282"/>
      <c r="P1299" s="244">
        <f t="shared" si="99"/>
        <v>964.99700000000007</v>
      </c>
      <c r="Q1299" s="246"/>
      <c r="R1299" s="282"/>
      <c r="S1299" s="357"/>
      <c r="T1299" s="357"/>
    </row>
    <row r="1300" spans="2:20" s="24" customFormat="1">
      <c r="B1300" s="122" t="str">
        <f>'корпоративный баланс энергии'!H1309</f>
        <v>Цимлянская ГЭС (ООО "ЛУКОЙЛ-Экоэнерго")</v>
      </c>
      <c r="C1300" s="516" t="s">
        <v>364</v>
      </c>
      <c r="D1300" s="281">
        <f>'корпоративный баланс энергии'!J1309+'корпоративный баланс энергии'!M1309+'корпоративный баланс энергии'!P1309</f>
        <v>112.96074676999999</v>
      </c>
      <c r="E1300" s="246"/>
      <c r="F1300" s="282"/>
      <c r="G1300" s="244">
        <f>'корпоративный баланс энергии'!S1309+'корпоративный баланс энергии'!V1309+'корпоративный баланс энергии'!Y1309</f>
        <v>209.79464722</v>
      </c>
      <c r="H1300" s="246"/>
      <c r="I1300" s="282"/>
      <c r="J1300" s="244">
        <f>'корпоративный баланс энергии'!AB1309+'корпоративный баланс энергии'!AE1309+'корпоративный баланс энергии'!AH1309</f>
        <v>170.68774031999999</v>
      </c>
      <c r="K1300" s="246"/>
      <c r="L1300" s="282"/>
      <c r="M1300" s="244">
        <f>'корпоративный баланс энергии'!AK1309+'корпоративный баланс энергии'!AN1309+'корпоративный баланс энергии'!AQ1309</f>
        <v>139.42852402</v>
      </c>
      <c r="N1300" s="246"/>
      <c r="O1300" s="282"/>
      <c r="P1300" s="244">
        <f t="shared" si="99"/>
        <v>632.87165832999995</v>
      </c>
      <c r="Q1300" s="246"/>
      <c r="R1300" s="282"/>
      <c r="S1300" s="357"/>
      <c r="T1300" s="357"/>
    </row>
    <row r="1301" spans="2:20" s="24" customFormat="1">
      <c r="B1301" s="134" t="str">
        <f>'корпоративный баланс энергии'!H1310</f>
        <v>Ростовская ТЭЦ-2 (ООО "ЛУКОЙЛ-Ростовэнерго")</v>
      </c>
      <c r="C1301" s="516" t="s">
        <v>364</v>
      </c>
      <c r="D1301" s="317">
        <f>SUM(D1302:D1303)</f>
        <v>421.53599999999994</v>
      </c>
      <c r="E1301" s="246"/>
      <c r="F1301" s="282"/>
      <c r="G1301" s="317">
        <f>SUM(G1302:G1303)</f>
        <v>176.57600000000002</v>
      </c>
      <c r="H1301" s="246"/>
      <c r="I1301" s="282"/>
      <c r="J1301" s="317">
        <f>SUM(J1302:J1303)</f>
        <v>137.80000000000001</v>
      </c>
      <c r="K1301" s="246"/>
      <c r="L1301" s="282"/>
      <c r="M1301" s="317">
        <f>SUM(M1302:M1303)</f>
        <v>319.3664</v>
      </c>
      <c r="N1301" s="246"/>
      <c r="O1301" s="282"/>
      <c r="P1301" s="317">
        <f>SUM(P1302:P1303)</f>
        <v>1055.2783999999999</v>
      </c>
      <c r="Q1301" s="246"/>
      <c r="R1301" s="282"/>
      <c r="S1301" s="357"/>
      <c r="T1301" s="357"/>
    </row>
    <row r="1302" spans="2:20" s="24" customFormat="1">
      <c r="B1302" s="122" t="str">
        <f>'корпоративный баланс энергии'!H1311</f>
        <v>Ростовская ТЭЦ-2 (ООО "ЛУКОЙЛ-Ростовэнерго") Бл №1 перемаркир 01.07.2015</v>
      </c>
      <c r="C1302" s="516"/>
      <c r="D1302" s="281">
        <f>'корпоративный баланс энергии'!J1311+'корпоративный баланс энергии'!M1311+'корпоративный баланс энергии'!P1311</f>
        <v>210.76799999999997</v>
      </c>
      <c r="E1302" s="246"/>
      <c r="F1302" s="282"/>
      <c r="G1302" s="244">
        <f>'корпоративный баланс энергии'!S1311+'корпоративный баланс энергии'!V1311+'корпоративный баланс энергии'!Y1311</f>
        <v>106.44800000000001</v>
      </c>
      <c r="H1302" s="246"/>
      <c r="I1302" s="282"/>
      <c r="J1302" s="244">
        <f>'корпоративный баланс энергии'!AB1311+'корпоративный баланс энергии'!AE1311+'корпоративный баланс энергии'!AH1311</f>
        <v>39.78</v>
      </c>
      <c r="K1302" s="246"/>
      <c r="L1302" s="282"/>
      <c r="M1302" s="244">
        <f>'корпоративный баланс энергии'!AK1311+'корпоративный баланс энергии'!AN1311+'корпоративный баланс энергии'!AQ1311</f>
        <v>184.8304</v>
      </c>
      <c r="N1302" s="246"/>
      <c r="O1302" s="282"/>
      <c r="P1302" s="244">
        <f>D1302+G1302+J1302+M1302</f>
        <v>541.82639999999992</v>
      </c>
      <c r="Q1302" s="246"/>
      <c r="R1302" s="282"/>
      <c r="S1302" s="357"/>
      <c r="T1302" s="357"/>
    </row>
    <row r="1303" spans="2:20" s="24" customFormat="1">
      <c r="B1303" s="122" t="str">
        <f>'корпоративный баланс энергии'!H1312</f>
        <v>Ростовская ТЭЦ-2 (ООО "ЛУКОЙЛ-Ростовэнерго") Бл №2</v>
      </c>
      <c r="C1303" s="516"/>
      <c r="D1303" s="281">
        <f>'корпоративный баланс энергии'!J1312+'корпоративный баланс энергии'!M1312+'корпоративный баланс энергии'!P1312</f>
        <v>210.76799999999997</v>
      </c>
      <c r="E1303" s="246"/>
      <c r="F1303" s="282"/>
      <c r="G1303" s="244">
        <f>'корпоративный баланс энергии'!S1312+'корпоративный баланс энергии'!V1312+'корпоративный баланс энергии'!Y1312</f>
        <v>70.128</v>
      </c>
      <c r="H1303" s="246"/>
      <c r="I1303" s="282"/>
      <c r="J1303" s="244">
        <f>'корпоративный баланс энергии'!AB1312+'корпоративный баланс энергии'!AE1312+'корпоративный баланс энергии'!AH1312</f>
        <v>98.02000000000001</v>
      </c>
      <c r="K1303" s="246"/>
      <c r="L1303" s="282"/>
      <c r="M1303" s="244">
        <f>'корпоративный баланс энергии'!AK1312+'корпоративный баланс энергии'!AN1312+'корпоративный баланс энергии'!AQ1312</f>
        <v>134.536</v>
      </c>
      <c r="N1303" s="246"/>
      <c r="O1303" s="282"/>
      <c r="P1303" s="244">
        <f>D1303+G1303+J1303+M1303</f>
        <v>513.452</v>
      </c>
      <c r="Q1303" s="246"/>
      <c r="R1303" s="282"/>
      <c r="S1303" s="357"/>
      <c r="T1303" s="357"/>
    </row>
    <row r="1304" spans="2:20" s="110" customFormat="1">
      <c r="B1304" s="122" t="str">
        <f>'корпоративный баланс энергии'!H1313</f>
        <v>Шахтинская ГТЭС (ООО "Шахтинская ГТЭС")</v>
      </c>
      <c r="C1304" s="516" t="s">
        <v>364</v>
      </c>
      <c r="D1304" s="281">
        <f>'корпоративный баланс энергии'!J1313+'корпоративный баланс энергии'!M1313+'корпоративный баланс энергии'!P1313</f>
        <v>156.648</v>
      </c>
      <c r="E1304" s="246"/>
      <c r="F1304" s="282"/>
      <c r="G1304" s="244">
        <f>'корпоративный баланс энергии'!S1313+'корпоративный баланс энергии'!V1313+'корпоративный баланс энергии'!Y1313</f>
        <v>49.103999999999999</v>
      </c>
      <c r="H1304" s="246"/>
      <c r="I1304" s="282"/>
      <c r="J1304" s="244">
        <f>'корпоративный баланс энергии'!AB1313+'корпоративный баланс энергии'!AE1313+'корпоративный баланс энергии'!AH1313</f>
        <v>44.930000000000007</v>
      </c>
      <c r="K1304" s="246"/>
      <c r="L1304" s="282"/>
      <c r="M1304" s="244">
        <f>'корпоративный баланс энергии'!AK1313+'корпоративный баланс энергии'!AN1313+'корпоративный баланс энергии'!AQ1313</f>
        <v>98.25800000000001</v>
      </c>
      <c r="N1304" s="246"/>
      <c r="O1304" s="282"/>
      <c r="P1304" s="244">
        <f>D1304+G1304+J1304+M1304</f>
        <v>348.94000000000005</v>
      </c>
      <c r="Q1304" s="246"/>
      <c r="R1304" s="282"/>
      <c r="S1304" s="356"/>
      <c r="T1304" s="356"/>
    </row>
    <row r="1305" spans="2:20" s="24" customFormat="1">
      <c r="B1305" s="122" t="str">
        <f>'корпоративный баланс энергии'!H1314</f>
        <v>Новочеркасская ГТ-ТЭЦ (АО "ГТ Энерго")</v>
      </c>
      <c r="C1305" s="526" t="s">
        <v>365</v>
      </c>
      <c r="D1305" s="281">
        <f>'корпоративный баланс энергии'!J1314+'корпоративный баланс энергии'!M1314+'корпоративный баланс энергии'!P1314</f>
        <v>29.3599</v>
      </c>
      <c r="E1305" s="246"/>
      <c r="F1305" s="282"/>
      <c r="G1305" s="244">
        <f>'корпоративный баланс энергии'!S1314+'корпоративный баланс энергии'!V1314+'корпоративный баланс энергии'!Y1314</f>
        <v>8.6669</v>
      </c>
      <c r="H1305" s="246"/>
      <c r="I1305" s="282"/>
      <c r="J1305" s="244">
        <f>'корпоративный баланс энергии'!AB1314+'корпоративный баланс энергии'!AE1314+'корпоративный баланс энергии'!AH1314</f>
        <v>6.0795500000000002</v>
      </c>
      <c r="K1305" s="246"/>
      <c r="L1305" s="282"/>
      <c r="M1305" s="244">
        <f>'корпоративный баланс энергии'!AK1314+'корпоративный баланс энергии'!AN1314+'корпоративный баланс энергии'!AQ1314</f>
        <v>17.823399999999999</v>
      </c>
      <c r="N1305" s="246"/>
      <c r="O1305" s="282"/>
      <c r="P1305" s="244">
        <f>D1305+G1305+J1305+M1305</f>
        <v>61.929749999999999</v>
      </c>
      <c r="Q1305" s="246"/>
      <c r="R1305" s="282"/>
      <c r="S1305" s="357"/>
      <c r="T1305" s="357"/>
    </row>
    <row r="1306" spans="2:20" s="24" customFormat="1">
      <c r="B1306" s="122" t="str">
        <f>'корпоративный баланс энергии'!H1315</f>
        <v>Районная котельная -3 (ООО "ЛУКОЙЛ-Ростовэнерго) НВ  01.11.2015</v>
      </c>
      <c r="C1306" s="526" t="s">
        <v>365</v>
      </c>
      <c r="D1306" s="281">
        <f>'корпоративный баланс энергии'!J1315+'корпоративный баланс энергии'!M1315+'корпоративный баланс энергии'!P1315</f>
        <v>6.5010000000000003</v>
      </c>
      <c r="E1306" s="246"/>
      <c r="F1306" s="282"/>
      <c r="G1306" s="244">
        <f>'корпоративный баланс энергии'!S1315+'корпоративный баланс энергии'!V1315+'корпоративный баланс энергии'!Y1315</f>
        <v>5.8239999999999998</v>
      </c>
      <c r="H1306" s="246"/>
      <c r="I1306" s="282"/>
      <c r="J1306" s="244">
        <f>'корпоративный баланс энергии'!AB1315+'корпоративный баланс энергии'!AE1315+'корпоративный баланс энергии'!AH1315</f>
        <v>5.6669999999999998</v>
      </c>
      <c r="K1306" s="246"/>
      <c r="L1306" s="282"/>
      <c r="M1306" s="244">
        <f>'корпоративный баланс энергии'!AK1315+'корпоративный баланс энергии'!AN1315+'корпоративный баланс энергии'!AQ1315</f>
        <v>7.9319999999999995</v>
      </c>
      <c r="N1306" s="246"/>
      <c r="O1306" s="282"/>
      <c r="P1306" s="244">
        <f>D1306+G1306+J1306+M1306</f>
        <v>25.923999999999996</v>
      </c>
      <c r="Q1306" s="246"/>
      <c r="R1306" s="282"/>
      <c r="S1306" s="357"/>
      <c r="T1306" s="357"/>
    </row>
    <row r="1307" spans="2:20" s="24" customFormat="1">
      <c r="B1307" s="122" t="str">
        <f>'корпоративный баланс энергии'!H1316</f>
        <v>Гуковская ВЭС (ВЭС Гуково-1 (ООО "Ветропарки ФРВ")</v>
      </c>
      <c r="C1307" s="516" t="s">
        <v>364</v>
      </c>
      <c r="D1307" s="281">
        <f>'корпоративный баланс энергии'!J1316+'корпоративный баланс энергии'!M1316+'корпоративный баланс энергии'!P1316</f>
        <v>37.850999999999999</v>
      </c>
      <c r="E1307" s="246"/>
      <c r="F1307" s="282"/>
      <c r="G1307" s="244">
        <f>'корпоративный баланс энергии'!S1316+'корпоративный баланс энергии'!V1316+'корпоративный баланс энергии'!Y1316</f>
        <v>76.701999999999998</v>
      </c>
      <c r="H1307" s="246"/>
      <c r="I1307" s="282"/>
      <c r="J1307" s="244">
        <f>'корпоративный баланс энергии'!AB1316+'корпоративный баланс энергии'!AE1316+'корпоративный баланс энергии'!AH1316</f>
        <v>44.582000000000001</v>
      </c>
      <c r="K1307" s="246"/>
      <c r="L1307" s="282"/>
      <c r="M1307" s="244">
        <f>'корпоративный баланс энергии'!AK1316+'корпоративный баланс энергии'!AN1316+'корпоративный баланс энергии'!AQ1316</f>
        <v>51.165999999999997</v>
      </c>
      <c r="N1307" s="246"/>
      <c r="O1307" s="282"/>
      <c r="P1307" s="244">
        <f t="shared" ref="P1307:P1310" si="101">D1307+G1307+J1307+M1307</f>
        <v>210.30099999999999</v>
      </c>
      <c r="Q1307" s="246"/>
      <c r="R1307" s="282"/>
      <c r="S1307" s="357"/>
      <c r="T1307" s="357"/>
    </row>
    <row r="1308" spans="2:20" s="24" customFormat="1">
      <c r="B1308" s="122" t="str">
        <f>'корпоративный баланс энергии'!H1317</f>
        <v>Сулинская ВЭС (Каменско-Красносулинская ВЭС. Южная площадка (ООО "ВТОРОЙ ВЕТРОПАРК ФРВ")</v>
      </c>
      <c r="C1308" s="516" t="s">
        <v>364</v>
      </c>
      <c r="D1308" s="281">
        <f>'корпоративный баланс энергии'!J1317+'корпоративный баланс энергии'!M1317+'корпоративный баланс энергии'!P1317</f>
        <v>62.798000000000002</v>
      </c>
      <c r="E1308" s="246"/>
      <c r="F1308" s="282"/>
      <c r="G1308" s="244">
        <f>'корпоративный баланс энергии'!S1317+'корпоративный баланс энергии'!V1317+'корпоративный баланс энергии'!Y1317</f>
        <v>77.574999999999989</v>
      </c>
      <c r="H1308" s="246"/>
      <c r="I1308" s="282"/>
      <c r="J1308" s="244">
        <f>'корпоративный баланс энергии'!AB1317+'корпоративный баланс энергии'!AE1317+'корпоративный баланс энергии'!AH1317</f>
        <v>45.065999999999995</v>
      </c>
      <c r="K1308" s="246"/>
      <c r="L1308" s="282"/>
      <c r="M1308" s="244">
        <f>'корпоративный баланс энергии'!AK1317+'корпоративный баланс энергии'!AN1317+'корпоративный баланс энергии'!AQ1317</f>
        <v>51.730000000000004</v>
      </c>
      <c r="N1308" s="246"/>
      <c r="O1308" s="282"/>
      <c r="P1308" s="244">
        <f t="shared" si="101"/>
        <v>237.16899999999998</v>
      </c>
      <c r="Q1308" s="246"/>
      <c r="R1308" s="282"/>
      <c r="S1308" s="357"/>
      <c r="T1308" s="357"/>
    </row>
    <row r="1309" spans="2:20" s="24" customFormat="1">
      <c r="B1309" s="122" t="str">
        <f>'корпоративный баланс энергии'!H1318</f>
        <v>Каменская ВЭС (Каменско-Красносулинская ВЭС. Северная площадка (ООО "ВТОРОЙ ВЕТРОПАРК ФРВ")</v>
      </c>
      <c r="C1309" s="516" t="s">
        <v>364</v>
      </c>
      <c r="D1309" s="281">
        <f>'корпоративный баланс энергии'!J1318+'корпоративный баланс энергии'!M1318+'корпоративный баланс энергии'!P1318</f>
        <v>62.798000000000002</v>
      </c>
      <c r="E1309" s="246"/>
      <c r="F1309" s="282"/>
      <c r="G1309" s="244">
        <f>'корпоративный баланс энергии'!S1318+'корпоративный баланс энергии'!V1318+'корпоративный баланс энергии'!Y1318</f>
        <v>77.574999999999989</v>
      </c>
      <c r="H1309" s="246"/>
      <c r="I1309" s="282"/>
      <c r="J1309" s="244">
        <f>'корпоративный баланс энергии'!AB1318+'корпоративный баланс энергии'!AE1318+'корпоративный баланс энергии'!AH1318</f>
        <v>45.065999999999995</v>
      </c>
      <c r="K1309" s="246"/>
      <c r="L1309" s="282"/>
      <c r="M1309" s="244">
        <f>'корпоративный баланс энергии'!AK1318+'корпоративный баланс энергии'!AN1318+'корпоративный баланс энергии'!AQ1318</f>
        <v>51.730000000000004</v>
      </c>
      <c r="N1309" s="246"/>
      <c r="O1309" s="282"/>
      <c r="P1309" s="244">
        <f t="shared" si="101"/>
        <v>237.16899999999998</v>
      </c>
      <c r="Q1309" s="246"/>
      <c r="R1309" s="282"/>
      <c r="S1309" s="357"/>
      <c r="T1309" s="357"/>
    </row>
    <row r="1310" spans="2:20" s="24" customFormat="1">
      <c r="B1310" s="122" t="str">
        <f>'корпоративный баланс энергии'!H1319</f>
        <v>Азовская ВЭС (ООО "Энел Рус Винд Азов")</v>
      </c>
      <c r="C1310" s="516" t="s">
        <v>364</v>
      </c>
      <c r="D1310" s="281">
        <f>'корпоративный баланс энергии'!J1319+'корпоративный баланс энергии'!M1319+'корпоративный баланс энергии'!P1319</f>
        <v>0</v>
      </c>
      <c r="E1310" s="246"/>
      <c r="F1310" s="282"/>
      <c r="G1310" s="244">
        <f>'корпоративный баланс энергии'!S1319+'корпоративный баланс энергии'!V1319+'корпоративный баланс энергии'!Y1319</f>
        <v>0</v>
      </c>
      <c r="H1310" s="246"/>
      <c r="I1310" s="282"/>
      <c r="J1310" s="244">
        <f>'корпоративный баланс энергии'!AB1319+'корпоративный баланс энергии'!AE1319+'корпоративный баланс энергии'!AH1319</f>
        <v>0</v>
      </c>
      <c r="K1310" s="246"/>
      <c r="L1310" s="282"/>
      <c r="M1310" s="244">
        <f>'корпоративный баланс энергии'!AK1319+'корпоративный баланс энергии'!AN1319+'корпоративный баланс энергии'!AQ1319</f>
        <v>32.276000000000003</v>
      </c>
      <c r="N1310" s="246"/>
      <c r="O1310" s="282"/>
      <c r="P1310" s="244">
        <f t="shared" si="101"/>
        <v>32.276000000000003</v>
      </c>
      <c r="Q1310" s="246"/>
      <c r="R1310" s="282"/>
      <c r="S1310" s="357"/>
      <c r="T1310" s="357"/>
    </row>
    <row r="1311" spans="2:20" s="24" customFormat="1">
      <c r="B1311" s="138" t="s">
        <v>174</v>
      </c>
      <c r="C1311" s="488"/>
      <c r="D1311" s="287">
        <f>D1312</f>
        <v>8.5</v>
      </c>
      <c r="E1311" s="288"/>
      <c r="F1311" s="289"/>
      <c r="G1311" s="287">
        <f>G1312</f>
        <v>0.3</v>
      </c>
      <c r="H1311" s="288"/>
      <c r="I1311" s="289"/>
      <c r="J1311" s="287">
        <f>J1312</f>
        <v>0</v>
      </c>
      <c r="K1311" s="288"/>
      <c r="L1311" s="289"/>
      <c r="M1311" s="287">
        <f>M1312</f>
        <v>4.2</v>
      </c>
      <c r="N1311" s="288"/>
      <c r="O1311" s="289"/>
      <c r="P1311" s="287">
        <f>P1312</f>
        <v>13</v>
      </c>
      <c r="Q1311" s="288"/>
      <c r="R1311" s="289"/>
      <c r="S1311" s="357"/>
      <c r="T1311" s="357"/>
    </row>
    <row r="1312" spans="2:20" s="24" customFormat="1">
      <c r="B1312" s="145" t="str">
        <f>'корпоративный баланс энергии'!H1321</f>
        <v>ТЭЦ ООО "Ростсельмашэнерго"</v>
      </c>
      <c r="C1312" s="518" t="s">
        <v>365</v>
      </c>
      <c r="D1312" s="293">
        <f>'корпоративный баланс энергии'!J1321+'корпоративный баланс энергии'!M1321+'корпоративный баланс энергии'!P1321</f>
        <v>8.5</v>
      </c>
      <c r="E1312" s="288"/>
      <c r="F1312" s="289"/>
      <c r="G1312" s="294">
        <f>'корпоративный баланс энергии'!S1321+'корпоративный баланс энергии'!V1321+'корпоративный баланс энергии'!Y1321</f>
        <v>0.3</v>
      </c>
      <c r="H1312" s="288"/>
      <c r="I1312" s="289"/>
      <c r="J1312" s="294">
        <f>'корпоративный баланс энергии'!AB1321+'корпоративный баланс энергии'!AE1321+'корпоративный баланс энергии'!AH1321</f>
        <v>0</v>
      </c>
      <c r="K1312" s="288"/>
      <c r="L1312" s="289"/>
      <c r="M1312" s="294">
        <f>'корпоративный баланс энергии'!AK1321+'корпоративный баланс энергии'!AN1321+'корпоративный баланс энергии'!AQ1321</f>
        <v>4.2</v>
      </c>
      <c r="N1312" s="288"/>
      <c r="O1312" s="289"/>
      <c r="P1312" s="294">
        <f>D1312+G1312+J1312+M1312</f>
        <v>13</v>
      </c>
      <c r="Q1312" s="288"/>
      <c r="R1312" s="289"/>
      <c r="S1312" s="357"/>
      <c r="T1312" s="357"/>
    </row>
    <row r="1313" spans="2:20" s="24" customFormat="1" ht="18.75">
      <c r="B1313" s="474" t="str">
        <f>'корпоративный баланс энергии'!H1322</f>
        <v>Энергосистема Республики Северная Осетия-Алания</v>
      </c>
      <c r="C1313" s="501"/>
      <c r="D1313" s="274">
        <f>D1314</f>
        <v>58.279614434845747</v>
      </c>
      <c r="E1313" s="275">
        <f>F1313-D1313</f>
        <v>445.96943037904413</v>
      </c>
      <c r="F1313" s="276">
        <f>'корпоративный баланс энергии'!L1322+'корпоративный баланс энергии'!O1322+'корпоративный баланс энергии'!R1322</f>
        <v>504.2490448138899</v>
      </c>
      <c r="G1313" s="277">
        <f>G1314</f>
        <v>282.05062348134817</v>
      </c>
      <c r="H1313" s="275">
        <f>I1313-G1313</f>
        <v>106.70704301611983</v>
      </c>
      <c r="I1313" s="276">
        <f>'корпоративный баланс энергии'!U1322+'корпоративный баланс энергии'!X1322+'корпоративный баланс энергии'!AA1322</f>
        <v>388.75766649746799</v>
      </c>
      <c r="J1313" s="277">
        <f>J1314</f>
        <v>291.63919210864606</v>
      </c>
      <c r="K1313" s="275">
        <f>L1313-J1313</f>
        <v>96.423828398418891</v>
      </c>
      <c r="L1313" s="276">
        <f>'корпоративный баланс энергии'!AD1322+'корпоративный баланс энергии'!AG1322+'корпоративный баланс энергии'!AJ1322</f>
        <v>388.06302050706495</v>
      </c>
      <c r="M1313" s="277">
        <f>M1314</f>
        <v>67.213241820231076</v>
      </c>
      <c r="N1313" s="275">
        <f>O1313-M1313</f>
        <v>441.71702636134592</v>
      </c>
      <c r="O1313" s="276">
        <f>'корпоративный баланс энергии'!AM1322+'корпоративный баланс энергии'!AP1322+'корпоративный баланс энергии'!AS1322</f>
        <v>508.93026818157699</v>
      </c>
      <c r="P1313" s="277">
        <f>P1314</f>
        <v>699.18267184507101</v>
      </c>
      <c r="Q1313" s="275">
        <f>R1313-P1313</f>
        <v>1090.8173281549289</v>
      </c>
      <c r="R1313" s="276">
        <f>F1313+I1313+L1313+O1313</f>
        <v>1790</v>
      </c>
      <c r="S1313" s="357"/>
      <c r="T1313" s="357"/>
    </row>
    <row r="1314" spans="2:20" s="24" customFormat="1">
      <c r="B1314" s="124" t="s">
        <v>55</v>
      </c>
      <c r="C1314" s="497"/>
      <c r="D1314" s="362">
        <f>SUM(D1315:D1322)</f>
        <v>58.279614434845747</v>
      </c>
      <c r="E1314" s="363"/>
      <c r="F1314" s="364"/>
      <c r="G1314" s="362">
        <f>SUM(G1315:G1322)</f>
        <v>282.05062348134817</v>
      </c>
      <c r="H1314" s="363"/>
      <c r="I1314" s="364"/>
      <c r="J1314" s="362">
        <f>SUM(J1315:J1322)</f>
        <v>291.63919210864606</v>
      </c>
      <c r="K1314" s="363"/>
      <c r="L1314" s="364"/>
      <c r="M1314" s="362">
        <f>SUM(M1315:M1322)</f>
        <v>67.213241820231076</v>
      </c>
      <c r="N1314" s="363"/>
      <c r="O1314" s="364"/>
      <c r="P1314" s="362">
        <f>SUM(P1315:P1322)</f>
        <v>699.18267184507101</v>
      </c>
      <c r="Q1314" s="363"/>
      <c r="R1314" s="364"/>
      <c r="S1314" s="357"/>
      <c r="T1314" s="357"/>
    </row>
    <row r="1315" spans="2:20" s="24" customFormat="1">
      <c r="B1315" s="127" t="str">
        <f>'корпоративный баланс энергии'!H1324</f>
        <v>Эзминская ГЭС (Северо-Осетинский филиал ПАО "РусГидро")</v>
      </c>
      <c r="C1315" s="516" t="s">
        <v>364</v>
      </c>
      <c r="D1315" s="281">
        <f>'корпоративный баланс энергии'!J1324+'корпоративный баланс энергии'!M1324+'корпоративный баланс энергии'!P1324</f>
        <v>10.7</v>
      </c>
      <c r="E1315" s="246"/>
      <c r="F1315" s="282"/>
      <c r="G1315" s="244">
        <f>'корпоративный баланс энергии'!S1324+'корпоративный баланс энергии'!V1324+'корпоративный баланс энергии'!Y1324</f>
        <v>78</v>
      </c>
      <c r="H1315" s="246"/>
      <c r="I1315" s="282"/>
      <c r="J1315" s="244">
        <f>'корпоративный баланс энергии'!AB1324+'корпоративный баланс энергии'!AE1324+'корпоративный баланс энергии'!AH1324</f>
        <v>77</v>
      </c>
      <c r="K1315" s="246"/>
      <c r="L1315" s="282"/>
      <c r="M1315" s="244">
        <f>'корпоративный баланс энергии'!AK1324+'корпоративный баланс энергии'!AN1324+'корпоративный баланс энергии'!AQ1324</f>
        <v>0</v>
      </c>
      <c r="N1315" s="246"/>
      <c r="O1315" s="282"/>
      <c r="P1315" s="244">
        <f t="shared" ref="P1315:P1322" si="102">D1315+G1315+J1315+M1315</f>
        <v>165.7</v>
      </c>
      <c r="Q1315" s="246"/>
      <c r="R1315" s="282"/>
      <c r="S1315" s="357"/>
      <c r="T1315" s="357"/>
    </row>
    <row r="1316" spans="2:20" s="24" customFormat="1">
      <c r="B1316" s="127" t="str">
        <f>'корпоративный баланс энергии'!H1325</f>
        <v>Гизельдонская ГЭС (Северо-Осетинский филиал ПАО "РусГидро")</v>
      </c>
      <c r="C1316" s="516" t="s">
        <v>364</v>
      </c>
      <c r="D1316" s="281">
        <f>'корпоративный баланс энергии'!J1325+'корпоративный баланс энергии'!M1325+'корпоративный баланс энергии'!P1325</f>
        <v>2.65</v>
      </c>
      <c r="E1316" s="246"/>
      <c r="F1316" s="282"/>
      <c r="G1316" s="244">
        <f>'корпоративный баланс энергии'!S1325+'корпоративный баланс энергии'!V1325+'корпоративный баланс энергии'!Y1325</f>
        <v>8.0500000000000007</v>
      </c>
      <c r="H1316" s="246"/>
      <c r="I1316" s="282"/>
      <c r="J1316" s="244">
        <f>'корпоративный баланс энергии'!AB1325+'корпоративный баланс энергии'!AE1325+'корпоративный баланс энергии'!AH1325</f>
        <v>20</v>
      </c>
      <c r="K1316" s="246"/>
      <c r="L1316" s="282"/>
      <c r="M1316" s="244">
        <f>'корпоративный баланс энергии'!AK1325+'корпоративный баланс энергии'!AN1325+'корпоративный баланс энергии'!AQ1325</f>
        <v>6.5</v>
      </c>
      <c r="N1316" s="246"/>
      <c r="O1316" s="282"/>
      <c r="P1316" s="244">
        <f t="shared" si="102"/>
        <v>37.200000000000003</v>
      </c>
      <c r="Q1316" s="246"/>
      <c r="R1316" s="282"/>
      <c r="S1316" s="357"/>
      <c r="T1316" s="357"/>
    </row>
    <row r="1317" spans="2:20" s="24" customFormat="1">
      <c r="B1317" s="127" t="str">
        <f>'корпоративный баланс энергии'!H1326</f>
        <v>Дзауджикауская ГЭС (Северо-Осетинский филиал ПАО "РусГидро")</v>
      </c>
      <c r="C1317" s="516" t="s">
        <v>364</v>
      </c>
      <c r="D1317" s="281">
        <f>'корпоративный баланс энергии'!J1326+'корпоративный баланс энергии'!M1326+'корпоративный баланс энергии'!P1326</f>
        <v>2.9</v>
      </c>
      <c r="E1317" s="246"/>
      <c r="F1317" s="282"/>
      <c r="G1317" s="244">
        <f>'корпоративный баланс энергии'!S1326+'корпоративный баланс энергии'!V1326+'корпоративный баланс энергии'!Y1326</f>
        <v>12</v>
      </c>
      <c r="H1317" s="246"/>
      <c r="I1317" s="282"/>
      <c r="J1317" s="244">
        <f>'корпоративный баланс энергии'!AB1326+'корпоративный баланс энергии'!AE1326+'корпоративный баланс энергии'!AH1326</f>
        <v>14.8</v>
      </c>
      <c r="K1317" s="246"/>
      <c r="L1317" s="282"/>
      <c r="M1317" s="244">
        <f>'корпоративный баланс энергии'!AK1326+'корпоративный баланс энергии'!AN1326+'корпоративный баланс энергии'!AQ1326</f>
        <v>2.2999999999999998</v>
      </c>
      <c r="N1317" s="246"/>
      <c r="O1317" s="282"/>
      <c r="P1317" s="244">
        <f t="shared" si="102"/>
        <v>32</v>
      </c>
      <c r="Q1317" s="246"/>
      <c r="R1317" s="282"/>
      <c r="S1317" s="357"/>
      <c r="T1317" s="357"/>
    </row>
    <row r="1318" spans="2:20" s="24" customFormat="1">
      <c r="B1318" s="127" t="str">
        <f>'корпоративный баланс энергии'!H1327</f>
        <v>Малые ГЭС (Северо-Осетинский филиал ПАО "РусГидро")</v>
      </c>
      <c r="C1318" s="526" t="s">
        <v>365</v>
      </c>
      <c r="D1318" s="281">
        <f>'корпоративный баланс энергии'!J1327+'корпоративный баланс энергии'!M1327+'корпоративный баланс энергии'!P1327</f>
        <v>0.22758985031396151</v>
      </c>
      <c r="E1318" s="246"/>
      <c r="F1318" s="282"/>
      <c r="G1318" s="244">
        <f>'корпоративный баланс энергии'!S1327+'корпоративный баланс энергии'!V1327+'корпоративный баланс энергии'!Y1327</f>
        <v>0.24972178228199482</v>
      </c>
      <c r="H1318" s="246"/>
      <c r="I1318" s="282"/>
      <c r="J1318" s="244">
        <f>'корпоративный баланс энергии'!AB1327+'корпоративный баланс энергии'!AE1327+'корпоративный баланс энергии'!AH1327</f>
        <v>0.20322749949991703</v>
      </c>
      <c r="K1318" s="246"/>
      <c r="L1318" s="282"/>
      <c r="M1318" s="244">
        <f>'корпоративный баланс энергии'!AK1327+'корпоративный баланс энергии'!AN1327+'корпоративный баланс энергии'!AQ1327</f>
        <v>0.23984321393072605</v>
      </c>
      <c r="N1318" s="246"/>
      <c r="O1318" s="282"/>
      <c r="P1318" s="244">
        <f t="shared" si="102"/>
        <v>0.92038234602659941</v>
      </c>
      <c r="Q1318" s="323"/>
      <c r="R1318" s="324"/>
      <c r="S1318" s="357"/>
      <c r="T1318" s="357"/>
    </row>
    <row r="1319" spans="2:20" s="24" customFormat="1">
      <c r="B1319" s="127" t="str">
        <f>'корпоративный баланс энергии'!H1328</f>
        <v>Фаснальская ГЭС (ОАО "Турбохолод")</v>
      </c>
      <c r="C1319" s="526" t="s">
        <v>365</v>
      </c>
      <c r="D1319" s="281">
        <f>'корпоративный баланс энергии'!J1328+'корпоративный баланс энергии'!M1328+'корпоративный баланс энергии'!P1328</f>
        <v>0.79499999999999993</v>
      </c>
      <c r="E1319" s="246"/>
      <c r="F1319" s="282"/>
      <c r="G1319" s="244">
        <f>'корпоративный баланс энергии'!S1328+'корпоративный баланс энергии'!V1328+'корпоративный баланс энергии'!Y1328</f>
        <v>1.96</v>
      </c>
      <c r="H1319" s="246"/>
      <c r="I1319" s="282"/>
      <c r="J1319" s="244">
        <f>'корпоративный баланс энергии'!AB1328+'корпоративный баланс энергии'!AE1328+'корпоративный баланс энергии'!AH1328</f>
        <v>2.12</v>
      </c>
      <c r="K1319" s="246"/>
      <c r="L1319" s="282"/>
      <c r="M1319" s="244">
        <f>'корпоративный баланс энергии'!AK1328+'корпоративный баланс энергии'!AN1328+'корпоративный баланс энергии'!AQ1328</f>
        <v>1.5549999999999999</v>
      </c>
      <c r="N1319" s="246"/>
      <c r="O1319" s="282"/>
      <c r="P1319" s="244">
        <f t="shared" si="102"/>
        <v>6.43</v>
      </c>
      <c r="Q1319" s="246"/>
      <c r="R1319" s="282"/>
      <c r="S1319" s="357"/>
      <c r="T1319" s="357"/>
    </row>
    <row r="1320" spans="2:20" s="24" customFormat="1">
      <c r="B1320" s="127" t="str">
        <f>'корпоративный баланс энергии'!H1329</f>
        <v>Зарамагские ГЭС - Головная ГЭС Ардонского каскада (Северо-Осетинский филиал ПАО "РусГидро")</v>
      </c>
      <c r="C1320" s="516" t="s">
        <v>364</v>
      </c>
      <c r="D1320" s="281">
        <f>'корпоративный баланс энергии'!J1329+'корпоративный баланс энергии'!M1329+'корпоративный баланс энергии'!P1329</f>
        <v>1.5479889810085297</v>
      </c>
      <c r="E1320" s="246"/>
      <c r="F1320" s="282"/>
      <c r="G1320" s="244">
        <f>'корпоративный баланс энергии'!S1329+'корпоративный баланс энергии'!V1329+'корпоративный баланс энергии'!Y1329</f>
        <v>15.062727093696594</v>
      </c>
      <c r="H1320" s="246"/>
      <c r="I1320" s="282"/>
      <c r="J1320" s="244">
        <f>'корпоративный баланс энергии'!AB1329+'корпоративный баланс энергии'!AE1329+'корпоративный баланс энергии'!AH1329</f>
        <v>11.29630708694458</v>
      </c>
      <c r="K1320" s="246"/>
      <c r="L1320" s="282"/>
      <c r="M1320" s="244">
        <f>'корпоративный баланс энергии'!AK1329+'корпоративный баланс энергии'!AN1329+'корпоративный баланс энергии'!AQ1329</f>
        <v>2.709712028503418</v>
      </c>
      <c r="N1320" s="246"/>
      <c r="O1320" s="282"/>
      <c r="P1320" s="244">
        <f t="shared" si="102"/>
        <v>30.616735190153122</v>
      </c>
      <c r="Q1320" s="246"/>
      <c r="R1320" s="282"/>
      <c r="S1320" s="357"/>
      <c r="T1320" s="357"/>
    </row>
    <row r="1321" spans="2:20" s="24" customFormat="1">
      <c r="B1321" s="127" t="str">
        <f>'корпоративный баланс энергии'!H1330</f>
        <v>Зарамагская ГЭС-1(АО"Зарамагскаие ГЭС") НВ</v>
      </c>
      <c r="C1321" s="516" t="s">
        <v>364</v>
      </c>
      <c r="D1321" s="281">
        <f>'корпоративный баланс энергии'!J1330+'корпоративный баланс энергии'!M1330+'корпоративный баланс энергии'!P1330</f>
        <v>36.567</v>
      </c>
      <c r="E1321" s="246"/>
      <c r="F1321" s="282"/>
      <c r="G1321" s="244">
        <f>'корпоративный баланс энергии'!S1330+'корпоративный баланс энергии'!V1330+'корпоративный баланс энергии'!Y1330</f>
        <v>163.16500000000002</v>
      </c>
      <c r="H1321" s="246"/>
      <c r="I1321" s="282"/>
      <c r="J1321" s="244">
        <f>'корпоративный баланс энергии'!AB1330+'корпоративный баланс энергии'!AE1330+'корпоративный баланс энергии'!AH1330</f>
        <v>162.53100000000001</v>
      </c>
      <c r="K1321" s="246"/>
      <c r="L1321" s="282"/>
      <c r="M1321" s="244">
        <f>'корпоративный баланс энергии'!AK1330+'корпоративный баланс энергии'!AN1330+'корпоративный баланс энергии'!AQ1330</f>
        <v>49.786999999999999</v>
      </c>
      <c r="N1321" s="246"/>
      <c r="O1321" s="282"/>
      <c r="P1321" s="244">
        <f t="shared" ref="P1321" si="103">D1321+G1321+J1321+M1321</f>
        <v>412.05</v>
      </c>
      <c r="Q1321" s="246"/>
      <c r="R1321" s="282"/>
      <c r="S1321" s="357"/>
      <c r="T1321" s="357"/>
    </row>
    <row r="1322" spans="2:20" s="24" customFormat="1">
      <c r="B1322" s="127" t="str">
        <f>'корпоративный баланс энергии'!H1331</f>
        <v>Павлодольская ГЭС (ОАО "Павлодольская ГЭС")</v>
      </c>
      <c r="C1322" s="526" t="s">
        <v>365</v>
      </c>
      <c r="D1322" s="281">
        <f>'корпоративный баланс энергии'!J1331+'корпоративный баланс энергии'!M1331+'корпоративный баланс энергии'!P1331</f>
        <v>2.8920356035232544</v>
      </c>
      <c r="E1322" s="246"/>
      <c r="F1322" s="282"/>
      <c r="G1322" s="244">
        <f>'корпоративный баланс энергии'!S1331+'корпоративный баланс энергии'!V1331+'корпоративный баланс энергии'!Y1331</f>
        <v>3.5631746053695679</v>
      </c>
      <c r="H1322" s="246"/>
      <c r="I1322" s="282"/>
      <c r="J1322" s="244">
        <f>'корпоративный баланс энергии'!AB1331+'корпоративный баланс энергии'!AE1331+'корпоративный баланс энергии'!AH1331</f>
        <v>3.6886575222015381</v>
      </c>
      <c r="K1322" s="246"/>
      <c r="L1322" s="282"/>
      <c r="M1322" s="244">
        <f>'корпоративный баланс энергии'!AK1331+'корпоративный баланс энергии'!AN1331+'корпоративный баланс энергии'!AQ1331</f>
        <v>4.121686577796936</v>
      </c>
      <c r="N1322" s="246"/>
      <c r="O1322" s="282"/>
      <c r="P1322" s="244">
        <f t="shared" si="102"/>
        <v>14.265554308891296</v>
      </c>
      <c r="Q1322" s="246"/>
      <c r="R1322" s="282"/>
      <c r="S1322" s="357"/>
      <c r="T1322" s="357"/>
    </row>
    <row r="1323" spans="2:20" s="24" customFormat="1" ht="18.75">
      <c r="B1323" s="474" t="str">
        <f>'корпоративный баланс энергии'!H1332</f>
        <v>Энергосистема Ставропольского края</v>
      </c>
      <c r="C1323" s="501"/>
      <c r="D1323" s="274">
        <f>SUM(D1324:D1328)</f>
        <v>5374.3172400000012</v>
      </c>
      <c r="E1323" s="275">
        <f>F1323-D1323</f>
        <v>-2516.3832745323984</v>
      </c>
      <c r="F1323" s="276">
        <f>'корпоративный баланс энергии'!L1332+'корпоративный баланс энергии'!O1332+'корпоративный баланс энергии'!R1332</f>
        <v>2857.9339654676028</v>
      </c>
      <c r="G1323" s="274">
        <f>SUM(G1324:G1328)</f>
        <v>3222.1090000000004</v>
      </c>
      <c r="H1323" s="275">
        <f>I1323-G1323</f>
        <v>-761.39058165820597</v>
      </c>
      <c r="I1323" s="276">
        <f>'корпоративный баланс энергии'!U1332+'корпоративный баланс энергии'!X1332+'корпоративный баланс энергии'!AA1332</f>
        <v>2460.7184183417944</v>
      </c>
      <c r="J1323" s="274">
        <f>SUM(J1324:J1328)</f>
        <v>4890.2632000000003</v>
      </c>
      <c r="K1323" s="275">
        <f>L1323-J1323</f>
        <v>-2249.928884017429</v>
      </c>
      <c r="L1323" s="276">
        <f>'корпоративный баланс энергии'!AD1332+'корпоративный баланс энергии'!AG1332+'корпоративный баланс энергии'!AJ1332</f>
        <v>2640.3343159825713</v>
      </c>
      <c r="M1323" s="274">
        <f>SUM(M1324:M1328)</f>
        <v>5002.5910400000002</v>
      </c>
      <c r="N1323" s="275">
        <f>O1323-M1323</f>
        <v>-2074.5777397919683</v>
      </c>
      <c r="O1323" s="276">
        <f>'корпоративный баланс энергии'!AM1332+'корпоративный баланс энергии'!AP1332+'корпоративный баланс энергии'!AS1332</f>
        <v>2928.013300208032</v>
      </c>
      <c r="P1323" s="274">
        <f>SUM(P1324:P1328)</f>
        <v>18489.280480000005</v>
      </c>
      <c r="Q1323" s="275">
        <f>R1323-P1323</f>
        <v>-7602.2804800000049</v>
      </c>
      <c r="R1323" s="276">
        <f>F1323+I1323+L1323+O1323</f>
        <v>10887</v>
      </c>
      <c r="S1323" s="357"/>
      <c r="T1323" s="357"/>
    </row>
    <row r="1324" spans="2:20" s="24" customFormat="1">
      <c r="B1324" s="124" t="s">
        <v>56</v>
      </c>
      <c r="C1324" s="497"/>
      <c r="D1324" s="362">
        <f>SUM(D1329:D1330,D1333:D1335)</f>
        <v>4993.0282400000015</v>
      </c>
      <c r="E1324" s="363"/>
      <c r="F1324" s="364"/>
      <c r="G1324" s="362">
        <f>SUM(G1329:G1330,G1333:G1335)</f>
        <v>2526.4270000000001</v>
      </c>
      <c r="H1324" s="363"/>
      <c r="I1324" s="364"/>
      <c r="J1324" s="362">
        <f>SUM(J1329:J1330,J1333:J1335)</f>
        <v>4149.3602000000001</v>
      </c>
      <c r="K1324" s="363"/>
      <c r="L1324" s="364"/>
      <c r="M1324" s="362">
        <f>SUM(M1329:M1330,M1333:M1335)</f>
        <v>4535.2790400000004</v>
      </c>
      <c r="N1324" s="363"/>
      <c r="O1324" s="364"/>
      <c r="P1324" s="362">
        <f>SUM(P1329:P1330,P1333:P1335)</f>
        <v>16204.094480000003</v>
      </c>
      <c r="Q1324" s="363"/>
      <c r="R1324" s="364"/>
      <c r="S1324" s="357"/>
      <c r="T1324" s="357"/>
    </row>
    <row r="1325" spans="2:20" s="24" customFormat="1">
      <c r="B1325" s="124" t="s">
        <v>55</v>
      </c>
      <c r="C1325" s="497"/>
      <c r="D1325" s="362">
        <f>D1336+D1347+D1348+D1349</f>
        <v>193.22200000000001</v>
      </c>
      <c r="E1325" s="363"/>
      <c r="F1325" s="364"/>
      <c r="G1325" s="362">
        <f>G1336+G1347+G1348+G1349</f>
        <v>494.36199999999997</v>
      </c>
      <c r="H1325" s="363"/>
      <c r="I1325" s="364"/>
      <c r="J1325" s="362">
        <f>J1336+J1347+J1348+J1349</f>
        <v>531.26100000000008</v>
      </c>
      <c r="K1325" s="363"/>
      <c r="L1325" s="364"/>
      <c r="M1325" s="362">
        <f>M1336+M1347+M1348+M1349</f>
        <v>265.97299999999996</v>
      </c>
      <c r="N1325" s="363"/>
      <c r="O1325" s="364"/>
      <c r="P1325" s="362">
        <f>P1336+P1347+P1348+P1349</f>
        <v>1484.8179999999995</v>
      </c>
      <c r="Q1325" s="363"/>
      <c r="R1325" s="364"/>
      <c r="S1325" s="357"/>
      <c r="T1325" s="357"/>
    </row>
    <row r="1326" spans="2:20" s="24" customFormat="1">
      <c r="B1326" s="1155" t="s">
        <v>346</v>
      </c>
      <c r="C1326" s="497"/>
      <c r="D1326" s="362">
        <f>D1350</f>
        <v>123.89999999999998</v>
      </c>
      <c r="E1326" s="363"/>
      <c r="F1326" s="364"/>
      <c r="G1326" s="362">
        <f>G1350</f>
        <v>123.88999999999999</v>
      </c>
      <c r="H1326" s="363"/>
      <c r="I1326" s="364"/>
      <c r="J1326" s="362">
        <f>J1350</f>
        <v>125.26000000000002</v>
      </c>
      <c r="K1326" s="363"/>
      <c r="L1326" s="364"/>
      <c r="M1326" s="362">
        <f>M1350</f>
        <v>125.26000000000002</v>
      </c>
      <c r="N1326" s="363"/>
      <c r="O1326" s="364"/>
      <c r="P1326" s="362">
        <f>P1350</f>
        <v>498.30999999999989</v>
      </c>
      <c r="Q1326" s="363"/>
      <c r="R1326" s="364"/>
      <c r="S1326" s="357"/>
      <c r="T1326" s="357"/>
    </row>
    <row r="1327" spans="2:20" s="24" customFormat="1">
      <c r="B1327" s="1155" t="s">
        <v>347</v>
      </c>
      <c r="C1327" s="497"/>
      <c r="D1327" s="362">
        <f>D1362</f>
        <v>21.867000000000001</v>
      </c>
      <c r="E1327" s="363"/>
      <c r="F1327" s="364"/>
      <c r="G1327" s="362">
        <f>G1362</f>
        <v>43.3</v>
      </c>
      <c r="H1327" s="363"/>
      <c r="I1327" s="364"/>
      <c r="J1327" s="362">
        <f>J1362</f>
        <v>43.302</v>
      </c>
      <c r="K1327" s="363"/>
      <c r="L1327" s="364"/>
      <c r="M1327" s="362">
        <f>M1362</f>
        <v>18.929000000000002</v>
      </c>
      <c r="N1327" s="363"/>
      <c r="O1327" s="364"/>
      <c r="P1327" s="362">
        <f>P1362</f>
        <v>127.398</v>
      </c>
      <c r="Q1327" s="363"/>
      <c r="R1327" s="364"/>
      <c r="S1327" s="357"/>
      <c r="T1327" s="357"/>
    </row>
    <row r="1328" spans="2:20" s="24" customFormat="1">
      <c r="B1328" s="124" t="s">
        <v>184</v>
      </c>
      <c r="C1328" s="497"/>
      <c r="D1328" s="362">
        <f>D1370</f>
        <v>42.3</v>
      </c>
      <c r="E1328" s="363"/>
      <c r="F1328" s="364"/>
      <c r="G1328" s="362">
        <f>G1370</f>
        <v>34.130000000000003</v>
      </c>
      <c r="H1328" s="363"/>
      <c r="I1328" s="364"/>
      <c r="J1328" s="362">
        <f>J1370</f>
        <v>41.08</v>
      </c>
      <c r="K1328" s="363"/>
      <c r="L1328" s="364"/>
      <c r="M1328" s="362">
        <f>M1370</f>
        <v>57.150000000000006</v>
      </c>
      <c r="N1328" s="363"/>
      <c r="O1328" s="364"/>
      <c r="P1328" s="362">
        <f>P1370</f>
        <v>174.66000000000003</v>
      </c>
      <c r="Q1328" s="363"/>
      <c r="R1328" s="364"/>
      <c r="S1328" s="357"/>
      <c r="T1328" s="357"/>
    </row>
    <row r="1329" spans="2:20" s="24" customFormat="1">
      <c r="B1329" s="122" t="str">
        <f>'корпоративный баланс энергии'!H1338</f>
        <v>Ставропольская ГРЭС (филиал ПАО "ОГК-2")</v>
      </c>
      <c r="C1329" s="516" t="s">
        <v>364</v>
      </c>
      <c r="D1329" s="281">
        <f>'корпоративный баланс энергии'!J1338+'корпоративный баланс энергии'!M1338+'корпоративный баланс энергии'!P1338</f>
        <v>2366</v>
      </c>
      <c r="E1329" s="246"/>
      <c r="F1329" s="282"/>
      <c r="G1329" s="244">
        <f>'корпоративный баланс энергии'!S1338+'корпоративный баланс энергии'!V1338+'корпоративный баланс энергии'!Y1338</f>
        <v>1164</v>
      </c>
      <c r="H1329" s="246"/>
      <c r="I1329" s="282"/>
      <c r="J1329" s="244">
        <f>'корпоративный баланс энергии'!AB1338+'корпоративный баланс энергии'!AE1338+'корпоративный баланс энергии'!AH1338</f>
        <v>2123</v>
      </c>
      <c r="K1329" s="246"/>
      <c r="L1329" s="282"/>
      <c r="M1329" s="244">
        <f>'корпоративный баланс энергии'!AK1338+'корпоративный баланс энергии'!AN1338+'корпоративный баланс энергии'!AQ1338</f>
        <v>2226</v>
      </c>
      <c r="N1329" s="246"/>
      <c r="O1329" s="282"/>
      <c r="P1329" s="244">
        <f>D1329+G1329+J1329+M1329</f>
        <v>7879</v>
      </c>
      <c r="Q1329" s="246"/>
      <c r="R1329" s="282"/>
      <c r="S1329" s="357"/>
      <c r="T1329" s="357"/>
    </row>
    <row r="1330" spans="2:20" s="24" customFormat="1">
      <c r="B1330" s="134" t="str">
        <f>'корпоративный баланс энергии'!H1339</f>
        <v>Невинномысская ГРЭС (филиал ПАО "Энел Россия")</v>
      </c>
      <c r="C1330" s="516" t="s">
        <v>364</v>
      </c>
      <c r="D1330" s="317">
        <f>SUM(D1331:D1332)</f>
        <v>2377.4302400000006</v>
      </c>
      <c r="E1330" s="246"/>
      <c r="F1330" s="282"/>
      <c r="G1330" s="317">
        <f>SUM(G1331:G1332)</f>
        <v>1129.4589999999998</v>
      </c>
      <c r="H1330" s="246"/>
      <c r="I1330" s="282"/>
      <c r="J1330" s="317">
        <f>SUM(J1331:J1332)</f>
        <v>1840.9862000000001</v>
      </c>
      <c r="K1330" s="246"/>
      <c r="L1330" s="282"/>
      <c r="M1330" s="317">
        <f>SUM(M1331:M1332)</f>
        <v>2054.5860400000001</v>
      </c>
      <c r="N1330" s="246"/>
      <c r="O1330" s="282"/>
      <c r="P1330" s="317">
        <f>SUM(P1331:P1332)</f>
        <v>7402.4614800000008</v>
      </c>
      <c r="Q1330" s="246"/>
      <c r="R1330" s="282"/>
      <c r="S1330" s="357"/>
      <c r="T1330" s="357"/>
    </row>
    <row r="1331" spans="2:20" s="24" customFormat="1">
      <c r="B1331" s="122" t="str">
        <f>'корпоративный баланс энергии'!H1340</f>
        <v>Невинномысская ГРЭС (филиал ПАО "Энел Россия")</v>
      </c>
      <c r="C1331" s="486"/>
      <c r="D1331" s="281">
        <f>'корпоративный баланс энергии'!J1340+'корпоративный баланс энергии'!M1340+'корпоративный баланс энергии'!P1340</f>
        <v>1700.1080000000002</v>
      </c>
      <c r="E1331" s="246"/>
      <c r="F1331" s="282"/>
      <c r="G1331" s="244">
        <f>'корпоративный баланс энергии'!S1340+'корпоративный баланс энергии'!V1340+'корпоративный баланс энергии'!Y1340</f>
        <v>914.41899999999987</v>
      </c>
      <c r="H1331" s="246"/>
      <c r="I1331" s="282"/>
      <c r="J1331" s="244">
        <f>'корпоративный баланс энергии'!AB1340+'корпоративный баланс энергии'!AE1340+'корпоративный баланс энергии'!AH1340</f>
        <v>1234.712</v>
      </c>
      <c r="K1331" s="246"/>
      <c r="L1331" s="282"/>
      <c r="M1331" s="244">
        <f>'корпоративный баланс энергии'!AK1340+'корпоративный баланс энергии'!AN1340+'корпоративный баланс энергии'!AQ1340</f>
        <v>1413.8589999999999</v>
      </c>
      <c r="N1331" s="246"/>
      <c r="O1331" s="282"/>
      <c r="P1331" s="244">
        <f>D1331+G1331+J1331+M1331</f>
        <v>5263.098</v>
      </c>
      <c r="Q1331" s="246"/>
      <c r="R1331" s="282"/>
      <c r="S1331" s="357"/>
      <c r="T1331" s="357"/>
    </row>
    <row r="1332" spans="2:20" s="24" customFormat="1">
      <c r="B1332" s="122" t="str">
        <f>'корпоративный баланс энергии'!H1341</f>
        <v>Невинномысская ГРЭС (филиал ПАО "Энел Россия") - ПГУ-410, новый ввод, ДПМ</v>
      </c>
      <c r="C1332" s="486"/>
      <c r="D1332" s="281">
        <f>'корпоративный баланс энергии'!J1341+'корпоративный баланс энергии'!M1341+'корпоративный баланс энергии'!P1341</f>
        <v>677.32224000000042</v>
      </c>
      <c r="E1332" s="246"/>
      <c r="F1332" s="282"/>
      <c r="G1332" s="244">
        <f>'корпоративный баланс энергии'!S1341+'корпоративный баланс энергии'!V1341+'корпоративный баланс энергии'!Y1341</f>
        <v>215.04</v>
      </c>
      <c r="H1332" s="246"/>
      <c r="I1332" s="282"/>
      <c r="J1332" s="244">
        <f>'корпоративный баланс энергии'!AB1341+'корпоративный баланс энергии'!AE1341+'корпоративный баланс энергии'!AH1341</f>
        <v>606.27420000000006</v>
      </c>
      <c r="K1332" s="246"/>
      <c r="L1332" s="282"/>
      <c r="M1332" s="244">
        <f>'корпоративный баланс энергии'!AK1341+'корпоративный баланс энергии'!AN1341+'корпоративный баланс энергии'!AQ1341</f>
        <v>640.72704000000022</v>
      </c>
      <c r="N1332" s="246"/>
      <c r="O1332" s="282"/>
      <c r="P1332" s="244">
        <f>D1332+G1332+J1332+M1332</f>
        <v>2139.3634800000009</v>
      </c>
      <c r="Q1332" s="246"/>
      <c r="R1332" s="282"/>
      <c r="S1332" s="357"/>
      <c r="T1332" s="357"/>
    </row>
    <row r="1333" spans="2:20" s="24" customFormat="1">
      <c r="B1333" s="122" t="str">
        <f>'корпоративный баланс энергии'!H1342</f>
        <v>Кисловодская ТЭЦ (ООО "ЛУКОЙЛ Ставропольэнерго")</v>
      </c>
      <c r="C1333" s="526" t="s">
        <v>365</v>
      </c>
      <c r="D1333" s="281">
        <f>'корпоративный баланс энергии'!J1342+'корпоративный баланс энергии'!M1342+'корпоративный баланс энергии'!P1342</f>
        <v>11.347999999999999</v>
      </c>
      <c r="E1333" s="246"/>
      <c r="F1333" s="282"/>
      <c r="G1333" s="244">
        <f>'корпоративный баланс энергии'!S1342+'корпоративный баланс энергии'!V1342+'корпоративный баланс энергии'!Y1342</f>
        <v>1.331</v>
      </c>
      <c r="H1333" s="246"/>
      <c r="I1333" s="282"/>
      <c r="J1333" s="244">
        <f>'корпоративный баланс энергии'!AB1342+'корпоративный баланс энергии'!AE1342+'корпоративный баланс энергии'!AH1342</f>
        <v>0</v>
      </c>
      <c r="K1333" s="246"/>
      <c r="L1333" s="282"/>
      <c r="M1333" s="244">
        <f>'корпоративный баланс энергии'!AK1342+'корпоративный баланс энергии'!AN1342+'корпоративный баланс энергии'!AQ1342</f>
        <v>9.0010000000000012</v>
      </c>
      <c r="N1333" s="246"/>
      <c r="O1333" s="282"/>
      <c r="P1333" s="244">
        <f>D1333+G1333+J1333+M1333</f>
        <v>21.68</v>
      </c>
      <c r="Q1333" s="246"/>
      <c r="R1333" s="282"/>
      <c r="S1333" s="357"/>
      <c r="T1333" s="357"/>
    </row>
    <row r="1334" spans="2:20" s="24" customFormat="1">
      <c r="B1334" s="122" t="str">
        <f>'корпоративный баланс энергии'!H1343</f>
        <v>Запикетная ГПА-ТЭЦ (ООО "ЛУКОЙЛ Ставропольэнерго") 5,3 МВт НВ 01.01.2016</v>
      </c>
      <c r="C1334" s="526" t="s">
        <v>365</v>
      </c>
      <c r="D1334" s="281">
        <f>'корпоративный баланс энергии'!J1343+'корпоративный баланс энергии'!M1343+'корпоративный баланс энергии'!P1343</f>
        <v>5.7119999999999997</v>
      </c>
      <c r="E1334" s="246"/>
      <c r="F1334" s="282"/>
      <c r="G1334" s="244">
        <f>'корпоративный баланс энергии'!S1343+'корпоративный баланс энергии'!V1343+'корпоративный баланс энергии'!Y1343</f>
        <v>5.7130000000000001</v>
      </c>
      <c r="H1334" s="246"/>
      <c r="I1334" s="282"/>
      <c r="J1334" s="244">
        <f>'корпоративный баланс энергии'!AB1343+'корпоративный баланс энергии'!AE1343+'корпоративный баланс энергии'!AH1343</f>
        <v>5.7809999999999997</v>
      </c>
      <c r="K1334" s="246"/>
      <c r="L1334" s="282"/>
      <c r="M1334" s="244">
        <f>'корпоративный баланс энергии'!AK1343+'корпоративный баланс энергии'!AN1343+'корпоративный баланс энергии'!AQ1343</f>
        <v>5.78</v>
      </c>
      <c r="N1334" s="246"/>
      <c r="O1334" s="282"/>
      <c r="P1334" s="244">
        <f>D1334+G1334+J1334+M1334</f>
        <v>22.986000000000001</v>
      </c>
      <c r="Q1334" s="244"/>
      <c r="R1334" s="249"/>
      <c r="S1334" s="357"/>
      <c r="T1334" s="357"/>
    </row>
    <row r="1335" spans="2:20" s="24" customFormat="1">
      <c r="B1335" s="122" t="str">
        <f>'корпоративный баланс энергии'!H1344</f>
        <v>Буденновская ПГУ-ТЭС  (ООО "ЛУКОЙЛ Ставропольэнерго") ПГУ 136 НВ, ДПМ 21.02.2015</v>
      </c>
      <c r="C1335" s="516" t="s">
        <v>364</v>
      </c>
      <c r="D1335" s="281">
        <f>'корпоративный баланс энергии'!J1344+'корпоративный баланс энергии'!M1344+'корпоративный баланс энергии'!P1344</f>
        <v>232.53800000000001</v>
      </c>
      <c r="E1335" s="246"/>
      <c r="F1335" s="282"/>
      <c r="G1335" s="244">
        <f>'корпоративный баланс энергии'!S1344+'корпоративный баланс энергии'!V1344+'корпоративный баланс энергии'!Y1344</f>
        <v>225.92399999999998</v>
      </c>
      <c r="H1335" s="246"/>
      <c r="I1335" s="282"/>
      <c r="J1335" s="244">
        <f>'корпоративный баланс энергии'!AB1344+'корпоративный баланс энергии'!AE1344+'корпоративный баланс энергии'!AH1344</f>
        <v>179.59300000000002</v>
      </c>
      <c r="K1335" s="246"/>
      <c r="L1335" s="282"/>
      <c r="M1335" s="244">
        <f>'корпоративный баланс энергии'!AK1344+'корпоративный баланс энергии'!AN1344+'корпоративный баланс энергии'!AQ1344</f>
        <v>239.91200000000001</v>
      </c>
      <c r="N1335" s="246"/>
      <c r="O1335" s="282"/>
      <c r="P1335" s="244">
        <f>D1335+G1335+J1335+M1335</f>
        <v>877.9670000000001</v>
      </c>
      <c r="Q1335" s="244"/>
      <c r="R1335" s="249"/>
      <c r="S1335" s="357"/>
      <c r="T1335" s="357"/>
    </row>
    <row r="1336" spans="2:20" s="24" customFormat="1">
      <c r="B1336" s="134" t="str">
        <f>'корпоративный баланс энергии'!H1345</f>
        <v>Каскад Кубанских ГЭС (филиал ПАО "РусГидро")</v>
      </c>
      <c r="C1336" s="516" t="s">
        <v>364</v>
      </c>
      <c r="D1336" s="317">
        <f>SUM(D1337:D1346)</f>
        <v>191.12200000000001</v>
      </c>
      <c r="E1336" s="323"/>
      <c r="F1336" s="324"/>
      <c r="G1336" s="317">
        <f>SUM(G1337:G1346)</f>
        <v>486.95199999999994</v>
      </c>
      <c r="H1336" s="323"/>
      <c r="I1336" s="324"/>
      <c r="J1336" s="317">
        <f>SUM(J1337:J1346)</f>
        <v>523.77100000000007</v>
      </c>
      <c r="K1336" s="323"/>
      <c r="L1336" s="324"/>
      <c r="M1336" s="317">
        <f>SUM(M1337:M1346)</f>
        <v>241.67299999999997</v>
      </c>
      <c r="N1336" s="323"/>
      <c r="O1336" s="324"/>
      <c r="P1336" s="317">
        <f>SUM(P1337:P1346)</f>
        <v>1443.5179999999996</v>
      </c>
      <c r="Q1336" s="244"/>
      <c r="R1336" s="249"/>
      <c r="S1336" s="357"/>
      <c r="T1336" s="357"/>
    </row>
    <row r="1337" spans="2:20" s="113" customFormat="1">
      <c r="B1337" s="122" t="str">
        <f>'корпоративный баланс энергии'!H1346</f>
        <v>Кубанская ГАЭС (филиал ПАО "РусГидро")</v>
      </c>
      <c r="C1337" s="487"/>
      <c r="D1337" s="281">
        <f>'корпоративный баланс энергии'!J1346+'корпоративный баланс энергии'!M1346+'корпоративный баланс энергии'!P1346</f>
        <v>0</v>
      </c>
      <c r="E1337" s="246"/>
      <c r="F1337" s="282"/>
      <c r="G1337" s="244">
        <f>'корпоративный баланс энергии'!S1346+'корпоративный баланс энергии'!V1346+'корпоративный баланс энергии'!Y1346</f>
        <v>7.6239999999999997</v>
      </c>
      <c r="H1337" s="246"/>
      <c r="I1337" s="282"/>
      <c r="J1337" s="244">
        <f>'корпоративный баланс энергии'!AB1346+'корпоративный баланс энергии'!AE1346+'корпоративный баланс энергии'!AH1346</f>
        <v>2.13</v>
      </c>
      <c r="K1337" s="246"/>
      <c r="L1337" s="282"/>
      <c r="M1337" s="244">
        <f>'корпоративный баланс энергии'!AK1346+'корпоративный баланс энергии'!AN1346+'корпоративный баланс энергии'!AQ1346</f>
        <v>0</v>
      </c>
      <c r="N1337" s="246"/>
      <c r="O1337" s="282"/>
      <c r="P1337" s="244">
        <f t="shared" ref="P1337:P1346" si="104">D1337+G1337+J1337+M1337</f>
        <v>9.7539999999999996</v>
      </c>
      <c r="Q1337" s="244"/>
      <c r="R1337" s="249"/>
      <c r="S1337" s="357"/>
      <c r="T1337" s="357"/>
    </row>
    <row r="1338" spans="2:20" s="113" customFormat="1">
      <c r="B1338" s="122" t="str">
        <f>'корпоративный баланс энергии'!H1347</f>
        <v>Кубанская ГЭС-1 (филиал ПАО "РусГидро")</v>
      </c>
      <c r="C1338" s="487"/>
      <c r="D1338" s="281">
        <f>'корпоративный баланс энергии'!J1347+'корпоративный баланс энергии'!M1347+'корпоративный баланс энергии'!P1347</f>
        <v>26.46</v>
      </c>
      <c r="E1338" s="246"/>
      <c r="F1338" s="282"/>
      <c r="G1338" s="244">
        <f>'корпоративный баланс энергии'!S1347+'корпоративный баланс энергии'!V1347+'корпоративный баланс энергии'!Y1347</f>
        <v>64.400999999999996</v>
      </c>
      <c r="H1338" s="246"/>
      <c r="I1338" s="282"/>
      <c r="J1338" s="244">
        <f>'корпоративный баланс энергии'!AB1347+'корпоративный баланс энергии'!AE1347+'корпоративный баланс энергии'!AH1347</f>
        <v>72.073999999999998</v>
      </c>
      <c r="K1338" s="246"/>
      <c r="L1338" s="282"/>
      <c r="M1338" s="244">
        <f>'корпоративный баланс энергии'!AK1347+'корпоративный баланс энергии'!AN1347+'корпоративный баланс энергии'!AQ1347</f>
        <v>32.923999999999999</v>
      </c>
      <c r="N1338" s="246"/>
      <c r="O1338" s="282"/>
      <c r="P1338" s="244">
        <f t="shared" si="104"/>
        <v>195.85900000000001</v>
      </c>
      <c r="Q1338" s="244"/>
      <c r="R1338" s="249"/>
      <c r="S1338" s="357"/>
      <c r="T1338" s="357"/>
    </row>
    <row r="1339" spans="2:20" s="113" customFormat="1">
      <c r="B1339" s="122" t="str">
        <f>'корпоративный баланс энергии'!H1348</f>
        <v>Кубанская ГЭС-2 (филиал ПАО "РусГидро")</v>
      </c>
      <c r="C1339" s="487"/>
      <c r="D1339" s="281">
        <f>'корпоративный баланс энергии'!J1348+'корпоративный баланс энергии'!M1348+'корпоративный баланс энергии'!P1348</f>
        <v>66.960000000000008</v>
      </c>
      <c r="E1339" s="246"/>
      <c r="F1339" s="282"/>
      <c r="G1339" s="244">
        <f>'корпоративный баланс энергии'!S1348+'корпоративный баланс энергии'!V1348+'корпоративный баланс энергии'!Y1348</f>
        <v>181.39099999999999</v>
      </c>
      <c r="H1339" s="246"/>
      <c r="I1339" s="282"/>
      <c r="J1339" s="244">
        <f>'корпоративный баланс энергии'!AB1348+'корпоративный баланс энергии'!AE1348+'корпоративный баланс энергии'!AH1348</f>
        <v>206.59100000000001</v>
      </c>
      <c r="K1339" s="246"/>
      <c r="L1339" s="282"/>
      <c r="M1339" s="244">
        <f>'корпоративный баланс энергии'!AK1348+'корпоративный баланс энергии'!AN1348+'корпоративный баланс энергии'!AQ1348</f>
        <v>88.141000000000005</v>
      </c>
      <c r="N1339" s="246"/>
      <c r="O1339" s="282"/>
      <c r="P1339" s="244">
        <f t="shared" si="104"/>
        <v>543.08299999999997</v>
      </c>
      <c r="Q1339" s="244"/>
      <c r="R1339" s="249"/>
      <c r="S1339" s="357"/>
      <c r="T1339" s="357"/>
    </row>
    <row r="1340" spans="2:20" s="113" customFormat="1">
      <c r="B1340" s="122" t="str">
        <f>'корпоративный баланс энергии'!H1349</f>
        <v>Кубанская ГЭС-3 (филиал ПАО "РусГидро")</v>
      </c>
      <c r="C1340" s="487"/>
      <c r="D1340" s="281">
        <f>'корпоративный баланс энергии'!J1349+'корпоративный баланс энергии'!M1349+'корпоративный баланс энергии'!P1349</f>
        <v>30.722000000000001</v>
      </c>
      <c r="E1340" s="246"/>
      <c r="F1340" s="282"/>
      <c r="G1340" s="244">
        <f>'корпоративный баланс энергии'!S1349+'корпоративный баланс энергии'!V1349+'корпоративный баланс энергии'!Y1349</f>
        <v>74.119</v>
      </c>
      <c r="H1340" s="246"/>
      <c r="I1340" s="282"/>
      <c r="J1340" s="244">
        <f>'корпоративный баланс энергии'!AB1349+'корпоративный баланс энергии'!AE1349+'корпоративный баланс энергии'!AH1349</f>
        <v>78.501000000000005</v>
      </c>
      <c r="K1340" s="246"/>
      <c r="L1340" s="282"/>
      <c r="M1340" s="244">
        <f>'корпоративный баланс энергии'!AK1349+'корпоративный баланс энергии'!AN1349+'корпоративный баланс энергии'!AQ1349</f>
        <v>36.371000000000002</v>
      </c>
      <c r="N1340" s="246"/>
      <c r="O1340" s="282"/>
      <c r="P1340" s="244">
        <f t="shared" si="104"/>
        <v>219.71300000000002</v>
      </c>
      <c r="Q1340" s="244"/>
      <c r="R1340" s="249"/>
      <c r="S1340" s="357"/>
      <c r="T1340" s="357"/>
    </row>
    <row r="1341" spans="2:20" s="110" customFormat="1">
      <c r="B1341" s="122" t="str">
        <f>'корпоративный баланс энергии'!H1350</f>
        <v>Кубанская ГЭС-4 (филиал ПАО "РусГидро")</v>
      </c>
      <c r="C1341" s="487"/>
      <c r="D1341" s="281">
        <f>'корпоративный баланс энергии'!J1350+'корпоративный баланс энергии'!M1350+'корпоративный баланс энергии'!P1350</f>
        <v>27.635999999999999</v>
      </c>
      <c r="E1341" s="246"/>
      <c r="F1341" s="282"/>
      <c r="G1341" s="244">
        <f>'корпоративный баланс энергии'!S1350+'корпоративный баланс энергии'!V1350+'корпоративный баланс энергии'!Y1350</f>
        <v>68.129000000000005</v>
      </c>
      <c r="H1341" s="246"/>
      <c r="I1341" s="282"/>
      <c r="J1341" s="244">
        <f>'корпоративный баланс энергии'!AB1350+'корпоративный баланс энергии'!AE1350+'корпоративный баланс энергии'!AH1350</f>
        <v>71.84899999999999</v>
      </c>
      <c r="K1341" s="246"/>
      <c r="L1341" s="282"/>
      <c r="M1341" s="244">
        <f>'корпоративный баланс энергии'!AK1350+'корпоративный баланс энергии'!AN1350+'корпоративный баланс энергии'!AQ1350</f>
        <v>32.939</v>
      </c>
      <c r="N1341" s="246"/>
      <c r="O1341" s="282"/>
      <c r="P1341" s="244">
        <f t="shared" si="104"/>
        <v>200.55299999999997</v>
      </c>
      <c r="Q1341" s="244"/>
      <c r="R1341" s="249"/>
      <c r="S1341" s="357"/>
      <c r="T1341" s="357"/>
    </row>
    <row r="1342" spans="2:20" s="110" customFormat="1">
      <c r="B1342" s="122" t="str">
        <f>'корпоративный баланс энергии'!H1351</f>
        <v>Егорлыкская ГЭС (филиал ПАО "РусГидро")</v>
      </c>
      <c r="C1342" s="487"/>
      <c r="D1342" s="281">
        <f>'корпоративный баланс энергии'!J1351+'корпоративный баланс энергии'!M1351+'корпоративный баланс энергии'!P1351</f>
        <v>9.19</v>
      </c>
      <c r="E1342" s="246"/>
      <c r="F1342" s="282"/>
      <c r="G1342" s="244">
        <f>'корпоративный баланс энергии'!S1351+'корпоративный баланс энергии'!V1351+'корпоративный баланс энергии'!Y1351</f>
        <v>25.5</v>
      </c>
      <c r="H1342" s="246"/>
      <c r="I1342" s="282"/>
      <c r="J1342" s="244">
        <f>'корпоративный баланс энергии'!AB1351+'корпоративный баланс энергии'!AE1351+'корпоративный баланс энергии'!AH1351</f>
        <v>26.138000000000002</v>
      </c>
      <c r="K1342" s="246"/>
      <c r="L1342" s="282"/>
      <c r="M1342" s="244">
        <f>'корпоративный баланс энергии'!AK1351+'корпоративный баланс энергии'!AN1351+'корпоративный баланс энергии'!AQ1351</f>
        <v>12.798999999999999</v>
      </c>
      <c r="N1342" s="246"/>
      <c r="O1342" s="282"/>
      <c r="P1342" s="244">
        <f t="shared" si="104"/>
        <v>73.62700000000001</v>
      </c>
      <c r="Q1342" s="244"/>
      <c r="R1342" s="249"/>
      <c r="S1342" s="357"/>
      <c r="T1342" s="357"/>
    </row>
    <row r="1343" spans="2:20" s="113" customFormat="1">
      <c r="B1343" s="122" t="str">
        <f>'корпоративный баланс энергии'!H1352</f>
        <v>Егорлыкская ГЭС-2 (филиал ПАО "РусГидро")</v>
      </c>
      <c r="C1343" s="487"/>
      <c r="D1343" s="281">
        <f>'корпоративный баланс энергии'!J1352+'корпоративный баланс энергии'!M1352+'корпоративный баланс энергии'!P1352</f>
        <v>5.63</v>
      </c>
      <c r="E1343" s="246"/>
      <c r="F1343" s="282"/>
      <c r="G1343" s="244">
        <f>'корпоративный баланс энергии'!S1352+'корпоративный баланс энергии'!V1352+'корпоративный баланс энергии'!Y1352</f>
        <v>15.587</v>
      </c>
      <c r="H1343" s="246"/>
      <c r="I1343" s="282"/>
      <c r="J1343" s="244">
        <f>'корпоративный баланс энергии'!AB1352+'корпоративный баланс энергии'!AE1352+'корпоративный баланс энергии'!AH1352</f>
        <v>15.622</v>
      </c>
      <c r="K1343" s="246"/>
      <c r="L1343" s="282"/>
      <c r="M1343" s="244">
        <f>'корпоративный баланс энергии'!AK1352+'корпоративный баланс энергии'!AN1352+'корпоративный баланс энергии'!AQ1352</f>
        <v>7.9139999999999997</v>
      </c>
      <c r="N1343" s="246"/>
      <c r="O1343" s="282"/>
      <c r="P1343" s="244">
        <f t="shared" si="104"/>
        <v>44.753</v>
      </c>
      <c r="Q1343" s="244"/>
      <c r="R1343" s="249"/>
      <c r="S1343" s="357"/>
      <c r="T1343" s="357"/>
    </row>
    <row r="1344" spans="2:20" s="113" customFormat="1">
      <c r="B1344" s="122" t="str">
        <f>'корпоративный баланс энергии'!H1353</f>
        <v>Свистухинская ГЭС (филиал ПАО "РусГидро")</v>
      </c>
      <c r="C1344" s="487"/>
      <c r="D1344" s="281">
        <f>'корпоративный баланс энергии'!J1353+'корпоративный баланс энергии'!M1353+'корпоративный баланс энергии'!P1353</f>
        <v>7.5369999999999999</v>
      </c>
      <c r="E1344" s="246"/>
      <c r="F1344" s="282"/>
      <c r="G1344" s="244">
        <f>'корпоративный баланс энергии'!S1353+'корпоративный баланс энергии'!V1353+'корпоративный баланс энергии'!Y1353</f>
        <v>15.991</v>
      </c>
      <c r="H1344" s="246"/>
      <c r="I1344" s="282"/>
      <c r="J1344" s="244">
        <f>'корпоративный баланс энергии'!AB1353+'корпоративный баланс энергии'!AE1353+'корпоративный баланс энергии'!AH1353</f>
        <v>17.896000000000001</v>
      </c>
      <c r="K1344" s="246"/>
      <c r="L1344" s="282"/>
      <c r="M1344" s="244">
        <f>'корпоративный баланс энергии'!AK1353+'корпоративный баланс энергии'!AN1353+'корпоративный баланс энергии'!AQ1353</f>
        <v>10.311</v>
      </c>
      <c r="N1344" s="246"/>
      <c r="O1344" s="282"/>
      <c r="P1344" s="244">
        <f t="shared" si="104"/>
        <v>51.734999999999999</v>
      </c>
      <c r="Q1344" s="244"/>
      <c r="R1344" s="249"/>
      <c r="S1344" s="357"/>
      <c r="T1344" s="357"/>
    </row>
    <row r="1345" spans="2:20" s="146" customFormat="1">
      <c r="B1345" s="122" t="str">
        <f>'корпоративный баланс энергии'!H1354</f>
        <v>Сенгилеевская ГЭС (филиал ПАО "РусГидро")</v>
      </c>
      <c r="C1345" s="127"/>
      <c r="D1345" s="244">
        <f>'корпоративный баланс энергии'!J1354+'корпоративный баланс энергии'!M1354+'корпоративный баланс энергии'!P1354</f>
        <v>12.736000000000001</v>
      </c>
      <c r="E1345" s="246"/>
      <c r="F1345" s="282"/>
      <c r="G1345" s="244">
        <f>'корпоративный баланс энергии'!S1354+'корпоративный баланс энергии'!V1354+'корпоративный баланс энергии'!Y1354</f>
        <v>27.402000000000001</v>
      </c>
      <c r="H1345" s="246"/>
      <c r="I1345" s="282"/>
      <c r="J1345" s="244">
        <f>'корпоративный баланс энергии'!AB1354+'корпоративный баланс энергии'!AE1354+'корпоративный баланс энергии'!AH1354</f>
        <v>28.288</v>
      </c>
      <c r="K1345" s="246"/>
      <c r="L1345" s="282"/>
      <c r="M1345" s="244">
        <f>'корпоративный баланс энергии'!AK1354+'корпоративный баланс энергии'!AN1354+'корпоративный баланс энергии'!AQ1354</f>
        <v>16.353999999999999</v>
      </c>
      <c r="N1345" s="246"/>
      <c r="O1345" s="282"/>
      <c r="P1345" s="244">
        <f t="shared" si="104"/>
        <v>84.78</v>
      </c>
      <c r="Q1345" s="244"/>
      <c r="R1345" s="249"/>
      <c r="S1345" s="357"/>
      <c r="T1345" s="357"/>
    </row>
    <row r="1346" spans="2:20" s="24" customFormat="1">
      <c r="B1346" s="122" t="str">
        <f>'корпоративный баланс энергии'!H1355</f>
        <v>Новотроицкая ГЭС (филиал ПАО "РусГидро")</v>
      </c>
      <c r="C1346" s="127"/>
      <c r="D1346" s="244">
        <f>'корпоративный баланс энергии'!J1355+'корпоративный баланс энергии'!M1355+'корпоративный баланс энергии'!P1355</f>
        <v>4.2509999999999994</v>
      </c>
      <c r="E1346" s="246"/>
      <c r="F1346" s="282"/>
      <c r="G1346" s="244">
        <f>'корпоративный баланс энергии'!S1355+'корпоративный баланс энергии'!V1355+'корпоративный баланс энергии'!Y1355</f>
        <v>6.8079999999999998</v>
      </c>
      <c r="H1346" s="246"/>
      <c r="I1346" s="282"/>
      <c r="J1346" s="244">
        <f>'корпоративный баланс энергии'!AB1355+'корпоративный баланс энергии'!AE1355+'корпоративный баланс энергии'!AH1355</f>
        <v>4.6820000000000004</v>
      </c>
      <c r="K1346" s="246"/>
      <c r="L1346" s="282"/>
      <c r="M1346" s="244">
        <f>'корпоративный баланс энергии'!AK1355+'корпоративный баланс энергии'!AN1355+'корпоративный баланс энергии'!AQ1355</f>
        <v>3.92</v>
      </c>
      <c r="N1346" s="246"/>
      <c r="O1346" s="282"/>
      <c r="P1346" s="244">
        <f t="shared" si="104"/>
        <v>19.661000000000001</v>
      </c>
      <c r="Q1346" s="244"/>
      <c r="R1346" s="249"/>
      <c r="S1346" s="357"/>
      <c r="T1346" s="357"/>
    </row>
    <row r="1347" spans="2:20" s="24" customFormat="1">
      <c r="B1347" s="122" t="str">
        <f>'корпоративный баланс энергии'!H1356</f>
        <v>МГЭС Барсучковская (филиал ПАО "РусГидро") НВ</v>
      </c>
      <c r="C1347" s="127"/>
      <c r="D1347" s="244">
        <f>'корпоративный баланс энергии'!J1356+'корпоративный баланс энергии'!M1356+'корпоративный баланс энергии'!P1356</f>
        <v>2.0999999999999996</v>
      </c>
      <c r="E1347" s="246"/>
      <c r="F1347" s="282"/>
      <c r="G1347" s="244">
        <f>'корпоративный баланс энергии'!S1356+'корпоративный баланс энергии'!V1356+'корпоративный баланс энергии'!Y1356</f>
        <v>7.41</v>
      </c>
      <c r="H1347" s="246"/>
      <c r="I1347" s="282"/>
      <c r="J1347" s="244">
        <f>'корпоративный баланс энергии'!AB1356+'корпоративный баланс энергии'!AE1356+'корпоративный баланс энергии'!AH1356</f>
        <v>7.49</v>
      </c>
      <c r="K1347" s="246"/>
      <c r="L1347" s="282"/>
      <c r="M1347" s="244">
        <f>'корпоративный баланс энергии'!AK1356+'корпоративный баланс энергии'!AN1356+'корпоративный баланс энергии'!AQ1356</f>
        <v>3.56</v>
      </c>
      <c r="N1347" s="246"/>
      <c r="O1347" s="282"/>
      <c r="P1347" s="244">
        <f t="shared" ref="P1347" si="105">D1347+G1347+J1347+M1347</f>
        <v>20.56</v>
      </c>
      <c r="Q1347" s="244"/>
      <c r="R1347" s="249"/>
      <c r="S1347" s="357"/>
      <c r="T1347" s="357"/>
    </row>
    <row r="1348" spans="2:20" s="24" customFormat="1">
      <c r="B1348" s="122" t="str">
        <f>'корпоративный баланс энергии'!H1357</f>
        <v>Горько-Балковская МГЭС (ООО "ЭнергоМИН") НВ</v>
      </c>
      <c r="C1348" s="127"/>
      <c r="D1348" s="244">
        <f>'корпоративный баланс энергии'!J1357+'корпоративный баланс энергии'!M1357+'корпоративный баланс энергии'!P1357</f>
        <v>0</v>
      </c>
      <c r="E1348" s="246"/>
      <c r="F1348" s="282"/>
      <c r="G1348" s="244">
        <f>'корпоративный баланс энергии'!S1357+'корпоративный баланс энергии'!V1357+'корпоративный баланс энергии'!Y1357</f>
        <v>0</v>
      </c>
      <c r="H1348" s="246"/>
      <c r="I1348" s="282"/>
      <c r="J1348" s="244">
        <f>'корпоративный баланс энергии'!AB1357+'корпоративный баланс энергии'!AE1357+'корпоративный баланс энергии'!AH1357</f>
        <v>0</v>
      </c>
      <c r="K1348" s="246"/>
      <c r="L1348" s="282"/>
      <c r="M1348" s="244">
        <f>'корпоративный баланс энергии'!AK1357+'корпоративный баланс энергии'!AN1357+'корпоративный баланс энергии'!AQ1357</f>
        <v>12.252000000000001</v>
      </c>
      <c r="N1348" s="246"/>
      <c r="O1348" s="282"/>
      <c r="P1348" s="244">
        <f t="shared" ref="P1348" si="106">D1348+G1348+J1348+M1348</f>
        <v>12.252000000000001</v>
      </c>
      <c r="Q1348" s="244"/>
      <c r="R1348" s="249"/>
      <c r="S1348" s="357"/>
      <c r="T1348" s="357"/>
    </row>
    <row r="1349" spans="2:20" s="24" customFormat="1">
      <c r="B1349" s="122" t="str">
        <f>'корпоративный баланс энергии'!H1358</f>
        <v>МГЭС на Просянском сбросе (ООО "ЭнергоМИН") НВ</v>
      </c>
      <c r="C1349" s="127"/>
      <c r="D1349" s="244">
        <f>'корпоративный баланс энергии'!J1358+'корпоративный баланс энергии'!M1358+'корпоративный баланс энергии'!P1358</f>
        <v>0</v>
      </c>
      <c r="E1349" s="246"/>
      <c r="F1349" s="282"/>
      <c r="G1349" s="244">
        <f>'корпоративный баланс энергии'!S1358+'корпоративный баланс энергии'!V1358+'корпоративный баланс энергии'!Y1358</f>
        <v>0</v>
      </c>
      <c r="H1349" s="246"/>
      <c r="I1349" s="282"/>
      <c r="J1349" s="244">
        <f>'корпоративный баланс энергии'!AB1358+'корпоративный баланс энергии'!AE1358+'корпоративный баланс энергии'!AH1358</f>
        <v>0</v>
      </c>
      <c r="K1349" s="246"/>
      <c r="L1349" s="282"/>
      <c r="M1349" s="244">
        <f>'корпоративный баланс энергии'!AK1358+'корпоративный баланс энергии'!AN1358+'корпоративный баланс энергии'!AQ1358</f>
        <v>8.4879999999999995</v>
      </c>
      <c r="N1349" s="246"/>
      <c r="O1349" s="282"/>
      <c r="P1349" s="244">
        <f t="shared" ref="P1349" si="107">D1349+G1349+J1349+M1349</f>
        <v>8.4879999999999995</v>
      </c>
      <c r="Q1349" s="244"/>
      <c r="R1349" s="249"/>
      <c r="S1349" s="357"/>
      <c r="T1349" s="357"/>
    </row>
    <row r="1350" spans="2:20" s="24" customFormat="1">
      <c r="B1350" s="134" t="str">
        <f>'корпоративный баланс энергии'!H1359</f>
        <v xml:space="preserve"> Кочубеевская ВЭС (АО "ВетроОГК") НВ</v>
      </c>
      <c r="C1350" s="127"/>
      <c r="D1350" s="262">
        <f>SUM(D1351:D1361)</f>
        <v>123.89999999999998</v>
      </c>
      <c r="E1350" s="246"/>
      <c r="F1350" s="282"/>
      <c r="G1350" s="262">
        <f>SUM(G1351:G1361)</f>
        <v>123.88999999999999</v>
      </c>
      <c r="H1350" s="246"/>
      <c r="I1350" s="282"/>
      <c r="J1350" s="262">
        <f>SUM(J1351:J1361)</f>
        <v>125.26000000000002</v>
      </c>
      <c r="K1350" s="246"/>
      <c r="L1350" s="282"/>
      <c r="M1350" s="262">
        <f>SUM(M1351:M1361)</f>
        <v>125.26000000000002</v>
      </c>
      <c r="N1350" s="246"/>
      <c r="O1350" s="282"/>
      <c r="P1350" s="262">
        <f>SUM(P1351:P1361)</f>
        <v>498.30999999999989</v>
      </c>
      <c r="Q1350" s="244"/>
      <c r="R1350" s="249"/>
      <c r="S1350" s="357"/>
      <c r="T1350" s="357"/>
    </row>
    <row r="1351" spans="2:20" s="24" customFormat="1">
      <c r="B1351" s="122" t="str">
        <f>'корпоративный баланс энергии'!H1360</f>
        <v>Кочубеевская ВЭС-67</v>
      </c>
      <c r="C1351" s="127"/>
      <c r="D1351" s="244">
        <f>'корпоративный баланс энергии'!J1360+'корпоративный баланс энергии'!M1360+'корпоративный баланс энергии'!P1360</f>
        <v>5.8999999999999995</v>
      </c>
      <c r="E1351" s="246"/>
      <c r="F1351" s="282"/>
      <c r="G1351" s="244">
        <f>'корпоративный баланс энергии'!S1360+'корпоративный баланс энергии'!V1360+'корпоративный баланс энергии'!Y1360</f>
        <v>5.89</v>
      </c>
      <c r="H1351" s="246"/>
      <c r="I1351" s="282"/>
      <c r="J1351" s="244">
        <f>'корпоративный баланс энергии'!AB1360+'корпоративный баланс энергии'!AE1360+'корпоративный баланс энергии'!AH1360</f>
        <v>5.9599999999999991</v>
      </c>
      <c r="K1351" s="246"/>
      <c r="L1351" s="282"/>
      <c r="M1351" s="244">
        <f>'корпоративный баланс энергии'!AK1360+'корпоративный баланс энергии'!AN1360+'корпоративный баланс энергии'!AQ1360</f>
        <v>5.9599999999999991</v>
      </c>
      <c r="N1351" s="246"/>
      <c r="O1351" s="282"/>
      <c r="P1351" s="244">
        <f t="shared" ref="P1351:P1361" si="108">D1351+G1351+J1351+M1351</f>
        <v>23.71</v>
      </c>
      <c r="Q1351" s="244"/>
      <c r="R1351" s="249"/>
      <c r="S1351" s="357"/>
      <c r="T1351" s="357"/>
    </row>
    <row r="1352" spans="2:20" s="24" customFormat="1">
      <c r="B1352" s="122" t="str">
        <f>'корпоративный баланс энергии'!H1361</f>
        <v>Кочубеевская ВЭС-2020-1</v>
      </c>
      <c r="C1352" s="127"/>
      <c r="D1352" s="244">
        <f>'корпоративный баланс энергии'!J1361+'корпоративный баланс энергии'!M1361+'корпоративный баланс энергии'!P1361</f>
        <v>11.799999999999999</v>
      </c>
      <c r="E1352" s="246"/>
      <c r="F1352" s="282"/>
      <c r="G1352" s="244">
        <f>'корпоративный баланс энергии'!S1361+'корпоративный баланс энергии'!V1361+'корпоративный баланс энергии'!Y1361</f>
        <v>11.8</v>
      </c>
      <c r="H1352" s="246"/>
      <c r="I1352" s="282"/>
      <c r="J1352" s="244">
        <f>'корпоративный баланс энергии'!AB1361+'корпоративный баланс энергии'!AE1361+'корпоративный баланс энергии'!AH1361</f>
        <v>11.93</v>
      </c>
      <c r="K1352" s="246"/>
      <c r="L1352" s="282"/>
      <c r="M1352" s="244">
        <f>'корпоративный баланс энергии'!AK1361+'корпоративный баланс энергии'!AN1361+'корпоративный баланс энергии'!AQ1361</f>
        <v>11.93</v>
      </c>
      <c r="N1352" s="246"/>
      <c r="O1352" s="282"/>
      <c r="P1352" s="244">
        <f t="shared" si="108"/>
        <v>47.46</v>
      </c>
      <c r="Q1352" s="244"/>
      <c r="R1352" s="249"/>
      <c r="S1352" s="357"/>
      <c r="T1352" s="357"/>
    </row>
    <row r="1353" spans="2:20" s="24" customFormat="1">
      <c r="B1353" s="122" t="str">
        <f>'корпоративный баланс энергии'!H1362</f>
        <v>Кочубеевская ВЭС-2020-2</v>
      </c>
      <c r="C1353" s="127"/>
      <c r="D1353" s="244">
        <f>'корпоративный баланс энергии'!J1362+'корпоративный баланс энергии'!M1362+'корпоративный баланс энергии'!P1362</f>
        <v>11.799999999999999</v>
      </c>
      <c r="E1353" s="246"/>
      <c r="F1353" s="282"/>
      <c r="G1353" s="244">
        <f>'корпоративный баланс энергии'!S1362+'корпоративный баланс энергии'!V1362+'корпоративный баланс энергии'!Y1362</f>
        <v>11.8</v>
      </c>
      <c r="H1353" s="246"/>
      <c r="I1353" s="282"/>
      <c r="J1353" s="244">
        <f>'корпоративный баланс энергии'!AB1362+'корпоративный баланс энергии'!AE1362+'корпоративный баланс энергии'!AH1362</f>
        <v>11.93</v>
      </c>
      <c r="K1353" s="246"/>
      <c r="L1353" s="282"/>
      <c r="M1353" s="244">
        <f>'корпоративный баланс энергии'!AK1362+'корпоративный баланс энергии'!AN1362+'корпоративный баланс энергии'!AQ1362</f>
        <v>11.93</v>
      </c>
      <c r="N1353" s="246"/>
      <c r="O1353" s="282"/>
      <c r="P1353" s="244">
        <f t="shared" si="108"/>
        <v>47.46</v>
      </c>
      <c r="Q1353" s="244"/>
      <c r="R1353" s="249"/>
      <c r="S1353" s="357"/>
      <c r="T1353" s="357"/>
    </row>
    <row r="1354" spans="2:20" s="24" customFormat="1">
      <c r="B1354" s="122" t="str">
        <f>'корпоративный баланс энергии'!H1363</f>
        <v>Кочубеевская ВЭС-2020-3</v>
      </c>
      <c r="C1354" s="127"/>
      <c r="D1354" s="244">
        <f>'корпоративный баланс энергии'!J1363+'корпоративный баланс энергии'!M1363+'корпоративный баланс энергии'!P1363</f>
        <v>11.799999999999999</v>
      </c>
      <c r="E1354" s="246"/>
      <c r="F1354" s="282"/>
      <c r="G1354" s="244">
        <f>'корпоративный баланс энергии'!S1363+'корпоративный баланс энергии'!V1363+'корпоративный баланс энергии'!Y1363</f>
        <v>11.8</v>
      </c>
      <c r="H1354" s="246"/>
      <c r="I1354" s="282"/>
      <c r="J1354" s="244">
        <f>'корпоративный баланс энергии'!AB1363+'корпоративный баланс энергии'!AE1363+'корпоративный баланс энергии'!AH1363</f>
        <v>11.93</v>
      </c>
      <c r="K1354" s="246"/>
      <c r="L1354" s="282"/>
      <c r="M1354" s="244">
        <f>'корпоративный баланс энергии'!AK1363+'корпоративный баланс энергии'!AN1363+'корпоративный баланс энергии'!AQ1363</f>
        <v>11.93</v>
      </c>
      <c r="N1354" s="246"/>
      <c r="O1354" s="282"/>
      <c r="P1354" s="244">
        <f t="shared" si="108"/>
        <v>47.46</v>
      </c>
      <c r="Q1354" s="244"/>
      <c r="R1354" s="249"/>
      <c r="S1354" s="357"/>
      <c r="T1354" s="357"/>
    </row>
    <row r="1355" spans="2:20" s="24" customFormat="1">
      <c r="B1355" s="122" t="str">
        <f>'корпоративный баланс энергии'!H1364</f>
        <v>Кочубеевская ВЭС-2020-4</v>
      </c>
      <c r="C1355" s="127"/>
      <c r="D1355" s="244">
        <f>'корпоративный баланс энергии'!J1364+'корпоративный баланс энергии'!M1364+'корпоративный баланс энергии'!P1364</f>
        <v>11.799999999999999</v>
      </c>
      <c r="E1355" s="246"/>
      <c r="F1355" s="282"/>
      <c r="G1355" s="244">
        <f>'корпоративный баланс энергии'!S1364+'корпоративный баланс энергии'!V1364+'корпоративный баланс энергии'!Y1364</f>
        <v>11.8</v>
      </c>
      <c r="H1355" s="246"/>
      <c r="I1355" s="282"/>
      <c r="J1355" s="244">
        <f>'корпоративный баланс энергии'!AB1364+'корпоративный баланс энергии'!AE1364+'корпоративный баланс энергии'!AH1364</f>
        <v>11.93</v>
      </c>
      <c r="K1355" s="246"/>
      <c r="L1355" s="282"/>
      <c r="M1355" s="244">
        <f>'корпоративный баланс энергии'!AK1364+'корпоративный баланс энергии'!AN1364+'корпоративный баланс энергии'!AQ1364</f>
        <v>11.93</v>
      </c>
      <c r="N1355" s="246"/>
      <c r="O1355" s="282"/>
      <c r="P1355" s="244">
        <f t="shared" si="108"/>
        <v>47.46</v>
      </c>
      <c r="Q1355" s="244"/>
      <c r="R1355" s="249"/>
      <c r="S1355" s="357"/>
      <c r="T1355" s="357"/>
    </row>
    <row r="1356" spans="2:20" s="24" customFormat="1">
      <c r="B1356" s="122" t="str">
        <f>'корпоративный баланс энергии'!H1365</f>
        <v>Кочубеевская ВЭС-2020-5</v>
      </c>
      <c r="C1356" s="127"/>
      <c r="D1356" s="244">
        <f>'корпоративный баланс энергии'!J1365+'корпоративный баланс энергии'!M1365+'корпоративный баланс энергии'!P1365</f>
        <v>11.799999999999999</v>
      </c>
      <c r="E1356" s="246"/>
      <c r="F1356" s="282"/>
      <c r="G1356" s="244">
        <f>'корпоративный баланс энергии'!S1365+'корпоративный баланс энергии'!V1365+'корпоративный баланс энергии'!Y1365</f>
        <v>11.8</v>
      </c>
      <c r="H1356" s="246"/>
      <c r="I1356" s="282"/>
      <c r="J1356" s="244">
        <f>'корпоративный баланс энергии'!AB1365+'корпоративный баланс энергии'!AE1365+'корпоративный баланс энергии'!AH1365</f>
        <v>11.93</v>
      </c>
      <c r="K1356" s="246"/>
      <c r="L1356" s="282"/>
      <c r="M1356" s="244">
        <f>'корпоративный баланс энергии'!AK1365+'корпоративный баланс энергии'!AN1365+'корпоративный баланс энергии'!AQ1365</f>
        <v>11.93</v>
      </c>
      <c r="N1356" s="246"/>
      <c r="O1356" s="282"/>
      <c r="P1356" s="244">
        <f t="shared" si="108"/>
        <v>47.46</v>
      </c>
      <c r="Q1356" s="244"/>
      <c r="R1356" s="249"/>
      <c r="S1356" s="357"/>
      <c r="T1356" s="357"/>
    </row>
    <row r="1357" spans="2:20" s="24" customFormat="1">
      <c r="B1357" s="122" t="str">
        <f>'корпоративный баланс энергии'!H1366</f>
        <v>Кочубеевская ВЭС-2020-6</v>
      </c>
      <c r="C1357" s="127"/>
      <c r="D1357" s="244">
        <f>'корпоративный баланс энергии'!J1366+'корпоративный баланс энергии'!M1366+'корпоративный баланс энергии'!P1366</f>
        <v>11.799999999999999</v>
      </c>
      <c r="E1357" s="246"/>
      <c r="F1357" s="282"/>
      <c r="G1357" s="244">
        <f>'корпоративный баланс энергии'!S1366+'корпоративный баланс энергии'!V1366+'корпоративный баланс энергии'!Y1366</f>
        <v>11.8</v>
      </c>
      <c r="H1357" s="246"/>
      <c r="I1357" s="282"/>
      <c r="J1357" s="244">
        <f>'корпоративный баланс энергии'!AB1366+'корпоративный баланс энергии'!AE1366+'корпоративный баланс энергии'!AH1366</f>
        <v>11.93</v>
      </c>
      <c r="K1357" s="246"/>
      <c r="L1357" s="282"/>
      <c r="M1357" s="244">
        <f>'корпоративный баланс энергии'!AK1366+'корпоративный баланс энергии'!AN1366+'корпоративный баланс энергии'!AQ1366</f>
        <v>11.93</v>
      </c>
      <c r="N1357" s="246"/>
      <c r="O1357" s="282"/>
      <c r="P1357" s="244">
        <f t="shared" si="108"/>
        <v>47.46</v>
      </c>
      <c r="Q1357" s="244"/>
      <c r="R1357" s="249"/>
      <c r="S1357" s="357"/>
      <c r="T1357" s="357"/>
    </row>
    <row r="1358" spans="2:20" s="24" customFormat="1">
      <c r="B1358" s="122" t="str">
        <f>'корпоративный баланс энергии'!H1367</f>
        <v>Кочубеевская ВЭС-2020-7</v>
      </c>
      <c r="C1358" s="127"/>
      <c r="D1358" s="244">
        <f>'корпоративный баланс энергии'!J1367+'корпоративный баланс энергии'!M1367+'корпоративный баланс энергии'!P1367</f>
        <v>11.799999999999999</v>
      </c>
      <c r="E1358" s="246"/>
      <c r="F1358" s="282"/>
      <c r="G1358" s="244">
        <f>'корпоративный баланс энергии'!S1367+'корпоративный баланс энергии'!V1367+'корпоративный баланс энергии'!Y1367</f>
        <v>11.8</v>
      </c>
      <c r="H1358" s="246"/>
      <c r="I1358" s="282"/>
      <c r="J1358" s="244">
        <f>'корпоративный баланс энергии'!AB1367+'корпоративный баланс энергии'!AE1367+'корпоративный баланс энергии'!AH1367</f>
        <v>11.93</v>
      </c>
      <c r="K1358" s="246"/>
      <c r="L1358" s="282"/>
      <c r="M1358" s="244">
        <f>'корпоративный баланс энергии'!AK1367+'корпоративный баланс энергии'!AN1367+'корпоративный баланс энергии'!AQ1367</f>
        <v>11.93</v>
      </c>
      <c r="N1358" s="246"/>
      <c r="O1358" s="282"/>
      <c r="P1358" s="244">
        <f t="shared" si="108"/>
        <v>47.46</v>
      </c>
      <c r="Q1358" s="244"/>
      <c r="R1358" s="249"/>
      <c r="S1358" s="357"/>
      <c r="T1358" s="357"/>
    </row>
    <row r="1359" spans="2:20" s="24" customFormat="1">
      <c r="B1359" s="122" t="str">
        <f>'корпоративный баланс энергии'!H1368</f>
        <v>Кочубеевская ВЭС-2020-8</v>
      </c>
      <c r="C1359" s="127"/>
      <c r="D1359" s="244">
        <f>'корпоративный баланс энергии'!J1368+'корпоративный баланс энергии'!M1368+'корпоративный баланс энергии'!P1368</f>
        <v>11.799999999999999</v>
      </c>
      <c r="E1359" s="246"/>
      <c r="F1359" s="282"/>
      <c r="G1359" s="244">
        <f>'корпоративный баланс энергии'!S1368+'корпоративный баланс энергии'!V1368+'корпоративный баланс энергии'!Y1368</f>
        <v>11.8</v>
      </c>
      <c r="H1359" s="246"/>
      <c r="I1359" s="282"/>
      <c r="J1359" s="244">
        <f>'корпоративный баланс энергии'!AB1368+'корпоративный баланс энергии'!AE1368+'корпоративный баланс энергии'!AH1368</f>
        <v>11.93</v>
      </c>
      <c r="K1359" s="246"/>
      <c r="L1359" s="282"/>
      <c r="M1359" s="244">
        <f>'корпоративный баланс энергии'!AK1368+'корпоративный баланс энергии'!AN1368+'корпоративный баланс энергии'!AQ1368</f>
        <v>11.93</v>
      </c>
      <c r="N1359" s="246"/>
      <c r="O1359" s="282"/>
      <c r="P1359" s="244">
        <f t="shared" si="108"/>
        <v>47.46</v>
      </c>
      <c r="Q1359" s="244"/>
      <c r="R1359" s="249"/>
      <c r="S1359" s="357"/>
      <c r="T1359" s="357"/>
    </row>
    <row r="1360" spans="2:20" s="24" customFormat="1">
      <c r="B1360" s="122" t="str">
        <f>'корпоративный баланс энергии'!H1369</f>
        <v>Кочубеевская ВЭС-2020-9</v>
      </c>
      <c r="C1360" s="127"/>
      <c r="D1360" s="244">
        <f>'корпоративный баланс энергии'!J1369+'корпоративный баланс энергии'!M1369+'корпоративный баланс энергии'!P1369</f>
        <v>11.799999999999999</v>
      </c>
      <c r="E1360" s="246"/>
      <c r="F1360" s="282"/>
      <c r="G1360" s="244">
        <f>'корпоративный баланс энергии'!S1369+'корпоративный баланс энергии'!V1369+'корпоративный баланс энергии'!Y1369</f>
        <v>11.8</v>
      </c>
      <c r="H1360" s="246"/>
      <c r="I1360" s="282"/>
      <c r="J1360" s="244">
        <f>'корпоративный баланс энергии'!AB1369+'корпоративный баланс энергии'!AE1369+'корпоративный баланс энергии'!AH1369</f>
        <v>11.93</v>
      </c>
      <c r="K1360" s="246"/>
      <c r="L1360" s="282"/>
      <c r="M1360" s="244">
        <f>'корпоративный баланс энергии'!AK1369+'корпоративный баланс энергии'!AN1369+'корпоративный баланс энергии'!AQ1369</f>
        <v>11.93</v>
      </c>
      <c r="N1360" s="246"/>
      <c r="O1360" s="282"/>
      <c r="P1360" s="244">
        <f t="shared" si="108"/>
        <v>47.46</v>
      </c>
      <c r="Q1360" s="244"/>
      <c r="R1360" s="249"/>
      <c r="S1360" s="357"/>
      <c r="T1360" s="357"/>
    </row>
    <row r="1361" spans="2:20" s="24" customFormat="1">
      <c r="B1361" s="122" t="str">
        <f>'корпоративный баланс энергии'!H1370</f>
        <v>Кочубеевская ВЭС-2020-10</v>
      </c>
      <c r="C1361" s="127"/>
      <c r="D1361" s="244">
        <f>'корпоративный баланс энергии'!J1370+'корпоративный баланс энергии'!M1370+'корпоративный баланс энергии'!P1370</f>
        <v>11.799999999999999</v>
      </c>
      <c r="E1361" s="246"/>
      <c r="F1361" s="282"/>
      <c r="G1361" s="244">
        <f>'корпоративный баланс энергии'!S1370+'корпоративный баланс энергии'!V1370+'корпоративный баланс энергии'!Y1370</f>
        <v>11.8</v>
      </c>
      <c r="H1361" s="246"/>
      <c r="I1361" s="282"/>
      <c r="J1361" s="244">
        <f>'корпоративный баланс энергии'!AB1370+'корпоративный баланс энергии'!AE1370+'корпоративный баланс энергии'!AH1370</f>
        <v>11.93</v>
      </c>
      <c r="K1361" s="246"/>
      <c r="L1361" s="282"/>
      <c r="M1361" s="244">
        <f>'корпоративный баланс энергии'!AK1370+'корпоративный баланс энергии'!AN1370+'корпоративный баланс энергии'!AQ1370</f>
        <v>11.93</v>
      </c>
      <c r="N1361" s="246"/>
      <c r="O1361" s="282"/>
      <c r="P1361" s="244">
        <f t="shared" si="108"/>
        <v>47.46</v>
      </c>
      <c r="Q1361" s="244"/>
      <c r="R1361" s="249"/>
      <c r="S1361" s="357"/>
      <c r="T1361" s="357"/>
    </row>
    <row r="1362" spans="2:20" s="24" customFormat="1">
      <c r="B1362" s="122" t="str">
        <f>'корпоративный баланс энергии'!H1371</f>
        <v xml:space="preserve"> Старомарьевская СЭС (ООО "Солар Системс") НВ</v>
      </c>
      <c r="C1362" s="127"/>
      <c r="D1362" s="262">
        <f>SUM(D1363:D1369)</f>
        <v>21.867000000000001</v>
      </c>
      <c r="E1362" s="246"/>
      <c r="F1362" s="282"/>
      <c r="G1362" s="262">
        <f>SUM(G1363:G1369)</f>
        <v>43.3</v>
      </c>
      <c r="H1362" s="246"/>
      <c r="I1362" s="282"/>
      <c r="J1362" s="262">
        <f>SUM(J1363:J1369)</f>
        <v>43.302</v>
      </c>
      <c r="K1362" s="246"/>
      <c r="L1362" s="282"/>
      <c r="M1362" s="262">
        <f>SUM(M1363:M1369)</f>
        <v>18.929000000000002</v>
      </c>
      <c r="N1362" s="246"/>
      <c r="O1362" s="282"/>
      <c r="P1362" s="262">
        <f>SUM(P1363:P1369)</f>
        <v>127.398</v>
      </c>
      <c r="Q1362" s="244"/>
      <c r="R1362" s="249"/>
      <c r="S1362" s="357"/>
      <c r="T1362" s="357"/>
    </row>
    <row r="1363" spans="2:20" s="24" customFormat="1">
      <c r="B1363" s="122" t="str">
        <f>'корпоративный баланс энергии'!H1372</f>
        <v>Грачевка</v>
      </c>
      <c r="C1363" s="127"/>
      <c r="D1363" s="244">
        <f>'корпоративный баланс энергии'!J1372+'корпоративный баланс энергии'!M1372+'корпоративный баланс энергии'!P1372</f>
        <v>3.2159999999999997</v>
      </c>
      <c r="E1363" s="246"/>
      <c r="F1363" s="282"/>
      <c r="G1363" s="244">
        <f>'корпоративный баланс энергии'!S1372+'корпоративный баланс энергии'!V1372+'корпоративный баланс энергии'!Y1372</f>
        <v>5.4139999999999997</v>
      </c>
      <c r="H1363" s="246"/>
      <c r="I1363" s="282"/>
      <c r="J1363" s="244">
        <f>'корпоративный баланс энергии'!AB1372+'корпоративный баланс энергии'!AE1372+'корпоративный баланс энергии'!AH1372</f>
        <v>5.4019999999999992</v>
      </c>
      <c r="K1363" s="246"/>
      <c r="L1363" s="282"/>
      <c r="M1363" s="244">
        <f>'корпоративный баланс энергии'!AK1372+'корпоративный баланс энергии'!AN1372+'корпоративный баланс энергии'!AQ1372</f>
        <v>2.359</v>
      </c>
      <c r="N1363" s="246"/>
      <c r="O1363" s="282"/>
      <c r="P1363" s="244">
        <f t="shared" ref="P1363:P1369" si="109">D1363+G1363+J1363+M1363</f>
        <v>16.390999999999998</v>
      </c>
      <c r="Q1363" s="244"/>
      <c r="R1363" s="249"/>
      <c r="S1363" s="357"/>
      <c r="T1363" s="357"/>
    </row>
    <row r="1364" spans="2:20" s="24" customFormat="1">
      <c r="B1364" s="122" t="str">
        <f>'корпоративный баланс энергии'!H1373</f>
        <v>Калиновка</v>
      </c>
      <c r="C1364" s="127"/>
      <c r="D1364" s="244">
        <f>'корпоративный баланс энергии'!J1373+'корпоративный баланс энергии'!M1373+'корпоративный баланс энергии'!P1373</f>
        <v>3.2159999999999997</v>
      </c>
      <c r="E1364" s="246"/>
      <c r="F1364" s="282"/>
      <c r="G1364" s="244">
        <f>'корпоративный баланс энергии'!S1373+'корпоративный баланс энергии'!V1373+'корпоративный баланс энергии'!Y1373</f>
        <v>5.4139999999999997</v>
      </c>
      <c r="H1364" s="246"/>
      <c r="I1364" s="282"/>
      <c r="J1364" s="244">
        <f>'корпоративный баланс энергии'!AB1373+'корпоративный баланс энергии'!AE1373+'корпоративный баланс энергии'!AH1373</f>
        <v>5.391</v>
      </c>
      <c r="K1364" s="246"/>
      <c r="L1364" s="282"/>
      <c r="M1364" s="244">
        <f>'корпоративный баланс энергии'!AK1373+'корпоративный баланс энергии'!AN1373+'корпоративный баланс энергии'!AQ1373</f>
        <v>2.359</v>
      </c>
      <c r="N1364" s="246"/>
      <c r="O1364" s="282"/>
      <c r="P1364" s="244">
        <f t="shared" si="109"/>
        <v>16.38</v>
      </c>
      <c r="Q1364" s="244"/>
      <c r="R1364" s="249"/>
      <c r="S1364" s="357"/>
      <c r="T1364" s="357"/>
    </row>
    <row r="1365" spans="2:20" s="24" customFormat="1">
      <c r="B1365" s="122" t="str">
        <f>'корпоративный баланс энергии'!H1374</f>
        <v>Третья очередь</v>
      </c>
      <c r="C1365" s="127"/>
      <c r="D1365" s="244">
        <f>'корпоративный баланс энергии'!J1374+'корпоративный баланс энергии'!M1374+'корпоративный баланс энергии'!P1374</f>
        <v>6.4309999999999992</v>
      </c>
      <c r="E1365" s="246"/>
      <c r="F1365" s="282"/>
      <c r="G1365" s="244">
        <f>'корпоративный баланс энергии'!S1374+'корпоративный баланс энергии'!V1374+'корпоративный баланс энергии'!Y1374</f>
        <v>10.827999999999999</v>
      </c>
      <c r="H1365" s="246"/>
      <c r="I1365" s="282"/>
      <c r="J1365" s="244">
        <f>'корпоративный баланс энергии'!AB1374+'корпоративный баланс энергии'!AE1374+'корпоративный баланс энергии'!AH1374</f>
        <v>10.850999999999999</v>
      </c>
      <c r="K1365" s="246"/>
      <c r="L1365" s="282"/>
      <c r="M1365" s="244">
        <f>'корпоративный баланс энергии'!AK1374+'корпоративный баланс энергии'!AN1374+'корпоративный баланс энергии'!AQ1374</f>
        <v>4.7439999999999998</v>
      </c>
      <c r="N1365" s="246"/>
      <c r="O1365" s="282"/>
      <c r="P1365" s="244">
        <f t="shared" si="109"/>
        <v>32.853999999999999</v>
      </c>
      <c r="Q1365" s="244"/>
      <c r="R1365" s="249"/>
      <c r="S1365" s="357"/>
      <c r="T1365" s="357"/>
    </row>
    <row r="1366" spans="2:20" s="24" customFormat="1">
      <c r="B1366" s="122" t="str">
        <f>'корпоративный баланс энергии'!H1375</f>
        <v>Красная</v>
      </c>
      <c r="C1366" s="127"/>
      <c r="D1366" s="244">
        <f>'корпоративный баланс энергии'!J1375+'корпоративный баланс энергии'!M1375+'корпоративный баланс энергии'!P1375</f>
        <v>3.2159999999999997</v>
      </c>
      <c r="E1366" s="246"/>
      <c r="F1366" s="282"/>
      <c r="G1366" s="244">
        <f>'корпоративный баланс энергии'!S1375+'корпоративный баланс энергии'!V1375+'корпоративный баланс энергии'!Y1375</f>
        <v>5.4139999999999997</v>
      </c>
      <c r="H1366" s="246"/>
      <c r="I1366" s="282"/>
      <c r="J1366" s="244">
        <f>'корпоративный баланс энергии'!AB1375+'корпоративный баланс энергии'!AE1375+'корпоративный баланс энергии'!AH1375</f>
        <v>5.415</v>
      </c>
      <c r="K1366" s="246"/>
      <c r="L1366" s="282"/>
      <c r="M1366" s="244">
        <f>'корпоративный баланс энергии'!AK1375+'корпоративный баланс энергии'!AN1375+'корпоративный баланс энергии'!AQ1375</f>
        <v>2.359</v>
      </c>
      <c r="N1366" s="246"/>
      <c r="O1366" s="282"/>
      <c r="P1366" s="244">
        <f t="shared" si="109"/>
        <v>16.403999999999996</v>
      </c>
      <c r="Q1366" s="244"/>
      <c r="R1366" s="249"/>
      <c r="S1366" s="357"/>
      <c r="T1366" s="357"/>
    </row>
    <row r="1367" spans="2:20" s="24" customFormat="1">
      <c r="B1367" s="122" t="str">
        <f>'корпоративный баланс энергии'!H1376</f>
        <v>Пятая очередь</v>
      </c>
      <c r="C1367" s="127"/>
      <c r="D1367" s="244">
        <f>'корпоративный баланс энергии'!J1376+'корпоративный баланс энергии'!M1376+'корпоративный баланс энергии'!P1376</f>
        <v>2.5720000000000001</v>
      </c>
      <c r="E1367" s="246"/>
      <c r="F1367" s="282"/>
      <c r="G1367" s="244">
        <f>'корпоративный баланс энергии'!S1376+'корпоративный баланс энергии'!V1376+'корпоративный баланс энергии'!Y1376</f>
        <v>4.33</v>
      </c>
      <c r="H1367" s="246"/>
      <c r="I1367" s="282"/>
      <c r="J1367" s="244">
        <f>'корпоративный баланс энергии'!AB1376+'корпоративный баланс энергии'!AE1376+'корпоративный баланс энергии'!AH1376</f>
        <v>4.3409999999999993</v>
      </c>
      <c r="K1367" s="246"/>
      <c r="L1367" s="282"/>
      <c r="M1367" s="244">
        <f>'корпоративный баланс энергии'!AK1376+'корпоративный баланс энергии'!AN1376+'корпоративный баланс энергии'!AQ1376</f>
        <v>1.9000000000000001</v>
      </c>
      <c r="N1367" s="246"/>
      <c r="O1367" s="282"/>
      <c r="P1367" s="244">
        <f t="shared" si="109"/>
        <v>13.142999999999999</v>
      </c>
      <c r="Q1367" s="244"/>
      <c r="R1367" s="249"/>
      <c r="S1367" s="357"/>
      <c r="T1367" s="357"/>
    </row>
    <row r="1368" spans="2:20" s="24" customFormat="1">
      <c r="B1368" s="122" t="str">
        <f>'корпоративный баланс энергии'!H1377</f>
        <v>Шестая очередь</v>
      </c>
      <c r="C1368" s="127"/>
      <c r="D1368" s="244">
        <f>'корпоративный баланс энергии'!J1377+'корпоративный баланс энергии'!M1377+'корпоративный баланс энергии'!P1377</f>
        <v>0</v>
      </c>
      <c r="E1368" s="246"/>
      <c r="F1368" s="282"/>
      <c r="G1368" s="244">
        <f>'корпоративный баланс энергии'!S1377+'корпоративный баланс энергии'!V1377+'корпоративный баланс энергии'!Y1377</f>
        <v>6.4970000000000008</v>
      </c>
      <c r="H1368" s="246"/>
      <c r="I1368" s="282"/>
      <c r="J1368" s="244">
        <f>'корпоративный баланс энергии'!AB1377+'корпоративный баланс энергии'!AE1377+'корпоративный баланс энергии'!AH1377</f>
        <v>6.5110000000000001</v>
      </c>
      <c r="K1368" s="246"/>
      <c r="L1368" s="282"/>
      <c r="M1368" s="244">
        <f>'корпоративный баланс энергии'!AK1377+'корпоративный баланс энергии'!AN1377+'корпоративный баланс энергии'!AQ1377</f>
        <v>2.8490000000000002</v>
      </c>
      <c r="N1368" s="246"/>
      <c r="O1368" s="282"/>
      <c r="P1368" s="244">
        <f t="shared" si="109"/>
        <v>15.857000000000001</v>
      </c>
      <c r="Q1368" s="244"/>
      <c r="R1368" s="249"/>
      <c r="S1368" s="357"/>
      <c r="T1368" s="357"/>
    </row>
    <row r="1369" spans="2:20" s="24" customFormat="1">
      <c r="B1369" s="122" t="str">
        <f>'корпоративный баланс энергии'!H1378</f>
        <v>Ташла</v>
      </c>
      <c r="C1369" s="127"/>
      <c r="D1369" s="244">
        <f>'корпоративный баланс энергии'!J1378+'корпоративный баланс энергии'!M1378+'корпоративный баланс энергии'!P1378</f>
        <v>3.2159999999999997</v>
      </c>
      <c r="E1369" s="246"/>
      <c r="F1369" s="282"/>
      <c r="G1369" s="244">
        <f>'корпоративный баланс энергии'!S1378+'корпоративный баланс энергии'!V1378+'корпоративный баланс энергии'!Y1378</f>
        <v>5.4030000000000005</v>
      </c>
      <c r="H1369" s="246"/>
      <c r="I1369" s="282"/>
      <c r="J1369" s="244">
        <f>'корпоративный баланс энергии'!AB1378+'корпоративный баланс энергии'!AE1378+'корпоративный баланс энергии'!AH1378</f>
        <v>5.391</v>
      </c>
      <c r="K1369" s="246"/>
      <c r="L1369" s="282"/>
      <c r="M1369" s="244">
        <f>'корпоративный баланс энергии'!AK1378+'корпоративный баланс энергии'!AN1378+'корпоративный баланс энергии'!AQ1378</f>
        <v>2.359</v>
      </c>
      <c r="N1369" s="246"/>
      <c r="O1369" s="282"/>
      <c r="P1369" s="244">
        <f t="shared" si="109"/>
        <v>16.369</v>
      </c>
      <c r="Q1369" s="244"/>
      <c r="R1369" s="249"/>
      <c r="S1369" s="357"/>
      <c r="T1369" s="357"/>
    </row>
    <row r="1370" spans="2:20" s="24" customFormat="1">
      <c r="B1370" s="138" t="s">
        <v>174</v>
      </c>
      <c r="C1370" s="138"/>
      <c r="D1370" s="319">
        <f>SUM(D1371:D1373)</f>
        <v>42.3</v>
      </c>
      <c r="E1370" s="288"/>
      <c r="F1370" s="289"/>
      <c r="G1370" s="287">
        <f>SUM(G1371:G1373)</f>
        <v>34.130000000000003</v>
      </c>
      <c r="H1370" s="288"/>
      <c r="I1370" s="289"/>
      <c r="J1370" s="287">
        <f>SUM(J1371:J1373)</f>
        <v>41.08</v>
      </c>
      <c r="K1370" s="288"/>
      <c r="L1370" s="289"/>
      <c r="M1370" s="287">
        <f>SUM(M1371:M1373)</f>
        <v>57.150000000000006</v>
      </c>
      <c r="N1370" s="288"/>
      <c r="O1370" s="289"/>
      <c r="P1370" s="287">
        <f>SUM(P1371:P1373)</f>
        <v>174.66000000000003</v>
      </c>
      <c r="Q1370" s="294"/>
      <c r="R1370" s="295"/>
      <c r="S1370" s="357"/>
      <c r="T1370" s="357"/>
    </row>
    <row r="1371" spans="2:20" s="24" customFormat="1">
      <c r="B1371" s="145" t="str">
        <f>'корпоративный баланс энергии'!H1380</f>
        <v>Лермонтовская ТЭЦ (ЗАО "Южная энергетическая компания")</v>
      </c>
      <c r="C1371" s="518" t="s">
        <v>365</v>
      </c>
      <c r="D1371" s="294">
        <f>'корпоративный баланс энергии'!J1380+'корпоративный баланс энергии'!M1380+'корпоративный баланс энергии'!P1380</f>
        <v>30.5</v>
      </c>
      <c r="E1371" s="288"/>
      <c r="F1371" s="289"/>
      <c r="G1371" s="294">
        <f>'корпоративный баланс энергии'!S1380+'корпоративный баланс энергии'!V1380+'корпоративный баланс энергии'!Y1380</f>
        <v>22.23</v>
      </c>
      <c r="H1371" s="288"/>
      <c r="I1371" s="289"/>
      <c r="J1371" s="294">
        <f>'корпоративный баланс энергии'!AB1380+'корпоративный баланс энергии'!AE1380+'корпоративный баланс энергии'!AH1380</f>
        <v>21.48</v>
      </c>
      <c r="K1371" s="288"/>
      <c r="L1371" s="289"/>
      <c r="M1371" s="294">
        <f>'корпоративный баланс энергии'!AK1380+'корпоративный баланс энергии'!AN1380+'корпоративный баланс энергии'!AQ1380</f>
        <v>33.85</v>
      </c>
      <c r="N1371" s="288"/>
      <c r="O1371" s="289"/>
      <c r="P1371" s="294">
        <f>D1371+G1371+J1371+M1371</f>
        <v>108.06</v>
      </c>
      <c r="Q1371" s="288"/>
      <c r="R1371" s="289"/>
      <c r="S1371" s="357"/>
      <c r="T1371" s="357"/>
    </row>
    <row r="1372" spans="2:20" s="24" customFormat="1">
      <c r="B1372" s="145" t="str">
        <f>'корпоративный баланс энергии'!H1381</f>
        <v>ТЭЦ (ОАО "Ставропольсахар")</v>
      </c>
      <c r="C1372" s="518" t="s">
        <v>365</v>
      </c>
      <c r="D1372" s="294">
        <f>'корпоративный баланс энергии'!J1381+'корпоративный баланс энергии'!M1381+'корпоративный баланс энергии'!P1381</f>
        <v>0</v>
      </c>
      <c r="E1372" s="288"/>
      <c r="F1372" s="289"/>
      <c r="G1372" s="294">
        <f>'корпоративный баланс энергии'!S1381+'корпоративный баланс энергии'!V1381+'корпоративный баланс энергии'!Y1381</f>
        <v>0</v>
      </c>
      <c r="H1372" s="288"/>
      <c r="I1372" s="289"/>
      <c r="J1372" s="294">
        <f>'корпоративный баланс энергии'!AB1381+'корпоративный баланс энергии'!AE1381+'корпоративный баланс энергии'!AH1381</f>
        <v>7.9</v>
      </c>
      <c r="K1372" s="288"/>
      <c r="L1372" s="289"/>
      <c r="M1372" s="294">
        <f>'корпоративный баланс энергии'!AK1381+'корпоративный баланс энергии'!AN1381+'корпоративный баланс энергии'!AQ1381</f>
        <v>11.3</v>
      </c>
      <c r="N1372" s="288"/>
      <c r="O1372" s="289"/>
      <c r="P1372" s="294">
        <f>D1372+G1372+J1372+M1372</f>
        <v>19.200000000000003</v>
      </c>
      <c r="Q1372" s="288"/>
      <c r="R1372" s="289"/>
      <c r="S1372" s="357"/>
      <c r="T1372" s="357"/>
    </row>
    <row r="1373" spans="2:20" s="24" customFormat="1">
      <c r="B1373" s="145" t="str">
        <f>'корпоративный баланс энергии'!H1382</f>
        <v>ГПЭС (ЗАО "Сен-Гобен Кавминстекло")</v>
      </c>
      <c r="C1373" s="518" t="s">
        <v>365</v>
      </c>
      <c r="D1373" s="294">
        <f>'корпоративный баланс энергии'!J1382+'корпоративный баланс энергии'!M1382+'корпоративный баланс энергии'!P1382</f>
        <v>11.8</v>
      </c>
      <c r="E1373" s="288"/>
      <c r="F1373" s="289"/>
      <c r="G1373" s="294">
        <f>'корпоративный баланс энергии'!S1382+'корпоративный баланс энергии'!V1382+'корпоративный баланс энергии'!Y1382</f>
        <v>11.9</v>
      </c>
      <c r="H1373" s="288"/>
      <c r="I1373" s="289"/>
      <c r="J1373" s="294">
        <f>'корпоративный баланс энергии'!AB1382+'корпоративный баланс энергии'!AE1382+'корпоративный баланс энергии'!AH1382</f>
        <v>11.7</v>
      </c>
      <c r="K1373" s="288"/>
      <c r="L1373" s="289"/>
      <c r="M1373" s="294">
        <f>'корпоративный баланс энергии'!AK1382+'корпоративный баланс энергии'!AN1382+'корпоративный баланс энергии'!AQ1382</f>
        <v>12</v>
      </c>
      <c r="N1373" s="288"/>
      <c r="O1373" s="289"/>
      <c r="P1373" s="294">
        <f>D1373+G1373+J1373+M1373</f>
        <v>47.400000000000006</v>
      </c>
      <c r="Q1373" s="288"/>
      <c r="R1373" s="289"/>
      <c r="S1373" s="357"/>
      <c r="T1373" s="357"/>
    </row>
    <row r="1374" spans="2:20" s="24" customFormat="1" ht="18.75">
      <c r="B1374" s="474" t="str">
        <f>'корпоративный баланс энергии'!H1383</f>
        <v>Энергосистема Чеченской Республики</v>
      </c>
      <c r="C1374" s="501"/>
      <c r="D1374" s="274">
        <f>SUM(D1375:D1376)</f>
        <v>134.00821569999999</v>
      </c>
      <c r="E1374" s="275">
        <f>F1374-D1374</f>
        <v>719.98351927706403</v>
      </c>
      <c r="F1374" s="276">
        <f>'корпоративный баланс энергии'!L1383+'корпоративный баланс энергии'!O1383+'корпоративный баланс энергии'!R1383</f>
        <v>853.99173497706397</v>
      </c>
      <c r="G1374" s="274">
        <f>SUM(G1375:G1376)</f>
        <v>138.85935669</v>
      </c>
      <c r="H1374" s="275">
        <f>I1374-G1374</f>
        <v>531.86104994309824</v>
      </c>
      <c r="I1374" s="276">
        <f>'корпоративный баланс энергии'!U1383+'корпоративный баланс энергии'!X1383+'корпоративный баланс энергии'!AA1383</f>
        <v>670.72040663309826</v>
      </c>
      <c r="J1374" s="274">
        <f>SUM(J1375:J1376)</f>
        <v>139.01651006</v>
      </c>
      <c r="K1374" s="275">
        <f>L1374-J1374</f>
        <v>549.41568856433923</v>
      </c>
      <c r="L1374" s="276">
        <f>'корпоративный баланс энергии'!AD1383+'корпоративный баланс энергии'!AG1383+'корпоративный баланс энергии'!AJ1383</f>
        <v>688.43219862433921</v>
      </c>
      <c r="M1374" s="274">
        <f>SUM(M1375:M1376)</f>
        <v>140.02826010999999</v>
      </c>
      <c r="N1374" s="275">
        <f>O1374-M1374</f>
        <v>676.82739965549843</v>
      </c>
      <c r="O1374" s="276">
        <f>'корпоративный баланс энергии'!AM1383+'корпоративный баланс энергии'!AP1383+'корпоративный баланс энергии'!AS1383</f>
        <v>816.85565976549844</v>
      </c>
      <c r="P1374" s="274">
        <f>SUM(P1375:P1376)</f>
        <v>551.91234255999996</v>
      </c>
      <c r="Q1374" s="275">
        <f>R1374-P1374</f>
        <v>2478.0876574399995</v>
      </c>
      <c r="R1374" s="276">
        <f>F1374+I1374+L1374+O1374</f>
        <v>3029.9999999999995</v>
      </c>
      <c r="S1374" s="357"/>
      <c r="T1374" s="357"/>
    </row>
    <row r="1375" spans="2:20" s="24" customFormat="1">
      <c r="B1375" s="124" t="s">
        <v>56</v>
      </c>
      <c r="C1375" s="124"/>
      <c r="D1375" s="362">
        <f>D1377</f>
        <v>133</v>
      </c>
      <c r="E1375" s="806"/>
      <c r="F1375" s="805"/>
      <c r="G1375" s="362">
        <f>G1377</f>
        <v>137</v>
      </c>
      <c r="H1375" s="806"/>
      <c r="I1375" s="805"/>
      <c r="J1375" s="362">
        <f>J1377</f>
        <v>137</v>
      </c>
      <c r="K1375" s="806"/>
      <c r="L1375" s="805"/>
      <c r="M1375" s="362">
        <f>M1377</f>
        <v>138</v>
      </c>
      <c r="N1375" s="806"/>
      <c r="O1375" s="805"/>
      <c r="P1375" s="362">
        <f>P1377</f>
        <v>545</v>
      </c>
      <c r="Q1375" s="806"/>
      <c r="R1375" s="805"/>
      <c r="S1375" s="357"/>
      <c r="T1375" s="357"/>
    </row>
    <row r="1376" spans="2:20" s="24" customFormat="1">
      <c r="B1376" s="124" t="s">
        <v>55</v>
      </c>
      <c r="C1376" s="124"/>
      <c r="D1376" s="362">
        <f>D1380</f>
        <v>1.0082157</v>
      </c>
      <c r="E1376" s="806"/>
      <c r="F1376" s="805"/>
      <c r="G1376" s="362">
        <f>G1380</f>
        <v>1.8593566899999998</v>
      </c>
      <c r="H1376" s="806"/>
      <c r="I1376" s="805"/>
      <c r="J1376" s="362">
        <f>J1380</f>
        <v>2.0165100599999999</v>
      </c>
      <c r="K1376" s="806"/>
      <c r="L1376" s="805"/>
      <c r="M1376" s="362">
        <f>M1380</f>
        <v>2.0282601099999997</v>
      </c>
      <c r="N1376" s="806"/>
      <c r="O1376" s="805"/>
      <c r="P1376" s="362">
        <f>P1380</f>
        <v>6.912342559999999</v>
      </c>
      <c r="Q1376" s="806"/>
      <c r="R1376" s="805"/>
      <c r="S1376" s="357"/>
      <c r="T1376" s="357"/>
    </row>
    <row r="1377" spans="2:20" s="24" customFormat="1">
      <c r="B1377" s="141" t="str">
        <f>'корпоративный баланс энергии'!H1386</f>
        <v>Грозненская ТЭС (филиал ПАО "ОГК-2")</v>
      </c>
      <c r="C1377" s="127"/>
      <c r="D1377" s="262">
        <f>SUM(D1378:D1379)</f>
        <v>133</v>
      </c>
      <c r="E1377" s="246"/>
      <c r="F1377" s="282"/>
      <c r="G1377" s="262">
        <f>SUM(G1378:G1379)</f>
        <v>137</v>
      </c>
      <c r="H1377" s="246"/>
      <c r="I1377" s="282"/>
      <c r="J1377" s="262">
        <f>SUM(J1378:J1379)</f>
        <v>137</v>
      </c>
      <c r="K1377" s="246"/>
      <c r="L1377" s="282"/>
      <c r="M1377" s="262">
        <f>SUM(M1378:M1379)</f>
        <v>138</v>
      </c>
      <c r="N1377" s="246"/>
      <c r="O1377" s="282"/>
      <c r="P1377" s="262">
        <f>SUM(P1378:P1379)</f>
        <v>545</v>
      </c>
      <c r="Q1377" s="244"/>
      <c r="R1377" s="249"/>
      <c r="S1377" s="357"/>
      <c r="T1377" s="357"/>
    </row>
    <row r="1378" spans="2:20" s="24" customFormat="1" ht="18.75">
      <c r="B1378" s="125" t="str">
        <f>'корпоративный баланс энергии'!H1387</f>
        <v>Грозненская ТЭС ГТУ-1 (ПАО "ОГК-2")</v>
      </c>
      <c r="C1378" s="804"/>
      <c r="D1378" s="281">
        <f>'корпоративный баланс энергии'!J1387+'корпоративный баланс энергии'!M1387+'корпоративный баланс энергии'!P1387</f>
        <v>65</v>
      </c>
      <c r="E1378" s="246"/>
      <c r="F1378" s="282"/>
      <c r="G1378" s="244">
        <f>'корпоративный баланс энергии'!S1387+'корпоративный баланс энергии'!V1387+'корпоративный баланс энергии'!Y1387</f>
        <v>68</v>
      </c>
      <c r="H1378" s="246"/>
      <c r="I1378" s="282"/>
      <c r="J1378" s="244">
        <f>'корпоративный баланс энергии'!AB1387+'корпоративный баланс энергии'!AE1387+'корпоративный баланс энергии'!AH1387</f>
        <v>70</v>
      </c>
      <c r="K1378" s="246"/>
      <c r="L1378" s="282"/>
      <c r="M1378" s="244">
        <f>'корпоративный баланс энергии'!AK1387+'корпоративный баланс энергии'!AN1387+'корпоративный баланс энергии'!AQ1387</f>
        <v>69</v>
      </c>
      <c r="N1378" s="246"/>
      <c r="O1378" s="282"/>
      <c r="P1378" s="244">
        <f>D1378+G1378+J1378+M1378</f>
        <v>272</v>
      </c>
      <c r="Q1378" s="323"/>
      <c r="R1378" s="530"/>
      <c r="S1378" s="357"/>
      <c r="T1378" s="357"/>
    </row>
    <row r="1379" spans="2:20" s="24" customFormat="1" ht="18.75">
      <c r="B1379" s="125" t="str">
        <f>'корпоративный баланс энергии'!H1388</f>
        <v>Грозненская ТЭС ГТУ-2 (ПАО "ОГК-2")</v>
      </c>
      <c r="C1379" s="804"/>
      <c r="D1379" s="281">
        <f>'корпоративный баланс энергии'!J1388+'корпоративный баланс энергии'!M1388+'корпоративный баланс энергии'!P1388</f>
        <v>68</v>
      </c>
      <c r="E1379" s="246"/>
      <c r="F1379" s="282"/>
      <c r="G1379" s="244">
        <f>'корпоративный баланс энергии'!S1388+'корпоративный баланс энергии'!V1388+'корпоративный баланс энергии'!Y1388</f>
        <v>69</v>
      </c>
      <c r="H1379" s="246"/>
      <c r="I1379" s="282"/>
      <c r="J1379" s="244">
        <f>'корпоративный баланс энергии'!AB1388+'корпоративный баланс энергии'!AE1388+'корпоративный баланс энергии'!AH1388</f>
        <v>67</v>
      </c>
      <c r="K1379" s="246"/>
      <c r="L1379" s="282"/>
      <c r="M1379" s="244">
        <f>'корпоративный баланс энергии'!AK1388+'корпоративный баланс энергии'!AN1388+'корпоративный баланс энергии'!AQ1388</f>
        <v>69</v>
      </c>
      <c r="N1379" s="246"/>
      <c r="O1379" s="282"/>
      <c r="P1379" s="244">
        <f t="shared" ref="P1379:P1380" si="110">D1379+G1379+J1379+M1379</f>
        <v>273</v>
      </c>
      <c r="Q1379" s="323"/>
      <c r="R1379" s="530"/>
      <c r="S1379" s="357"/>
      <c r="T1379" s="357"/>
    </row>
    <row r="1380" spans="2:20" s="24" customFormat="1" ht="18.75">
      <c r="B1380" s="125" t="str">
        <f>'корпоративный баланс энергии'!H1389</f>
        <v>Малая ГЭС на р.Аргун (ГУП "Чеченская генерирующая компания") НВ</v>
      </c>
      <c r="C1380" s="804"/>
      <c r="D1380" s="281">
        <f>'корпоративный баланс энергии'!J1389+'корпоративный баланс энергии'!M1389+'корпоративный баланс энергии'!P1389</f>
        <v>1.0082157</v>
      </c>
      <c r="E1380" s="246"/>
      <c r="F1380" s="282"/>
      <c r="G1380" s="244">
        <f>'корпоративный баланс энергии'!S1389+'корпоративный баланс энергии'!V1389+'корпоративный баланс энергии'!Y1389</f>
        <v>1.8593566899999998</v>
      </c>
      <c r="H1380" s="246"/>
      <c r="I1380" s="282"/>
      <c r="J1380" s="244">
        <f>'корпоративный баланс энергии'!AB1389+'корпоративный баланс энергии'!AE1389+'корпоративный баланс энергии'!AH1389</f>
        <v>2.0165100599999999</v>
      </c>
      <c r="K1380" s="246"/>
      <c r="L1380" s="282"/>
      <c r="M1380" s="244">
        <f>'корпоративный баланс энергии'!AK1389+'корпоративный баланс энергии'!AN1389+'корпоративный баланс энергии'!AQ1389</f>
        <v>2.0282601099999997</v>
      </c>
      <c r="N1380" s="246"/>
      <c r="O1380" s="282"/>
      <c r="P1380" s="244">
        <f t="shared" si="110"/>
        <v>6.912342559999999</v>
      </c>
      <c r="Q1380" s="323"/>
      <c r="R1380" s="530"/>
      <c r="S1380" s="357"/>
      <c r="T1380" s="357"/>
    </row>
    <row r="1381" spans="2:20" s="24" customFormat="1" ht="18.75">
      <c r="B1381" s="474" t="s">
        <v>847</v>
      </c>
      <c r="C1381" s="474"/>
      <c r="D1381" s="277">
        <f>SUM(D1382:D1385)</f>
        <v>1957.1428942</v>
      </c>
      <c r="E1381" s="275">
        <f>F1381-D1381</f>
        <v>474.1728422294043</v>
      </c>
      <c r="F1381" s="276">
        <f>F1386+F1437</f>
        <v>2431.3157364294043</v>
      </c>
      <c r="G1381" s="277">
        <f>SUM(G1382:G1385)</f>
        <v>1309.5203544961</v>
      </c>
      <c r="H1381" s="275">
        <f>I1381-G1381</f>
        <v>482.49327539595697</v>
      </c>
      <c r="I1381" s="276">
        <f>I1386+I1437</f>
        <v>1792.013629892057</v>
      </c>
      <c r="J1381" s="277">
        <f>SUM(J1382:J1385)</f>
        <v>1452.5653936237002</v>
      </c>
      <c r="K1381" s="275">
        <f>L1381-J1381</f>
        <v>480.58714701917006</v>
      </c>
      <c r="L1381" s="276">
        <f>L1386+L1437</f>
        <v>1933.1525406428702</v>
      </c>
      <c r="M1381" s="277">
        <f>SUM(M1382:M1385)</f>
        <v>2034.5152829618301</v>
      </c>
      <c r="N1381" s="275">
        <f>O1381-M1381</f>
        <v>215.00281007383728</v>
      </c>
      <c r="O1381" s="276">
        <f>O1386+O1437</f>
        <v>2249.5180930356673</v>
      </c>
      <c r="P1381" s="277">
        <f>SUM(P1382:P1385)</f>
        <v>6753.7439252816303</v>
      </c>
      <c r="Q1381" s="275">
        <f>R1381-P1381</f>
        <v>1652.2560747183679</v>
      </c>
      <c r="R1381" s="276">
        <f>F1381+I1381+L1381+O1381</f>
        <v>8405.9999999999982</v>
      </c>
      <c r="S1381" s="357"/>
      <c r="T1381" s="357"/>
    </row>
    <row r="1382" spans="2:20" s="24" customFormat="1">
      <c r="B1382" s="124" t="s">
        <v>56</v>
      </c>
      <c r="C1382" s="124"/>
      <c r="D1382" s="223">
        <f>D1387+D1438</f>
        <v>1793.2350799999999</v>
      </c>
      <c r="E1382" s="363"/>
      <c r="F1382" s="364"/>
      <c r="G1382" s="223">
        <f>G1387+G1438</f>
        <v>1060.004359564</v>
      </c>
      <c r="H1382" s="363"/>
      <c r="I1382" s="364"/>
      <c r="J1382" s="223">
        <f>J1387+J1438</f>
        <v>1210.9920000000002</v>
      </c>
      <c r="K1382" s="363"/>
      <c r="L1382" s="364"/>
      <c r="M1382" s="223">
        <f>M1387+M1438</f>
        <v>1867.202</v>
      </c>
      <c r="N1382" s="363"/>
      <c r="O1382" s="364"/>
      <c r="P1382" s="223">
        <f>P1387+P1438</f>
        <v>5931.4334395639999</v>
      </c>
      <c r="Q1382" s="363"/>
      <c r="R1382" s="364"/>
      <c r="S1382" s="357"/>
      <c r="T1382" s="357"/>
    </row>
    <row r="1383" spans="2:20" s="24" customFormat="1">
      <c r="B1383" s="124" t="s">
        <v>346</v>
      </c>
      <c r="C1383" s="124"/>
      <c r="D1383" s="223">
        <f>D1388</f>
        <v>37.746200000000002</v>
      </c>
      <c r="E1383" s="363"/>
      <c r="F1383" s="364"/>
      <c r="G1383" s="223">
        <f>G1388</f>
        <v>23.662700000000001</v>
      </c>
      <c r="H1383" s="363"/>
      <c r="I1383" s="364"/>
      <c r="J1383" s="223">
        <f>J1388</f>
        <v>24.950400000000002</v>
      </c>
      <c r="K1383" s="363"/>
      <c r="L1383" s="364"/>
      <c r="M1383" s="223">
        <f>M1388</f>
        <v>38.639099999999999</v>
      </c>
      <c r="N1383" s="363"/>
      <c r="O1383" s="364"/>
      <c r="P1383" s="223">
        <f>P1388</f>
        <v>124.9984</v>
      </c>
      <c r="Q1383" s="363"/>
      <c r="R1383" s="364"/>
      <c r="S1383" s="357"/>
      <c r="T1383" s="357"/>
    </row>
    <row r="1384" spans="2:20" s="24" customFormat="1">
      <c r="B1384" s="124" t="s">
        <v>347</v>
      </c>
      <c r="C1384" s="124"/>
      <c r="D1384" s="223">
        <f>D1389+D1439</f>
        <v>84.183614200000008</v>
      </c>
      <c r="E1384" s="363"/>
      <c r="F1384" s="364"/>
      <c r="G1384" s="223">
        <f>G1389+G1439</f>
        <v>187.30129493209998</v>
      </c>
      <c r="H1384" s="363"/>
      <c r="I1384" s="364"/>
      <c r="J1384" s="223">
        <f>J1389+J1439</f>
        <v>182.15899362370001</v>
      </c>
      <c r="K1384" s="363"/>
      <c r="L1384" s="364"/>
      <c r="M1384" s="223">
        <f>M1389+M1439</f>
        <v>78.961182961829991</v>
      </c>
      <c r="N1384" s="363"/>
      <c r="O1384" s="364"/>
      <c r="P1384" s="223">
        <f>P1389+P1439</f>
        <v>532.60508571763</v>
      </c>
      <c r="Q1384" s="363"/>
      <c r="R1384" s="364"/>
      <c r="S1384" s="357"/>
      <c r="T1384" s="357"/>
    </row>
    <row r="1385" spans="2:20" s="24" customFormat="1">
      <c r="B1385" s="124" t="s">
        <v>99</v>
      </c>
      <c r="C1385" s="124"/>
      <c r="D1385" s="223">
        <f>D1390</f>
        <v>41.978000000000002</v>
      </c>
      <c r="E1385" s="363"/>
      <c r="F1385" s="364"/>
      <c r="G1385" s="223">
        <f>G1390</f>
        <v>38.552</v>
      </c>
      <c r="H1385" s="363"/>
      <c r="I1385" s="364"/>
      <c r="J1385" s="223">
        <f>J1390</f>
        <v>34.463999999999999</v>
      </c>
      <c r="K1385" s="363"/>
      <c r="L1385" s="364"/>
      <c r="M1385" s="223">
        <f>M1390</f>
        <v>49.713000000000001</v>
      </c>
      <c r="N1385" s="363"/>
      <c r="O1385" s="364"/>
      <c r="P1385" s="223">
        <f>P1390</f>
        <v>164.70699999999999</v>
      </c>
      <c r="Q1385" s="363"/>
      <c r="R1385" s="364"/>
      <c r="S1385" s="357"/>
      <c r="T1385" s="357"/>
    </row>
    <row r="1386" spans="2:20" s="24" customFormat="1" ht="18.75">
      <c r="B1386" s="474" t="str">
        <f>'корпоративный баланс энергии'!H1395</f>
        <v>Республика Крым</v>
      </c>
      <c r="C1386" s="474"/>
      <c r="D1386" s="274">
        <f>SUM(D1387:D1390)</f>
        <v>1155.9071632</v>
      </c>
      <c r="E1386" s="275">
        <f>F1386-D1386</f>
        <v>789.95180204713643</v>
      </c>
      <c r="F1386" s="276">
        <f>'корпоративный баланс энергии'!L1395+'корпоративный баланс энергии'!O1395+'корпоративный баланс энергии'!R1395</f>
        <v>1945.8589652471364</v>
      </c>
      <c r="G1386" s="274">
        <f>SUM(G1387:G1390)</f>
        <v>812.7166014961</v>
      </c>
      <c r="H1386" s="275">
        <f>I1386-G1386</f>
        <v>629.05350376335502</v>
      </c>
      <c r="I1386" s="276">
        <f>'корпоративный баланс энергии'!U1395+'корпоративный баланс энергии'!X1395+'корпоративный баланс энергии'!AA1395</f>
        <v>1441.770105259455</v>
      </c>
      <c r="J1386" s="274">
        <f>SUM(J1387:J1390)</f>
        <v>933.79703862370002</v>
      </c>
      <c r="K1386" s="275">
        <f>L1386-J1386</f>
        <v>632.52023684567052</v>
      </c>
      <c r="L1386" s="276">
        <f>'корпоративный баланс энергии'!AD1395+'корпоративный баланс энергии'!AG1395+'корпоративный баланс энергии'!AJ1395</f>
        <v>1566.3172754693705</v>
      </c>
      <c r="M1386" s="274">
        <f>SUM(M1387:M1390)</f>
        <v>1233.01043096183</v>
      </c>
      <c r="N1386" s="275">
        <f>O1386-M1386</f>
        <v>566.48695654859785</v>
      </c>
      <c r="O1386" s="276">
        <f>'корпоративный баланс энергии'!AM1395+'корпоративный баланс энергии'!AP1395+'корпоративный баланс энергии'!AS1395</f>
        <v>1799.4973875104279</v>
      </c>
      <c r="P1386" s="274">
        <f>SUM(P1387:P1390)</f>
        <v>4135.4312342816302</v>
      </c>
      <c r="Q1386" s="275">
        <f>R1386-P1386</f>
        <v>2618.0124992047595</v>
      </c>
      <c r="R1386" s="276">
        <f>F1386+I1386+L1386+O1386</f>
        <v>6753.4437334863896</v>
      </c>
      <c r="S1386" s="357"/>
      <c r="T1386" s="357"/>
    </row>
    <row r="1387" spans="2:20" s="24" customFormat="1">
      <c r="B1387" s="124" t="s">
        <v>56</v>
      </c>
      <c r="C1387" s="124"/>
      <c r="D1387" s="223">
        <f>SUM(D1391:D1397)</f>
        <v>992.50699999999995</v>
      </c>
      <c r="E1387" s="363"/>
      <c r="F1387" s="364"/>
      <c r="G1387" s="223">
        <f>SUM(G1391:G1397)</f>
        <v>564.29535956400002</v>
      </c>
      <c r="H1387" s="363"/>
      <c r="I1387" s="364"/>
      <c r="J1387" s="223">
        <f>SUM(J1391:J1397)</f>
        <v>693.19400000000007</v>
      </c>
      <c r="K1387" s="363"/>
      <c r="L1387" s="364"/>
      <c r="M1387" s="223">
        <f>SUM(M1391:M1397)</f>
        <v>1066.1320000000001</v>
      </c>
      <c r="N1387" s="363"/>
      <c r="O1387" s="364"/>
      <c r="P1387" s="223">
        <f>SUM(P1391:P1397)</f>
        <v>3316.1283595639998</v>
      </c>
      <c r="Q1387" s="363"/>
      <c r="R1387" s="364"/>
      <c r="S1387" s="357"/>
      <c r="T1387" s="357"/>
    </row>
    <row r="1388" spans="2:20" s="24" customFormat="1">
      <c r="B1388" s="124" t="s">
        <v>346</v>
      </c>
      <c r="C1388" s="124"/>
      <c r="D1388" s="223">
        <f>D1427+D1434</f>
        <v>37.746200000000002</v>
      </c>
      <c r="E1388" s="363"/>
      <c r="F1388" s="364"/>
      <c r="G1388" s="223">
        <f>G1427+G1434</f>
        <v>23.662700000000001</v>
      </c>
      <c r="H1388" s="363"/>
      <c r="I1388" s="364"/>
      <c r="J1388" s="223">
        <f>J1427+J1434</f>
        <v>24.950400000000002</v>
      </c>
      <c r="K1388" s="363"/>
      <c r="L1388" s="364"/>
      <c r="M1388" s="223">
        <f>M1427+M1434</f>
        <v>38.639099999999999</v>
      </c>
      <c r="N1388" s="363"/>
      <c r="O1388" s="364"/>
      <c r="P1388" s="223">
        <f>P1427+P1434</f>
        <v>124.9984</v>
      </c>
      <c r="Q1388" s="363"/>
      <c r="R1388" s="364"/>
      <c r="S1388" s="357"/>
      <c r="T1388" s="357"/>
    </row>
    <row r="1389" spans="2:20" s="24" customFormat="1">
      <c r="B1389" s="124" t="s">
        <v>347</v>
      </c>
      <c r="C1389" s="124"/>
      <c r="D1389" s="223">
        <f>D1398+D1404+D1406+D1411+D1417+D1421</f>
        <v>83.675963200000012</v>
      </c>
      <c r="E1389" s="363"/>
      <c r="F1389" s="364"/>
      <c r="G1389" s="223">
        <f>G1398+G1404+G1406+G1411+G1417+G1421</f>
        <v>186.20654193209998</v>
      </c>
      <c r="H1389" s="363"/>
      <c r="I1389" s="364"/>
      <c r="J1389" s="223">
        <f>J1398+J1404+J1406+J1411+J1417+J1421</f>
        <v>181.1886386237</v>
      </c>
      <c r="K1389" s="363"/>
      <c r="L1389" s="364"/>
      <c r="M1389" s="223">
        <f>M1398+M1404+M1406+M1411+M1417+M1421</f>
        <v>78.526330961829984</v>
      </c>
      <c r="N1389" s="363"/>
      <c r="O1389" s="364"/>
      <c r="P1389" s="223">
        <f>P1398+P1404+P1406+P1411+P1417+P1421</f>
        <v>529.59747471763001</v>
      </c>
      <c r="Q1389" s="363"/>
      <c r="R1389" s="364"/>
      <c r="S1389" s="357"/>
      <c r="T1389" s="357"/>
    </row>
    <row r="1390" spans="2:20" s="24" customFormat="1">
      <c r="B1390" s="124" t="s">
        <v>99</v>
      </c>
      <c r="C1390" s="124"/>
      <c r="D1390" s="223">
        <f>D1435+D1436</f>
        <v>41.978000000000002</v>
      </c>
      <c r="E1390" s="363"/>
      <c r="F1390" s="364"/>
      <c r="G1390" s="223">
        <f>G1435+G1436</f>
        <v>38.552</v>
      </c>
      <c r="H1390" s="363"/>
      <c r="I1390" s="364"/>
      <c r="J1390" s="223">
        <f>J1435+J1436</f>
        <v>34.463999999999999</v>
      </c>
      <c r="K1390" s="363"/>
      <c r="L1390" s="364"/>
      <c r="M1390" s="223">
        <f>M1435+M1436</f>
        <v>49.713000000000001</v>
      </c>
      <c r="N1390" s="363"/>
      <c r="O1390" s="364"/>
      <c r="P1390" s="223">
        <f>P1435+P1436</f>
        <v>164.70699999999999</v>
      </c>
      <c r="Q1390" s="363"/>
      <c r="R1390" s="364"/>
      <c r="S1390" s="357"/>
      <c r="T1390" s="357"/>
    </row>
    <row r="1391" spans="2:20" s="24" customFormat="1">
      <c r="B1391" s="149" t="str">
        <f>'корпоративный баланс энергии'!H1400</f>
        <v>Симферопольская ТЭЦ (ПАО "КРЫМ ТЭЦ")</v>
      </c>
      <c r="C1391" s="516" t="s">
        <v>364</v>
      </c>
      <c r="D1391" s="244">
        <f>'корпоративный баланс энергии'!J1400+'корпоративный баланс энергии'!M1400+'корпоративный баланс энергии'!P1400</f>
        <v>187.82400000000001</v>
      </c>
      <c r="E1391" s="246"/>
      <c r="F1391" s="282"/>
      <c r="G1391" s="244">
        <f>'корпоративный баланс энергии'!S1400+'корпоративный баланс энергии'!V1400+'корпоративный баланс энергии'!Y1400</f>
        <v>80.451999999999998</v>
      </c>
      <c r="H1391" s="246"/>
      <c r="I1391" s="282"/>
      <c r="J1391" s="244">
        <f>'корпоративный баланс энергии'!AB1400+'корпоративный баланс энергии'!AE1400+'корпоративный баланс энергии'!AH1400</f>
        <v>94.944000000000003</v>
      </c>
      <c r="K1391" s="246"/>
      <c r="L1391" s="282"/>
      <c r="M1391" s="244">
        <f>'корпоративный баланс энергии'!AK1400+'корпоративный баланс энергии'!AN1400+'корпоративный баланс энергии'!AQ1400</f>
        <v>170.50400000000002</v>
      </c>
      <c r="N1391" s="246"/>
      <c r="O1391" s="282"/>
      <c r="P1391" s="244">
        <f>D1391+G1391+J1391+M1391</f>
        <v>533.72400000000005</v>
      </c>
      <c r="Q1391" s="246"/>
      <c r="R1391" s="282"/>
      <c r="S1391" s="357"/>
      <c r="T1391" s="357"/>
    </row>
    <row r="1392" spans="2:20" s="24" customFormat="1">
      <c r="B1392" s="149" t="str">
        <f>'корпоративный баланс энергии'!H1401</f>
        <v>Камыш-Бурунская ТЭЦ (ПАО "КРЫМ ТЭЦ")</v>
      </c>
      <c r="C1392" s="516" t="s">
        <v>364</v>
      </c>
      <c r="D1392" s="244">
        <f>'корпоративный баланс энергии'!J1401+'корпоративный баланс энергии'!M1401+'корпоративный баланс энергии'!P1401</f>
        <v>42.86</v>
      </c>
      <c r="E1392" s="246"/>
      <c r="F1392" s="282"/>
      <c r="G1392" s="244">
        <f>'корпоративный баланс энергии'!S1401+'корпоративный баланс энергии'!V1401+'корпоративный баланс энергии'!Y1401</f>
        <v>13.992000000000001</v>
      </c>
      <c r="H1392" s="246"/>
      <c r="I1392" s="282"/>
      <c r="J1392" s="244">
        <f>'корпоративный баланс энергии'!AB1401+'корпоративный баланс энергии'!AE1401+'корпоративный баланс энергии'!AH1401</f>
        <v>5.04</v>
      </c>
      <c r="K1392" s="246"/>
      <c r="L1392" s="282"/>
      <c r="M1392" s="244">
        <f>'корпоративный баланс энергии'!AK1401+'корпоративный баланс энергии'!AN1401+'корпоративный баланс энергии'!AQ1401</f>
        <v>30.75</v>
      </c>
      <c r="N1392" s="246"/>
      <c r="O1392" s="282"/>
      <c r="P1392" s="244">
        <f t="shared" ref="P1392:P1397" si="111">D1392+G1392+J1392+M1392</f>
        <v>92.641999999999996</v>
      </c>
      <c r="Q1392" s="246"/>
      <c r="R1392" s="282"/>
      <c r="S1392" s="357"/>
      <c r="T1392" s="357"/>
    </row>
    <row r="1393" spans="2:20" s="24" customFormat="1">
      <c r="B1393" s="149" t="str">
        <f>'корпоративный баланс энергии'!H1402</f>
        <v>Сакские теплосети (ПАО "КРЫМ ТЭЦ")</v>
      </c>
      <c r="C1393" s="516" t="s">
        <v>364</v>
      </c>
      <c r="D1393" s="244">
        <f>'корпоративный баланс энергии'!J1402+'корпоративный баланс энергии'!M1402+'корпоративный баланс энергии'!P1402</f>
        <v>33.772999999999996</v>
      </c>
      <c r="E1393" s="246"/>
      <c r="F1393" s="282"/>
      <c r="G1393" s="244">
        <f>'корпоративный баланс энергии'!S1402+'корпоративный баланс энергии'!V1402+'корпоративный баланс энергии'!Y1402</f>
        <v>2.4</v>
      </c>
      <c r="H1393" s="246"/>
      <c r="I1393" s="282"/>
      <c r="J1393" s="244">
        <f>'корпоративный баланс энергии'!AB1402+'корпоративный баланс энергии'!AE1402+'корпоративный баланс энергии'!AH1402</f>
        <v>18.71</v>
      </c>
      <c r="K1393" s="246"/>
      <c r="L1393" s="282"/>
      <c r="M1393" s="244">
        <f>'корпоративный баланс энергии'!AK1402+'корпоративный баланс энергии'!AN1402+'корпоративный баланс энергии'!AQ1402</f>
        <v>32.328000000000003</v>
      </c>
      <c r="N1393" s="246"/>
      <c r="O1393" s="282"/>
      <c r="P1393" s="244">
        <f t="shared" si="111"/>
        <v>87.210999999999999</v>
      </c>
      <c r="Q1393" s="246"/>
      <c r="R1393" s="282"/>
      <c r="S1393" s="357"/>
      <c r="T1393" s="357"/>
    </row>
    <row r="1394" spans="2:20" s="24" customFormat="1">
      <c r="B1394" s="149" t="str">
        <f>'корпоративный баланс энергии'!H1403</f>
        <v>Сакские теплосети ПГУ-120 (ПАО "КРЫМ ТЭЦ") НВ 1.06.2018</v>
      </c>
      <c r="C1394" s="516" t="s">
        <v>364</v>
      </c>
      <c r="D1394" s="244">
        <f>'корпоративный баланс энергии'!J1403+'корпоративный баланс энергии'!M1403+'корпоративный баланс энергии'!P1403</f>
        <v>62</v>
      </c>
      <c r="E1394" s="246"/>
      <c r="F1394" s="282"/>
      <c r="G1394" s="244">
        <f>'корпоративный баланс энергии'!S1403+'корпоративный баланс энергии'!V1403+'корпоративный баланс энергии'!Y1403</f>
        <v>61.099999999999994</v>
      </c>
      <c r="H1394" s="246"/>
      <c r="I1394" s="282"/>
      <c r="J1394" s="244">
        <f>'корпоративный баланс энергии'!AB1403+'корпоративный баланс энергии'!AE1403+'корпоративный баланс энергии'!AH1403</f>
        <v>61.56</v>
      </c>
      <c r="K1394" s="246"/>
      <c r="L1394" s="282"/>
      <c r="M1394" s="244">
        <f>'корпоративный баланс энергии'!AK1403+'корпоративный баланс энергии'!AN1403+'корпоративный баланс энергии'!AQ1403</f>
        <v>64.38</v>
      </c>
      <c r="N1394" s="246"/>
      <c r="O1394" s="282"/>
      <c r="P1394" s="244">
        <f t="shared" si="111"/>
        <v>249.04</v>
      </c>
      <c r="Q1394" s="246"/>
      <c r="R1394" s="282"/>
      <c r="S1394" s="357"/>
      <c r="T1394" s="357"/>
    </row>
    <row r="1395" spans="2:20" s="24" customFormat="1">
      <c r="B1395" s="149" t="str">
        <f>'корпоративный баланс энергии'!H1404</f>
        <v>Западно-Крымская МГТЭС (ОАО "Мобильные ГТЭС")</v>
      </c>
      <c r="C1395" s="516" t="s">
        <v>364</v>
      </c>
      <c r="D1395" s="244">
        <f>'корпоративный баланс энергии'!J1404+'корпоративный баланс энергии'!M1404+'корпоративный баланс энергии'!P1404</f>
        <v>2</v>
      </c>
      <c r="E1395" s="246"/>
      <c r="F1395" s="282"/>
      <c r="G1395" s="244">
        <f>'корпоративный баланс энергии'!S1404+'корпоративный баланс энергии'!V1404+'корпоративный баланс энергии'!Y1404</f>
        <v>1.5</v>
      </c>
      <c r="H1395" s="246"/>
      <c r="I1395" s="282"/>
      <c r="J1395" s="244">
        <f>'корпоративный баланс энергии'!AB1404+'корпоративный баланс энергии'!AE1404+'корпоративный баланс энергии'!AH1404</f>
        <v>2.5</v>
      </c>
      <c r="K1395" s="246"/>
      <c r="L1395" s="282"/>
      <c r="M1395" s="244">
        <f>'корпоративный баланс энергии'!AK1404+'корпоративный баланс энергии'!AN1404+'корпоративный баланс энергии'!AQ1404</f>
        <v>1.5</v>
      </c>
      <c r="N1395" s="246"/>
      <c r="O1395" s="282"/>
      <c r="P1395" s="244">
        <f t="shared" si="111"/>
        <v>7.5</v>
      </c>
      <c r="Q1395" s="246"/>
      <c r="R1395" s="282"/>
      <c r="S1395" s="357"/>
      <c r="T1395" s="357"/>
    </row>
    <row r="1396" spans="2:20" s="24" customFormat="1">
      <c r="B1396" s="149" t="str">
        <f>'корпоративный баланс энергии'!H1405</f>
        <v>Симферопольская МГТЭС (ОАО "Мобильные ГТЭС")</v>
      </c>
      <c r="C1396" s="516" t="s">
        <v>364</v>
      </c>
      <c r="D1396" s="244">
        <f>'корпоративный баланс энергии'!J1405+'корпоративный баланс энергии'!M1405+'корпоративный баланс энергии'!P1405</f>
        <v>2.5</v>
      </c>
      <c r="E1396" s="246"/>
      <c r="F1396" s="282"/>
      <c r="G1396" s="244">
        <f>'корпоративный баланс энергии'!S1405+'корпоративный баланс энергии'!V1405+'корпоративный баланс энергии'!Y1405</f>
        <v>1.5</v>
      </c>
      <c r="H1396" s="246"/>
      <c r="I1396" s="282"/>
      <c r="J1396" s="244">
        <f>'корпоративный баланс энергии'!AB1405+'корпоративный баланс энергии'!AE1405+'корпоративный баланс энергии'!AH1405</f>
        <v>2.5</v>
      </c>
      <c r="K1396" s="246"/>
      <c r="L1396" s="282"/>
      <c r="M1396" s="244">
        <f>'корпоративный баланс энергии'!AK1405+'корпоративный баланс энергии'!AN1405+'корпоративный баланс энергии'!AQ1405</f>
        <v>1.5</v>
      </c>
      <c r="N1396" s="246"/>
      <c r="O1396" s="282"/>
      <c r="P1396" s="244">
        <f t="shared" si="111"/>
        <v>8</v>
      </c>
      <c r="Q1396" s="246"/>
      <c r="R1396" s="282"/>
      <c r="S1396" s="357"/>
      <c r="T1396" s="357"/>
    </row>
    <row r="1397" spans="2:20" s="24" customFormat="1">
      <c r="B1397" s="149" t="str">
        <f>'корпоративный баланс энергии'!H1406</f>
        <v>Таврическая ТЭС (ООО "ВО "Технопромэкспорт")</v>
      </c>
      <c r="C1397" s="516"/>
      <c r="D1397" s="244">
        <f>'корпоративный баланс энергии'!J1406+'корпоративный баланс энергии'!M1406+'корпоративный баланс энергии'!P1406</f>
        <v>661.55</v>
      </c>
      <c r="E1397" s="246"/>
      <c r="F1397" s="282"/>
      <c r="G1397" s="244">
        <f>'корпоративный баланс энергии'!S1406+'корпоративный баланс энергии'!V1406+'корпоративный баланс энергии'!Y1406</f>
        <v>403.35135956400001</v>
      </c>
      <c r="H1397" s="246"/>
      <c r="I1397" s="282"/>
      <c r="J1397" s="244">
        <f>'корпоративный баланс энергии'!AB1406+'корпоративный баланс энергии'!AE1406+'корпоративный баланс энергии'!AH1406</f>
        <v>507.94000000000005</v>
      </c>
      <c r="K1397" s="246"/>
      <c r="L1397" s="282"/>
      <c r="M1397" s="244">
        <f>'корпоративный баланс энергии'!AK1406+'корпоративный баланс энергии'!AN1406+'корпоративный баланс энергии'!AQ1406</f>
        <v>765.17000000000007</v>
      </c>
      <c r="N1397" s="246"/>
      <c r="O1397" s="282"/>
      <c r="P1397" s="244">
        <f t="shared" si="111"/>
        <v>2338.011359564</v>
      </c>
      <c r="Q1397" s="246"/>
      <c r="R1397" s="282"/>
      <c r="S1397" s="357"/>
      <c r="T1397" s="357"/>
    </row>
    <row r="1398" spans="2:20" s="24" customFormat="1">
      <c r="B1398" s="947" t="str">
        <f>'корпоративный баланс энергии'!H1407</f>
        <v>СЭС Перово (ООО "ПАУЕР СЕРВИС ЕЗ")</v>
      </c>
      <c r="C1398" s="519" t="s">
        <v>365</v>
      </c>
      <c r="D1398" s="317">
        <f>D1399+D1400+D1401+D1402+D1403</f>
        <v>19.981770000000001</v>
      </c>
      <c r="E1398" s="246"/>
      <c r="F1398" s="282"/>
      <c r="G1398" s="317">
        <f>G1399+G1400+G1401+G1402+G1403</f>
        <v>51.414498156099995</v>
      </c>
      <c r="H1398" s="246"/>
      <c r="I1398" s="282"/>
      <c r="J1398" s="317">
        <f>J1399+J1400+J1401+J1402+J1403</f>
        <v>48.557755623699997</v>
      </c>
      <c r="K1398" s="246"/>
      <c r="L1398" s="282"/>
      <c r="M1398" s="317">
        <f>M1399+M1400+M1401+M1402+M1403</f>
        <v>21.547772985830001</v>
      </c>
      <c r="N1398" s="246"/>
      <c r="O1398" s="282"/>
      <c r="P1398" s="317">
        <f>P1399+P1400+P1401+P1402+P1403</f>
        <v>141.50179676562999</v>
      </c>
      <c r="Q1398" s="246"/>
      <c r="R1398" s="282"/>
      <c r="S1398" s="357"/>
      <c r="T1398" s="357"/>
    </row>
    <row r="1399" spans="2:20" s="24" customFormat="1">
      <c r="B1399" s="948" t="str">
        <f>'корпоративный баланс энергии'!H1408</f>
        <v xml:space="preserve">СЭС ООО "АЛЬФА СОЛАР" СЭС Перово (ООО "ПАУЕР СЕРВИСЕЗ") </v>
      </c>
      <c r="C1399" s="519"/>
      <c r="D1399" s="281">
        <f>'корпоративный баланс энергии'!J1408+'корпоративный баланс энергии'!M1408+'корпоративный баланс энергии'!P1408</f>
        <v>3.92</v>
      </c>
      <c r="E1399" s="246"/>
      <c r="F1399" s="282"/>
      <c r="G1399" s="244">
        <f>'корпоративный баланс энергии'!S1408+'корпоративный баланс энергии'!V1408+'корпоративный баланс энергии'!Y1408</f>
        <v>10.29</v>
      </c>
      <c r="H1399" s="246"/>
      <c r="I1399" s="282"/>
      <c r="J1399" s="244">
        <f>'корпоративный баланс энергии'!AB1408+'корпоративный баланс энергии'!AE1408+'корпоративный баланс энергии'!AH1408</f>
        <v>9.35</v>
      </c>
      <c r="K1399" s="246"/>
      <c r="L1399" s="282"/>
      <c r="M1399" s="244">
        <f>'корпоративный баланс энергии'!AK1408+'корпоративный баланс энергии'!AN1408+'корпоративный баланс энергии'!AQ1408</f>
        <v>4.17</v>
      </c>
      <c r="N1399" s="246"/>
      <c r="O1399" s="282"/>
      <c r="P1399" s="244">
        <f t="shared" ref="P1399" si="112">D1399+G1399+J1399+M1399</f>
        <v>27.729999999999997</v>
      </c>
      <c r="Q1399" s="246"/>
      <c r="R1399" s="282"/>
      <c r="S1399" s="357"/>
      <c r="T1399" s="357"/>
    </row>
    <row r="1400" spans="2:20" s="24" customFormat="1">
      <c r="B1400" s="948" t="str">
        <f>'корпоративный баланс энергии'!H1409</f>
        <v>СЭС ООО "БЕТА СОЛАР" СЭС Перово (ООО "ПАУЕР СЕРВИСЕЗ")</v>
      </c>
      <c r="C1400" s="519"/>
      <c r="D1400" s="281">
        <f>'корпоративный баланс энергии'!J1409+'корпоративный баланс энергии'!M1409+'корпоративный баланс энергии'!P1409</f>
        <v>4.24</v>
      </c>
      <c r="E1400" s="246"/>
      <c r="F1400" s="282"/>
      <c r="G1400" s="244">
        <f>'корпоративный баланс энергии'!S1409+'корпоративный баланс энергии'!V1409+'корпоративный баланс энергии'!Y1409</f>
        <v>10.57</v>
      </c>
      <c r="H1400" s="246"/>
      <c r="I1400" s="282"/>
      <c r="J1400" s="244">
        <f>'корпоративный баланс энергии'!AB1409+'корпоративный баланс энергии'!AE1409+'корпоративный баланс энергии'!AH1409</f>
        <v>10.199999999999999</v>
      </c>
      <c r="K1400" s="246"/>
      <c r="L1400" s="282"/>
      <c r="M1400" s="244">
        <f>'корпоративный баланс энергии'!AK1409+'корпоративный баланс энергии'!AN1409+'корпоративный баланс энергии'!AQ1409</f>
        <v>4.7</v>
      </c>
      <c r="N1400" s="246"/>
      <c r="O1400" s="282"/>
      <c r="P1400" s="244">
        <f t="shared" ref="P1400:P1403" si="113">D1400+G1400+J1400+M1400</f>
        <v>29.709999999999997</v>
      </c>
      <c r="Q1400" s="246"/>
      <c r="R1400" s="282"/>
      <c r="S1400" s="357"/>
      <c r="T1400" s="357"/>
    </row>
    <row r="1401" spans="2:20" s="24" customFormat="1">
      <c r="B1401" s="948" t="str">
        <f>'корпоративный баланс энергии'!H1410</f>
        <v>СЭС ООО "ЗЕТА СОЛАР" СЭС Перово (ООО "ПАУЕР СЕРВИСЕЗ")</v>
      </c>
      <c r="C1401" s="519"/>
      <c r="D1401" s="281">
        <f>'корпоративный баланс энергии'!J1410+'корпоративный баланс энергии'!M1410+'корпоративный баланс энергии'!P1410</f>
        <v>4.1400000000000006</v>
      </c>
      <c r="E1401" s="246"/>
      <c r="F1401" s="282"/>
      <c r="G1401" s="244">
        <f>'корпоративный баланс энергии'!S1410+'корпоративный баланс энергии'!V1410+'корпоративный баланс энергии'!Y1410</f>
        <v>10.709999999999999</v>
      </c>
      <c r="H1401" s="246"/>
      <c r="I1401" s="282"/>
      <c r="J1401" s="244">
        <f>'корпоративный баланс энергии'!AB1410+'корпоративный баланс энергии'!AE1410+'корпоративный баланс энергии'!AH1410</f>
        <v>10.629999999999999</v>
      </c>
      <c r="K1401" s="246"/>
      <c r="L1401" s="282"/>
      <c r="M1401" s="244">
        <f>'корпоративный баланс энергии'!AK1410+'корпоративный баланс энергии'!AN1410+'корпоративный баланс энергии'!AQ1410</f>
        <v>4.32</v>
      </c>
      <c r="N1401" s="246"/>
      <c r="O1401" s="282"/>
      <c r="P1401" s="244">
        <f t="shared" si="113"/>
        <v>29.799999999999997</v>
      </c>
      <c r="Q1401" s="246"/>
      <c r="R1401" s="282"/>
      <c r="S1401" s="357"/>
      <c r="T1401" s="357"/>
    </row>
    <row r="1402" spans="2:20" s="24" customFormat="1">
      <c r="B1402" s="948" t="str">
        <f>'корпоративный баланс энергии'!H1411</f>
        <v>СЭС ООО "ДЕЛЬТАА СОЛАР" СЭС Перово (ООО "ПАУЕР СЕРВИСЕЗ")</v>
      </c>
      <c r="C1402" s="519"/>
      <c r="D1402" s="281">
        <f>'корпоративный баланс энергии'!J1411+'корпоративный баланс энергии'!M1411+'корпоративный баланс энергии'!P1411</f>
        <v>3.4117699999999997</v>
      </c>
      <c r="E1402" s="246"/>
      <c r="F1402" s="282"/>
      <c r="G1402" s="244">
        <f>'корпоративный баланс энергии'!S1411+'корпоративный баланс энергии'!V1411+'корпоративный баланс энергии'!Y1411</f>
        <v>8.8244981560999989</v>
      </c>
      <c r="H1402" s="246"/>
      <c r="I1402" s="282"/>
      <c r="J1402" s="244">
        <f>'корпоративный баланс энергии'!AB1411+'корпоративный баланс энергии'!AE1411+'корпоративный баланс энергии'!AH1411</f>
        <v>8.3377556236999979</v>
      </c>
      <c r="K1402" s="246"/>
      <c r="L1402" s="282"/>
      <c r="M1402" s="244">
        <f>'корпоративный баланс энергии'!AK1411+'корпоративный баланс энергии'!AN1411+'корпоративный баланс энергии'!AQ1411</f>
        <v>3.9077729858300008</v>
      </c>
      <c r="N1402" s="246"/>
      <c r="O1402" s="282"/>
      <c r="P1402" s="244">
        <f t="shared" si="113"/>
        <v>24.481796765629998</v>
      </c>
      <c r="Q1402" s="246"/>
      <c r="R1402" s="282"/>
      <c r="S1402" s="357"/>
      <c r="T1402" s="357"/>
    </row>
    <row r="1403" spans="2:20" s="24" customFormat="1">
      <c r="B1403" s="948" t="str">
        <f>'корпоративный баланс энергии'!H1412</f>
        <v>СЭС ООО "ГАММА СОЛАР" СЭС Перово (ООО "ПАУЕР СЕРВИСЕЗ")</v>
      </c>
      <c r="C1403" s="519"/>
      <c r="D1403" s="281">
        <f>'корпоративный баланс энергии'!J1412+'корпоративный баланс энергии'!M1412+'корпоративный баланс энергии'!P1412</f>
        <v>4.2699999999999996</v>
      </c>
      <c r="E1403" s="246"/>
      <c r="F1403" s="282"/>
      <c r="G1403" s="244">
        <f>'корпоративный баланс энергии'!S1412+'корпоративный баланс энергии'!V1412+'корпоративный баланс энергии'!Y1412</f>
        <v>11.02</v>
      </c>
      <c r="H1403" s="246"/>
      <c r="I1403" s="282"/>
      <c r="J1403" s="244">
        <f>'корпоративный баланс энергии'!AB1412+'корпоративный баланс энергии'!AE1412+'корпоративный баланс энергии'!AH1412</f>
        <v>10.039999999999999</v>
      </c>
      <c r="K1403" s="246"/>
      <c r="L1403" s="282"/>
      <c r="M1403" s="244">
        <f>'корпоративный баланс энергии'!AK1412+'корпоративный баланс энергии'!AN1412+'корпоративный баланс энергии'!AQ1412</f>
        <v>4.45</v>
      </c>
      <c r="N1403" s="246"/>
      <c r="O1403" s="282"/>
      <c r="P1403" s="244">
        <f t="shared" si="113"/>
        <v>29.779999999999998</v>
      </c>
      <c r="Q1403" s="246"/>
      <c r="R1403" s="282"/>
      <c r="S1403" s="357"/>
      <c r="T1403" s="357"/>
    </row>
    <row r="1404" spans="2:20" s="24" customFormat="1">
      <c r="B1404" s="947" t="str">
        <f>'корпоративный баланс энергии'!H1413</f>
        <v>СЭС Митяево (ООО "ПАУЕР СЕРВИС ЕЗ")</v>
      </c>
      <c r="C1404" s="519" t="s">
        <v>365</v>
      </c>
      <c r="D1404" s="317">
        <f>D1405</f>
        <v>5.7251460000000112</v>
      </c>
      <c r="E1404" s="246"/>
      <c r="F1404" s="282"/>
      <c r="G1404" s="317">
        <f>G1405</f>
        <v>16.067208000000001</v>
      </c>
      <c r="H1404" s="246"/>
      <c r="I1404" s="282"/>
      <c r="J1404" s="317">
        <f>J1405</f>
        <v>14.928845999999997</v>
      </c>
      <c r="K1404" s="246"/>
      <c r="L1404" s="282"/>
      <c r="M1404" s="317">
        <f>M1405</f>
        <v>5.8632239999999927</v>
      </c>
      <c r="N1404" s="246"/>
      <c r="O1404" s="282"/>
      <c r="P1404" s="317">
        <f>P1405</f>
        <v>42.584424000000006</v>
      </c>
      <c r="Q1404" s="246"/>
      <c r="R1404" s="282"/>
      <c r="S1404" s="357"/>
      <c r="T1404" s="357"/>
    </row>
    <row r="1405" spans="2:20" s="24" customFormat="1">
      <c r="B1405" s="948" t="str">
        <f>'корпоративный баланс энергии'!H1414</f>
        <v xml:space="preserve">СЭС ООО "ОУЛ СОЛАР" СЭС Митяево (ООО "ПАУЕР СЕРВИСЕЗ") </v>
      </c>
      <c r="C1405" s="519"/>
      <c r="D1405" s="281">
        <f>'корпоративный баланс энергии'!J1414+'корпоративный баланс энергии'!M1414+'корпоративный баланс энергии'!P1414</f>
        <v>5.7251460000000112</v>
      </c>
      <c r="E1405" s="246"/>
      <c r="F1405" s="282"/>
      <c r="G1405" s="244">
        <f>'корпоративный баланс энергии'!S1414+'корпоративный баланс энергии'!V1414+'корпоративный баланс энергии'!Y1414</f>
        <v>16.067208000000001</v>
      </c>
      <c r="H1405" s="246"/>
      <c r="I1405" s="282"/>
      <c r="J1405" s="244">
        <f>'корпоративный баланс энергии'!AB1414+'корпоративный баланс энергии'!AE1414+'корпоративный баланс энергии'!AH1414</f>
        <v>14.928845999999997</v>
      </c>
      <c r="K1405" s="246"/>
      <c r="L1405" s="282"/>
      <c r="M1405" s="244">
        <f>'корпоративный баланс энергии'!AK1414+'корпоративный баланс энергии'!AN1414+'корпоративный баланс энергии'!AQ1414</f>
        <v>5.8632239999999927</v>
      </c>
      <c r="N1405" s="246"/>
      <c r="O1405" s="282"/>
      <c r="P1405" s="244">
        <f t="shared" ref="P1405" si="114">D1405+G1405+J1405+M1405</f>
        <v>42.584424000000006</v>
      </c>
      <c r="Q1405" s="246"/>
      <c r="R1405" s="282"/>
      <c r="S1405" s="357"/>
      <c r="T1405" s="357"/>
    </row>
    <row r="1406" spans="2:20" s="24" customFormat="1">
      <c r="B1406" s="947" t="str">
        <f>'корпоративный баланс энергии'!H1415</f>
        <v>СЭС Охотниково (ООО "ПАУЕР СЕРВИС ЕЗ")</v>
      </c>
      <c r="C1406" s="519"/>
      <c r="D1406" s="317">
        <f>D1407+D1408+D1409+D1410</f>
        <v>16.112720199999998</v>
      </c>
      <c r="E1406" s="246"/>
      <c r="F1406" s="282"/>
      <c r="G1406" s="317">
        <f>G1407+G1408+G1409+G1410</f>
        <v>39.193718775999997</v>
      </c>
      <c r="H1406" s="246"/>
      <c r="I1406" s="282"/>
      <c r="J1406" s="317">
        <f>J1407+J1408+J1409+J1410</f>
        <v>37.680901000000006</v>
      </c>
      <c r="K1406" s="246"/>
      <c r="L1406" s="282"/>
      <c r="M1406" s="317">
        <f>M1407+M1408+M1409+M1410</f>
        <v>15.328609976000003</v>
      </c>
      <c r="N1406" s="246"/>
      <c r="O1406" s="282"/>
      <c r="P1406" s="317">
        <f>P1407+P1408+P1409+P1410</f>
        <v>108.315949952</v>
      </c>
      <c r="Q1406" s="246"/>
      <c r="R1406" s="282"/>
      <c r="S1406" s="357"/>
      <c r="T1406" s="357"/>
    </row>
    <row r="1407" spans="2:20" s="24" customFormat="1">
      <c r="B1407" s="948" t="str">
        <f>'корпоративный баланс энергии'!H1416</f>
        <v>СЭС ООО "ОМАО СОЛАР" СЭС Охотниково (ООО "ПАУЕР СЕРВИСЕЗ")</v>
      </c>
      <c r="C1407" s="519"/>
      <c r="D1407" s="281">
        <f>'корпоративный баланс энергии'!J1416+'корпоративный баланс энергии'!M1416+'корпоративный баланс энергии'!P1416</f>
        <v>3.7698841999999999</v>
      </c>
      <c r="E1407" s="246"/>
      <c r="F1407" s="282"/>
      <c r="G1407" s="244">
        <f>'корпоративный баланс энергии'!S1416+'корпоративный баланс энергии'!V1416+'корпоративный баланс энергии'!Y1416</f>
        <v>10.217887000000001</v>
      </c>
      <c r="H1407" s="246"/>
      <c r="I1407" s="282"/>
      <c r="J1407" s="244">
        <f>'корпоративный баланс энергии'!AB1416+'корпоративный баланс энергии'!AE1416+'корпоративный баланс энергии'!AH1416</f>
        <v>9.5667860000000005</v>
      </c>
      <c r="K1407" s="246"/>
      <c r="L1407" s="282"/>
      <c r="M1407" s="244">
        <f>'корпоративный баланс энергии'!AK1416+'корпоративный баланс энергии'!AN1416+'корпоративный баланс энергии'!AQ1416</f>
        <v>4.0108709760000005</v>
      </c>
      <c r="N1407" s="246"/>
      <c r="O1407" s="282"/>
      <c r="P1407" s="244">
        <f t="shared" ref="P1407:P1410" si="115">D1407+G1407+J1407+M1407</f>
        <v>27.565428176000001</v>
      </c>
      <c r="Q1407" s="246"/>
      <c r="R1407" s="282"/>
      <c r="S1407" s="357"/>
      <c r="T1407" s="357"/>
    </row>
    <row r="1408" spans="2:20" s="24" customFormat="1">
      <c r="B1408" s="948" t="str">
        <f>'корпоративный баланс энергии'!H1417</f>
        <v>СЭС ООО "ОСПРИЙ СОЛАР" СЭС Охотниково (ООО "ПАУЕР СЕРВИСЕЗ")</v>
      </c>
      <c r="C1408" s="519"/>
      <c r="D1408" s="281">
        <f>'корпоративный баланс энергии'!J1417+'корпоративный баланс энергии'!M1417+'корпоративный баланс энергии'!P1417</f>
        <v>3.5694919999999999</v>
      </c>
      <c r="E1408" s="246"/>
      <c r="F1408" s="282"/>
      <c r="G1408" s="244">
        <f>'корпоративный баланс энергии'!S1417+'корпоративный баланс энергии'!V1417+'корпоративный баланс энергии'!Y1417</f>
        <v>9.3241027760000001</v>
      </c>
      <c r="H1408" s="246"/>
      <c r="I1408" s="282"/>
      <c r="J1408" s="244">
        <f>'корпоративный баланс энергии'!AB1417+'корпоративный баланс энергии'!AE1417+'корпоративный баланс энергии'!AH1417</f>
        <v>9.0341000000000005</v>
      </c>
      <c r="K1408" s="246"/>
      <c r="L1408" s="282"/>
      <c r="M1408" s="244">
        <f>'корпоративный баланс энергии'!AK1417+'корпоративный баланс энергии'!AN1417+'корпоративный баланс энергии'!AQ1417</f>
        <v>3.7378000000000005</v>
      </c>
      <c r="N1408" s="246"/>
      <c r="O1408" s="282"/>
      <c r="P1408" s="244">
        <f t="shared" si="115"/>
        <v>25.665494776000003</v>
      </c>
      <c r="Q1408" s="246"/>
      <c r="R1408" s="282"/>
      <c r="S1408" s="357"/>
      <c r="T1408" s="357"/>
    </row>
    <row r="1409" spans="2:20" s="24" customFormat="1">
      <c r="B1409" s="948" t="str">
        <f>'корпоративный баланс энергии'!H1418</f>
        <v>СЭС ООО "ОРИОЛ СОЛАР" СЭС Охотниково (ООО "ПАУЕР СЕРВИСЕЗ")</v>
      </c>
      <c r="C1409" s="519"/>
      <c r="D1409" s="281">
        <f>'корпоративный баланс энергии'!J1418+'корпоративный баланс энергии'!M1418+'корпоративный баланс энергии'!P1418</f>
        <v>4.2087709999999996</v>
      </c>
      <c r="E1409" s="246"/>
      <c r="F1409" s="282"/>
      <c r="G1409" s="244">
        <f>'корпоративный баланс энергии'!S1418+'корпоративный баланс энергии'!V1418+'корпоративный баланс энергии'!Y1418</f>
        <v>9.3701229999999995</v>
      </c>
      <c r="H1409" s="246"/>
      <c r="I1409" s="282"/>
      <c r="J1409" s="244">
        <f>'корпоративный баланс энергии'!AB1418+'корпоративный баланс энергии'!AE1418+'корпоративный баланс энергии'!AH1418</f>
        <v>9.0560809999999989</v>
      </c>
      <c r="K1409" s="246"/>
      <c r="L1409" s="282"/>
      <c r="M1409" s="244">
        <f>'корпоративный баланс энергии'!AK1418+'корпоративный баланс энергии'!AN1418+'корпоративный баланс энергии'!AQ1418</f>
        <v>3.5883370000000001</v>
      </c>
      <c r="N1409" s="246"/>
      <c r="O1409" s="282"/>
      <c r="P1409" s="244">
        <f t="shared" si="115"/>
        <v>26.223311999999996</v>
      </c>
      <c r="Q1409" s="246"/>
      <c r="R1409" s="282"/>
      <c r="S1409" s="357"/>
      <c r="T1409" s="357"/>
    </row>
    <row r="1410" spans="2:20" s="24" customFormat="1">
      <c r="B1410" s="948" t="str">
        <f>'корпоративный баланс энергии'!H1419</f>
        <v>СЭС ООО "ОУЗИЛ СОЛАР" СЭС Охотниково (ООО "ПАУЕР СЕРВИСЕЗ")</v>
      </c>
      <c r="C1410" s="519"/>
      <c r="D1410" s="281">
        <f>'корпоративный баланс энергии'!J1419+'корпоративный баланс энергии'!M1419+'корпоративный баланс энергии'!P1419</f>
        <v>4.5645729999999993</v>
      </c>
      <c r="E1410" s="246"/>
      <c r="F1410" s="282"/>
      <c r="G1410" s="244">
        <f>'корпоративный баланс энергии'!S1419+'корпоративный баланс энергии'!V1419+'корпоративный баланс энергии'!Y1419</f>
        <v>10.281606</v>
      </c>
      <c r="H1410" s="246"/>
      <c r="I1410" s="282"/>
      <c r="J1410" s="244">
        <f>'корпоративный баланс энергии'!AB1419+'корпоративный баланс энергии'!AE1419+'корпоративный баланс энергии'!AH1419</f>
        <v>10.023934000000001</v>
      </c>
      <c r="K1410" s="246"/>
      <c r="L1410" s="282"/>
      <c r="M1410" s="244">
        <f>'корпоративный баланс энергии'!AK1419+'корпоративный баланс энергии'!AN1419+'корпоративный баланс энергии'!AQ1419</f>
        <v>3.9916020000000003</v>
      </c>
      <c r="N1410" s="246"/>
      <c r="O1410" s="282"/>
      <c r="P1410" s="244">
        <f t="shared" si="115"/>
        <v>28.861715</v>
      </c>
      <c r="Q1410" s="246"/>
      <c r="R1410" s="282"/>
      <c r="S1410" s="357"/>
      <c r="T1410" s="357"/>
    </row>
    <row r="1411" spans="2:20" s="24" customFormat="1">
      <c r="B1411" s="947" t="str">
        <f>'корпоративный баланс энергии'!H1420</f>
        <v>СЭС Родниковое (ООО "ПАУЕР СЕРВИС ЕЗ")</v>
      </c>
      <c r="C1411" s="519" t="s">
        <v>365</v>
      </c>
      <c r="D1411" s="317">
        <f>D1412+D1413+D1414+D1415+D1416</f>
        <v>1.6471719999999999</v>
      </c>
      <c r="E1411" s="246"/>
      <c r="F1411" s="282"/>
      <c r="G1411" s="317">
        <f>G1412+G1413+G1414+G1415+G1416</f>
        <v>3.6864369999999997</v>
      </c>
      <c r="H1411" s="246"/>
      <c r="I1411" s="282"/>
      <c r="J1411" s="317">
        <f>J1412+J1413+J1414+J1415+J1416</f>
        <v>3.6357280000000003</v>
      </c>
      <c r="K1411" s="246"/>
      <c r="L1411" s="282"/>
      <c r="M1411" s="317">
        <f>M1412+M1413+M1414+M1415+M1416</f>
        <v>1.5339430000000001</v>
      </c>
      <c r="N1411" s="246"/>
      <c r="O1411" s="282"/>
      <c r="P1411" s="317">
        <f>P1412+P1413+P1414+P1415+P1416</f>
        <v>10.50328</v>
      </c>
      <c r="Q1411" s="246"/>
      <c r="R1411" s="282"/>
      <c r="S1411" s="357"/>
      <c r="T1411" s="357"/>
    </row>
    <row r="1412" spans="2:20" s="24" customFormat="1">
      <c r="B1412" s="948" t="str">
        <f>'корпоративный баланс энергии'!H1421</f>
        <v>СЭС ООО "КРАЙМИА СОЛАР 1" СЭС Родниковое (ООО "ПАУЕР СЕРВИСЕЗ")</v>
      </c>
      <c r="C1412" s="519"/>
      <c r="D1412" s="281">
        <f>'корпоративный баланс энергии'!J1421+'корпоративный баланс энергии'!M1421+'корпоративный баланс энергии'!P1421</f>
        <v>0.22068500000000002</v>
      </c>
      <c r="E1412" s="246"/>
      <c r="F1412" s="282"/>
      <c r="G1412" s="244">
        <f>'корпоративный баланс энергии'!S1421+'корпоративный баланс энергии'!V1421+'корпоративный баланс энергии'!Y1421</f>
        <v>0.48877199999999998</v>
      </c>
      <c r="H1412" s="246"/>
      <c r="I1412" s="282"/>
      <c r="J1412" s="244">
        <f>'корпоративный баланс энергии'!AB1421+'корпоративный баланс энергии'!AE1421+'корпоративный баланс энергии'!AH1421</f>
        <v>0.47977499999999995</v>
      </c>
      <c r="K1412" s="246"/>
      <c r="L1412" s="282"/>
      <c r="M1412" s="244">
        <f>'корпоративный баланс энергии'!AK1421+'корпоративный баланс энергии'!AN1421+'корпоративный баланс энергии'!AQ1421</f>
        <v>0.202877</v>
      </c>
      <c r="N1412" s="246"/>
      <c r="O1412" s="282"/>
      <c r="P1412" s="244">
        <f t="shared" ref="P1412:P1416" si="116">D1412+G1412+J1412+M1412</f>
        <v>1.392109</v>
      </c>
      <c r="Q1412" s="246"/>
      <c r="R1412" s="282"/>
      <c r="S1412" s="357"/>
      <c r="T1412" s="357"/>
    </row>
    <row r="1413" spans="2:20" s="24" customFormat="1">
      <c r="B1413" s="948" t="str">
        <f>'корпоративный баланс энергии'!H1422</f>
        <v>СЭС ООО "КРАЙМИА СОЛАР 2" СЭС Родниковое (ООО "ПАУЕР СЕРВИСЕЗ")</v>
      </c>
      <c r="C1413" s="519"/>
      <c r="D1413" s="281">
        <f>'корпоративный баланс энергии'!J1422+'корпоративный баланс энергии'!M1422+'корпоративный баланс энергии'!P1422</f>
        <v>0.32559699999999997</v>
      </c>
      <c r="E1413" s="246"/>
      <c r="F1413" s="282"/>
      <c r="G1413" s="244">
        <f>'корпоративный баланс энергии'!S1422+'корпоративный баланс энергии'!V1422+'корпоративный баланс энергии'!Y1422</f>
        <v>0.72137600000000002</v>
      </c>
      <c r="H1413" s="246"/>
      <c r="I1413" s="282"/>
      <c r="J1413" s="244">
        <f>'корпоративный баланс энергии'!AB1422+'корпоративный баланс энергии'!AE1422+'корпоративный баланс энергии'!AH1422</f>
        <v>0.72407099999999991</v>
      </c>
      <c r="K1413" s="246"/>
      <c r="L1413" s="282"/>
      <c r="M1413" s="244">
        <f>'корпоративный баланс энергии'!AK1422+'корпоративный баланс энергии'!AN1422+'корпоративный баланс энергии'!AQ1422</f>
        <v>0.307869</v>
      </c>
      <c r="N1413" s="246"/>
      <c r="O1413" s="282"/>
      <c r="P1413" s="244">
        <f t="shared" si="116"/>
        <v>2.078913</v>
      </c>
      <c r="Q1413" s="246"/>
      <c r="R1413" s="282"/>
      <c r="S1413" s="357"/>
      <c r="T1413" s="357"/>
    </row>
    <row r="1414" spans="2:20" s="24" customFormat="1">
      <c r="B1414" s="948" t="str">
        <f>'корпоративный баланс энергии'!H1423</f>
        <v>СЭС ООО "КРАЙМИА СОЛАР 3" СЭС Родниковое (ООО "ПАУЕР СЕРВИСЕЗ")</v>
      </c>
      <c r="C1414" s="519"/>
      <c r="D1414" s="281">
        <f>'корпоративный баланс энергии'!J1423+'корпоративный баланс энергии'!M1423+'корпоративный баланс энергии'!P1423</f>
        <v>0.321328</v>
      </c>
      <c r="E1414" s="246"/>
      <c r="F1414" s="282"/>
      <c r="G1414" s="244">
        <f>'корпоративный баланс энергии'!S1423+'корпоративный баланс энергии'!V1423+'корпоративный баланс энергии'!Y1423</f>
        <v>0.73242799999999997</v>
      </c>
      <c r="H1414" s="246"/>
      <c r="I1414" s="282"/>
      <c r="J1414" s="244">
        <f>'корпоративный баланс энергии'!AB1423+'корпоративный баланс энергии'!AE1423+'корпоративный баланс энергии'!AH1423</f>
        <v>0.71980300000000008</v>
      </c>
      <c r="K1414" s="246"/>
      <c r="L1414" s="282"/>
      <c r="M1414" s="244">
        <f>'корпоративный баланс энергии'!AK1423+'корпоративный баланс энергии'!AN1423+'корпоративный баланс энергии'!AQ1423</f>
        <v>0.301286</v>
      </c>
      <c r="N1414" s="246"/>
      <c r="O1414" s="282"/>
      <c r="P1414" s="244">
        <f t="shared" si="116"/>
        <v>2.0748450000000003</v>
      </c>
      <c r="Q1414" s="246"/>
      <c r="R1414" s="282"/>
      <c r="S1414" s="357"/>
      <c r="T1414" s="357"/>
    </row>
    <row r="1415" spans="2:20" s="24" customFormat="1">
      <c r="B1415" s="948" t="str">
        <f>'корпоративный баланс энергии'!H1424</f>
        <v>СЭС ООО "КРАЙМИА СОЛАР 4" СЭС Родниковое (ООО "ПАУЕР СЕРВИСЕЗ")</v>
      </c>
      <c r="C1415" s="519"/>
      <c r="D1415" s="281">
        <f>'корпоративный баланс энергии'!J1424+'корпоративный баланс энергии'!M1424+'корпоративный баланс энергии'!P1424</f>
        <v>0.33191499999999996</v>
      </c>
      <c r="E1415" s="246"/>
      <c r="F1415" s="282"/>
      <c r="G1415" s="244">
        <f>'корпоративный баланс энергии'!S1424+'корпоративный баланс энергии'!V1424+'корпоративный баланс энергии'!Y1424</f>
        <v>0.74722200000000005</v>
      </c>
      <c r="H1415" s="246"/>
      <c r="I1415" s="282"/>
      <c r="J1415" s="244">
        <f>'корпоративный баланс энергии'!AB1424+'корпоративный баланс энергии'!AE1424+'корпоративный баланс энергии'!AH1424</f>
        <v>0.73459699999999994</v>
      </c>
      <c r="K1415" s="246"/>
      <c r="L1415" s="282"/>
      <c r="M1415" s="244">
        <f>'корпоративный баланс энергии'!AK1424+'корпоративный баланс энергии'!AN1424+'корпоративный баланс энергии'!AQ1424</f>
        <v>0.310865</v>
      </c>
      <c r="N1415" s="246"/>
      <c r="O1415" s="282"/>
      <c r="P1415" s="244">
        <f t="shared" si="116"/>
        <v>2.1245989999999999</v>
      </c>
      <c r="Q1415" s="246"/>
      <c r="R1415" s="282"/>
      <c r="S1415" s="357"/>
      <c r="T1415" s="357"/>
    </row>
    <row r="1416" spans="2:20" s="24" customFormat="1">
      <c r="B1416" s="948" t="str">
        <f>'корпоративный баланс энергии'!H1425</f>
        <v>СЭС ООО "КРАЙМИА СОЛАР 5" СЭС Родниковое (ООО "ПАУЕР СЕРВИСЕЗ")</v>
      </c>
      <c r="C1416" s="519"/>
      <c r="D1416" s="281">
        <f>'корпоративный баланс энергии'!J1425+'корпоративный баланс энергии'!M1425+'корпоративный баланс энергии'!P1425</f>
        <v>0.44764700000000002</v>
      </c>
      <c r="E1416" s="246"/>
      <c r="F1416" s="282"/>
      <c r="G1416" s="244">
        <f>'корпоративный баланс энергии'!S1425+'корпоративный баланс энергии'!V1425+'корпоративный баланс энергии'!Y1425</f>
        <v>0.99663900000000005</v>
      </c>
      <c r="H1416" s="246"/>
      <c r="I1416" s="282"/>
      <c r="J1416" s="244">
        <f>'корпоративный баланс энергии'!AB1425+'корпоративный баланс энергии'!AE1425+'корпоративный баланс энергии'!AH1425</f>
        <v>0.97748199999999996</v>
      </c>
      <c r="K1416" s="246"/>
      <c r="L1416" s="282"/>
      <c r="M1416" s="244">
        <f>'корпоративный баланс энергии'!AK1425+'корпоративный баланс энергии'!AN1425+'корпоративный баланс энергии'!AQ1425</f>
        <v>0.41104600000000002</v>
      </c>
      <c r="N1416" s="246"/>
      <c r="O1416" s="282"/>
      <c r="P1416" s="244">
        <f t="shared" si="116"/>
        <v>2.8328139999999999</v>
      </c>
      <c r="Q1416" s="246"/>
      <c r="R1416" s="282"/>
      <c r="S1416" s="357"/>
      <c r="T1416" s="357"/>
    </row>
    <row r="1417" spans="2:20" s="24" customFormat="1">
      <c r="B1417" s="947" t="str">
        <f>'корпоративный баланс энергии'!H1426</f>
        <v>СЭС Николаевская (ООО "ПАУЕР СЕРВИС ЕЗ")</v>
      </c>
      <c r="C1417" s="519" t="s">
        <v>365</v>
      </c>
      <c r="D1417" s="317">
        <f>D1418+D1419+D1420</f>
        <v>15.259539999999999</v>
      </c>
      <c r="E1417" s="246"/>
      <c r="F1417" s="282"/>
      <c r="G1417" s="317">
        <f>G1418+G1419+G1420</f>
        <v>33.625062</v>
      </c>
      <c r="H1417" s="246"/>
      <c r="I1417" s="282"/>
      <c r="J1417" s="317">
        <f>J1418+J1419+J1420</f>
        <v>32.695537999999999</v>
      </c>
      <c r="K1417" s="246"/>
      <c r="L1417" s="282"/>
      <c r="M1417" s="317">
        <f>M1418+M1419+M1420</f>
        <v>13.326331999999999</v>
      </c>
      <c r="N1417" s="246"/>
      <c r="O1417" s="282"/>
      <c r="P1417" s="317">
        <f>P1418+P1419+P1420</f>
        <v>94.906471999999994</v>
      </c>
      <c r="Q1417" s="246"/>
      <c r="R1417" s="282"/>
      <c r="S1417" s="357"/>
      <c r="T1417" s="357"/>
    </row>
    <row r="1418" spans="2:20" s="24" customFormat="1">
      <c r="B1418" s="948" t="str">
        <f>'корпоративный баланс энергии'!H1427</f>
        <v>СЭС ООО "Капелла Солар" СЭС Николаевская (ООО "ПАУЕР СЕРВИСЕЗ")</v>
      </c>
      <c r="C1418" s="519"/>
      <c r="D1418" s="281">
        <f>'корпоративный баланс энергии'!J1427+'корпоративный баланс энергии'!M1427+'корпоративный баланс энергии'!P1427</f>
        <v>4.4105720000000002</v>
      </c>
      <c r="E1418" s="246"/>
      <c r="F1418" s="282"/>
      <c r="G1418" s="244">
        <f>'корпоративный баланс энергии'!S1427+'корпоративный баланс энергии'!V1427+'корпоративный баланс энергии'!Y1427</f>
        <v>9.6881270000000015</v>
      </c>
      <c r="H1418" s="246"/>
      <c r="I1418" s="282"/>
      <c r="J1418" s="244">
        <f>'корпоративный баланс энергии'!AB1427+'корпоративный баланс энергии'!AE1427+'корпоративный баланс энергии'!AH1427</f>
        <v>9.4613420000000001</v>
      </c>
      <c r="K1418" s="246"/>
      <c r="L1418" s="282"/>
      <c r="M1418" s="244">
        <f>'корпоративный баланс энергии'!AK1427+'корпоративный баланс энергии'!AN1427+'корпоративный баланс энергии'!AQ1427</f>
        <v>3.8588769999999997</v>
      </c>
      <c r="N1418" s="246"/>
      <c r="O1418" s="282"/>
      <c r="P1418" s="244">
        <f t="shared" ref="P1418:P1420" si="117">D1418+G1418+J1418+M1418</f>
        <v>27.418918000000001</v>
      </c>
      <c r="Q1418" s="246"/>
      <c r="R1418" s="282"/>
      <c r="S1418" s="357"/>
      <c r="T1418" s="357"/>
    </row>
    <row r="1419" spans="2:20" s="24" customFormat="1">
      <c r="B1419" s="948" t="str">
        <f>'корпоративный баланс энергии'!H1428</f>
        <v>СЭС ООО "Юпитер Солар" СЭС Николаевская (ООО "ПАУЕР СЕРВИСЕЗ")</v>
      </c>
      <c r="C1419" s="519"/>
      <c r="D1419" s="281">
        <f>'корпоративный баланс энергии'!J1428+'корпоративный баланс энергии'!M1428+'корпоративный баланс энергии'!P1428</f>
        <v>5.4894939999999997</v>
      </c>
      <c r="E1419" s="246"/>
      <c r="F1419" s="282"/>
      <c r="G1419" s="244">
        <f>'корпоративный баланс энергии'!S1428+'корпоративный баланс энергии'!V1428+'корпоративный баланс энергии'!Y1428</f>
        <v>12.073178</v>
      </c>
      <c r="H1419" s="246"/>
      <c r="I1419" s="282"/>
      <c r="J1419" s="244">
        <f>'корпоративный баланс энергии'!AB1428+'корпоративный баланс энергии'!AE1428+'корпоративный баланс энергии'!AH1428</f>
        <v>11.699995999999999</v>
      </c>
      <c r="K1419" s="246"/>
      <c r="L1419" s="282"/>
      <c r="M1419" s="244">
        <f>'корпоративный баланс энергии'!AK1428+'корпоративный баланс энергии'!AN1428+'корпоративный баланс энергии'!AQ1428</f>
        <v>4.7938799999999997</v>
      </c>
      <c r="N1419" s="246"/>
      <c r="O1419" s="282"/>
      <c r="P1419" s="244">
        <f t="shared" si="117"/>
        <v>34.056547999999999</v>
      </c>
      <c r="Q1419" s="246"/>
      <c r="R1419" s="282"/>
      <c r="S1419" s="357"/>
      <c r="T1419" s="357"/>
    </row>
    <row r="1420" spans="2:20" s="24" customFormat="1">
      <c r="B1420" s="948" t="str">
        <f>'корпоративный баланс энергии'!H1429</f>
        <v>СЭС ООО "Орион Солар" СЭС Николаевская (ООО "ПАУЕР СЕРВИСЕЗ")</v>
      </c>
      <c r="C1420" s="519"/>
      <c r="D1420" s="281">
        <f>'корпоративный баланс энергии'!J1429+'корпоративный баланс энергии'!M1429+'корпоративный баланс энергии'!P1429</f>
        <v>5.3594740000000005</v>
      </c>
      <c r="E1420" s="246"/>
      <c r="F1420" s="282"/>
      <c r="G1420" s="244">
        <f>'корпоративный баланс энергии'!S1429+'корпоративный баланс энергии'!V1429+'корпоративный баланс энергии'!Y1429</f>
        <v>11.863757</v>
      </c>
      <c r="H1420" s="246"/>
      <c r="I1420" s="282"/>
      <c r="J1420" s="244">
        <f>'корпоративный баланс энергии'!AB1429+'корпоративный баланс энергии'!AE1429+'корпоративный баланс энергии'!AH1429</f>
        <v>11.534199999999998</v>
      </c>
      <c r="K1420" s="246"/>
      <c r="L1420" s="282"/>
      <c r="M1420" s="244">
        <f>'корпоративный баланс энергии'!AK1429+'корпоративный баланс энергии'!AN1429+'корпоративный баланс энергии'!AQ1429</f>
        <v>4.6735749999999996</v>
      </c>
      <c r="N1420" s="246"/>
      <c r="O1420" s="282"/>
      <c r="P1420" s="244">
        <f t="shared" si="117"/>
        <v>33.431005999999996</v>
      </c>
      <c r="Q1420" s="246"/>
      <c r="R1420" s="282"/>
      <c r="S1420" s="357"/>
      <c r="T1420" s="357"/>
    </row>
    <row r="1421" spans="2:20" s="24" customFormat="1">
      <c r="B1421" s="947" t="str">
        <f>'корпоративный баланс энергии'!H1430</f>
        <v xml:space="preserve"> СЭС Владиславовка (ООО "Пауэр Сервисез")</v>
      </c>
      <c r="C1421" s="519"/>
      <c r="D1421" s="787">
        <f>SUM(D1422:D1426)</f>
        <v>24.949615000000001</v>
      </c>
      <c r="E1421" s="246"/>
      <c r="F1421" s="282"/>
      <c r="G1421" s="787">
        <f>SUM(G1422:G1426)</f>
        <v>42.219617999999997</v>
      </c>
      <c r="H1421" s="246"/>
      <c r="I1421" s="282"/>
      <c r="J1421" s="787">
        <f>SUM(J1422:J1426)</f>
        <v>43.689869999999999</v>
      </c>
      <c r="K1421" s="246"/>
      <c r="L1421" s="282"/>
      <c r="M1421" s="787">
        <f>SUM(M1422:M1426)</f>
        <v>20.926448999999998</v>
      </c>
      <c r="N1421" s="246"/>
      <c r="O1421" s="282"/>
      <c r="P1421" s="787">
        <f>SUM(P1422:P1426)</f>
        <v>131.785552</v>
      </c>
      <c r="Q1421" s="246"/>
      <c r="R1421" s="282"/>
      <c r="S1421" s="357"/>
      <c r="T1421" s="357"/>
    </row>
    <row r="1422" spans="2:20" s="24" customFormat="1">
      <c r="B1422" s="948" t="str">
        <f>'корпоративный баланс энергии'!H1431</f>
        <v>СЭС ООО "Бора Солар"  СЭС Владиславовка (ООО "Пауэр Сервисез")</v>
      </c>
      <c r="C1422" s="519"/>
      <c r="D1422" s="281">
        <f>'корпоративный баланс энергии'!J1431+'корпоративный баланс энергии'!M1431+'корпоративный баланс энергии'!P1431</f>
        <v>5.6580890000000004</v>
      </c>
      <c r="E1422" s="246"/>
      <c r="F1422" s="282"/>
      <c r="G1422" s="244">
        <f>'корпоративный баланс энергии'!S1431+'корпоративный баланс энергии'!V1431+'корпоративный баланс энергии'!Y1431</f>
        <v>9.5828240000000005</v>
      </c>
      <c r="H1422" s="246"/>
      <c r="I1422" s="282"/>
      <c r="J1422" s="244">
        <f>'корпоративный баланс энергии'!AB1431+'корпоративный баланс энергии'!AE1431+'корпоративный баланс энергии'!AH1431</f>
        <v>9.9177940000000007</v>
      </c>
      <c r="K1422" s="246"/>
      <c r="L1422" s="282"/>
      <c r="M1422" s="244">
        <f>'корпоративный баланс энергии'!AK1431+'корпоративный баланс энергии'!AN1431+'корпоративный баланс энергии'!AQ1431</f>
        <v>4.7374220000000005</v>
      </c>
      <c r="N1422" s="246"/>
      <c r="O1422" s="282"/>
      <c r="P1422" s="244">
        <f t="shared" ref="P1422:P1426" si="118">D1422+G1422+J1422+M1422</f>
        <v>29.896129000000002</v>
      </c>
      <c r="Q1422" s="246"/>
      <c r="R1422" s="282"/>
      <c r="S1422" s="357"/>
      <c r="T1422" s="357"/>
    </row>
    <row r="1423" spans="2:20" s="24" customFormat="1">
      <c r="B1423" s="948" t="str">
        <f>'корпоративный баланс энергии'!H1432</f>
        <v>СЭС ООО "Леннет Солар"  СЭС Владиславовка (ООО "Пауэр Сервисез")</v>
      </c>
      <c r="C1423" s="519"/>
      <c r="D1423" s="281">
        <f>'корпоративный баланс энергии'!J1432+'корпоративный баланс энергии'!M1432+'корпоративный баланс энергии'!P1432</f>
        <v>4.5422599999999997</v>
      </c>
      <c r="E1423" s="246"/>
      <c r="F1423" s="282"/>
      <c r="G1423" s="244">
        <f>'корпоративный баланс энергии'!S1432+'корпоративный баланс энергии'!V1432+'корпоративный баланс энергии'!Y1432</f>
        <v>7.6833879999999999</v>
      </c>
      <c r="H1423" s="246"/>
      <c r="I1423" s="282"/>
      <c r="J1423" s="244">
        <f>'корпоративный баланс энергии'!AB1432+'корпоративный баланс энергии'!AE1432+'корпоративный баланс энергии'!AH1432</f>
        <v>7.950793</v>
      </c>
      <c r="K1423" s="246"/>
      <c r="L1423" s="282"/>
      <c r="M1423" s="244">
        <f>'корпоративный баланс энергии'!AK1432+'корпоративный баланс энергии'!AN1432+'корпоративный баланс энергии'!AQ1432</f>
        <v>3.8289300000000002</v>
      </c>
      <c r="N1423" s="246"/>
      <c r="O1423" s="282"/>
      <c r="P1423" s="244">
        <f t="shared" si="118"/>
        <v>24.005371</v>
      </c>
      <c r="Q1423" s="246"/>
      <c r="R1423" s="282"/>
      <c r="S1423" s="357"/>
      <c r="T1423" s="357"/>
    </row>
    <row r="1424" spans="2:20" s="24" customFormat="1">
      <c r="B1424" s="948" t="str">
        <f>'корпоративный баланс энергии'!H1433</f>
        <v>СЭС ООО "Калипсо Солар"  СЭС Владиславовка (ООО "Пауэр Сервисез")</v>
      </c>
      <c r="C1424" s="519"/>
      <c r="D1424" s="281">
        <f>'корпоративный баланс энергии'!J1433+'корпоративный баланс энергии'!M1433+'корпоративный баланс энергии'!P1433</f>
        <v>5.6514310000000005</v>
      </c>
      <c r="E1424" s="246"/>
      <c r="F1424" s="282"/>
      <c r="G1424" s="244">
        <f>'корпоративный баланс энергии'!S1433+'корпоративный баланс энергии'!V1433+'корпоративный баланс энергии'!Y1433</f>
        <v>9.5771139999999999</v>
      </c>
      <c r="H1424" s="246"/>
      <c r="I1424" s="282"/>
      <c r="J1424" s="244">
        <f>'корпоративный баланс энергии'!AB1433+'корпоративный баланс энергии'!AE1433+'корпоративный баланс энергии'!AH1433</f>
        <v>9.9120840000000001</v>
      </c>
      <c r="K1424" s="246"/>
      <c r="L1424" s="282"/>
      <c r="M1424" s="244">
        <f>'корпоративный баланс энергии'!AK1433+'корпоративный баланс энергии'!AN1433+'корпоративный баланс энергии'!AQ1433</f>
        <v>4.7307639999999997</v>
      </c>
      <c r="N1424" s="246"/>
      <c r="O1424" s="282"/>
      <c r="P1424" s="244">
        <f t="shared" si="118"/>
        <v>29.871393000000001</v>
      </c>
      <c r="Q1424" s="246"/>
      <c r="R1424" s="282"/>
      <c r="S1424" s="357"/>
      <c r="T1424" s="357"/>
    </row>
    <row r="1425" spans="2:20" s="24" customFormat="1">
      <c r="B1425" s="948" t="str">
        <f>'корпоративный баланс энергии'!H1434</f>
        <v>СЭС ООО "Канари Солар"  СЭС Владиславовка (ООО "Пауэр Сервисез")</v>
      </c>
      <c r="C1425" s="519"/>
      <c r="D1425" s="281">
        <f>'корпоративный баланс энергии'!J1434+'корпоративный баланс энергии'!M1434+'корпоративный баланс энергии'!P1434</f>
        <v>4.5517710000000005</v>
      </c>
      <c r="E1425" s="246"/>
      <c r="F1425" s="282"/>
      <c r="G1425" s="244">
        <f>'корпоративный баланс энергии'!S1434+'корпоративный баланс энергии'!V1434+'корпоративный баланс энергии'!Y1434</f>
        <v>7.6900490000000001</v>
      </c>
      <c r="H1425" s="246"/>
      <c r="I1425" s="282"/>
      <c r="J1425" s="244">
        <f>'корпоративный баланс энергии'!AB1434+'корпоративный баланс энергии'!AE1434+'корпоративный баланс энергии'!AH1434</f>
        <v>7.9565020000000004</v>
      </c>
      <c r="K1425" s="246"/>
      <c r="L1425" s="282"/>
      <c r="M1425" s="244">
        <f>'корпоративный баланс энергии'!AK1434+'корпоративный баланс энергии'!AN1434+'корпоративный баланс энергии'!AQ1434</f>
        <v>3.8184710000000002</v>
      </c>
      <c r="N1425" s="246"/>
      <c r="O1425" s="282"/>
      <c r="P1425" s="244">
        <f t="shared" si="118"/>
        <v>24.016793</v>
      </c>
      <c r="Q1425" s="246"/>
      <c r="R1425" s="282"/>
      <c r="S1425" s="357"/>
      <c r="T1425" s="357"/>
    </row>
    <row r="1426" spans="2:20" s="24" customFormat="1">
      <c r="B1426" s="948" t="str">
        <f>'корпоративный баланс энергии'!H1435</f>
        <v>СЭС ООО "Кларион Солар"  СЭС Владиславовка (ООО "Пауэр Сервисез")</v>
      </c>
      <c r="C1426" s="519"/>
      <c r="D1426" s="281">
        <f>'корпоративный баланс энергии'!J1435+'корпоративный баланс энергии'!M1435+'корпоративный баланс энергии'!P1435</f>
        <v>4.5460639999999994</v>
      </c>
      <c r="E1426" s="246"/>
      <c r="F1426" s="282"/>
      <c r="G1426" s="244">
        <f>'корпоративный баланс энергии'!S1435+'корпоративный баланс энергии'!V1435+'корпоративный баланс энергии'!Y1435</f>
        <v>7.686243000000001</v>
      </c>
      <c r="H1426" s="246"/>
      <c r="I1426" s="282"/>
      <c r="J1426" s="244">
        <f>'корпоративный баланс энергии'!AB1435+'корпоративный баланс энергии'!AE1435+'корпоративный баланс энергии'!AH1435</f>
        <v>7.9526969999999997</v>
      </c>
      <c r="K1426" s="246"/>
      <c r="L1426" s="282"/>
      <c r="M1426" s="244">
        <f>'корпоративный баланс энергии'!AK1435+'корпоративный баланс энергии'!AN1435+'корпоративный баланс энергии'!AQ1435</f>
        <v>3.8108620000000002</v>
      </c>
      <c r="N1426" s="246"/>
      <c r="O1426" s="282"/>
      <c r="P1426" s="244">
        <f t="shared" si="118"/>
        <v>23.995865999999999</v>
      </c>
      <c r="Q1426" s="246"/>
      <c r="R1426" s="282"/>
      <c r="S1426" s="357"/>
      <c r="T1426" s="357"/>
    </row>
    <row r="1427" spans="2:20" s="24" customFormat="1">
      <c r="B1427" s="947" t="str">
        <f>'корпоративный баланс энергии'!H1436</f>
        <v>ВЭС ГУП РК "КГС" (ГУП РК "Крымские Генерирующие Системы")</v>
      </c>
      <c r="C1427" s="519" t="s">
        <v>365</v>
      </c>
      <c r="D1427" s="317">
        <f>D1428+D1429+D1430+D1431+D1432+D1433</f>
        <v>11.746199999999998</v>
      </c>
      <c r="E1427" s="246"/>
      <c r="F1427" s="282"/>
      <c r="G1427" s="317">
        <f>G1428+G1429+G1430+G1431+G1432+G1433</f>
        <v>6.662700000000001</v>
      </c>
      <c r="H1427" s="246"/>
      <c r="I1427" s="282"/>
      <c r="J1427" s="317">
        <f>J1428+J1429+J1430+J1431+J1432+J1433</f>
        <v>7.9504000000000001</v>
      </c>
      <c r="K1427" s="246"/>
      <c r="L1427" s="282"/>
      <c r="M1427" s="317">
        <f>M1428+M1429+M1430+M1431+M1432+M1433</f>
        <v>13.639099999999999</v>
      </c>
      <c r="N1427" s="246"/>
      <c r="O1427" s="282"/>
      <c r="P1427" s="317">
        <f>P1428+P1429+P1430+P1431+P1432+P1433</f>
        <v>39.998400000000004</v>
      </c>
      <c r="Q1427" s="246"/>
      <c r="R1427" s="282"/>
      <c r="S1427" s="357"/>
      <c r="T1427" s="357"/>
    </row>
    <row r="1428" spans="2:20" s="24" customFormat="1">
      <c r="B1428" s="948" t="str">
        <f>'корпоративный баланс энергии'!H1437</f>
        <v>Тарханкутская ВЭС (ГУП РК "Крымские генерирующие системы")</v>
      </c>
      <c r="C1428" s="519"/>
      <c r="D1428" s="281">
        <f>'корпоративный баланс энергии'!J1437+'корпоративный баланс энергии'!M1437+'корпоративный баланс энергии'!P1437</f>
        <v>3.8142</v>
      </c>
      <c r="E1428" s="246"/>
      <c r="F1428" s="282"/>
      <c r="G1428" s="244">
        <f>'корпоративный баланс энергии'!S1437+'корпоративный баланс энергии'!V1437+'корпоративный баланс энергии'!Y1437</f>
        <v>2.1678999999999999</v>
      </c>
      <c r="H1428" s="246"/>
      <c r="I1428" s="282"/>
      <c r="J1428" s="244">
        <f>'корпоративный баланс энергии'!AB1437+'корпоративный баланс энергии'!AE1437+'корпоративный баланс энергии'!AH1437</f>
        <v>2.5916999999999999</v>
      </c>
      <c r="K1428" s="246"/>
      <c r="L1428" s="282"/>
      <c r="M1428" s="244">
        <f>'корпоративный баланс энергии'!AK1437+'корпоративный баланс энергии'!AN1437+'корпоративный баланс энергии'!AQ1437</f>
        <v>4.4665999999999997</v>
      </c>
      <c r="N1428" s="246"/>
      <c r="O1428" s="282"/>
      <c r="P1428" s="244">
        <f t="shared" ref="P1428:P1436" si="119">D1428+G1428+J1428+M1428</f>
        <v>13.0404</v>
      </c>
      <c r="Q1428" s="246"/>
      <c r="R1428" s="282"/>
      <c r="S1428" s="357"/>
      <c r="T1428" s="357"/>
    </row>
    <row r="1429" spans="2:20" s="24" customFormat="1">
      <c r="B1429" s="948" t="str">
        <f>'корпоративный баланс энергии'!H1438</f>
        <v>Судакская ВЭС (ГУП РК "Крымские генерирующие системы")</v>
      </c>
      <c r="C1429" s="519"/>
      <c r="D1429" s="281">
        <f>'корпоративный баланс энергии'!J1438+'корпоративный баланс энергии'!M1438+'корпоративный баланс энергии'!P1438</f>
        <v>0.70199999999999996</v>
      </c>
      <c r="E1429" s="246"/>
      <c r="F1429" s="282"/>
      <c r="G1429" s="244">
        <f>'корпоративный баланс энергии'!S1438+'корпоративный баланс энергии'!V1438+'корпоративный баланс энергии'!Y1438</f>
        <v>0.39900000000000002</v>
      </c>
      <c r="H1429" s="246"/>
      <c r="I1429" s="282"/>
      <c r="J1429" s="244">
        <f>'корпоративный баланс энергии'!AB1438+'корпоративный баланс энергии'!AE1438+'корпоративный баланс энергии'!AH1438</f>
        <v>0.47700000000000004</v>
      </c>
      <c r="K1429" s="246"/>
      <c r="L1429" s="282"/>
      <c r="M1429" s="244">
        <f>'корпоративный баланс энергии'!AK1438+'корпоративный баланс энергии'!AN1438+'корпоративный баланс энергии'!AQ1438</f>
        <v>0.82200000000000006</v>
      </c>
      <c r="N1429" s="246"/>
      <c r="O1429" s="282"/>
      <c r="P1429" s="244">
        <f t="shared" si="119"/>
        <v>2.4000000000000004</v>
      </c>
      <c r="Q1429" s="246"/>
      <c r="R1429" s="282"/>
      <c r="S1429" s="357"/>
      <c r="T1429" s="357"/>
    </row>
    <row r="1430" spans="2:20" s="24" customFormat="1">
      <c r="B1430" s="948" t="str">
        <f>'корпоративный баланс энергии'!H1439</f>
        <v>Сакская ВЭС (ГУП РК "Крымские генерирующие системы")</v>
      </c>
      <c r="C1430" s="519"/>
      <c r="D1430" s="281">
        <f>'корпоративный баланс энергии'!J1439+'корпоративный баланс энергии'!M1439+'корпоративный баланс энергии'!P1439</f>
        <v>3.3929999999999998</v>
      </c>
      <c r="E1430" s="246"/>
      <c r="F1430" s="282"/>
      <c r="G1430" s="244">
        <f>'корпоративный баланс энергии'!S1439+'корпоративный баланс энергии'!V1439+'корпоративный баланс энергии'!Y1439</f>
        <v>1.9285000000000001</v>
      </c>
      <c r="H1430" s="246"/>
      <c r="I1430" s="282"/>
      <c r="J1430" s="244">
        <f>'корпоративный баланс энергии'!AB1439+'корпоративный баланс энергии'!AE1439+'корпоративный баланс энергии'!AH1439</f>
        <v>2.3054999999999999</v>
      </c>
      <c r="K1430" s="246"/>
      <c r="L1430" s="282"/>
      <c r="M1430" s="244">
        <f>'корпоративный баланс энергии'!AK1439+'корпоративный баланс энергии'!AN1439+'корпоративный баланс энергии'!AQ1439</f>
        <v>3.9729999999999999</v>
      </c>
      <c r="N1430" s="246"/>
      <c r="O1430" s="282"/>
      <c r="P1430" s="244">
        <f t="shared" si="119"/>
        <v>11.600000000000001</v>
      </c>
      <c r="Q1430" s="246"/>
      <c r="R1430" s="282"/>
      <c r="S1430" s="357"/>
      <c r="T1430" s="357"/>
    </row>
    <row r="1431" spans="2:20" s="24" customFormat="1">
      <c r="B1431" s="948" t="str">
        <f>'корпоративный баланс энергии'!H1440</f>
        <v>Пресноводненская ВЭС (ГУП РК "Крымские генерирующие системы")</v>
      </c>
      <c r="C1431" s="519"/>
      <c r="D1431" s="281">
        <f>'корпоративный баланс энергии'!J1440+'корпоративный баланс энергии'!M1440+'корпоративный баланс энергии'!P1440</f>
        <v>2.13</v>
      </c>
      <c r="E1431" s="246"/>
      <c r="F1431" s="282"/>
      <c r="G1431" s="244">
        <f>'корпоративный баланс энергии'!S1440+'корпоративный баланс энергии'!V1440+'корпоративный баланс энергии'!Y1440</f>
        <v>1.1949999999999998</v>
      </c>
      <c r="H1431" s="246"/>
      <c r="I1431" s="282"/>
      <c r="J1431" s="244">
        <f>'корпоративный баланс энергии'!AB1440+'корпоративный баланс энергии'!AE1440+'корпоративный баланс энергии'!AH1440</f>
        <v>1.4143999999999999</v>
      </c>
      <c r="K1431" s="246"/>
      <c r="L1431" s="282"/>
      <c r="M1431" s="244">
        <f>'корпоративный баланс энергии'!AK1440+'корпоративный баланс энергии'!AN1440+'корпоративный баланс энергии'!AQ1440</f>
        <v>2.48</v>
      </c>
      <c r="N1431" s="246"/>
      <c r="O1431" s="282"/>
      <c r="P1431" s="244">
        <f t="shared" si="119"/>
        <v>7.2194000000000003</v>
      </c>
      <c r="Q1431" s="246"/>
      <c r="R1431" s="282"/>
      <c r="S1431" s="357"/>
      <c r="T1431" s="357"/>
    </row>
    <row r="1432" spans="2:20" s="24" customFormat="1">
      <c r="B1432" s="948" t="str">
        <f>'корпоративный баланс энергии'!H1441</f>
        <v>Донузлавская ВЭС (ГУП РК "Крымские генерирующие системы")</v>
      </c>
      <c r="C1432" s="519"/>
      <c r="D1432" s="281">
        <f>'корпоративный баланс энергии'!J1441+'корпоративный баланс энергии'!M1441+'корпоративный баланс энергии'!P1441</f>
        <v>0.87749999999999995</v>
      </c>
      <c r="E1432" s="246"/>
      <c r="F1432" s="282"/>
      <c r="G1432" s="244">
        <f>'корпоративный баланс энергии'!S1441+'корпоративный баланс энергии'!V1441+'корпоративный баланс энергии'!Y1441</f>
        <v>0.49880000000000002</v>
      </c>
      <c r="H1432" s="246"/>
      <c r="I1432" s="282"/>
      <c r="J1432" s="244">
        <f>'корпоративный баланс энергии'!AB1441+'корпоративный баланс энергии'!AE1441+'корпоративный баланс энергии'!AH1441</f>
        <v>0.59630000000000005</v>
      </c>
      <c r="K1432" s="246"/>
      <c r="L1432" s="282"/>
      <c r="M1432" s="244">
        <f>'корпоративный баланс энергии'!AK1441+'корпоративный баланс энергии'!AN1441+'корпоративный баланс энергии'!AQ1441</f>
        <v>1.0274999999999999</v>
      </c>
      <c r="N1432" s="246"/>
      <c r="O1432" s="282"/>
      <c r="P1432" s="244">
        <f t="shared" si="119"/>
        <v>3.0000999999999998</v>
      </c>
      <c r="Q1432" s="246"/>
      <c r="R1432" s="282"/>
      <c r="S1432" s="357"/>
      <c r="T1432" s="357"/>
    </row>
    <row r="1433" spans="2:20" s="24" customFormat="1">
      <c r="B1433" s="948" t="str">
        <f>'корпоративный баланс энергии'!H1442</f>
        <v>Восточно-Крымская ВЭС (ГУП РК "Крымские генерирующие системы")</v>
      </c>
      <c r="C1433" s="519"/>
      <c r="D1433" s="281">
        <f>'корпоративный баланс энергии'!J1442+'корпоративный баланс энергии'!M1442+'корпоративный баланс энергии'!P1442</f>
        <v>0.8294999999999999</v>
      </c>
      <c r="E1433" s="246"/>
      <c r="F1433" s="282"/>
      <c r="G1433" s="244">
        <f>'корпоративный баланс энергии'!S1442+'корпоративный баланс энергии'!V1442+'корпоративный баланс энергии'!Y1442</f>
        <v>0.47350000000000003</v>
      </c>
      <c r="H1433" s="246"/>
      <c r="I1433" s="282"/>
      <c r="J1433" s="244">
        <f>'корпоративный баланс энергии'!AB1442+'корпоративный баланс энергии'!AE1442+'корпоративный баланс энергии'!AH1442</f>
        <v>0.5655</v>
      </c>
      <c r="K1433" s="246"/>
      <c r="L1433" s="282"/>
      <c r="M1433" s="244">
        <f>'корпоративный баланс энергии'!AK1442+'корпоративный баланс энергии'!AN1442+'корпоративный баланс энергии'!AQ1442</f>
        <v>0.87000000000000011</v>
      </c>
      <c r="N1433" s="246"/>
      <c r="O1433" s="282"/>
      <c r="P1433" s="244">
        <f t="shared" si="119"/>
        <v>2.7385000000000002</v>
      </c>
      <c r="Q1433" s="246"/>
      <c r="R1433" s="282"/>
      <c r="S1433" s="357"/>
      <c r="T1433" s="357"/>
    </row>
    <row r="1434" spans="2:20" s="24" customFormat="1">
      <c r="B1434" s="948" t="str">
        <f>'корпоративный баланс энергии'!H1443</f>
        <v>Останинская ВЭС (ООО "Ветряной парк Керченский")</v>
      </c>
      <c r="C1434" s="519" t="s">
        <v>365</v>
      </c>
      <c r="D1434" s="281">
        <f>'корпоративный баланс энергии'!J1443+'корпоративный баланс энергии'!M1443+'корпоративный баланс энергии'!P1443</f>
        <v>26</v>
      </c>
      <c r="E1434" s="246"/>
      <c r="F1434" s="282"/>
      <c r="G1434" s="244">
        <f>'корпоративный баланс энергии'!S1443+'корпоративный баланс энергии'!V1443+'корпоративный баланс энергии'!Y1443</f>
        <v>17</v>
      </c>
      <c r="H1434" s="246"/>
      <c r="I1434" s="282"/>
      <c r="J1434" s="244">
        <f>'корпоративный баланс энергии'!AB1443+'корпоративный баланс энергии'!AE1443+'корпоративный баланс энергии'!AH1443</f>
        <v>17</v>
      </c>
      <c r="K1434" s="246"/>
      <c r="L1434" s="282"/>
      <c r="M1434" s="244">
        <f>'корпоративный баланс энергии'!AK1443+'корпоративный баланс энергии'!AN1443+'корпоративный баланс энергии'!AQ1443</f>
        <v>25</v>
      </c>
      <c r="N1434" s="246"/>
      <c r="O1434" s="282"/>
      <c r="P1434" s="244">
        <f t="shared" si="119"/>
        <v>85</v>
      </c>
      <c r="Q1434" s="246"/>
      <c r="R1434" s="282"/>
      <c r="S1434" s="357"/>
      <c r="T1434" s="357"/>
    </row>
    <row r="1435" spans="2:20" s="24" customFormat="1">
      <c r="B1435" s="948" t="str">
        <f>'корпоративный баланс энергии'!H1444</f>
        <v>ТЭЦ ПАО "Крымский содовый завод"</v>
      </c>
      <c r="C1435" s="519" t="s">
        <v>365</v>
      </c>
      <c r="D1435" s="281">
        <f>'корпоративный баланс энергии'!J1444+'корпоративный баланс энергии'!M1444+'корпоративный баланс энергии'!P1444</f>
        <v>27.125</v>
      </c>
      <c r="E1435" s="246"/>
      <c r="F1435" s="282"/>
      <c r="G1435" s="244">
        <f>'корпоративный баланс энергии'!S1444+'корпоративный баланс энергии'!V1444+'корпоративный баланс энергии'!Y1444</f>
        <v>24.116</v>
      </c>
      <c r="H1435" s="246"/>
      <c r="I1435" s="282"/>
      <c r="J1435" s="244">
        <f>'корпоративный баланс энергии'!AB1444+'корпоративный баланс энергии'!AE1444+'корпоративный баланс энергии'!AH1444</f>
        <v>20.111999999999998</v>
      </c>
      <c r="K1435" s="246"/>
      <c r="L1435" s="282"/>
      <c r="M1435" s="244">
        <f>'корпоративный баланс энергии'!AK1444+'корпоративный баланс энергии'!AN1444+'корпоративный баланс энергии'!AQ1444</f>
        <v>30.284000000000002</v>
      </c>
      <c r="N1435" s="246"/>
      <c r="O1435" s="282"/>
      <c r="P1435" s="244">
        <f t="shared" si="119"/>
        <v>101.637</v>
      </c>
      <c r="Q1435" s="246"/>
      <c r="R1435" s="282"/>
      <c r="S1435" s="357"/>
      <c r="T1435" s="357"/>
    </row>
    <row r="1436" spans="2:20" s="24" customFormat="1">
      <c r="B1436" s="948" t="str">
        <f>'корпоративный баланс энергии'!H1445</f>
        <v>ТЭЦ ЧАО "Крымский "Титан" (АФ ООО "Титановые инвестиции")</v>
      </c>
      <c r="C1436" s="519" t="s">
        <v>365</v>
      </c>
      <c r="D1436" s="281">
        <f>'корпоративный баланс энергии'!J1445+'корпоративный баланс энергии'!M1445+'корпоративный баланс энергии'!P1445</f>
        <v>14.853</v>
      </c>
      <c r="E1436" s="246"/>
      <c r="F1436" s="282"/>
      <c r="G1436" s="244">
        <f>'корпоративный баланс энергии'!S1445+'корпоративный баланс энергии'!V1445+'корпоративный баланс энергии'!Y1445</f>
        <v>14.436</v>
      </c>
      <c r="H1436" s="246"/>
      <c r="I1436" s="282"/>
      <c r="J1436" s="244">
        <f>'корпоративный баланс энергии'!AB1445+'корпоративный баланс энергии'!AE1445+'корпоративный баланс энергии'!AH1445</f>
        <v>14.352</v>
      </c>
      <c r="K1436" s="246"/>
      <c r="L1436" s="282"/>
      <c r="M1436" s="244">
        <f>'корпоративный баланс энергии'!AK1445+'корпоративный баланс энергии'!AN1445+'корпоративный баланс энергии'!AQ1445</f>
        <v>19.428999999999998</v>
      </c>
      <c r="N1436" s="246"/>
      <c r="O1436" s="282"/>
      <c r="P1436" s="244">
        <f t="shared" si="119"/>
        <v>63.070000000000007</v>
      </c>
      <c r="Q1436" s="246"/>
      <c r="R1436" s="282"/>
      <c r="S1436" s="357"/>
      <c r="T1436" s="357"/>
    </row>
    <row r="1437" spans="2:20" s="24" customFormat="1" ht="18.75">
      <c r="B1437" s="474" t="str">
        <f>'корпоративный баланс энергии'!H1446</f>
        <v>г.Севастополь</v>
      </c>
      <c r="C1437" s="501"/>
      <c r="D1437" s="274">
        <f>SUM(D1438:D1439)</f>
        <v>801.23573099999987</v>
      </c>
      <c r="E1437" s="275">
        <f>F1437-D1437</f>
        <v>-315.7789598177319</v>
      </c>
      <c r="F1437" s="276">
        <f>'корпоративный баланс энергии'!L1446+'корпоративный баланс энергии'!O1446+'корпоративный баланс энергии'!R1446</f>
        <v>485.45677118226797</v>
      </c>
      <c r="G1437" s="274">
        <f>SUM(G1438:G1439)</f>
        <v>496.80375299999997</v>
      </c>
      <c r="H1437" s="275">
        <f>I1437-G1437</f>
        <v>-146.56022836739794</v>
      </c>
      <c r="I1437" s="276">
        <f>'корпоративный баланс энергии'!U1446+'корпоративный баланс энергии'!X1446+'корпоративный баланс энергии'!AA1446</f>
        <v>350.24352463260203</v>
      </c>
      <c r="J1437" s="274">
        <f>SUM(J1438:J1439)</f>
        <v>518.76835500000004</v>
      </c>
      <c r="K1437" s="275">
        <f>L1437-J1437</f>
        <v>-151.93308982650029</v>
      </c>
      <c r="L1437" s="276">
        <f>'корпоративный баланс энергии'!AD1446+'корпоративный баланс энергии'!AG1446+'корпоративный баланс энергии'!AJ1446</f>
        <v>366.83526517349975</v>
      </c>
      <c r="M1437" s="274">
        <f>SUM(M1438:M1439)</f>
        <v>801.50485199999991</v>
      </c>
      <c r="N1437" s="275">
        <f>O1437-M1437</f>
        <v>-351.48414647476022</v>
      </c>
      <c r="O1437" s="276">
        <f>'корпоративный баланс энергии'!AM1446+'корпоративный баланс энергии'!AP1446+'корпоративный баланс энергии'!AS1446</f>
        <v>450.02070552523969</v>
      </c>
      <c r="P1437" s="274">
        <f>SUM(P1438:P1439)</f>
        <v>2618.3126910000001</v>
      </c>
      <c r="Q1437" s="275">
        <f>R1437-P1437</f>
        <v>-965.75642448639064</v>
      </c>
      <c r="R1437" s="276">
        <f>F1437+I1437+L1437+O1437</f>
        <v>1652.5562665136094</v>
      </c>
      <c r="S1437" s="357"/>
      <c r="T1437" s="357"/>
    </row>
    <row r="1438" spans="2:20" s="24" customFormat="1">
      <c r="B1438" s="124" t="s">
        <v>56</v>
      </c>
      <c r="C1438" s="497"/>
      <c r="D1438" s="270">
        <f>SUM(D1440:D1442)</f>
        <v>800.72807999999986</v>
      </c>
      <c r="E1438" s="363"/>
      <c r="F1438" s="364"/>
      <c r="G1438" s="270">
        <f>SUM(G1440:G1442)</f>
        <v>495.70899999999995</v>
      </c>
      <c r="H1438" s="363"/>
      <c r="I1438" s="364"/>
      <c r="J1438" s="270">
        <f>SUM(J1440:J1442)</f>
        <v>517.798</v>
      </c>
      <c r="K1438" s="363"/>
      <c r="L1438" s="364"/>
      <c r="M1438" s="270">
        <f>SUM(M1440:M1442)</f>
        <v>801.06999999999994</v>
      </c>
      <c r="N1438" s="363"/>
      <c r="O1438" s="364"/>
      <c r="P1438" s="270">
        <f>SUM(P1440:P1442)</f>
        <v>2615.3050800000001</v>
      </c>
      <c r="Q1438" s="363"/>
      <c r="R1438" s="364"/>
      <c r="S1438" s="357"/>
      <c r="T1438" s="357"/>
    </row>
    <row r="1439" spans="2:20" s="24" customFormat="1">
      <c r="B1439" s="124" t="s">
        <v>347</v>
      </c>
      <c r="C1439" s="497"/>
      <c r="D1439" s="270">
        <f>D1443</f>
        <v>0.50765100000000007</v>
      </c>
      <c r="E1439" s="363"/>
      <c r="F1439" s="364"/>
      <c r="G1439" s="270">
        <f>G1443</f>
        <v>1.0947530000000001</v>
      </c>
      <c r="H1439" s="363"/>
      <c r="I1439" s="364"/>
      <c r="J1439" s="270">
        <f>J1443</f>
        <v>0.97035499999999986</v>
      </c>
      <c r="K1439" s="363"/>
      <c r="L1439" s="364"/>
      <c r="M1439" s="270">
        <f>M1443</f>
        <v>0.43485200000000002</v>
      </c>
      <c r="N1439" s="363"/>
      <c r="O1439" s="364"/>
      <c r="P1439" s="270">
        <f>P1443</f>
        <v>3.0076109999999998</v>
      </c>
      <c r="Q1439" s="363"/>
      <c r="R1439" s="364"/>
      <c r="S1439" s="357"/>
      <c r="T1439" s="357"/>
    </row>
    <row r="1440" spans="2:20" s="24" customFormat="1">
      <c r="B1440" s="149" t="str">
        <f>'корпоративный баланс энергии'!H1449</f>
        <v>Севастопольская ТЭЦ (ООО "СГС ПЛЮС")</v>
      </c>
      <c r="C1440" s="519"/>
      <c r="D1440" s="281">
        <f>'корпоративный баланс энергии'!J1449+'корпоративный баланс энергии'!M1449+'корпоративный баланс энергии'!P1449</f>
        <v>53.943999999999996</v>
      </c>
      <c r="E1440" s="246"/>
      <c r="F1440" s="282"/>
      <c r="G1440" s="244">
        <f>'корпоративный баланс энергии'!S1449+'корпоративный баланс энергии'!V1449+'корпоративный баланс энергии'!Y1449</f>
        <v>30.911999999999999</v>
      </c>
      <c r="H1440" s="246"/>
      <c r="I1440" s="282"/>
      <c r="J1440" s="244">
        <f>'корпоративный баланс энергии'!AB1449+'корпоративный баланс энергии'!AE1449+'корпоративный баланс энергии'!AH1449</f>
        <v>16.367999999999999</v>
      </c>
      <c r="K1440" s="246"/>
      <c r="L1440" s="282"/>
      <c r="M1440" s="244">
        <f>'корпоративный баланс энергии'!AK1449+'корпоративный баланс энергии'!AN1449+'корпоративный баланс энергии'!AQ1449</f>
        <v>32</v>
      </c>
      <c r="N1440" s="246"/>
      <c r="O1440" s="282"/>
      <c r="P1440" s="244">
        <f>D1440+G1440+J1440+M1440</f>
        <v>133.22399999999999</v>
      </c>
      <c r="Q1440" s="246"/>
      <c r="R1440" s="282"/>
      <c r="S1440" s="357"/>
      <c r="T1440" s="357"/>
    </row>
    <row r="1441" spans="2:20" s="24" customFormat="1">
      <c r="B1441" s="149" t="str">
        <f>'корпоративный баланс энергии'!H1450</f>
        <v>Севастопольская МГТЭС (ОАО "Мобильные ГТЭС")</v>
      </c>
      <c r="C1441" s="519"/>
      <c r="D1441" s="281">
        <f>'корпоративный баланс энергии'!J1450+'корпоративный баланс энергии'!M1450+'корпоративный баланс энергии'!P1450</f>
        <v>3</v>
      </c>
      <c r="E1441" s="246"/>
      <c r="F1441" s="282"/>
      <c r="G1441" s="244">
        <f>'корпоративный баланс энергии'!S1450+'корпоративный баланс энергии'!V1450+'корпоративный баланс энергии'!Y1450</f>
        <v>1.5</v>
      </c>
      <c r="H1441" s="246"/>
      <c r="I1441" s="282"/>
      <c r="J1441" s="244">
        <f>'корпоративный баланс энергии'!AB1450+'корпоративный баланс энергии'!AE1450+'корпоративный баланс энергии'!AH1450</f>
        <v>2.5</v>
      </c>
      <c r="K1441" s="246"/>
      <c r="L1441" s="282"/>
      <c r="M1441" s="244">
        <f>'корпоративный баланс энергии'!AK1450+'корпоративный баланс энергии'!AN1450+'корпоративный баланс энергии'!AQ1450</f>
        <v>1.5</v>
      </c>
      <c r="N1441" s="246"/>
      <c r="O1441" s="282"/>
      <c r="P1441" s="244">
        <f>D1441+G1441+J1441+M1441</f>
        <v>8.5</v>
      </c>
      <c r="Q1441" s="246"/>
      <c r="R1441" s="282"/>
      <c r="S1441" s="357"/>
      <c r="T1441" s="357"/>
    </row>
    <row r="1442" spans="2:20" s="24" customFormat="1">
      <c r="B1442" s="149" t="str">
        <f>'корпоративный баланс энергии'!H1451</f>
        <v>Балаклавская ТЭС (ООО "ВО "Технопромэкспорт")</v>
      </c>
      <c r="C1442" s="519"/>
      <c r="D1442" s="281">
        <f>'корпоративный баланс энергии'!J1451+'корпоративный баланс энергии'!M1451+'корпоративный баланс энергии'!P1451</f>
        <v>743.7840799999999</v>
      </c>
      <c r="E1442" s="246"/>
      <c r="F1442" s="282"/>
      <c r="G1442" s="244">
        <f>'корпоративный баланс энергии'!S1451+'корпоративный баланс энергии'!V1451+'корпоративный баланс энергии'!Y1451</f>
        <v>463.29699999999997</v>
      </c>
      <c r="H1442" s="246"/>
      <c r="I1442" s="282"/>
      <c r="J1442" s="244">
        <f>'корпоративный баланс энергии'!AB1451+'корпоративный баланс энергии'!AE1451+'корпоративный баланс энергии'!AH1451</f>
        <v>498.93</v>
      </c>
      <c r="K1442" s="246"/>
      <c r="L1442" s="282"/>
      <c r="M1442" s="244">
        <f>'корпоративный баланс энергии'!AK1451+'корпоративный баланс энергии'!AN1451+'корпоративный баланс энергии'!AQ1451</f>
        <v>767.56999999999994</v>
      </c>
      <c r="N1442" s="246"/>
      <c r="O1442" s="282"/>
      <c r="P1442" s="244">
        <f>D1442+G1442+J1442+M1442</f>
        <v>2473.5810799999999</v>
      </c>
      <c r="Q1442" s="246"/>
      <c r="R1442" s="282"/>
      <c r="S1442" s="357"/>
      <c r="T1442" s="357"/>
    </row>
    <row r="1443" spans="2:20" s="24" customFormat="1" ht="16.5" thickBot="1">
      <c r="B1443" s="841" t="str">
        <f>'корпоративный баланс энергии'!H1452</f>
        <v>СЭС г.Севастополь ул. Богданова, 74 (ООО "С.Энерджи-Севастополь")</v>
      </c>
      <c r="C1443" s="842"/>
      <c r="D1443" s="843">
        <f>'корпоративный баланс энергии'!J1452+'корпоративный баланс энергии'!M1452+'корпоративный баланс энергии'!P1452</f>
        <v>0.50765100000000007</v>
      </c>
      <c r="E1443" s="844"/>
      <c r="F1443" s="845"/>
      <c r="G1443" s="846">
        <f>'корпоративный баланс энергии'!S1452+'корпоративный баланс энергии'!V1452+'корпоративный баланс энергии'!Y1452</f>
        <v>1.0947530000000001</v>
      </c>
      <c r="H1443" s="844"/>
      <c r="I1443" s="845"/>
      <c r="J1443" s="846">
        <f>'корпоративный баланс энергии'!AB1452+'корпоративный баланс энергии'!AE1452+'корпоративный баланс энергии'!AH1452</f>
        <v>0.97035499999999986</v>
      </c>
      <c r="K1443" s="844"/>
      <c r="L1443" s="845"/>
      <c r="M1443" s="846">
        <f>'корпоративный баланс энергии'!AK1452+'корпоративный баланс энергии'!AN1452+'корпоративный баланс энергии'!AQ1452</f>
        <v>0.43485200000000002</v>
      </c>
      <c r="N1443" s="844"/>
      <c r="O1443" s="845"/>
      <c r="P1443" s="846">
        <f>D1443+G1443+J1443+M1443</f>
        <v>3.0076109999999998</v>
      </c>
      <c r="Q1443" s="844"/>
      <c r="R1443" s="845"/>
      <c r="S1443" s="357"/>
      <c r="T1443" s="357"/>
    </row>
    <row r="1444" spans="2:20" s="24" customFormat="1">
      <c r="B1444" s="585" t="s">
        <v>514</v>
      </c>
      <c r="C1444" s="124"/>
      <c r="D1444" s="365"/>
      <c r="E1444" s="381">
        <f>'корпоративный баланс энергии'!K1453+'корпоративный баланс энергии'!N1453+'корпоративный баланс энергии'!Q1453</f>
        <v>-2929.0290533000002</v>
      </c>
      <c r="F1444" s="224"/>
      <c r="G1444" s="365"/>
      <c r="H1444" s="381">
        <f>'корпоративный баланс энергии'!T1453+'корпоративный баланс энергии'!W1453+'корпоративный баланс энергии'!Z1453</f>
        <v>1158.9993070999999</v>
      </c>
      <c r="I1444" s="224"/>
      <c r="J1444" s="365"/>
      <c r="K1444" s="381">
        <f>'корпоративный баланс энергии'!AC1453+'корпоративный баланс энергии'!AF1453+'корпоративный баланс энергии'!AI1453</f>
        <v>629.83996949999982</v>
      </c>
      <c r="L1444" s="224"/>
      <c r="M1444" s="365"/>
      <c r="N1444" s="381">
        <f>'корпоративный баланс энергии'!AL1453+'корпоративный баланс энергии'!AO1453+'корпоративный баланс энергии'!AR1453</f>
        <v>886.59943079999994</v>
      </c>
      <c r="O1444" s="224"/>
      <c r="P1444" s="365"/>
      <c r="Q1444" s="225">
        <f>E1444+H1444+K1444+N1444</f>
        <v>-253.59034590000056</v>
      </c>
      <c r="R1444" s="364"/>
      <c r="S1444"/>
      <c r="T1444"/>
    </row>
    <row r="1445" spans="2:20" s="24" customFormat="1" ht="18.75">
      <c r="B1445" s="478" t="s">
        <v>54</v>
      </c>
      <c r="C1445" s="478"/>
      <c r="D1445" s="223">
        <f>SUM(D1446:D1449)</f>
        <v>57278.21457387456</v>
      </c>
      <c r="E1445" s="271">
        <f>F1445-D1445</f>
        <v>1769.5647760087304</v>
      </c>
      <c r="F1445" s="224">
        <f>F1450+F1481+F1499+F1518+F1571+F1648+F1542+F1601+F1610+F1631+F1651</f>
        <v>59047.779349883291</v>
      </c>
      <c r="G1445" s="223">
        <f>SUM(G1446:G1449)</f>
        <v>48170.586999227671</v>
      </c>
      <c r="H1445" s="271">
        <f>I1445-G1445</f>
        <v>1158.9976649279051</v>
      </c>
      <c r="I1445" s="224">
        <f>I1450+I1481+I1499+I1518+I1571+I1648+I1542+I1601+I1610+I1631+I1651</f>
        <v>49329.584664155576</v>
      </c>
      <c r="J1445" s="223">
        <f>SUM(J1446:J1449)</f>
        <v>46923.758618251268</v>
      </c>
      <c r="K1445" s="271">
        <f>L1445-J1445</f>
        <v>629.84201503181248</v>
      </c>
      <c r="L1445" s="224">
        <f>L1450+L1481+L1499+L1518+L1571+L1648+L1542+L1601+L1610+L1631+L1651</f>
        <v>47553.60063328308</v>
      </c>
      <c r="M1445" s="223">
        <f>SUM(M1446:M1449)</f>
        <v>57611.038812165607</v>
      </c>
      <c r="N1445" s="271">
        <f>O1445-M1445</f>
        <v>886.59441987522587</v>
      </c>
      <c r="O1445" s="224">
        <f>O1450+O1481+O1499+O1518+O1571+O1648+O1542+O1601+O1610+O1631+O1651</f>
        <v>58497.633232040833</v>
      </c>
      <c r="P1445" s="223">
        <f>SUM(P1446:P1449)</f>
        <v>209983.59900351911</v>
      </c>
      <c r="Q1445" s="271">
        <f>R1445-P1445</f>
        <v>4444.9988758437103</v>
      </c>
      <c r="R1445" s="697">
        <f>R1450+R1481+R1499+R1518+R1571+R1648+R1542+R1601+R1610+R1631+R1651</f>
        <v>214428.59787936282</v>
      </c>
      <c r="S1445"/>
      <c r="T1445"/>
    </row>
    <row r="1446" spans="2:20" s="24" customFormat="1">
      <c r="B1446" s="126" t="s">
        <v>56</v>
      </c>
      <c r="C1446" s="126"/>
      <c r="D1446" s="223">
        <f>D1455+D1482+D1500+D1519+D1572+D1649+D1543+D1602+D1611+D1632+D1652</f>
        <v>32415.940311864415</v>
      </c>
      <c r="E1446" s="271"/>
      <c r="F1446" s="224"/>
      <c r="G1446" s="223">
        <f>G1455+G1482+G1500+G1519+G1572+G1649+G1543+G1602+G1611+G1632+G1652</f>
        <v>20930.102841578755</v>
      </c>
      <c r="H1446" s="271"/>
      <c r="I1446" s="224"/>
      <c r="J1446" s="223">
        <f>J1455+J1482+J1500+J1519+J1572+J1649+J1543+J1602+J1611+J1632+J1652</f>
        <v>16160.49899451354</v>
      </c>
      <c r="K1446" s="271"/>
      <c r="L1446" s="224"/>
      <c r="M1446" s="223">
        <f>M1455+M1482+M1500+M1519+M1572+M1649+M1543+M1602+M1611+M1632+M1652</f>
        <v>30196.059285980922</v>
      </c>
      <c r="N1446" s="271"/>
      <c r="O1446" s="224"/>
      <c r="P1446" s="223">
        <f>P1455+P1482+P1500+P1519+P1572+P1649+P1543+P1602+P1611+P1632+P1652</f>
        <v>99702.601433937642</v>
      </c>
      <c r="Q1446" s="271"/>
      <c r="R1446" s="364"/>
      <c r="S1446"/>
      <c r="T1446"/>
    </row>
    <row r="1447" spans="2:20" s="24" customFormat="1">
      <c r="B1447" s="126" t="s">
        <v>55</v>
      </c>
      <c r="C1447" s="500"/>
      <c r="D1447" s="270">
        <f>D1520+D1573+D1603+D1653</f>
        <v>22053.229840433836</v>
      </c>
      <c r="E1447" s="271"/>
      <c r="F1447" s="224"/>
      <c r="G1447" s="270">
        <f>G1520+G1573+G1603+G1653</f>
        <v>24812.242136421719</v>
      </c>
      <c r="H1447" s="271"/>
      <c r="I1447" s="224"/>
      <c r="J1447" s="270">
        <f>J1520+J1573+J1603+J1653</f>
        <v>28520.991499824137</v>
      </c>
      <c r="K1447" s="271"/>
      <c r="L1447" s="224"/>
      <c r="M1447" s="270">
        <f>M1520+M1573+M1603+M1653</f>
        <v>24677.507866132641</v>
      </c>
      <c r="N1447" s="271"/>
      <c r="O1447" s="224"/>
      <c r="P1447" s="270">
        <f>P1520+P1573+P1603+P1653</f>
        <v>100063.97134281232</v>
      </c>
      <c r="Q1447" s="271"/>
      <c r="R1447" s="364"/>
      <c r="S1447"/>
      <c r="T1447"/>
    </row>
    <row r="1448" spans="2:20" s="24" customFormat="1">
      <c r="B1448" s="126" t="s">
        <v>347</v>
      </c>
      <c r="C1448" s="500"/>
      <c r="D1448" s="270">
        <f>D1452+D1483+D1501+D1612+D1654</f>
        <v>46.388418208333334</v>
      </c>
      <c r="E1448" s="271"/>
      <c r="F1448" s="224"/>
      <c r="G1448" s="270">
        <f>G1452+G1483+G1501+G1612+G1654</f>
        <v>96.295997833333317</v>
      </c>
      <c r="H1448" s="271"/>
      <c r="I1448" s="224"/>
      <c r="J1448" s="270">
        <f>J1452+J1483+J1501+J1612+J1654</f>
        <v>93.473584666666667</v>
      </c>
      <c r="K1448" s="271"/>
      <c r="L1448" s="224"/>
      <c r="M1448" s="270">
        <f>M1452+M1483+M1501+M1612+M1654</f>
        <v>25.956411853494625</v>
      </c>
      <c r="N1448" s="271"/>
      <c r="O1448" s="224"/>
      <c r="P1448" s="270">
        <f>P1452+P1483+P1501+P1612+P1654</f>
        <v>262.11441256182798</v>
      </c>
      <c r="Q1448" s="271"/>
      <c r="R1448" s="364"/>
      <c r="S1448"/>
      <c r="T1448"/>
    </row>
    <row r="1449" spans="2:20" s="110" customFormat="1" ht="16.5" thickBot="1">
      <c r="B1449" s="133" t="s">
        <v>184</v>
      </c>
      <c r="C1449" s="510"/>
      <c r="D1449" s="272">
        <f>D1456+D1484+D1502+D1521+D1574+D1544+D1613+D1633+D1655</f>
        <v>2762.6560033679766</v>
      </c>
      <c r="E1449" s="273"/>
      <c r="F1449" s="233"/>
      <c r="G1449" s="272">
        <f>G1456+G1484+G1502+G1521+G1574+G1544+G1613+G1633+G1655</f>
        <v>2331.9460233938685</v>
      </c>
      <c r="H1449" s="273"/>
      <c r="I1449" s="233"/>
      <c r="J1449" s="272">
        <f>J1456+J1484+J1502+J1521+J1574+J1544+J1613+J1633+J1655</f>
        <v>2148.7945392469283</v>
      </c>
      <c r="K1449" s="273"/>
      <c r="L1449" s="233"/>
      <c r="M1449" s="272">
        <f>M1456+M1484+M1502+M1521+M1574+M1544+M1613+M1633+M1655</f>
        <v>2711.5152481985456</v>
      </c>
      <c r="N1449" s="273"/>
      <c r="O1449" s="233"/>
      <c r="P1449" s="272">
        <f>P1456+P1484+P1502+P1521+P1574+P1544+P1613+P1633+P1655</f>
        <v>9954.9118142073203</v>
      </c>
      <c r="Q1449" s="273"/>
      <c r="R1449" s="233"/>
      <c r="S1449"/>
      <c r="T1449"/>
    </row>
    <row r="1450" spans="2:20" s="110" customFormat="1" ht="18.75">
      <c r="B1450" s="474" t="str">
        <f>'корпоративный баланс энергии'!H1459</f>
        <v>Энергосистема Алтайского края и Республики Алтай</v>
      </c>
      <c r="C1450" s="501"/>
      <c r="D1450" s="274">
        <f>SUM(D1451:D1453)</f>
        <v>2234.1065758840041</v>
      </c>
      <c r="E1450" s="275">
        <f>F1450-D1450</f>
        <v>831.79042811599584</v>
      </c>
      <c r="F1450" s="341">
        <f>F1454+F1470</f>
        <v>3065.8970039999999</v>
      </c>
      <c r="G1450" s="274">
        <f>SUM(G1451:G1453)</f>
        <v>1500.9487538666667</v>
      </c>
      <c r="H1450" s="275">
        <f>I1450-G1450</f>
        <v>920.05124613333328</v>
      </c>
      <c r="I1450" s="341">
        <f>I1454+I1470</f>
        <v>2421</v>
      </c>
      <c r="J1450" s="274">
        <f>SUM(J1451:J1453)</f>
        <v>1185.7015689999998</v>
      </c>
      <c r="K1450" s="275">
        <f>L1450-J1450</f>
        <v>1134.2984310000002</v>
      </c>
      <c r="L1450" s="341">
        <f>L1454+L1470</f>
        <v>2320</v>
      </c>
      <c r="M1450" s="274">
        <f>SUM(M1451:M1453)</f>
        <v>1882.4494562250002</v>
      </c>
      <c r="N1450" s="275">
        <f>O1450-M1450</f>
        <v>1152.5505437749998</v>
      </c>
      <c r="O1450" s="341">
        <f>O1454+O1470</f>
        <v>3035</v>
      </c>
      <c r="P1450" s="274">
        <f>SUM(P1451:P1453)</f>
        <v>6803.2063549756713</v>
      </c>
      <c r="Q1450" s="275">
        <f>R1450-P1450</f>
        <v>4038.6906490243291</v>
      </c>
      <c r="R1450" s="276">
        <f>F1450+I1450+L1450+O1450</f>
        <v>10841.897004</v>
      </c>
      <c r="S1450"/>
      <c r="T1450"/>
    </row>
    <row r="1451" spans="2:20" s="110" customFormat="1">
      <c r="B1451" s="126" t="s">
        <v>56</v>
      </c>
      <c r="C1451" s="500"/>
      <c r="D1451" s="270">
        <f>D1455</f>
        <v>1981.1468408666665</v>
      </c>
      <c r="E1451" s="271"/>
      <c r="F1451" s="224"/>
      <c r="G1451" s="270">
        <f>G1455</f>
        <v>1283.9789635333334</v>
      </c>
      <c r="H1451" s="271"/>
      <c r="I1451" s="224"/>
      <c r="J1451" s="270">
        <f>J1455</f>
        <v>971.21668933333308</v>
      </c>
      <c r="K1451" s="271"/>
      <c r="L1451" s="224"/>
      <c r="M1451" s="270">
        <f>M1455</f>
        <v>1637.1244207666666</v>
      </c>
      <c r="N1451" s="271"/>
      <c r="O1451" s="224"/>
      <c r="P1451" s="270">
        <f>P1455</f>
        <v>5873.4669144999998</v>
      </c>
      <c r="Q1451" s="271"/>
      <c r="R1451" s="364"/>
      <c r="S1451"/>
      <c r="T1451"/>
    </row>
    <row r="1452" spans="2:20" s="110" customFormat="1">
      <c r="B1452" s="126" t="s">
        <v>347</v>
      </c>
      <c r="C1452" s="500"/>
      <c r="D1452" s="270">
        <f>D1471</f>
        <v>23.545962958333334</v>
      </c>
      <c r="E1452" s="271"/>
      <c r="F1452" s="224"/>
      <c r="G1452" s="270">
        <f>G1471</f>
        <v>49.754790333333332</v>
      </c>
      <c r="H1452" s="271"/>
      <c r="I1452" s="224"/>
      <c r="J1452" s="270">
        <f>J1471</f>
        <v>47.420079666666666</v>
      </c>
      <c r="K1452" s="271"/>
      <c r="L1452" s="224"/>
      <c r="M1452" s="270">
        <f>M1471</f>
        <v>6.9890304583333336</v>
      </c>
      <c r="N1452" s="271"/>
      <c r="O1452" s="224"/>
      <c r="P1452" s="270">
        <f>P1471</f>
        <v>127.70986341666668</v>
      </c>
      <c r="Q1452" s="271"/>
      <c r="R1452" s="364"/>
      <c r="S1452"/>
      <c r="T1452"/>
    </row>
    <row r="1453" spans="2:20" s="110" customFormat="1">
      <c r="B1453" s="124" t="s">
        <v>184</v>
      </c>
      <c r="C1453" s="500"/>
      <c r="D1453" s="270">
        <f>D1456</f>
        <v>229.41377205900446</v>
      </c>
      <c r="E1453" s="271"/>
      <c r="F1453" s="224"/>
      <c r="G1453" s="270">
        <f>G1456</f>
        <v>167.21500000000003</v>
      </c>
      <c r="H1453" s="271"/>
      <c r="I1453" s="224"/>
      <c r="J1453" s="270">
        <f>J1456</f>
        <v>167.06480000000002</v>
      </c>
      <c r="K1453" s="271"/>
      <c r="L1453" s="224"/>
      <c r="M1453" s="270">
        <f>M1456</f>
        <v>238.336005</v>
      </c>
      <c r="N1453" s="271"/>
      <c r="O1453" s="224"/>
      <c r="P1453" s="270">
        <f>P1456</f>
        <v>802.02957705900451</v>
      </c>
      <c r="Q1453" s="271"/>
      <c r="R1453" s="364"/>
      <c r="S1453"/>
      <c r="T1453"/>
    </row>
    <row r="1454" spans="2:20" s="113" customFormat="1">
      <c r="B1454" s="111" t="str">
        <f>'корпоративный баланс энергии'!H1463</f>
        <v>Алтайский край</v>
      </c>
      <c r="C1454" s="511"/>
      <c r="D1454" s="274">
        <f>SUM(D1455:D1456)</f>
        <v>2210.5606129256707</v>
      </c>
      <c r="E1454" s="275">
        <f>F1454-D1454</f>
        <v>695.93639107432909</v>
      </c>
      <c r="F1454" s="276">
        <f>'корпоративный баланс энергии'!L1463+'корпоративный баланс энергии'!O1463+'корпоративный баланс энергии'!R1463</f>
        <v>2906.4970039999998</v>
      </c>
      <c r="G1454" s="274">
        <f>SUM(G1455:G1456)</f>
        <v>1451.1939635333333</v>
      </c>
      <c r="H1454" s="275">
        <f>I1454-G1454</f>
        <v>852.80603646666668</v>
      </c>
      <c r="I1454" s="276">
        <f>'корпоративный баланс энергии'!U1463+'корпоративный баланс энергии'!X1463+'корпоративный баланс энергии'!AA1463</f>
        <v>2304</v>
      </c>
      <c r="J1454" s="274">
        <f>SUM(J1455:J1456)</f>
        <v>1138.2814893333332</v>
      </c>
      <c r="K1454" s="275">
        <f>L1454-J1454</f>
        <v>1071.7185106666668</v>
      </c>
      <c r="L1454" s="276">
        <f>'корпоративный баланс энергии'!AD1463+'корпоративный баланс энергии'!AG1463+'корпоративный баланс энергии'!AJ1463</f>
        <v>2210</v>
      </c>
      <c r="M1454" s="274">
        <f>SUM(M1455:M1456)</f>
        <v>1875.4604257666665</v>
      </c>
      <c r="N1454" s="275">
        <f>O1454-M1454</f>
        <v>1005.5395742333335</v>
      </c>
      <c r="O1454" s="276">
        <f>'корпоративный баланс энергии'!AM1463+'корпоративный баланс энергии'!AP1463+'корпоративный баланс энергии'!AS1463</f>
        <v>2881</v>
      </c>
      <c r="P1454" s="274">
        <f>SUM(P1455:P1456)</f>
        <v>6675.4964915590044</v>
      </c>
      <c r="Q1454" s="275">
        <f>R1454-P1454</f>
        <v>3626.0005124409963</v>
      </c>
      <c r="R1454" s="276">
        <f>F1454+I1454+L1454+O1454</f>
        <v>10301.497004000001</v>
      </c>
      <c r="S1454"/>
      <c r="T1454"/>
    </row>
    <row r="1455" spans="2:20" s="113" customFormat="1">
      <c r="B1455" s="126" t="s">
        <v>56</v>
      </c>
      <c r="C1455" s="500"/>
      <c r="D1455" s="270">
        <f>SUM(D1458:D1464)</f>
        <v>1981.1468408666665</v>
      </c>
      <c r="E1455" s="271"/>
      <c r="F1455" s="224"/>
      <c r="G1455" s="270">
        <f>SUM(G1458:G1464)</f>
        <v>1283.9789635333334</v>
      </c>
      <c r="H1455" s="271"/>
      <c r="I1455" s="224"/>
      <c r="J1455" s="270">
        <f>SUM(J1458:J1464)</f>
        <v>971.21668933333308</v>
      </c>
      <c r="K1455" s="271"/>
      <c r="L1455" s="224"/>
      <c r="M1455" s="270">
        <f>SUM(M1458:M1464)</f>
        <v>1637.1244207666666</v>
      </c>
      <c r="N1455" s="271"/>
      <c r="O1455" s="224"/>
      <c r="P1455" s="270">
        <f>SUM(P1458:P1464)</f>
        <v>5873.4669144999998</v>
      </c>
      <c r="Q1455" s="271"/>
      <c r="R1455" s="364"/>
      <c r="S1455"/>
      <c r="T1455"/>
    </row>
    <row r="1456" spans="2:20" s="146" customFormat="1">
      <c r="B1456" s="124" t="s">
        <v>184</v>
      </c>
      <c r="C1456" s="497"/>
      <c r="D1456" s="270">
        <f>D1465</f>
        <v>229.41377205900446</v>
      </c>
      <c r="E1456" s="271"/>
      <c r="F1456" s="224"/>
      <c r="G1456" s="270">
        <f>G1465</f>
        <v>167.21500000000003</v>
      </c>
      <c r="H1456" s="271"/>
      <c r="I1456" s="224"/>
      <c r="J1456" s="270">
        <f>J1465</f>
        <v>167.06480000000002</v>
      </c>
      <c r="K1456" s="271"/>
      <c r="L1456" s="224"/>
      <c r="M1456" s="270">
        <f>M1465</f>
        <v>238.336005</v>
      </c>
      <c r="N1456" s="271"/>
      <c r="O1456" s="224"/>
      <c r="P1456" s="270">
        <f>P1465</f>
        <v>802.02957705900451</v>
      </c>
      <c r="Q1456" s="271"/>
      <c r="R1456" s="364"/>
      <c r="S1456"/>
      <c r="T1456"/>
    </row>
    <row r="1457" spans="2:20" s="24" customFormat="1">
      <c r="B1457" s="134" t="str">
        <f>'корпоративный баланс энергии'!H1466</f>
        <v>Барнаульская ТЭЦ-2 (ОАО "Барнаульская генерация")</v>
      </c>
      <c r="C1457" s="516" t="s">
        <v>364</v>
      </c>
      <c r="D1457" s="317">
        <f>SUM(D1458:D1460)</f>
        <v>512.57400000000007</v>
      </c>
      <c r="E1457" s="323"/>
      <c r="F1457" s="324"/>
      <c r="G1457" s="317">
        <f>SUM(G1458:G1460)</f>
        <v>210.26600000000002</v>
      </c>
      <c r="H1457" s="323"/>
      <c r="I1457" s="324"/>
      <c r="J1457" s="317">
        <f>SUM(J1458:J1460)</f>
        <v>128.35400000000001</v>
      </c>
      <c r="K1457" s="323"/>
      <c r="L1457" s="324"/>
      <c r="M1457" s="317">
        <f>SUM(M1458:M1460)</f>
        <v>450.15799999999996</v>
      </c>
      <c r="N1457" s="323"/>
      <c r="O1457" s="324"/>
      <c r="P1457" s="317">
        <f>SUM(P1458:P1460)</f>
        <v>1301.3519999999999</v>
      </c>
      <c r="Q1457" s="323"/>
      <c r="R1457" s="324"/>
      <c r="S1457"/>
      <c r="T1457"/>
    </row>
    <row r="1458" spans="2:20" s="24" customFormat="1">
      <c r="B1458" s="122" t="str">
        <f>'корпоративный баланс энергии'!H1467</f>
        <v>Барнаульская ТЭЦ-2 (АО "Барнаульская генерация")</v>
      </c>
      <c r="C1458" s="486"/>
      <c r="D1458" s="281">
        <f>'корпоративный баланс энергии'!J1467+'корпоративный баланс энергии'!M1467+'корпоративный баланс энергии'!P1467</f>
        <v>284.55700000000002</v>
      </c>
      <c r="E1458" s="246"/>
      <c r="F1458" s="282"/>
      <c r="G1458" s="244">
        <f>'корпоративный баланс энергии'!S1467+'корпоративный баланс энергии'!V1467+'корпоративный баланс энергии'!Y1467</f>
        <v>100.467</v>
      </c>
      <c r="H1458" s="246"/>
      <c r="I1458" s="282"/>
      <c r="J1458" s="244">
        <f>'корпоративный баланс энергии'!AB1467+'корпоративный баланс энергии'!AE1467+'корпоративный баланс энергии'!AH1467</f>
        <v>81.644999999999996</v>
      </c>
      <c r="K1458" s="246"/>
      <c r="L1458" s="282"/>
      <c r="M1458" s="244">
        <f>'корпоративный баланс энергии'!AK1467+'корпоративный баланс энергии'!AN1467+'корпоративный баланс энергии'!AQ1467</f>
        <v>271.93899999999996</v>
      </c>
      <c r="N1458" s="246"/>
      <c r="O1458" s="282"/>
      <c r="P1458" s="244">
        <f t="shared" ref="P1458:P1464" si="120">D1458+G1458+J1458+M1458</f>
        <v>738.60799999999995</v>
      </c>
      <c r="Q1458" s="246"/>
      <c r="R1458" s="282"/>
      <c r="S1458"/>
      <c r="T1458"/>
    </row>
    <row r="1459" spans="2:20" s="24" customFormat="1">
      <c r="B1459" s="122" t="str">
        <f>'корпоративный баланс энергии'!H1468</f>
        <v>Барнаульская ТЭЦ-2 (АО "Барнаульская генерация") ТГ №8 14.02.2014</v>
      </c>
      <c r="C1459" s="486"/>
      <c r="D1459" s="281">
        <f>'корпоративный баланс энергии'!J1468+'корпоративный баланс энергии'!M1468+'корпоративный баланс энергии'!P1468</f>
        <v>113.00399999999999</v>
      </c>
      <c r="E1459" s="246"/>
      <c r="F1459" s="282"/>
      <c r="G1459" s="244">
        <f>'корпоративный баланс энергии'!S1468+'корпоративный баланс энергии'!V1468+'корпоративный баланс энергии'!Y1468</f>
        <v>86.744</v>
      </c>
      <c r="H1459" s="246"/>
      <c r="I1459" s="282"/>
      <c r="J1459" s="244">
        <f>'корпоративный баланс энергии'!AB1468+'корпоративный баланс энергии'!AE1468+'корпоративный баланс энергии'!AH1468</f>
        <v>32.884999999999998</v>
      </c>
      <c r="K1459" s="246"/>
      <c r="L1459" s="282"/>
      <c r="M1459" s="244">
        <f>'корпоративный баланс энергии'!AK1468+'корпоративный баланс энергии'!AN1468+'корпоративный баланс энергии'!AQ1468</f>
        <v>81.186999999999998</v>
      </c>
      <c r="N1459" s="246"/>
      <c r="O1459" s="282"/>
      <c r="P1459" s="244">
        <f t="shared" si="120"/>
        <v>313.82</v>
      </c>
      <c r="Q1459" s="246"/>
      <c r="R1459" s="282"/>
      <c r="S1459"/>
      <c r="T1459"/>
    </row>
    <row r="1460" spans="2:20" s="24" customFormat="1">
      <c r="B1460" s="122" t="str">
        <f>'корпоративный баланс энергии'!H1469</f>
        <v>Барнаульская ТЭЦ-2 (АО "Барнаульская генерация") ТГ №9 28.11.2014</v>
      </c>
      <c r="C1460" s="486"/>
      <c r="D1460" s="281">
        <f>'корпоративный баланс энергии'!J1469+'корпоративный баланс энергии'!M1469+'корпоративный баланс энергии'!P1469</f>
        <v>115.01300000000001</v>
      </c>
      <c r="E1460" s="246"/>
      <c r="F1460" s="282"/>
      <c r="G1460" s="244">
        <f>'корпоративный баланс энергии'!S1469+'корпоративный баланс энергии'!V1469+'корпоративный баланс энергии'!Y1469</f>
        <v>23.055</v>
      </c>
      <c r="H1460" s="246"/>
      <c r="I1460" s="282"/>
      <c r="J1460" s="244">
        <f>'корпоративный баланс энергии'!AB1469+'корпоративный баланс энергии'!AE1469+'корпоративный баланс энергии'!AH1469</f>
        <v>13.824</v>
      </c>
      <c r="K1460" s="246"/>
      <c r="L1460" s="282"/>
      <c r="M1460" s="244">
        <f>'корпоративный баланс энергии'!AK1469+'корпоративный баланс энергии'!AN1469+'корпоративный баланс энергии'!AQ1469</f>
        <v>97.031999999999982</v>
      </c>
      <c r="N1460" s="246"/>
      <c r="O1460" s="282"/>
      <c r="P1460" s="244">
        <f t="shared" si="120"/>
        <v>248.92400000000001</v>
      </c>
      <c r="Q1460" s="246"/>
      <c r="R1460" s="282"/>
      <c r="S1460"/>
      <c r="T1460"/>
    </row>
    <row r="1461" spans="2:20" s="24" customFormat="1">
      <c r="B1461" s="122" t="str">
        <f>'корпоративный баланс энергии'!H1470</f>
        <v>Барнаульская ТЭЦ-3 (АО "Барнаульская ТЭЦ-3")</v>
      </c>
      <c r="C1461" s="516" t="s">
        <v>364</v>
      </c>
      <c r="D1461" s="281">
        <f>'корпоративный баланс энергии'!J1470+'корпоративный баланс энергии'!M1470+'корпоративный баланс энергии'!P1470</f>
        <v>824.49040000000014</v>
      </c>
      <c r="E1461" s="246"/>
      <c r="F1461" s="282"/>
      <c r="G1461" s="244">
        <f>'корпоративный баланс энергии'!S1470+'корпоративный баланс энергии'!V1470+'корпоративный баланс энергии'!Y1470</f>
        <v>583.31500000000005</v>
      </c>
      <c r="H1461" s="246"/>
      <c r="I1461" s="282"/>
      <c r="J1461" s="244">
        <f>'корпоративный баланс энергии'!AB1470+'корпоративный баланс энергии'!AE1470+'корпоративный баланс энергии'!AH1470</f>
        <v>450.529</v>
      </c>
      <c r="K1461" s="246"/>
      <c r="L1461" s="282"/>
      <c r="M1461" s="244">
        <f>'корпоративный баланс энергии'!AK1470+'корпоративный баланс энергии'!AN1470+'корпоративный баланс энергии'!AQ1470</f>
        <v>692.56819999999993</v>
      </c>
      <c r="N1461" s="246"/>
      <c r="O1461" s="282"/>
      <c r="P1461" s="244">
        <f t="shared" si="120"/>
        <v>2550.9026000000003</v>
      </c>
      <c r="Q1461" s="246"/>
      <c r="R1461" s="282"/>
      <c r="S1461"/>
      <c r="T1461"/>
    </row>
    <row r="1462" spans="2:20" s="24" customFormat="1">
      <c r="B1462" s="122" t="str">
        <f>'корпоративный баланс энергии'!H1471</f>
        <v>Барнаульская ГТ-ТЭЦ (АО "ГТ Энерго")</v>
      </c>
      <c r="C1462" s="516" t="s">
        <v>364</v>
      </c>
      <c r="D1462" s="281">
        <f>'корпоративный баланс энергии'!J1471+'корпоративный баланс энергии'!M1471+'корпоративный баланс энергии'!P1471</f>
        <v>2.1294</v>
      </c>
      <c r="E1462" s="246"/>
      <c r="F1462" s="282"/>
      <c r="G1462" s="244">
        <f>'корпоративный баланс энергии'!S1471+'корпоративный баланс энергии'!V1471+'корпоративный баланс энергии'!Y1471</f>
        <v>2.2876000000000003</v>
      </c>
      <c r="H1462" s="246"/>
      <c r="I1462" s="282"/>
      <c r="J1462" s="244">
        <f>'корпоративный баланс энергии'!AB1471+'корпоративный баланс энергии'!AE1471+'корпоративный баланс энергии'!AH1471</f>
        <v>2.2599999999999998</v>
      </c>
      <c r="K1462" s="246"/>
      <c r="L1462" s="282"/>
      <c r="M1462" s="244">
        <f>'корпоративный баланс энергии'!AK1471+'корпоративный баланс энергии'!AN1471+'корпоративный баланс энергии'!AQ1471</f>
        <v>2.5059999999999998</v>
      </c>
      <c r="N1462" s="246"/>
      <c r="O1462" s="282"/>
      <c r="P1462" s="244">
        <f t="shared" si="120"/>
        <v>9.1829999999999998</v>
      </c>
      <c r="Q1462" s="246"/>
      <c r="R1462" s="282"/>
      <c r="S1462"/>
      <c r="T1462"/>
    </row>
    <row r="1463" spans="2:20" s="24" customFormat="1">
      <c r="B1463" s="122" t="str">
        <f>'корпоративный баланс энергии'!H1472</f>
        <v>Бийская ТЭЦ-1 (АО "Бийскэнерго")</v>
      </c>
      <c r="C1463" s="516" t="s">
        <v>364</v>
      </c>
      <c r="D1463" s="281">
        <f>'корпоративный баланс энергии'!J1472+'корпоративный баланс энергии'!M1472+'корпоративный баланс энергии'!P1472</f>
        <v>611.29404086666602</v>
      </c>
      <c r="E1463" s="246"/>
      <c r="F1463" s="282"/>
      <c r="G1463" s="244">
        <f>'корпоративный баланс энергии'!S1472+'корпоративный баланс энергии'!V1472+'корпоративный баланс энергии'!Y1472</f>
        <v>456.84336353333333</v>
      </c>
      <c r="H1463" s="246"/>
      <c r="I1463" s="282"/>
      <c r="J1463" s="244">
        <f>'корпоративный баланс энергии'!AB1472+'корпоративный баланс энергии'!AE1472+'корпоративный баланс энергии'!AH1472</f>
        <v>358.2756893333331</v>
      </c>
      <c r="K1463" s="246"/>
      <c r="L1463" s="282"/>
      <c r="M1463" s="244">
        <f>'корпоративный баланс энергии'!AK1472+'корпоративный баланс энергии'!AN1472+'корпоративный баланс энергии'!AQ1472</f>
        <v>461.36422076666679</v>
      </c>
      <c r="N1463" s="246"/>
      <c r="O1463" s="282"/>
      <c r="P1463" s="244">
        <f t="shared" si="120"/>
        <v>1887.7773144999992</v>
      </c>
      <c r="Q1463" s="246"/>
      <c r="R1463" s="282"/>
      <c r="S1463"/>
      <c r="T1463"/>
    </row>
    <row r="1464" spans="2:20" s="24" customFormat="1">
      <c r="B1464" s="122" t="str">
        <f>'корпоративный баланс энергии'!H1473</f>
        <v>Белокурихинская ГПТЭС (ЗАО "Инновация")</v>
      </c>
      <c r="C1464" s="526" t="s">
        <v>365</v>
      </c>
      <c r="D1464" s="281">
        <f>'корпоративный баланс энергии'!J1473+'корпоративный баланс энергии'!M1473+'корпоративный баланс энергии'!P1473</f>
        <v>30.658999999999999</v>
      </c>
      <c r="E1464" s="246"/>
      <c r="F1464" s="282"/>
      <c r="G1464" s="244">
        <f>'корпоративный баланс энергии'!S1473+'корпоративный баланс энергии'!V1473+'корпоративный баланс энергии'!Y1473</f>
        <v>31.266999999999999</v>
      </c>
      <c r="H1464" s="246"/>
      <c r="I1464" s="282"/>
      <c r="J1464" s="244">
        <f>'корпоративный баланс энергии'!AB1473+'корпоративный баланс энергии'!AE1473+'корпоративный баланс энергии'!AH1473</f>
        <v>31.798000000000002</v>
      </c>
      <c r="K1464" s="246"/>
      <c r="L1464" s="282"/>
      <c r="M1464" s="244">
        <f>'корпоративный баланс энергии'!AK1473+'корпоративный баланс энергии'!AN1473+'корпоративный баланс энергии'!AQ1473</f>
        <v>30.527999999999999</v>
      </c>
      <c r="N1464" s="246"/>
      <c r="O1464" s="282"/>
      <c r="P1464" s="244">
        <f t="shared" si="120"/>
        <v>124.25200000000001</v>
      </c>
      <c r="Q1464" s="246"/>
      <c r="R1464" s="282"/>
      <c r="S1464"/>
      <c r="T1464"/>
    </row>
    <row r="1465" spans="2:20" s="24" customFormat="1">
      <c r="B1465" s="138" t="s">
        <v>174</v>
      </c>
      <c r="C1465" s="488"/>
      <c r="D1465" s="287">
        <f>SUM(D1466:D1469)</f>
        <v>229.41377205900446</v>
      </c>
      <c r="E1465" s="288"/>
      <c r="F1465" s="289"/>
      <c r="G1465" s="287">
        <f>SUM(G1466:G1469)</f>
        <v>167.21500000000003</v>
      </c>
      <c r="H1465" s="288"/>
      <c r="I1465" s="289"/>
      <c r="J1465" s="287">
        <f>SUM(J1466:J1469)</f>
        <v>167.06480000000002</v>
      </c>
      <c r="K1465" s="288"/>
      <c r="L1465" s="289"/>
      <c r="M1465" s="287">
        <f>SUM(M1466:M1469)</f>
        <v>238.336005</v>
      </c>
      <c r="N1465" s="288"/>
      <c r="O1465" s="289"/>
      <c r="P1465" s="287">
        <f>SUM(P1466:P1469)</f>
        <v>802.02957705900451</v>
      </c>
      <c r="Q1465" s="288"/>
      <c r="R1465" s="289"/>
      <c r="S1465"/>
      <c r="T1465"/>
    </row>
    <row r="1466" spans="2:20" s="24" customFormat="1">
      <c r="B1466" s="136" t="str">
        <f>'корпоративный баланс энергии'!H1475</f>
        <v>ТЭЦ Алтай-кокс (ОАО "Алтай-Кокс")</v>
      </c>
      <c r="C1466" s="529" t="s">
        <v>364</v>
      </c>
      <c r="D1466" s="293">
        <f>'корпоративный баланс энергии'!J1475+'корпоративный баланс энергии'!M1475+'корпоративный баланс энергии'!P1475</f>
        <v>185.41899999999998</v>
      </c>
      <c r="E1466" s="288"/>
      <c r="F1466" s="289"/>
      <c r="G1466" s="294">
        <f>'корпоративный баланс энергии'!S1475+'корпоративный баланс энергии'!V1475+'корпоративный баланс энергии'!Y1475</f>
        <v>140.84800000000001</v>
      </c>
      <c r="H1466" s="288"/>
      <c r="I1466" s="289"/>
      <c r="J1466" s="294">
        <f>'корпоративный баланс энергии'!AB1475+'корпоративный баланс энергии'!AE1475+'корпоративный баланс энергии'!AH1475</f>
        <v>134.56</v>
      </c>
      <c r="K1466" s="288"/>
      <c r="L1466" s="289"/>
      <c r="M1466" s="294">
        <f>'корпоративный баланс энергии'!AK1475+'корпоративный баланс энергии'!AN1475+'корпоративный баланс энергии'!AQ1475</f>
        <v>194.22</v>
      </c>
      <c r="N1466" s="288"/>
      <c r="O1466" s="289"/>
      <c r="P1466" s="294">
        <f>D1466+G1466+J1466+M1466</f>
        <v>655.04700000000003</v>
      </c>
      <c r="Q1466" s="288"/>
      <c r="R1466" s="289"/>
      <c r="S1466"/>
      <c r="T1466"/>
    </row>
    <row r="1467" spans="2:20" s="113" customFormat="1">
      <c r="B1467" s="136" t="str">
        <f>'корпоративный баланс энергии'!H1476</f>
        <v>ТЭЦ (МУП "Яровской теплоэлектрокомплекс" ОАО "Алтайские Гербициды")</v>
      </c>
      <c r="C1467" s="518" t="s">
        <v>365</v>
      </c>
      <c r="D1467" s="293">
        <f>'корпоративный баланс энергии'!J1476+'корпоративный баланс энергии'!M1476+'корпоративный баланс энергии'!P1476</f>
        <v>21.6</v>
      </c>
      <c r="E1467" s="288"/>
      <c r="F1467" s="289"/>
      <c r="G1467" s="294">
        <f>'корпоративный баланс энергии'!S1476+'корпоративный баланс энергии'!V1476+'корпоративный баланс энергии'!Y1476</f>
        <v>9.4</v>
      </c>
      <c r="H1467" s="288"/>
      <c r="I1467" s="289"/>
      <c r="J1467" s="294">
        <f>'корпоративный баланс энергии'!AB1476+'корпоративный баланс энергии'!AE1476+'корпоративный баланс энергии'!AH1476</f>
        <v>9.3000000000000007</v>
      </c>
      <c r="K1467" s="288"/>
      <c r="L1467" s="289"/>
      <c r="M1467" s="294">
        <f>'корпоративный баланс энергии'!AK1476+'корпоративный баланс энергии'!AN1476+'корпоративный баланс энергии'!AQ1476</f>
        <v>16.600000000000001</v>
      </c>
      <c r="N1467" s="288"/>
      <c r="O1467" s="289"/>
      <c r="P1467" s="294">
        <f>D1467+G1467+J1467+M1467</f>
        <v>56.9</v>
      </c>
      <c r="Q1467" s="288"/>
      <c r="R1467" s="289"/>
      <c r="S1467"/>
      <c r="T1467"/>
    </row>
    <row r="1468" spans="2:20" s="113" customFormat="1">
      <c r="B1468" s="136" t="str">
        <f>'корпоративный баланс энергии'!H1477</f>
        <v>ТЭЦ (ОАО "Кучуксульфат")</v>
      </c>
      <c r="C1468" s="518" t="s">
        <v>365</v>
      </c>
      <c r="D1468" s="293">
        <f>'корпоративный баланс энергии'!J1477+'корпоративный баланс энергии'!M1477+'корпоративный баланс энергии'!P1477</f>
        <v>16.637</v>
      </c>
      <c r="E1468" s="288"/>
      <c r="F1468" s="289"/>
      <c r="G1468" s="294">
        <f>'корпоративный баланс энергии'!S1477+'корпоративный баланс энергии'!V1477+'корпоративный баланс энергии'!Y1477</f>
        <v>16.871000000000002</v>
      </c>
      <c r="H1468" s="288"/>
      <c r="I1468" s="289"/>
      <c r="J1468" s="294">
        <f>'корпоративный баланс энергии'!AB1477+'корпоративный баланс энергии'!AE1477+'корпоративный баланс энергии'!AH1477</f>
        <v>18.591000000000001</v>
      </c>
      <c r="K1468" s="288"/>
      <c r="L1468" s="289"/>
      <c r="M1468" s="294">
        <f>'корпоративный баланс энергии'!AK1477+'корпоративный баланс энергии'!AN1477+'корпоративный баланс энергии'!AQ1477</f>
        <v>17.149999999999999</v>
      </c>
      <c r="N1468" s="288"/>
      <c r="O1468" s="289"/>
      <c r="P1468" s="294">
        <f>D1468+G1468+J1468+M1468</f>
        <v>69.248999999999995</v>
      </c>
      <c r="Q1468" s="288"/>
      <c r="R1468" s="289"/>
      <c r="S1468"/>
      <c r="T1468"/>
    </row>
    <row r="1469" spans="2:20" s="24" customFormat="1">
      <c r="B1469" s="136" t="str">
        <f>'корпоративный баланс энергии'!H1478</f>
        <v>ТЭЦ (ОАО Черемновский сахарный завод)</v>
      </c>
      <c r="C1469" s="518" t="s">
        <v>365</v>
      </c>
      <c r="D1469" s="293">
        <f>'корпоративный баланс энергии'!J1478+'корпоративный баланс энергии'!M1478+'корпоративный баланс энергии'!P1478</f>
        <v>5.7577720590044894</v>
      </c>
      <c r="E1469" s="288"/>
      <c r="F1469" s="289"/>
      <c r="G1469" s="294">
        <f>'корпоративный баланс энергии'!S1478+'корпоративный баланс энергии'!V1478+'корпоративный баланс энергии'!Y1478</f>
        <v>9.6000000000000002E-2</v>
      </c>
      <c r="H1469" s="288"/>
      <c r="I1469" s="289"/>
      <c r="J1469" s="294">
        <f>'корпоративный баланс энергии'!AB1478+'корпоративный баланс энергии'!AE1478+'корпоративный баланс энергии'!AH1478</f>
        <v>4.6138000000000003</v>
      </c>
      <c r="K1469" s="288"/>
      <c r="L1469" s="289"/>
      <c r="M1469" s="294">
        <f>'корпоративный баланс энергии'!AK1478+'корпоративный баланс энергии'!AN1478+'корпоративный баланс энергии'!AQ1478</f>
        <v>10.366005000000001</v>
      </c>
      <c r="N1469" s="288"/>
      <c r="O1469" s="289"/>
      <c r="P1469" s="294">
        <f>D1469+G1469+J1469+M1469</f>
        <v>20.83357705900449</v>
      </c>
      <c r="Q1469" s="288"/>
      <c r="R1469" s="289"/>
      <c r="S1469"/>
      <c r="T1469"/>
    </row>
    <row r="1470" spans="2:20" s="24" customFormat="1">
      <c r="B1470" s="111" t="str">
        <f>'корпоративный баланс энергии'!H1479</f>
        <v>Республика Алтай</v>
      </c>
      <c r="C1470" s="511"/>
      <c r="D1470" s="274">
        <f>D1471</f>
        <v>23.545962958333334</v>
      </c>
      <c r="E1470" s="275">
        <f>F1470-D1470</f>
        <v>135.85403704166663</v>
      </c>
      <c r="F1470" s="276">
        <f>'корпоративный баланс энергии'!L1479+'корпоративный баланс энергии'!O1479+'корпоративный баланс энергии'!R1479</f>
        <v>159.39999999999998</v>
      </c>
      <c r="G1470" s="274">
        <f>G1471</f>
        <v>49.754790333333332</v>
      </c>
      <c r="H1470" s="275">
        <f>I1470-G1470</f>
        <v>67.245209666666668</v>
      </c>
      <c r="I1470" s="276">
        <f>'корпоративный баланс энергии'!U1479+'корпоративный баланс энергии'!X1479+'корпоративный баланс энергии'!AA1479</f>
        <v>117</v>
      </c>
      <c r="J1470" s="274">
        <f>J1471</f>
        <v>47.420079666666666</v>
      </c>
      <c r="K1470" s="275">
        <f>L1470-J1470</f>
        <v>62.579920333333334</v>
      </c>
      <c r="L1470" s="276">
        <f>'корпоративный баланс энергии'!AD1479+'корпоративный баланс энергии'!AG1479+'корпоративный баланс энергии'!AJ1479</f>
        <v>110</v>
      </c>
      <c r="M1470" s="274">
        <f>M1471</f>
        <v>6.9890304583333336</v>
      </c>
      <c r="N1470" s="275">
        <f>O1470-M1470</f>
        <v>147.01096954166667</v>
      </c>
      <c r="O1470" s="276">
        <f>'корпоративный баланс энергии'!AM1479+'корпоративный баланс энергии'!AP1479+'корпоративный баланс энергии'!AS1479</f>
        <v>154</v>
      </c>
      <c r="P1470" s="274">
        <f>P1471</f>
        <v>127.70986341666668</v>
      </c>
      <c r="Q1470" s="275">
        <f>R1470-P1470</f>
        <v>412.6901365833333</v>
      </c>
      <c r="R1470" s="276">
        <f>F1470+I1470+L1470+O1470</f>
        <v>540.4</v>
      </c>
      <c r="S1470"/>
      <c r="T1470"/>
    </row>
    <row r="1471" spans="2:20" s="24" customFormat="1">
      <c r="B1471" s="126" t="s">
        <v>347</v>
      </c>
      <c r="C1471" s="500"/>
      <c r="D1471" s="270">
        <f>SUM(D1472:D1480)</f>
        <v>23.545962958333334</v>
      </c>
      <c r="E1471" s="271"/>
      <c r="F1471" s="224"/>
      <c r="G1471" s="270">
        <f>SUM(G1472:G1480)</f>
        <v>49.754790333333332</v>
      </c>
      <c r="H1471" s="271"/>
      <c r="I1471" s="224"/>
      <c r="J1471" s="270">
        <f>SUM(J1472:J1480)</f>
        <v>47.420079666666666</v>
      </c>
      <c r="K1471" s="271"/>
      <c r="L1471" s="224"/>
      <c r="M1471" s="270">
        <f>SUM(M1472:M1480)</f>
        <v>6.9890304583333336</v>
      </c>
      <c r="N1471" s="271"/>
      <c r="O1471" s="224"/>
      <c r="P1471" s="270">
        <f>SUM(P1472:P1480)</f>
        <v>127.70986341666668</v>
      </c>
      <c r="Q1471" s="271"/>
      <c r="R1471" s="364"/>
      <c r="S1471"/>
      <c r="T1471"/>
    </row>
    <row r="1472" spans="2:20" s="24" customFormat="1">
      <c r="B1472" s="532" t="str">
        <f>'корпоративный баланс энергии'!H1481</f>
        <v>Кош-Агачская СЭС (ООО "Авелар Солар Технолоджи")</v>
      </c>
      <c r="C1472" s="516" t="s">
        <v>364</v>
      </c>
      <c r="D1472" s="281">
        <f>'корпоративный баланс энергии'!J1481+'корпоративный баланс энергии'!M1481+'корпоративный баланс энергии'!P1481</f>
        <v>1.6315543333333333</v>
      </c>
      <c r="E1472" s="246"/>
      <c r="F1472" s="282"/>
      <c r="G1472" s="244">
        <f>'корпоративный баланс энергии'!S1481+'корпоративный баланс энергии'!V1481+'корпоративный баланс энергии'!Y1481</f>
        <v>2.6825513333333331</v>
      </c>
      <c r="H1472" s="246"/>
      <c r="I1472" s="282"/>
      <c r="J1472" s="244">
        <f>'корпоративный баланс энергии'!AB1481+'корпоративный баланс энергии'!AE1481+'корпоративный баланс энергии'!AH1481</f>
        <v>2.2971706666666667</v>
      </c>
      <c r="K1472" s="246"/>
      <c r="L1472" s="282"/>
      <c r="M1472" s="244">
        <f>'корпоративный баланс энергии'!AK1481+'корпоративный баланс энергии'!AN1481+'корпоративный баланс энергии'!AQ1481</f>
        <v>1.0276609999999999</v>
      </c>
      <c r="N1472" s="246"/>
      <c r="O1472" s="282"/>
      <c r="P1472" s="244">
        <f>D1472+G1472+J1472+M1472</f>
        <v>7.6389373333333328</v>
      </c>
      <c r="Q1472" s="323"/>
      <c r="R1472" s="530"/>
      <c r="S1472"/>
      <c r="T1472"/>
    </row>
    <row r="1473" spans="2:20" s="24" customFormat="1">
      <c r="B1473" s="532" t="str">
        <f>'корпоративный баланс энергии'!H1482</f>
        <v>Кош-Агачская СЭС-2 (ООО "Авелар Солар Технолоджи")</v>
      </c>
      <c r="C1473" s="516" t="s">
        <v>364</v>
      </c>
      <c r="D1473" s="281">
        <f>'корпоративный баланс энергии'!J1482+'корпоративный баланс энергии'!M1482+'корпоративный баланс энергии'!P1482</f>
        <v>1.5182979999999999</v>
      </c>
      <c r="E1473" s="246"/>
      <c r="F1473" s="282"/>
      <c r="G1473" s="244">
        <f>'корпоративный баланс энергии'!S1482+'корпоративный баланс энергии'!V1482+'корпоративный баланс энергии'!Y1482</f>
        <v>2.6516830000000002</v>
      </c>
      <c r="H1473" s="246"/>
      <c r="I1473" s="282"/>
      <c r="J1473" s="244">
        <f>'корпоративный баланс энергии'!AB1482+'корпоративный баланс энергии'!AE1482+'корпоративный баланс энергии'!AH1482</f>
        <v>2.3391069999999998</v>
      </c>
      <c r="K1473" s="246"/>
      <c r="L1473" s="282"/>
      <c r="M1473" s="244">
        <f>'корпоративный баланс энергии'!AK1482+'корпоративный баланс энергии'!AN1482+'корпоративный баланс энергии'!AQ1482</f>
        <v>0.5249773333333333</v>
      </c>
      <c r="N1473" s="246"/>
      <c r="O1473" s="282"/>
      <c r="P1473" s="244">
        <f>D1473+G1473+J1473+M1473</f>
        <v>7.0340653333333334</v>
      </c>
      <c r="Q1473" s="323"/>
      <c r="R1473" s="530"/>
      <c r="S1473"/>
      <c r="T1473"/>
    </row>
    <row r="1474" spans="2:20" s="24" customFormat="1">
      <c r="B1474" s="532" t="str">
        <f>'корпоративный баланс энергии'!H1483</f>
        <v>Онгудайская СЭС (ООО "Авелар Солар Технолоджи")</v>
      </c>
      <c r="C1474" s="516" t="s">
        <v>364</v>
      </c>
      <c r="D1474" s="281">
        <f>'корпоративный баланс энергии'!J1483+'корпоративный баланс энергии'!M1483+'корпоративный баланс энергии'!P1483</f>
        <v>0.69060849999999996</v>
      </c>
      <c r="E1474" s="246"/>
      <c r="F1474" s="282"/>
      <c r="G1474" s="244">
        <f>'корпоративный баланс энергии'!S1483+'корпоративный баланс энергии'!V1483+'корпоративный баланс энергии'!Y1483</f>
        <v>1.8957520000000001</v>
      </c>
      <c r="H1474" s="246"/>
      <c r="I1474" s="282"/>
      <c r="J1474" s="244">
        <f>'корпоративный баланс энергии'!AB1483+'корпоративный баланс энергии'!AE1483+'корпоративный баланс энергии'!AH1483</f>
        <v>1.9371199999999997</v>
      </c>
      <c r="K1474" s="246"/>
      <c r="L1474" s="282"/>
      <c r="M1474" s="244">
        <f>'корпоративный баланс энергии'!AK1483+'корпоративный баланс энергии'!AN1483+'корпоративный баланс энергии'!AQ1483</f>
        <v>0.1417535</v>
      </c>
      <c r="N1474" s="246"/>
      <c r="O1474" s="282"/>
      <c r="P1474" s="244">
        <f>D1474+G1474+J1474+M1474</f>
        <v>4.6652339999999999</v>
      </c>
      <c r="Q1474" s="323"/>
      <c r="R1474" s="530"/>
      <c r="S1474"/>
      <c r="T1474"/>
    </row>
    <row r="1475" spans="2:20" s="24" customFormat="1">
      <c r="B1475" s="532" t="str">
        <f>'корпоративный баланс энергии'!H1484</f>
        <v>Майминская СЭС-1, 2 очередь (ООО "Авелар Солар Технолоджи")</v>
      </c>
      <c r="C1475" s="516" t="s">
        <v>364</v>
      </c>
      <c r="D1475" s="281">
        <f>'корпоративный баланс энергии'!J1484+'корпоративный баланс энергии'!M1484+'корпоративный баланс энергии'!P1484</f>
        <v>2.8393595</v>
      </c>
      <c r="E1475" s="246"/>
      <c r="F1475" s="282"/>
      <c r="G1475" s="244">
        <f>'корпоративный баланс энергии'!S1484+'корпоративный баланс энергии'!V1484+'корпоративный баланс энергии'!Y1484</f>
        <v>7.545966</v>
      </c>
      <c r="H1475" s="246"/>
      <c r="I1475" s="282"/>
      <c r="J1475" s="244">
        <f>'корпоративный баланс энергии'!AB1484+'корпоративный баланс энергии'!AE1484+'корпоративный баланс энергии'!AH1484</f>
        <v>7.4482840000000001</v>
      </c>
      <c r="K1475" s="246"/>
      <c r="L1475" s="282"/>
      <c r="M1475" s="244">
        <f>'корпоративный баланс энергии'!AK1484+'корпоративный баланс энергии'!AN1484+'корпоративный баланс энергии'!AQ1484</f>
        <v>0.67948750000000002</v>
      </c>
      <c r="N1475" s="246"/>
      <c r="O1475" s="282"/>
      <c r="P1475" s="244">
        <f>D1475+G1475+J1475+M1475</f>
        <v>18.513097000000002</v>
      </c>
      <c r="Q1475" s="323"/>
      <c r="R1475" s="530"/>
      <c r="S1475"/>
      <c r="T1475"/>
    </row>
    <row r="1476" spans="2:20" s="24" customFormat="1">
      <c r="B1476" s="532" t="str">
        <f>'корпоративный баланс энергии'!H1485</f>
        <v>Майминская СЭС-3 очередь (ООО "Авелар Солар Технолоджи")</v>
      </c>
      <c r="C1476" s="516" t="s">
        <v>364</v>
      </c>
      <c r="D1476" s="281">
        <f>'корпоративный баланс энергии'!J1485+'корпоративный баланс энергии'!M1485+'корпоративный баланс энергии'!P1485</f>
        <v>0.70983987500000001</v>
      </c>
      <c r="E1476" s="246"/>
      <c r="F1476" s="282"/>
      <c r="G1476" s="244">
        <f>'корпоративный баланс энергии'!S1485+'корпоративный баланс энергии'!V1485+'корпоративный баланс энергии'!Y1485</f>
        <v>1.8864915</v>
      </c>
      <c r="H1476" s="246"/>
      <c r="I1476" s="282"/>
      <c r="J1476" s="244">
        <f>'корпоративный баланс энергии'!AB1485+'корпоративный баланс энергии'!AE1485+'корпоративный баланс энергии'!AH1485</f>
        <v>1.862071</v>
      </c>
      <c r="K1476" s="246"/>
      <c r="L1476" s="282"/>
      <c r="M1476" s="244">
        <f>'корпоративный баланс энергии'!AK1485+'корпоративный баланс энергии'!AN1485+'корпоративный баланс энергии'!AQ1485</f>
        <v>0.16987187500000001</v>
      </c>
      <c r="N1476" s="246"/>
      <c r="O1476" s="282"/>
      <c r="P1476" s="244">
        <f t="shared" ref="P1476:P1477" si="121">D1476+G1476+J1476+M1476</f>
        <v>4.6282742500000005</v>
      </c>
      <c r="Q1476" s="323"/>
      <c r="R1476" s="530"/>
      <c r="S1476"/>
      <c r="T1476"/>
    </row>
    <row r="1477" spans="2:20" s="24" customFormat="1">
      <c r="B1477" s="532" t="str">
        <f>'корпоративный баланс энергии'!H1486</f>
        <v>Ининская СЭС (ООО "Авелар Солар Технолоджи")</v>
      </c>
      <c r="C1477" s="516" t="s">
        <v>364</v>
      </c>
      <c r="D1477" s="281">
        <f>'корпоративный баланс энергии'!J1486+'корпоративный баланс энергии'!M1486+'корпоративный баланс энергии'!P1486</f>
        <v>3.4530425</v>
      </c>
      <c r="E1477" s="246"/>
      <c r="F1477" s="282"/>
      <c r="G1477" s="244">
        <f>'корпоративный баланс энергии'!S1486+'корпоративный баланс энергии'!V1486+'корпоративный баланс энергии'!Y1486</f>
        <v>9.4787599999999994</v>
      </c>
      <c r="H1477" s="246"/>
      <c r="I1477" s="282"/>
      <c r="J1477" s="244">
        <f>'корпоративный баланс энергии'!AB1486+'корпоративный баланс энергии'!AE1486+'корпоративный баланс энергии'!AH1486</f>
        <v>9.6856000000000009</v>
      </c>
      <c r="K1477" s="246"/>
      <c r="L1477" s="282"/>
      <c r="M1477" s="244">
        <f>'корпоративный баланс энергии'!AK1486+'корпоративный баланс энергии'!AN1486+'корпоративный баланс энергии'!AQ1486</f>
        <v>0.70876749999999999</v>
      </c>
      <c r="N1477" s="246"/>
      <c r="O1477" s="282"/>
      <c r="P1477" s="244">
        <f t="shared" si="121"/>
        <v>23.326170000000001</v>
      </c>
      <c r="Q1477" s="323"/>
      <c r="R1477" s="530"/>
      <c r="S1477"/>
      <c r="T1477"/>
    </row>
    <row r="1478" spans="2:20" s="24" customFormat="1">
      <c r="B1478" s="532" t="str">
        <f>'корпоративный баланс энергии'!H1487</f>
        <v>Усть-Канская СЭС (ООО "Авелар Солар Технолоджи")</v>
      </c>
      <c r="C1478" s="516" t="s">
        <v>364</v>
      </c>
      <c r="D1478" s="281">
        <f>'корпоративный баланс энергии'!J1487+'корпоративный баланс энергии'!M1487+'корпоративный баланс энергии'!P1487</f>
        <v>1.2537311666666666</v>
      </c>
      <c r="E1478" s="246"/>
      <c r="F1478" s="282"/>
      <c r="G1478" s="244">
        <f>'корпоративный баланс энергии'!S1487+'корпоративный баланс энергии'!V1487+'корпоративный баланс энергии'!Y1487</f>
        <v>2.2045114999999997</v>
      </c>
      <c r="H1478" s="246"/>
      <c r="I1478" s="282"/>
      <c r="J1478" s="244">
        <f>'корпоративный баланс энергии'!AB1487+'корпоративный баланс энергии'!AE1487+'корпоративный баланс энергии'!AH1487</f>
        <v>2.014065</v>
      </c>
      <c r="K1478" s="246"/>
      <c r="L1478" s="282"/>
      <c r="M1478" s="244">
        <f>'корпоративный баланс энергии'!AK1487+'корпоративный баланс энергии'!AN1487+'корпоративный баланс энергии'!AQ1487</f>
        <v>0.37741866666666668</v>
      </c>
      <c r="N1478" s="246"/>
      <c r="O1478" s="282"/>
      <c r="P1478" s="244">
        <f>D1478+G1478+J1478+M1478</f>
        <v>5.849726333333332</v>
      </c>
      <c r="Q1478" s="323"/>
      <c r="R1478" s="530"/>
      <c r="S1478"/>
      <c r="T1478"/>
    </row>
    <row r="1479" spans="2:20" s="24" customFormat="1">
      <c r="B1479" s="532" t="str">
        <f>'корпоративный баланс энергии'!H1488</f>
        <v>Усть-Коксинская 1, 2, 3, 4 очередь (ООО "Авелар Солар Технолоджи")</v>
      </c>
      <c r="C1479" s="839"/>
      <c r="D1479" s="281">
        <f>'корпоративный баланс энергии'!J1488+'корпоративный баланс энергии'!M1488+'корпоративный баланс энергии'!P1488</f>
        <v>10.029849333333333</v>
      </c>
      <c r="E1479" s="246"/>
      <c r="F1479" s="282"/>
      <c r="G1479" s="244">
        <f>'корпоративный баланс энергии'!S1488+'корпоративный баланс энергии'!V1488+'корпоративный баланс энергии'!Y1488</f>
        <v>17.636092000000001</v>
      </c>
      <c r="H1479" s="246"/>
      <c r="I1479" s="282"/>
      <c r="J1479" s="244">
        <f>'корпоративный баланс энергии'!AB1488+'корпоративный баланс энергии'!AE1488+'корпоративный баланс энергии'!AH1488</f>
        <v>16.11252</v>
      </c>
      <c r="K1479" s="246"/>
      <c r="L1479" s="282"/>
      <c r="M1479" s="244">
        <f>'корпоративный баланс энергии'!AK1488+'корпоративный баланс энергии'!AN1488+'корпоративный баланс энергии'!AQ1488</f>
        <v>3.0193493333333334</v>
      </c>
      <c r="N1479" s="246"/>
      <c r="O1479" s="282"/>
      <c r="P1479" s="244">
        <f t="shared" ref="P1479:P1480" si="122">D1479+G1479+J1479+M1479</f>
        <v>46.79781066666667</v>
      </c>
      <c r="Q1479" s="323"/>
      <c r="R1479" s="530"/>
      <c r="S1479"/>
      <c r="T1479"/>
    </row>
    <row r="1480" spans="2:20" s="24" customFormat="1">
      <c r="B1480" s="532" t="str">
        <f>'корпоративный баланс энергии'!H1489</f>
        <v>Чемальская СЭС (ООО "Авелар Солар Технолоджи")</v>
      </c>
      <c r="C1480" s="839"/>
      <c r="D1480" s="281">
        <f>'корпоративный баланс энергии'!J1489+'корпоративный баланс энергии'!M1489+'корпоративный баланс энергии'!P1489</f>
        <v>1.41967975</v>
      </c>
      <c r="E1480" s="246"/>
      <c r="F1480" s="282"/>
      <c r="G1480" s="244">
        <f>'корпоративный баланс энергии'!S1489+'корпоративный баланс энергии'!V1489+'корпоративный баланс энергии'!Y1489</f>
        <v>3.772983</v>
      </c>
      <c r="H1480" s="246"/>
      <c r="I1480" s="282"/>
      <c r="J1480" s="244">
        <f>'корпоративный баланс энергии'!AB1489+'корпоративный баланс энергии'!AE1489+'корпоративный баланс энергии'!AH1489</f>
        <v>3.7241420000000001</v>
      </c>
      <c r="K1480" s="246"/>
      <c r="L1480" s="282"/>
      <c r="M1480" s="244">
        <f>'корпоративный баланс энергии'!AK1489+'корпоративный баланс энергии'!AN1489+'корпоративный баланс энергии'!AQ1489</f>
        <v>0.33974375000000001</v>
      </c>
      <c r="N1480" s="246"/>
      <c r="O1480" s="282"/>
      <c r="P1480" s="244">
        <f t="shared" si="122"/>
        <v>9.256548500000001</v>
      </c>
      <c r="Q1480" s="323"/>
      <c r="R1480" s="530"/>
      <c r="S1480"/>
      <c r="T1480"/>
    </row>
    <row r="1481" spans="2:20" s="24" customFormat="1" ht="18.75">
      <c r="B1481" s="474" t="str">
        <f>'корпоративный баланс энергии'!H1490</f>
        <v>Энергосистема Республики Бурятия</v>
      </c>
      <c r="C1481" s="501"/>
      <c r="D1481" s="274">
        <f>SUM(D1482:D1484)</f>
        <v>1858.8414712500003</v>
      </c>
      <c r="E1481" s="275">
        <f>F1481-D1481</f>
        <v>-234.14251603464754</v>
      </c>
      <c r="F1481" s="276">
        <f>'корпоративный баланс энергии'!L1490+'корпоративный баланс энергии'!O1490+'корпоративный баланс энергии'!R1490</f>
        <v>1624.6989552153527</v>
      </c>
      <c r="G1481" s="274">
        <f>SUM(G1482:G1484)</f>
        <v>1472.9356075000001</v>
      </c>
      <c r="H1481" s="275">
        <f>I1481-G1481</f>
        <v>-252.32958548478064</v>
      </c>
      <c r="I1481" s="276">
        <f>'корпоративный баланс энергии'!U1490+'корпоративный баланс энергии'!X1490+'корпоративный баланс энергии'!AA1490</f>
        <v>1220.6060220152194</v>
      </c>
      <c r="J1481" s="274">
        <f>SUM(J1482:J1484)</f>
        <v>1423.5943050000001</v>
      </c>
      <c r="K1481" s="275">
        <f>L1481-J1481</f>
        <v>-266.46899358079531</v>
      </c>
      <c r="L1481" s="276">
        <f>'корпоративный баланс энергии'!AD1490+'корпоративный баланс энергии'!AG1490+'корпоративный баланс энергии'!AJ1490</f>
        <v>1157.1253114192048</v>
      </c>
      <c r="M1481" s="274">
        <f>SUM(M1482:M1484)</f>
        <v>1782.4770087500001</v>
      </c>
      <c r="N1481" s="275">
        <f>O1481-M1481</f>
        <v>-186.90729739977724</v>
      </c>
      <c r="O1481" s="276">
        <f>'корпоративный баланс энергии'!AM1490+'корпоративный баланс энергии'!AP1490+'корпоративный баланс энергии'!AS1490</f>
        <v>1595.5697113502229</v>
      </c>
      <c r="P1481" s="274">
        <f>SUM(P1482:P1484)</f>
        <v>6537.848392500001</v>
      </c>
      <c r="Q1481" s="275">
        <f>R1481-P1481</f>
        <v>-939.84839250000095</v>
      </c>
      <c r="R1481" s="276">
        <f>F1481+I1481+L1481+O1481</f>
        <v>5598</v>
      </c>
      <c r="S1481"/>
      <c r="T1481"/>
    </row>
    <row r="1482" spans="2:20" s="24" customFormat="1">
      <c r="B1482" s="126" t="s">
        <v>56</v>
      </c>
      <c r="C1482" s="500"/>
      <c r="D1482" s="270">
        <f>SUM(D1485,D1488)</f>
        <v>1800.7240000000002</v>
      </c>
      <c r="E1482" s="271"/>
      <c r="F1482" s="224"/>
      <c r="G1482" s="270">
        <f>SUM(G1485,G1488)</f>
        <v>1411.4960000000001</v>
      </c>
      <c r="H1482" s="271"/>
      <c r="I1482" s="224"/>
      <c r="J1482" s="270">
        <f>SUM(J1485,J1488)</f>
        <v>1360.9960000000001</v>
      </c>
      <c r="K1482" s="271"/>
      <c r="L1482" s="224"/>
      <c r="M1482" s="270">
        <f>SUM(M1485,M1488)</f>
        <v>1731.9176</v>
      </c>
      <c r="N1482" s="271"/>
      <c r="O1482" s="224"/>
      <c r="P1482" s="270">
        <f>SUM(P1485,P1488)</f>
        <v>6305.133600000001</v>
      </c>
      <c r="Q1482" s="271"/>
      <c r="R1482" s="364"/>
      <c r="S1482"/>
      <c r="T1482"/>
    </row>
    <row r="1483" spans="2:20" s="24" customFormat="1">
      <c r="B1483" s="126" t="s">
        <v>347</v>
      </c>
      <c r="C1483" s="500"/>
      <c r="D1483" s="270">
        <f>SUM(D1492:D1496)</f>
        <v>15.818671250000001</v>
      </c>
      <c r="E1483" s="271"/>
      <c r="F1483" s="224"/>
      <c r="G1483" s="270">
        <f>SUM(G1492:G1496)</f>
        <v>30.540207500000001</v>
      </c>
      <c r="H1483" s="271"/>
      <c r="I1483" s="224"/>
      <c r="J1483" s="270">
        <f>SUM(J1492:J1496)</f>
        <v>30.061505</v>
      </c>
      <c r="K1483" s="271"/>
      <c r="L1483" s="224"/>
      <c r="M1483" s="270">
        <f>SUM(M1492:M1496)</f>
        <v>11.49820875</v>
      </c>
      <c r="N1483" s="271"/>
      <c r="O1483" s="224"/>
      <c r="P1483" s="270">
        <f>SUM(P1492:P1496)</f>
        <v>87.918592500000003</v>
      </c>
      <c r="Q1483" s="271"/>
      <c r="R1483" s="364"/>
      <c r="S1483"/>
      <c r="T1483"/>
    </row>
    <row r="1484" spans="2:20" s="24" customFormat="1">
      <c r="B1484" s="124" t="s">
        <v>184</v>
      </c>
      <c r="C1484" s="497"/>
      <c r="D1484" s="270">
        <f>D1497</f>
        <v>42.298799999999993</v>
      </c>
      <c r="E1484" s="271"/>
      <c r="F1484" s="224"/>
      <c r="G1484" s="270">
        <f>G1497</f>
        <v>30.899400000000007</v>
      </c>
      <c r="H1484" s="271"/>
      <c r="I1484" s="224"/>
      <c r="J1484" s="270">
        <f>J1497</f>
        <v>32.536799999999999</v>
      </c>
      <c r="K1484" s="271"/>
      <c r="L1484" s="224"/>
      <c r="M1484" s="270">
        <f>M1497</f>
        <v>39.061199999999999</v>
      </c>
      <c r="N1484" s="271"/>
      <c r="O1484" s="224"/>
      <c r="P1484" s="270">
        <f>P1497</f>
        <v>144.7962</v>
      </c>
      <c r="Q1484" s="271"/>
      <c r="R1484" s="364"/>
      <c r="S1484"/>
      <c r="T1484"/>
    </row>
    <row r="1485" spans="2:20" s="24" customFormat="1">
      <c r="B1485" s="134" t="str">
        <f>'корпоративный баланс энергии'!H1494</f>
        <v>Гусиноозерская ГРЭС (филиал АО "Интер РАО - Электрогенерация")</v>
      </c>
      <c r="C1485" s="516" t="s">
        <v>364</v>
      </c>
      <c r="D1485" s="317">
        <f>SUM(D1486:D1487)</f>
        <v>1530.1000000000001</v>
      </c>
      <c r="E1485" s="323"/>
      <c r="F1485" s="324"/>
      <c r="G1485" s="317">
        <f>SUM(G1486:G1487)</f>
        <v>1310.6000000000001</v>
      </c>
      <c r="H1485" s="323"/>
      <c r="I1485" s="324"/>
      <c r="J1485" s="317">
        <f>SUM(J1486:J1487)</f>
        <v>1329.7</v>
      </c>
      <c r="K1485" s="323"/>
      <c r="L1485" s="324"/>
      <c r="M1485" s="317">
        <f>SUM(M1486:M1487)</f>
        <v>1493.5</v>
      </c>
      <c r="N1485" s="323"/>
      <c r="O1485" s="324"/>
      <c r="P1485" s="317">
        <f>SUM(P1486:P1487)</f>
        <v>5663.9000000000005</v>
      </c>
      <c r="Q1485" s="323"/>
      <c r="R1485" s="324"/>
      <c r="S1485"/>
      <c r="T1485"/>
    </row>
    <row r="1486" spans="2:20" s="24" customFormat="1">
      <c r="B1486" s="122" t="str">
        <f>'корпоративный баланс энергии'!H1495</f>
        <v>Гусиноозерская ГРЭС (филиал АО "Интер РАО - Электрогенерация")</v>
      </c>
      <c r="C1486" s="486"/>
      <c r="D1486" s="281">
        <f>'корпоративный баланс энергии'!J1495+'корпоративный баланс энергии'!M1495+'корпоративный баланс энергии'!P1495</f>
        <v>1427.4</v>
      </c>
      <c r="E1486" s="246"/>
      <c r="F1486" s="282"/>
      <c r="G1486" s="244">
        <f>'корпоративный баланс энергии'!S1495+'корпоративный баланс энергии'!V1495+'корпоративный баланс энергии'!Y1495</f>
        <v>1232.9000000000001</v>
      </c>
      <c r="H1486" s="246"/>
      <c r="I1486" s="282"/>
      <c r="J1486" s="244">
        <f>'корпоративный баланс энергии'!AB1495+'корпоративный баланс энергии'!AE1495+'корпоративный баланс энергии'!AH1495</f>
        <v>1252</v>
      </c>
      <c r="K1486" s="246"/>
      <c r="L1486" s="282"/>
      <c r="M1486" s="244">
        <f>'корпоративный баланс энергии'!AK1495+'корпоративный баланс энергии'!AN1495+'корпоративный баланс энергии'!AQ1495</f>
        <v>1415.8</v>
      </c>
      <c r="N1486" s="246"/>
      <c r="O1486" s="282"/>
      <c r="P1486" s="244">
        <f>D1486+G1486+J1486+M1486</f>
        <v>5328.1</v>
      </c>
      <c r="Q1486" s="246"/>
      <c r="R1486" s="282"/>
      <c r="S1486"/>
      <c r="T1486"/>
    </row>
    <row r="1487" spans="2:20" s="24" customFormat="1">
      <c r="B1487" s="122" t="str">
        <f>'корпоративный баланс энергии'!H1496</f>
        <v>Гусиноозерская ГРЭС (филиал АО "Интер РАО - Электрогенерация") Перемаркир  Бл.4 - 210 МВт 01.11.2013</v>
      </c>
      <c r="C1487" s="486"/>
      <c r="D1487" s="281">
        <f>'корпоративный баланс энергии'!J1496+'корпоративный баланс энергии'!M1496+'корпоративный баланс энергии'!P1496</f>
        <v>102.69999999999999</v>
      </c>
      <c r="E1487" s="246"/>
      <c r="F1487" s="282"/>
      <c r="G1487" s="244">
        <f>'корпоративный баланс энергии'!S1496+'корпоративный баланс энергии'!V1496+'корпоративный баланс энергии'!Y1496</f>
        <v>77.699999999999989</v>
      </c>
      <c r="H1487" s="246"/>
      <c r="I1487" s="282"/>
      <c r="J1487" s="244">
        <f>'корпоративный баланс энергии'!AB1496+'корпоративный баланс энергии'!AE1496+'корпоративный баланс энергии'!AH1496</f>
        <v>77.699999999999989</v>
      </c>
      <c r="K1487" s="246"/>
      <c r="L1487" s="282"/>
      <c r="M1487" s="244">
        <f>'корпоративный баланс энергии'!AK1496+'корпоративный баланс энергии'!AN1496+'корпоративный баланс энергии'!AQ1496</f>
        <v>77.699999999999989</v>
      </c>
      <c r="N1487" s="246"/>
      <c r="O1487" s="282"/>
      <c r="P1487" s="244">
        <f>D1487+G1487+J1487+M1487</f>
        <v>335.79999999999995</v>
      </c>
      <c r="Q1487" s="246"/>
      <c r="R1487" s="282"/>
      <c r="S1487"/>
      <c r="T1487"/>
    </row>
    <row r="1488" spans="2:20" s="24" customFormat="1">
      <c r="B1488" s="134" t="str">
        <f>'корпоративный баланс энергии'!H1497</f>
        <v>Улан-Удэнская ТЭЦ-1 (филиал ПАО "ТГК-14")</v>
      </c>
      <c r="C1488" s="516" t="s">
        <v>364</v>
      </c>
      <c r="D1488" s="317">
        <f>SUM(D1489:D1491)</f>
        <v>270.62400000000002</v>
      </c>
      <c r="E1488" s="246"/>
      <c r="F1488" s="282"/>
      <c r="G1488" s="317">
        <f>SUM(G1489:G1491)</f>
        <v>100.89600000000002</v>
      </c>
      <c r="H1488" s="246"/>
      <c r="I1488" s="282"/>
      <c r="J1488" s="317">
        <f>SUM(J1489:J1491)</f>
        <v>31.295999999999999</v>
      </c>
      <c r="K1488" s="246"/>
      <c r="L1488" s="282"/>
      <c r="M1488" s="317">
        <f>SUM(M1489:M1491)</f>
        <v>238.41760000000002</v>
      </c>
      <c r="N1488" s="246"/>
      <c r="O1488" s="282"/>
      <c r="P1488" s="317">
        <f>SUM(P1489:P1491)</f>
        <v>641.23360000000002</v>
      </c>
      <c r="Q1488" s="246"/>
      <c r="R1488" s="282"/>
      <c r="S1488"/>
      <c r="T1488"/>
    </row>
    <row r="1489" spans="2:20" s="24" customFormat="1">
      <c r="B1489" s="122" t="str">
        <f>'корпоративный баланс энергии'!H1498</f>
        <v>Улан-Удэнская ТЭЦ-1 (Бурятский филиал ПАО "ТГК-14")</v>
      </c>
      <c r="C1489" s="496"/>
      <c r="D1489" s="281">
        <f>'корпоративный баланс энергии'!J1498+'корпоративный баланс энергии'!M1498+'корпоративный баланс энергии'!P1498</f>
        <v>42.768000000000001</v>
      </c>
      <c r="E1489" s="246"/>
      <c r="F1489" s="282"/>
      <c r="G1489" s="244">
        <f>'корпоративный баланс энергии'!S1498+'корпоративный баланс энергии'!V1498+'корпоративный баланс энергии'!Y1498</f>
        <v>28.008000000000003</v>
      </c>
      <c r="H1489" s="246"/>
      <c r="I1489" s="282"/>
      <c r="J1489" s="244">
        <f>'корпоративный баланс энергии'!AB1498+'корпоративный баланс энергии'!AE1498+'корпоративный баланс энергии'!AH1498</f>
        <v>21.888000000000002</v>
      </c>
      <c r="K1489" s="246"/>
      <c r="L1489" s="282"/>
      <c r="M1489" s="244">
        <f>'корпоративный баланс энергии'!AK1498+'корпоративный баланс энергии'!AN1498+'корпоративный баланс энергии'!AQ1498</f>
        <v>38.793599999999998</v>
      </c>
      <c r="N1489" s="246"/>
      <c r="O1489" s="282"/>
      <c r="P1489" s="244">
        <f t="shared" ref="P1489:P1493" si="123">D1489+G1489+J1489+M1489</f>
        <v>131.45760000000001</v>
      </c>
      <c r="Q1489" s="246"/>
      <c r="R1489" s="282"/>
      <c r="S1489"/>
      <c r="T1489"/>
    </row>
    <row r="1490" spans="2:20" s="24" customFormat="1">
      <c r="B1490" s="122" t="str">
        <f>'корпоративный баланс энергии'!H1499</f>
        <v>Улан-Удэнская ТЭЦ-1 (Бурятский филиал ПАО "ТГК-14") Модернизация  ТГ-6 - 30 МВт ДПМ 01.04.2011</v>
      </c>
      <c r="C1490" s="487"/>
      <c r="D1490" s="281">
        <f>'корпоративный баланс энергии'!J1499+'корпоративный баланс энергии'!M1499+'корпоративный баланс энергии'!P1499</f>
        <v>48.599999999999994</v>
      </c>
      <c r="E1490" s="246"/>
      <c r="F1490" s="282"/>
      <c r="G1490" s="244">
        <f>'корпоративный баланс энергии'!S1499+'корпоративный баланс энергии'!V1499+'корпоративный баланс энергии'!Y1499</f>
        <v>9.048</v>
      </c>
      <c r="H1490" s="246"/>
      <c r="I1490" s="282"/>
      <c r="J1490" s="244">
        <f>'корпоративный баланс энергии'!AB1499+'корпоративный баланс энергии'!AE1499+'корпоративный баланс энергии'!AH1499</f>
        <v>9.4079999999999995</v>
      </c>
      <c r="K1490" s="246"/>
      <c r="L1490" s="282"/>
      <c r="M1490" s="244">
        <f>'корпоративный баланс энергии'!AK1499+'корпоративный баланс энергии'!AN1499+'корпоративный баланс энергии'!AQ1499</f>
        <v>35.144000000000005</v>
      </c>
      <c r="N1490" s="246"/>
      <c r="O1490" s="282"/>
      <c r="P1490" s="244">
        <f t="shared" si="123"/>
        <v>102.2</v>
      </c>
      <c r="Q1490" s="246"/>
      <c r="R1490" s="282"/>
      <c r="S1490"/>
      <c r="T1490"/>
    </row>
    <row r="1491" spans="2:20" s="24" customFormat="1">
      <c r="B1491" s="122" t="str">
        <f>'корпоративный баланс энергии'!H1500</f>
        <v>Улан-Удэнская ТЭЦ-1 (Бурятский филиал ПАО "ТГК-14") Перемаркировка  ТГ-7 - 98.37 МВт ДПМ 01.04.2011</v>
      </c>
      <c r="C1491" s="487"/>
      <c r="D1491" s="281">
        <f>'корпоративный баланс энергии'!J1500+'корпоративный баланс энергии'!M1500+'корпоративный баланс энергии'!P1500</f>
        <v>179.25600000000003</v>
      </c>
      <c r="E1491" s="246"/>
      <c r="F1491" s="282"/>
      <c r="G1491" s="244">
        <f>'корпоративный баланс энергии'!S1500+'корпоративный баланс энергии'!V1500+'корпоративный баланс энергии'!Y1500</f>
        <v>63.84</v>
      </c>
      <c r="H1491" s="246"/>
      <c r="I1491" s="282"/>
      <c r="J1491" s="244">
        <f>'корпоративный баланс энергии'!AB1500+'корпоративный баланс энергии'!AE1500+'корпоративный баланс энергии'!AH1500</f>
        <v>0</v>
      </c>
      <c r="K1491" s="246"/>
      <c r="L1491" s="282"/>
      <c r="M1491" s="244">
        <f>'корпоративный баланс энергии'!AK1500+'корпоративный баланс энергии'!AN1500+'корпоративный баланс энергии'!AQ1500</f>
        <v>164.48000000000002</v>
      </c>
      <c r="N1491" s="246"/>
      <c r="O1491" s="282"/>
      <c r="P1491" s="244">
        <f t="shared" si="123"/>
        <v>407.57600000000002</v>
      </c>
      <c r="Q1491" s="246"/>
      <c r="R1491" s="282"/>
      <c r="S1491"/>
      <c r="T1491"/>
    </row>
    <row r="1492" spans="2:20" s="110" customFormat="1">
      <c r="B1492" s="122" t="str">
        <f>'корпоративный баланс энергии'!H1501</f>
        <v>Бичурская СЭС (ООО "Авелар Солар Технолоджи")</v>
      </c>
      <c r="C1492" s="526" t="s">
        <v>365</v>
      </c>
      <c r="D1492" s="281">
        <f>'корпоративный баланс энергии'!J1501+'корпоративный баланс энергии'!M1501+'корпоративный баланс энергии'!P1501</f>
        <v>2.7874685000000001</v>
      </c>
      <c r="E1492" s="246"/>
      <c r="F1492" s="282"/>
      <c r="G1492" s="244">
        <f>'корпоративный баланс энергии'!S1501+'корпоративный баланс энергии'!V1501+'корпоративный баланс энергии'!Y1501</f>
        <v>3.972083</v>
      </c>
      <c r="H1492" s="246"/>
      <c r="I1492" s="282"/>
      <c r="J1492" s="244">
        <f>'корпоративный баланс энергии'!AB1501+'корпоративный баланс энергии'!AE1501+'корпоративный баланс энергии'!AH1501</f>
        <v>3.6246020000000003</v>
      </c>
      <c r="K1492" s="246"/>
      <c r="L1492" s="282"/>
      <c r="M1492" s="244">
        <f>'корпоративный баланс энергии'!AK1501+'корпоративный баланс энергии'!AN1501+'корпоративный баланс энергии'!AQ1501</f>
        <v>1.2392835</v>
      </c>
      <c r="N1492" s="246"/>
      <c r="O1492" s="282"/>
      <c r="P1492" s="244">
        <f t="shared" si="123"/>
        <v>11.623436999999999</v>
      </c>
      <c r="Q1492" s="246"/>
      <c r="R1492" s="282"/>
      <c r="S1492"/>
      <c r="T1492"/>
    </row>
    <row r="1493" spans="2:20" s="110" customFormat="1">
      <c r="B1493" s="122" t="str">
        <f>'корпоративный баланс энергии'!H1502</f>
        <v>Хоринская СЭС (ООО "Грин Энерджи Рус")</v>
      </c>
      <c r="C1493" s="526"/>
      <c r="D1493" s="281">
        <f>'корпоративный баланс энергии'!J1502+'корпоративный баланс энергии'!M1502+'корпоративный баланс энергии'!P1502</f>
        <v>4.1812027500000006</v>
      </c>
      <c r="E1493" s="246"/>
      <c r="F1493" s="282"/>
      <c r="G1493" s="244">
        <f>'корпоративный баланс энергии'!S1502+'корпоративный баланс энергии'!V1502+'корпоративный баланс энергии'!Y1502</f>
        <v>5.9581245000000003</v>
      </c>
      <c r="H1493" s="246"/>
      <c r="I1493" s="282"/>
      <c r="J1493" s="244">
        <f>'корпоративный баланс энергии'!AB1502+'корпоративный баланс энергии'!AE1502+'корпоративный баланс энергии'!AH1502</f>
        <v>5.4369030000000009</v>
      </c>
      <c r="K1493" s="246"/>
      <c r="L1493" s="282"/>
      <c r="M1493" s="244">
        <f>'корпоративный баланс энергии'!AK1502+'корпоративный баланс энергии'!AN1502+'корпоративный баланс энергии'!AQ1502</f>
        <v>1.85892525</v>
      </c>
      <c r="N1493" s="246"/>
      <c r="O1493" s="282"/>
      <c r="P1493" s="244">
        <f t="shared" si="123"/>
        <v>17.4351555</v>
      </c>
      <c r="Q1493" s="246"/>
      <c r="R1493" s="282"/>
      <c r="S1493"/>
      <c r="T1493"/>
    </row>
    <row r="1494" spans="2:20" s="110" customFormat="1">
      <c r="B1494" s="122" t="str">
        <f>'корпоративный баланс энергии'!H1503</f>
        <v>СЭС "Тарбагатай" (ООО "Тераватт")</v>
      </c>
      <c r="C1494" s="526"/>
      <c r="D1494" s="281">
        <f>'корпоративный баланс энергии'!J1503+'корпоративный баланс энергии'!M1503+'корпоративный баланс энергии'!P1503</f>
        <v>2.95</v>
      </c>
      <c r="E1494" s="246"/>
      <c r="F1494" s="282"/>
      <c r="G1494" s="244">
        <f>'корпоративный баланс энергии'!S1503+'корпоративный баланс энергии'!V1503+'корпоративный баланс энергии'!Y1503</f>
        <v>6.87</v>
      </c>
      <c r="H1494" s="246"/>
      <c r="I1494" s="282"/>
      <c r="J1494" s="244">
        <f>'корпоративный баланс энергии'!AB1503+'корпоративный баланс энергии'!AE1503+'корпоративный баланс энергии'!AH1503</f>
        <v>7</v>
      </c>
      <c r="K1494" s="246"/>
      <c r="L1494" s="282"/>
      <c r="M1494" s="244">
        <f>'корпоративный баланс энергии'!AK1503+'корпоративный баланс энергии'!AN1503+'корпоративный баланс энергии'!AQ1503</f>
        <v>2.8</v>
      </c>
      <c r="N1494" s="246"/>
      <c r="O1494" s="282"/>
      <c r="P1494" s="244">
        <f t="shared" ref="P1494:P1496" si="124">D1494+G1494+J1494+M1494</f>
        <v>19.62</v>
      </c>
      <c r="Q1494" s="246"/>
      <c r="R1494" s="282"/>
      <c r="S1494"/>
      <c r="T1494"/>
    </row>
    <row r="1495" spans="2:20" s="110" customFormat="1">
      <c r="B1495" s="122" t="str">
        <f>'корпоративный баланс энергии'!H1504</f>
        <v>СЭС "Кабанская" (ООО "Тераватт")</v>
      </c>
      <c r="C1495" s="526"/>
      <c r="D1495" s="281">
        <f>'корпоративный баланс энергии'!J1504+'корпоративный баланс энергии'!M1504+'корпоративный баланс энергии'!P1504</f>
        <v>2.95</v>
      </c>
      <c r="E1495" s="246"/>
      <c r="F1495" s="282"/>
      <c r="G1495" s="244">
        <f>'корпоративный баланс энергии'!S1504+'корпоративный баланс энергии'!V1504+'корпоративный баланс энергии'!Y1504</f>
        <v>6.87</v>
      </c>
      <c r="H1495" s="246"/>
      <c r="I1495" s="282"/>
      <c r="J1495" s="244">
        <f>'корпоративный баланс энергии'!AB1504+'корпоративный баланс энергии'!AE1504+'корпоративный баланс энергии'!AH1504</f>
        <v>7</v>
      </c>
      <c r="K1495" s="246"/>
      <c r="L1495" s="282"/>
      <c r="M1495" s="244">
        <f>'корпоративный баланс энергии'!AK1504+'корпоративный баланс энергии'!AN1504+'корпоративный баланс энергии'!AQ1504</f>
        <v>2.8</v>
      </c>
      <c r="N1495" s="246"/>
      <c r="O1495" s="282"/>
      <c r="P1495" s="244">
        <f t="shared" si="124"/>
        <v>19.62</v>
      </c>
      <c r="Q1495" s="246"/>
      <c r="R1495" s="282"/>
      <c r="S1495"/>
      <c r="T1495"/>
    </row>
    <row r="1496" spans="2:20" s="110" customFormat="1">
      <c r="B1496" s="122" t="str">
        <f>'корпоративный баланс энергии'!H1505</f>
        <v>СЭС "БВС" (ООО "Тераватт")</v>
      </c>
      <c r="C1496" s="526"/>
      <c r="D1496" s="281">
        <f>'корпоративный баланс энергии'!J1505+'корпоративный баланс энергии'!M1505+'корпоративный баланс энергии'!P1505</f>
        <v>2.95</v>
      </c>
      <c r="E1496" s="246"/>
      <c r="F1496" s="282"/>
      <c r="G1496" s="244">
        <f>'корпоративный баланс энергии'!S1505+'корпоративный баланс энергии'!V1505+'корпоративный баланс энергии'!Y1505</f>
        <v>6.87</v>
      </c>
      <c r="H1496" s="246"/>
      <c r="I1496" s="282"/>
      <c r="J1496" s="244">
        <f>'корпоративный баланс энергии'!AB1505+'корпоративный баланс энергии'!AE1505+'корпоративный баланс энергии'!AH1505</f>
        <v>7</v>
      </c>
      <c r="K1496" s="246"/>
      <c r="L1496" s="282"/>
      <c r="M1496" s="244">
        <f>'корпоративный баланс энергии'!AK1505+'корпоративный баланс энергии'!AN1505+'корпоративный баланс энергии'!AQ1505</f>
        <v>2.8</v>
      </c>
      <c r="N1496" s="246"/>
      <c r="O1496" s="282"/>
      <c r="P1496" s="244">
        <f t="shared" si="124"/>
        <v>19.62</v>
      </c>
      <c r="Q1496" s="246"/>
      <c r="R1496" s="282"/>
      <c r="S1496"/>
      <c r="T1496"/>
    </row>
    <row r="1497" spans="2:20" s="113" customFormat="1">
      <c r="B1497" s="138" t="s">
        <v>174</v>
      </c>
      <c r="C1497" s="488"/>
      <c r="D1497" s="287">
        <f>SUM(D1498:D1498)</f>
        <v>42.298799999999993</v>
      </c>
      <c r="E1497" s="288"/>
      <c r="F1497" s="289"/>
      <c r="G1497" s="287">
        <f>SUM(G1498:G1498)</f>
        <v>30.899400000000007</v>
      </c>
      <c r="H1497" s="288"/>
      <c r="I1497" s="289"/>
      <c r="J1497" s="287">
        <f>SUM(J1498:J1498)</f>
        <v>32.536799999999999</v>
      </c>
      <c r="K1497" s="288"/>
      <c r="L1497" s="289"/>
      <c r="M1497" s="287">
        <f>SUM(M1498:M1498)</f>
        <v>39.061199999999999</v>
      </c>
      <c r="N1497" s="288"/>
      <c r="O1497" s="289"/>
      <c r="P1497" s="287">
        <f>SUM(P1498:P1498)</f>
        <v>144.7962</v>
      </c>
      <c r="Q1497" s="288"/>
      <c r="R1497" s="289"/>
      <c r="S1497"/>
      <c r="T1497"/>
    </row>
    <row r="1498" spans="2:20" s="113" customFormat="1">
      <c r="B1498" s="145" t="str">
        <f>'корпоративный баланс энергии'!H1507</f>
        <v>ТЭЦ (ОАО "Селенгинский ЦКК")</v>
      </c>
      <c r="C1498" s="518" t="s">
        <v>365</v>
      </c>
      <c r="D1498" s="293">
        <f>'корпоративный баланс энергии'!J1507+'корпоративный баланс энергии'!M1507+'корпоративный баланс энергии'!P1507</f>
        <v>42.298799999999993</v>
      </c>
      <c r="E1498" s="288"/>
      <c r="F1498" s="289"/>
      <c r="G1498" s="294">
        <f>'корпоративный баланс энергии'!S1507+'корпоративный баланс энергии'!V1507+'корпоративный баланс энергии'!Y1507</f>
        <v>30.899400000000007</v>
      </c>
      <c r="H1498" s="288"/>
      <c r="I1498" s="289"/>
      <c r="J1498" s="294">
        <f>'корпоративный баланс энергии'!AB1507+'корпоративный баланс энергии'!AE1507+'корпоративный баланс энергии'!AH1507</f>
        <v>32.536799999999999</v>
      </c>
      <c r="K1498" s="288"/>
      <c r="L1498" s="289"/>
      <c r="M1498" s="294">
        <f>'корпоративный баланс энергии'!AK1507+'корпоративный баланс энергии'!AN1507+'корпоративный баланс энергии'!AQ1507</f>
        <v>39.061199999999999</v>
      </c>
      <c r="N1498" s="288"/>
      <c r="O1498" s="289"/>
      <c r="P1498" s="294">
        <f>D1498+G1498+J1498+M1498</f>
        <v>144.7962</v>
      </c>
      <c r="Q1498" s="288"/>
      <c r="R1498" s="289"/>
      <c r="S1498"/>
      <c r="T1498"/>
    </row>
    <row r="1499" spans="2:20" s="113" customFormat="1" ht="18.75">
      <c r="B1499" s="474" t="str">
        <f>'корпоративный баланс энергии'!H1508</f>
        <v>Энергосистема Забайкальского края</v>
      </c>
      <c r="C1499" s="501"/>
      <c r="D1499" s="274">
        <f>SUM(D1500:D1502)</f>
        <v>2412.9887366596849</v>
      </c>
      <c r="E1499" s="275">
        <f>F1499-D1499</f>
        <v>-106.94025087493083</v>
      </c>
      <c r="F1499" s="276">
        <f>'корпоративный баланс энергии'!L1508+'корпоративный баланс энергии'!O1508+'корпоративный баланс энергии'!R1508</f>
        <v>2306.0484857847541</v>
      </c>
      <c r="G1499" s="274">
        <f>SUM(G1500:G1502)</f>
        <v>1827.5226235138684</v>
      </c>
      <c r="H1499" s="275">
        <f>I1499-G1499</f>
        <v>42.478969341915672</v>
      </c>
      <c r="I1499" s="276">
        <f>'корпоративный баланс энергии'!U1508+'корпоративный баланс энергии'!X1508+'корпоративный баланс энергии'!AA1508</f>
        <v>1870.0015928557841</v>
      </c>
      <c r="J1499" s="274">
        <f>SUM(J1500:J1502)</f>
        <v>1737.9239402469284</v>
      </c>
      <c r="K1499" s="275">
        <f>L1499-J1499</f>
        <v>44.773352754063581</v>
      </c>
      <c r="L1499" s="276">
        <f>'корпоративный баланс энергии'!AD1508+'корпоративный баланс энергии'!AG1508+'корпоративный баланс энергии'!AJ1508</f>
        <v>1782.697293000992</v>
      </c>
      <c r="M1499" s="274">
        <f>SUM(M1500:M1502)</f>
        <v>2307.8451409483528</v>
      </c>
      <c r="N1499" s="275">
        <f>O1499-M1499</f>
        <v>-26.592512589883427</v>
      </c>
      <c r="O1499" s="276">
        <f>'корпоративный баланс энергии'!AM1508+'корпоративный баланс энергии'!AP1508+'корпоративный баланс энергии'!AS1508</f>
        <v>2281.2526283584693</v>
      </c>
      <c r="P1499" s="274">
        <f>SUM(P1500:P1502)</f>
        <v>8286.2804413688336</v>
      </c>
      <c r="Q1499" s="275">
        <f>R1499-P1499</f>
        <v>-46.280441368833635</v>
      </c>
      <c r="R1499" s="276">
        <f>F1499+I1499+L1499+O1499</f>
        <v>8240</v>
      </c>
      <c r="S1499"/>
      <c r="T1499"/>
    </row>
    <row r="1500" spans="2:20" s="24" customFormat="1">
      <c r="B1500" s="126" t="s">
        <v>56</v>
      </c>
      <c r="C1500" s="500"/>
      <c r="D1500" s="270">
        <f>SUM(D1503:D1504,D1507:D1509)</f>
        <v>1973.751361181334</v>
      </c>
      <c r="E1500" s="271"/>
      <c r="F1500" s="224"/>
      <c r="G1500" s="270">
        <f>SUM(G1503:G1504,G1507:G1509)</f>
        <v>1473.49493312</v>
      </c>
      <c r="H1500" s="271"/>
      <c r="I1500" s="224"/>
      <c r="J1500" s="270">
        <f>SUM(J1503:J1504,J1507:J1509)</f>
        <v>1398.6791519999999</v>
      </c>
      <c r="K1500" s="271"/>
      <c r="L1500" s="224"/>
      <c r="M1500" s="270">
        <f>SUM(M1503:M1504,M1507:M1509)</f>
        <v>1865.8268955240012</v>
      </c>
      <c r="N1500" s="271"/>
      <c r="O1500" s="224"/>
      <c r="P1500" s="270">
        <f>SUM(P1503:P1504,P1507:P1509)</f>
        <v>6711.752341825335</v>
      </c>
      <c r="Q1500" s="271"/>
      <c r="R1500" s="364"/>
      <c r="S1500"/>
      <c r="T1500"/>
    </row>
    <row r="1501" spans="2:20" s="24" customFormat="1">
      <c r="B1501" s="126" t="s">
        <v>347</v>
      </c>
      <c r="C1501" s="500"/>
      <c r="D1501" s="270">
        <f>SUM(D1512:D1514)</f>
        <v>5.9</v>
      </c>
      <c r="E1501" s="271"/>
      <c r="F1501" s="224"/>
      <c r="G1501" s="270">
        <f>SUM(G1512:G1514)</f>
        <v>13.74</v>
      </c>
      <c r="H1501" s="271"/>
      <c r="I1501" s="224"/>
      <c r="J1501" s="270">
        <f>SUM(J1512:J1514)</f>
        <v>14</v>
      </c>
      <c r="K1501" s="271"/>
      <c r="L1501" s="224"/>
      <c r="M1501" s="270">
        <f>SUM(M1512:M1514)</f>
        <v>6.358639225806451</v>
      </c>
      <c r="N1501" s="271"/>
      <c r="O1501" s="224"/>
      <c r="P1501" s="270">
        <f>SUM(P1512:P1514)</f>
        <v>39.998639225806457</v>
      </c>
      <c r="Q1501" s="271"/>
      <c r="R1501" s="364"/>
      <c r="S1501"/>
      <c r="T1501"/>
    </row>
    <row r="1502" spans="2:20" s="24" customFormat="1">
      <c r="B1502" s="124" t="s">
        <v>184</v>
      </c>
      <c r="C1502" s="497"/>
      <c r="D1502" s="270">
        <f>D1515</f>
        <v>433.33737547835096</v>
      </c>
      <c r="E1502" s="271"/>
      <c r="F1502" s="224"/>
      <c r="G1502" s="270">
        <f>G1515</f>
        <v>340.28769039386839</v>
      </c>
      <c r="H1502" s="271"/>
      <c r="I1502" s="224"/>
      <c r="J1502" s="270">
        <f>J1515</f>
        <v>325.24478824692852</v>
      </c>
      <c r="K1502" s="271"/>
      <c r="L1502" s="224"/>
      <c r="M1502" s="270">
        <f>M1515</f>
        <v>435.6596061985453</v>
      </c>
      <c r="N1502" s="271"/>
      <c r="O1502" s="224"/>
      <c r="P1502" s="270">
        <f>P1515</f>
        <v>1534.5294603176933</v>
      </c>
      <c r="Q1502" s="271"/>
      <c r="R1502" s="364"/>
      <c r="S1502"/>
      <c r="T1502"/>
    </row>
    <row r="1503" spans="2:20" s="24" customFormat="1">
      <c r="B1503" s="122" t="str">
        <f>'корпоративный баланс энергии'!H1512</f>
        <v>Читинская ТЭЦ-1 (Читинский филиал ПАО "ТГК-14")</v>
      </c>
      <c r="C1503" s="516" t="s">
        <v>364</v>
      </c>
      <c r="D1503" s="281">
        <f>'корпоративный баланс энергии'!J1512+'корпоративный баланс энергии'!M1512+'корпоративный баланс энергии'!P1512</f>
        <v>810.72236118133401</v>
      </c>
      <c r="E1503" s="246"/>
      <c r="F1503" s="282"/>
      <c r="G1503" s="244">
        <f>'корпоративный баланс энергии'!S1512+'корпоративный баланс энергии'!V1512+'корпоративный баланс энергии'!Y1512</f>
        <v>419.20093312</v>
      </c>
      <c r="H1503" s="246"/>
      <c r="I1503" s="282"/>
      <c r="J1503" s="244">
        <f>'корпоративный баланс энергии'!AB1512+'корпоративный баланс энергии'!AE1512+'корпоративный баланс энергии'!AH1512</f>
        <v>370.48015199999998</v>
      </c>
      <c r="K1503" s="246"/>
      <c r="L1503" s="282"/>
      <c r="M1503" s="244">
        <f>'корпоративный баланс энергии'!AK1512+'корпоративный баланс энергии'!AN1512+'корпоративный баланс энергии'!AQ1512</f>
        <v>739.676895524001</v>
      </c>
      <c r="N1503" s="246"/>
      <c r="O1503" s="282"/>
      <c r="P1503" s="244">
        <f t="shared" ref="P1503:P1508" si="125">D1503+G1503+J1503+M1503</f>
        <v>2340.0803418253349</v>
      </c>
      <c r="Q1503" s="246"/>
      <c r="R1503" s="282"/>
      <c r="S1503"/>
      <c r="T1503"/>
    </row>
    <row r="1504" spans="2:20" s="24" customFormat="1">
      <c r="B1504" s="134" t="str">
        <f>'корпоративный баланс энергии'!H1513</f>
        <v>Читинская ТЭЦ-2 (Читинский филиал ПАО "ТГК-14")</v>
      </c>
      <c r="C1504" s="516" t="s">
        <v>364</v>
      </c>
      <c r="D1504" s="281">
        <f>'корпоративный баланс энергии'!J1513+'корпоративный баланс энергии'!M1513+'корпоративный баланс энергии'!P1513</f>
        <v>25.752000000000002</v>
      </c>
      <c r="E1504" s="246"/>
      <c r="F1504" s="282"/>
      <c r="G1504" s="244">
        <f>'корпоративный баланс энергии'!S1513+'корпоративный баланс энергии'!V1513+'корпоративный баланс энергии'!Y1513</f>
        <v>13.663000000000002</v>
      </c>
      <c r="H1504" s="246"/>
      <c r="I1504" s="282"/>
      <c r="J1504" s="244">
        <f>'корпоративный баланс энергии'!AB1513+'корпоративный баланс энергии'!AE1513+'корпоративный баланс энергии'!AH1513</f>
        <v>4.048</v>
      </c>
      <c r="K1504" s="246"/>
      <c r="L1504" s="282"/>
      <c r="M1504" s="244">
        <f>'корпоративный баланс энергии'!AK1513+'корпоративный баланс энергии'!AN1513+'корпоративный баланс энергии'!AQ1513</f>
        <v>25.26</v>
      </c>
      <c r="N1504" s="246"/>
      <c r="O1504" s="282"/>
      <c r="P1504" s="244">
        <f t="shared" si="125"/>
        <v>68.723000000000013</v>
      </c>
      <c r="Q1504" s="246"/>
      <c r="R1504" s="282"/>
      <c r="S1504"/>
      <c r="T1504"/>
    </row>
    <row r="1505" spans="2:20" s="24" customFormat="1">
      <c r="B1505" s="122" t="str">
        <f>'корпоративный баланс энергии'!H1514</f>
        <v>Читинская ТЭЦ-2 (Читинский филиал ПАО "ТГК-14")</v>
      </c>
      <c r="C1505" s="486"/>
      <c r="D1505" s="281">
        <f>'корпоративный баланс энергии'!J1514+'корпоративный баланс энергии'!M1514+'корпоративный баланс энергии'!P1514</f>
        <v>12.648</v>
      </c>
      <c r="E1505" s="246"/>
      <c r="F1505" s="282"/>
      <c r="G1505" s="244">
        <f>'корпоративный баланс энергии'!S1514+'корпоративный баланс энергии'!V1514+'корпоративный баланс энергии'!Y1514</f>
        <v>4.1470000000000002</v>
      </c>
      <c r="H1505" s="246"/>
      <c r="I1505" s="282"/>
      <c r="J1505" s="244">
        <f>'корпоративный баланс энергии'!AB1514+'корпоративный баланс энергии'!AE1514+'корпоративный баланс энергии'!AH1514</f>
        <v>0</v>
      </c>
      <c r="K1505" s="246"/>
      <c r="L1505" s="282"/>
      <c r="M1505" s="244">
        <f>'корпоративный баланс энергии'!AK1514+'корпоративный баланс энергии'!AN1514+'корпоративный баланс энергии'!AQ1514</f>
        <v>12.012</v>
      </c>
      <c r="N1505" s="246"/>
      <c r="O1505" s="282"/>
      <c r="P1505" s="244">
        <f t="shared" si="125"/>
        <v>28.807000000000002</v>
      </c>
      <c r="Q1505" s="246"/>
      <c r="R1505" s="282"/>
      <c r="S1505"/>
      <c r="T1505"/>
    </row>
    <row r="1506" spans="2:20" s="24" customFormat="1">
      <c r="B1506" s="122" t="str">
        <f>'корпоративный баланс энергии'!H1515</f>
        <v>Читинская ТЭЦ-2 (Читинский филиал ПАО "ТГК-14") ТГ №2  6МВт ДПМ 01.11.2009</v>
      </c>
      <c r="C1506" s="486"/>
      <c r="D1506" s="281">
        <f>'корпоративный баланс энергии'!J1515+'корпоративный баланс энергии'!M1515+'корпоративный баланс энергии'!P1515</f>
        <v>13.104000000000001</v>
      </c>
      <c r="E1506" s="246"/>
      <c r="F1506" s="282"/>
      <c r="G1506" s="244">
        <f>'корпоративный баланс энергии'!S1515+'корпоративный баланс энергии'!V1515+'корпоративный баланс энергии'!Y1515</f>
        <v>9.516</v>
      </c>
      <c r="H1506" s="246"/>
      <c r="I1506" s="282"/>
      <c r="J1506" s="244">
        <f>'корпоративный баланс энергии'!AB1515+'корпоративный баланс энергии'!AE1515+'корпоративный баланс энергии'!AH1515</f>
        <v>4.048</v>
      </c>
      <c r="K1506" s="246"/>
      <c r="L1506" s="282"/>
      <c r="M1506" s="244">
        <f>'корпоративный баланс энергии'!AK1515+'корпоративный баланс энергии'!AN1515+'корпоративный баланс энергии'!AQ1515</f>
        <v>13.247999999999999</v>
      </c>
      <c r="N1506" s="246"/>
      <c r="O1506" s="282"/>
      <c r="P1506" s="244">
        <f t="shared" si="125"/>
        <v>39.915999999999997</v>
      </c>
      <c r="Q1506" s="246"/>
      <c r="R1506" s="282"/>
      <c r="S1506"/>
      <c r="T1506"/>
    </row>
    <row r="1507" spans="2:20" s="24" customFormat="1">
      <c r="B1507" s="122" t="str">
        <f>'корпоративный баланс энергии'!H1516</f>
        <v>Шерловогорская ТЭЦ (Читинский филиал ПАО "ТГК-14")</v>
      </c>
      <c r="C1507" s="516" t="s">
        <v>364</v>
      </c>
      <c r="D1507" s="281">
        <f>'корпоративный баланс энергии'!J1516+'корпоративный баланс энергии'!M1516+'корпоративный баланс энергии'!P1516</f>
        <v>18.277999999999999</v>
      </c>
      <c r="E1507" s="246"/>
      <c r="F1507" s="282"/>
      <c r="G1507" s="244">
        <f>'корпоративный баланс энергии'!S1516+'корпоративный баланс энергии'!V1516+'корпоративный баланс энергии'!Y1516</f>
        <v>6.0270000000000001</v>
      </c>
      <c r="H1507" s="246"/>
      <c r="I1507" s="282"/>
      <c r="J1507" s="244">
        <f>'корпоративный баланс энергии'!AB1516+'корпоративный баланс энергии'!AE1516+'корпоративный баланс энергии'!AH1516</f>
        <v>1.423</v>
      </c>
      <c r="K1507" s="246"/>
      <c r="L1507" s="282"/>
      <c r="M1507" s="244">
        <f>'корпоративный баланс энергии'!AK1516+'корпоративный баланс энергии'!AN1516+'корпоративный баланс энергии'!AQ1516</f>
        <v>16.925999999999998</v>
      </c>
      <c r="N1507" s="246"/>
      <c r="O1507" s="282"/>
      <c r="P1507" s="244">
        <f t="shared" si="125"/>
        <v>42.653999999999996</v>
      </c>
      <c r="Q1507" s="246"/>
      <c r="R1507" s="282"/>
      <c r="S1507"/>
      <c r="T1507"/>
    </row>
    <row r="1508" spans="2:20" s="24" customFormat="1">
      <c r="B1508" s="122" t="str">
        <f>'корпоративный баланс энергии'!H1517</f>
        <v>Приаргунская ТЭЦ (Читинский филиал ПАО "ТГК-14")</v>
      </c>
      <c r="C1508" s="516" t="s">
        <v>364</v>
      </c>
      <c r="D1508" s="281">
        <f>'корпоративный баланс энергии'!J1517+'корпоративный баланс энергии'!M1517+'корпоративный баланс энергии'!P1517</f>
        <v>19.498999999999999</v>
      </c>
      <c r="E1508" s="246"/>
      <c r="F1508" s="282"/>
      <c r="G1508" s="244">
        <f>'корпоративный баланс энергии'!S1517+'корпоративный баланс энергии'!V1517+'корпоративный баланс энергии'!Y1517</f>
        <v>7.7279999999999998</v>
      </c>
      <c r="H1508" s="246"/>
      <c r="I1508" s="282"/>
      <c r="J1508" s="244">
        <f>'корпоративный баланс энергии'!AB1517+'корпоративный баланс энергии'!AE1517+'корпоративный баланс энергии'!AH1517</f>
        <v>2.1120000000000001</v>
      </c>
      <c r="K1508" s="246"/>
      <c r="L1508" s="282"/>
      <c r="M1508" s="244">
        <f>'корпоративный баланс энергии'!AK1517+'корпоративный баланс энергии'!AN1517+'корпоративный баланс энергии'!AQ1517</f>
        <v>18.864000000000001</v>
      </c>
      <c r="N1508" s="246"/>
      <c r="O1508" s="282"/>
      <c r="P1508" s="244">
        <f t="shared" si="125"/>
        <v>48.203000000000003</v>
      </c>
      <c r="Q1508" s="246"/>
      <c r="R1508" s="282"/>
      <c r="S1508"/>
      <c r="T1508"/>
    </row>
    <row r="1509" spans="2:20" s="24" customFormat="1">
      <c r="B1509" s="134" t="str">
        <f>'корпоративный баланс энергии'!H1518</f>
        <v>Харанорская ГРЭС (филиал АО "Интер РАО - Электрогенерация")</v>
      </c>
      <c r="C1509" s="516" t="s">
        <v>364</v>
      </c>
      <c r="D1509" s="317">
        <f>SUM(D1510:D1511)</f>
        <v>1099.5</v>
      </c>
      <c r="E1509" s="246"/>
      <c r="F1509" s="282"/>
      <c r="G1509" s="317">
        <f>SUM(G1510:G1511)</f>
        <v>1026.876</v>
      </c>
      <c r="H1509" s="246"/>
      <c r="I1509" s="282"/>
      <c r="J1509" s="317">
        <f>SUM(J1510:J1511)</f>
        <v>1020.616</v>
      </c>
      <c r="K1509" s="246"/>
      <c r="L1509" s="282"/>
      <c r="M1509" s="317">
        <f>SUM(M1510:M1511)</f>
        <v>1065.1000000000001</v>
      </c>
      <c r="N1509" s="246"/>
      <c r="O1509" s="282"/>
      <c r="P1509" s="317">
        <f>SUM(P1510:P1511)</f>
        <v>4212.0919999999996</v>
      </c>
      <c r="Q1509" s="246"/>
      <c r="R1509" s="282"/>
      <c r="S1509"/>
      <c r="T1509"/>
    </row>
    <row r="1510" spans="2:20" s="24" customFormat="1">
      <c r="B1510" s="122" t="str">
        <f>'корпоративный баланс энергии'!H1519</f>
        <v>Харанорская ГРЭС (филиал АО "Интер РАО - Электрогенерация") Бл №1,2</v>
      </c>
      <c r="C1510" s="486"/>
      <c r="D1510" s="281">
        <f>'корпоративный баланс энергии'!J1519+'корпоративный баланс энергии'!M1519+'корпоративный баланс энергии'!P1519</f>
        <v>724.5</v>
      </c>
      <c r="E1510" s="246"/>
      <c r="F1510" s="282"/>
      <c r="G1510" s="244">
        <f>'корпоративный баланс энергии'!S1519+'корпоративный баланс энергии'!V1519+'корпоративный баланс энергии'!Y1519</f>
        <v>631.9</v>
      </c>
      <c r="H1510" s="246"/>
      <c r="I1510" s="282"/>
      <c r="J1510" s="244">
        <f>'корпоративный баланс энергии'!AB1519+'корпоративный баланс энергии'!AE1519+'корпоративный баланс энергии'!AH1519</f>
        <v>657.1</v>
      </c>
      <c r="K1510" s="246"/>
      <c r="L1510" s="282"/>
      <c r="M1510" s="244">
        <f>'корпоративный баланс энергии'!AK1519+'корпоративный баланс энергии'!AN1519+'корпоративный баланс энергии'!AQ1519</f>
        <v>766.2</v>
      </c>
      <c r="N1510" s="246"/>
      <c r="O1510" s="282"/>
      <c r="P1510" s="244">
        <f>D1510+G1510+J1510+M1510</f>
        <v>2779.7</v>
      </c>
      <c r="Q1510" s="246"/>
      <c r="R1510" s="282"/>
      <c r="S1510"/>
      <c r="T1510"/>
    </row>
    <row r="1511" spans="2:20" s="24" customFormat="1">
      <c r="B1511" s="122" t="str">
        <f>'корпоративный баланс энергии'!H1520</f>
        <v>Харанорская ГРЭС (филиал АО "Интер РАО - Электрогенерация") Бл №3 225 МВт НВ, ДПМ 12.10.2012</v>
      </c>
      <c r="C1511" s="486"/>
      <c r="D1511" s="281">
        <f>'корпоративный баланс энергии'!J1520+'корпоративный баланс энергии'!M1520+'корпоративный баланс энергии'!P1520</f>
        <v>375</v>
      </c>
      <c r="E1511" s="246"/>
      <c r="F1511" s="282"/>
      <c r="G1511" s="244">
        <f>'корпоративный баланс энергии'!S1520+'корпоративный баланс энергии'!V1520+'корпоративный баланс энергии'!Y1520</f>
        <v>394.976</v>
      </c>
      <c r="H1511" s="246"/>
      <c r="I1511" s="282"/>
      <c r="J1511" s="244">
        <f>'корпоративный баланс энергии'!AB1520+'корпоративный баланс энергии'!AE1520+'корпоративный баланс энергии'!AH1520</f>
        <v>363.51599999999996</v>
      </c>
      <c r="K1511" s="246"/>
      <c r="L1511" s="282"/>
      <c r="M1511" s="244">
        <f>'корпоративный баланс энергии'!AK1520+'корпоративный баланс энергии'!AN1520+'корпоративный баланс энергии'!AQ1520</f>
        <v>298.90000000000003</v>
      </c>
      <c r="N1511" s="246"/>
      <c r="O1511" s="282"/>
      <c r="P1511" s="244">
        <f>D1511+G1511+J1511+M1511</f>
        <v>1432.3920000000001</v>
      </c>
      <c r="Q1511" s="246"/>
      <c r="R1511" s="282"/>
      <c r="S1511"/>
      <c r="T1511"/>
    </row>
    <row r="1512" spans="2:20" s="24" customFormat="1">
      <c r="B1512" s="122" t="str">
        <f>'корпоративный баланс энергии'!H1521</f>
        <v>СЭС Балей (ООО "Солнечная Генерация")</v>
      </c>
      <c r="C1512" s="486"/>
      <c r="D1512" s="281">
        <f>'корпоративный баланс энергии'!J1521+'корпоративный баланс энергии'!M1521+'корпоративный баланс энергии'!P1521</f>
        <v>2.95</v>
      </c>
      <c r="E1512" s="246"/>
      <c r="F1512" s="282"/>
      <c r="G1512" s="244">
        <f>'корпоративный баланс энергии'!S1521+'корпоративный баланс энергии'!V1521+'корпоративный баланс энергии'!Y1521</f>
        <v>6.87</v>
      </c>
      <c r="H1512" s="246"/>
      <c r="I1512" s="282"/>
      <c r="J1512" s="244">
        <f>'корпоративный баланс энергии'!AB1521+'корпоративный баланс энергии'!AE1521+'корпоративный баланс энергии'!AH1521</f>
        <v>7</v>
      </c>
      <c r="K1512" s="246"/>
      <c r="L1512" s="282"/>
      <c r="M1512" s="244">
        <f>'корпоративный баланс энергии'!AK1521+'корпоративный баланс энергии'!AN1521+'корпоративный баланс энергии'!AQ1521</f>
        <v>2.8</v>
      </c>
      <c r="N1512" s="246"/>
      <c r="O1512" s="282"/>
      <c r="P1512" s="244">
        <f t="shared" ref="P1512:P1514" si="126">D1512+G1512+J1512+M1512</f>
        <v>19.62</v>
      </c>
      <c r="Q1512" s="246"/>
      <c r="R1512" s="282"/>
      <c r="S1512"/>
      <c r="T1512"/>
    </row>
    <row r="1513" spans="2:20" s="24" customFormat="1">
      <c r="B1513" s="122" t="str">
        <f>'корпоративный баланс энергии'!H1522</f>
        <v>СЭС Орловский ГОК (ООО "Солнечная Генерация")</v>
      </c>
      <c r="C1513" s="486"/>
      <c r="D1513" s="281">
        <f>'корпоративный баланс энергии'!J1522+'корпоративный баланс энергии'!M1522+'корпоративный баланс энергии'!P1522</f>
        <v>2.95</v>
      </c>
      <c r="E1513" s="246"/>
      <c r="F1513" s="282"/>
      <c r="G1513" s="244">
        <f>'корпоративный баланс энергии'!S1522+'корпоративный баланс энергии'!V1522+'корпоративный баланс энергии'!Y1522</f>
        <v>6.87</v>
      </c>
      <c r="H1513" s="246"/>
      <c r="I1513" s="282"/>
      <c r="J1513" s="244">
        <f>'корпоративный баланс энергии'!AB1522+'корпоративный баланс энергии'!AE1522+'корпоративный баланс энергии'!AH1522</f>
        <v>7</v>
      </c>
      <c r="K1513" s="246"/>
      <c r="L1513" s="282"/>
      <c r="M1513" s="244">
        <f>'корпоративный баланс энергии'!AK1522+'корпоративный баланс энергии'!AN1522+'корпоративный баланс энергии'!AQ1522</f>
        <v>2.8</v>
      </c>
      <c r="N1513" s="246"/>
      <c r="O1513" s="282"/>
      <c r="P1513" s="244">
        <f t="shared" si="126"/>
        <v>19.62</v>
      </c>
      <c r="Q1513" s="246"/>
      <c r="R1513" s="282"/>
      <c r="S1513"/>
      <c r="T1513"/>
    </row>
    <row r="1514" spans="2:20" s="24" customFormat="1">
      <c r="B1514" s="122" t="str">
        <f>'корпоративный баланс энергии'!H1523</f>
        <v>Читинская СЭС (ООО "Авелар Солар Технолоджи")</v>
      </c>
      <c r="C1514" s="486"/>
      <c r="D1514" s="281">
        <f>'корпоративный баланс энергии'!J1523+'корпоративный баланс энергии'!M1523+'корпоративный баланс энергии'!P1523</f>
        <v>0</v>
      </c>
      <c r="E1514" s="246"/>
      <c r="F1514" s="282"/>
      <c r="G1514" s="244">
        <f>'корпоративный баланс энергии'!S1523+'корпоративный баланс энергии'!V1523+'корпоративный баланс энергии'!Y1523</f>
        <v>0</v>
      </c>
      <c r="H1514" s="246"/>
      <c r="I1514" s="282"/>
      <c r="J1514" s="244">
        <f>'корпоративный баланс энергии'!AB1523+'корпоративный баланс энергии'!AE1523+'корпоративный баланс энергии'!AH1523</f>
        <v>0</v>
      </c>
      <c r="K1514" s="246"/>
      <c r="L1514" s="282"/>
      <c r="M1514" s="244">
        <f>'корпоративный баланс энергии'!AK1523+'корпоративный баланс энергии'!AN1523+'корпоративный баланс энергии'!AQ1523</f>
        <v>0.7586392258064516</v>
      </c>
      <c r="N1514" s="246"/>
      <c r="O1514" s="282"/>
      <c r="P1514" s="244">
        <f t="shared" si="126"/>
        <v>0.7586392258064516</v>
      </c>
      <c r="Q1514" s="246"/>
      <c r="R1514" s="282"/>
      <c r="S1514"/>
      <c r="T1514"/>
    </row>
    <row r="1515" spans="2:20" s="24" customFormat="1">
      <c r="B1515" s="138" t="s">
        <v>174</v>
      </c>
      <c r="C1515" s="488"/>
      <c r="D1515" s="287">
        <f>SUM(D1516:D1517)</f>
        <v>433.33737547835096</v>
      </c>
      <c r="E1515" s="288"/>
      <c r="F1515" s="289"/>
      <c r="G1515" s="287">
        <f>SUM(G1516:G1517)</f>
        <v>340.28769039386839</v>
      </c>
      <c r="H1515" s="288"/>
      <c r="I1515" s="289"/>
      <c r="J1515" s="287">
        <f>SUM(J1516:J1517)</f>
        <v>325.24478824692852</v>
      </c>
      <c r="K1515" s="288"/>
      <c r="L1515" s="289"/>
      <c r="M1515" s="287">
        <f>SUM(M1516:M1517)</f>
        <v>435.6596061985453</v>
      </c>
      <c r="N1515" s="288"/>
      <c r="O1515" s="289"/>
      <c r="P1515" s="287">
        <f>SUM(P1516:P1517)</f>
        <v>1534.5294603176933</v>
      </c>
      <c r="Q1515" s="288"/>
      <c r="R1515" s="289"/>
      <c r="S1515"/>
      <c r="T1515"/>
    </row>
    <row r="1516" spans="2:20" s="24" customFormat="1">
      <c r="B1516" s="136" t="str">
        <f>'корпоративный баланс энергии'!H1525</f>
        <v>ТЭЦ (ОАО "Приаргунское производственное горно-химическое объединение")</v>
      </c>
      <c r="C1516" s="518" t="s">
        <v>364</v>
      </c>
      <c r="D1516" s="293">
        <f>'корпоративный баланс энергии'!J1525+'корпоративный баланс энергии'!M1525+'корпоративный баланс энергии'!P1525</f>
        <v>426.38884947835095</v>
      </c>
      <c r="E1516" s="288"/>
      <c r="F1516" s="289"/>
      <c r="G1516" s="294">
        <f>'корпоративный баланс энергии'!S1525+'корпоративный баланс энергии'!V1525+'корпоративный баланс энергии'!Y1525</f>
        <v>339.31827439386836</v>
      </c>
      <c r="H1516" s="288"/>
      <c r="I1516" s="289"/>
      <c r="J1516" s="294">
        <f>'корпоративный баланс энергии'!AB1525+'корпоративный баланс энергии'!AE1525+'корпоративный баланс энергии'!AH1525</f>
        <v>325.24478824692852</v>
      </c>
      <c r="K1516" s="288"/>
      <c r="L1516" s="289"/>
      <c r="M1516" s="294">
        <f>'корпоративный баланс энергии'!AK1525+'корпоративный баланс энергии'!AN1525+'корпоративный баланс энергии'!AQ1525</f>
        <v>432.05342219854532</v>
      </c>
      <c r="N1516" s="288"/>
      <c r="O1516" s="289"/>
      <c r="P1516" s="294">
        <f>D1516+G1516+J1516+M1516</f>
        <v>1523.0053343176933</v>
      </c>
      <c r="Q1516" s="288"/>
      <c r="R1516" s="289"/>
      <c r="S1516"/>
      <c r="T1516"/>
    </row>
    <row r="1517" spans="2:20" s="24" customFormat="1">
      <c r="B1517" s="136" t="str">
        <f>'корпоративный баланс энергии'!H1526</f>
        <v>Первомайская ТЭЦ (ООО "Первомайская ТЭЦ")</v>
      </c>
      <c r="C1517" s="518" t="s">
        <v>365</v>
      </c>
      <c r="D1517" s="293">
        <f>'корпоративный баланс энергии'!J1526+'корпоративный баланс энергии'!M1526+'корпоративный баланс энергии'!P1526</f>
        <v>6.9485259999999993</v>
      </c>
      <c r="E1517" s="288"/>
      <c r="F1517" s="289"/>
      <c r="G1517" s="294">
        <f>'корпоративный баланс энергии'!S1526+'корпоративный баланс энергии'!V1526+'корпоративный баланс энергии'!Y1526</f>
        <v>0.96941600000000006</v>
      </c>
      <c r="H1517" s="288"/>
      <c r="I1517" s="289"/>
      <c r="J1517" s="294">
        <f>'корпоративный баланс энергии'!AB1526+'корпоративный баланс энергии'!AE1526+'корпоративный баланс энергии'!AH1526</f>
        <v>0</v>
      </c>
      <c r="K1517" s="288"/>
      <c r="L1517" s="289"/>
      <c r="M1517" s="294">
        <f>'корпоративный баланс энергии'!AK1526+'корпоративный баланс энергии'!AN1526+'корпоративный баланс энергии'!AQ1526</f>
        <v>3.6061839999999998</v>
      </c>
      <c r="N1517" s="288"/>
      <c r="O1517" s="289"/>
      <c r="P1517" s="294">
        <f>D1517+G1517+J1517+M1517</f>
        <v>11.524125999999999</v>
      </c>
      <c r="Q1517" s="288"/>
      <c r="R1517" s="289"/>
      <c r="S1517"/>
      <c r="T1517"/>
    </row>
    <row r="1518" spans="2:20" s="24" customFormat="1" ht="18.75">
      <c r="B1518" s="474" t="str">
        <f>'корпоративный баланс энергии'!H1527</f>
        <v>Энергосистема Иркутской области</v>
      </c>
      <c r="C1518" s="501"/>
      <c r="D1518" s="274">
        <f>SUM(D1519:D1521)</f>
        <v>13469.712988439773</v>
      </c>
      <c r="E1518" s="275">
        <f>F1518-D1518</f>
        <v>2058.2870115602273</v>
      </c>
      <c r="F1518" s="276">
        <f>'корпоративный баланс энергии'!L1527+'корпоративный баланс энергии'!O1527+'корпоративный баланс энергии'!R1527</f>
        <v>15528</v>
      </c>
      <c r="G1518" s="277">
        <f>SUM(G1519:G1521)</f>
        <v>12474.45074349155</v>
      </c>
      <c r="H1518" s="275">
        <f>I1518-G1518</f>
        <v>165.94925650844925</v>
      </c>
      <c r="I1518" s="276">
        <f>'корпоративный баланс энергии'!U1527+'корпоративный баланс энергии'!X1527+'корпоративный баланс энергии'!AA1527</f>
        <v>12640.4</v>
      </c>
      <c r="J1518" s="277">
        <f>SUM(J1519:J1521)</f>
        <v>13184.230492366545</v>
      </c>
      <c r="K1518" s="275">
        <f>L1518-J1518</f>
        <v>-988.43049236654406</v>
      </c>
      <c r="L1518" s="276">
        <f>'корпоративный баланс энергии'!AD1527+'корпоративный баланс энергии'!AG1527+'корпоративный баланс энергии'!AJ1527</f>
        <v>12195.800000000001</v>
      </c>
      <c r="M1518" s="277">
        <f>SUM(M1519:M1521)</f>
        <v>14655.859900375171</v>
      </c>
      <c r="N1518" s="275">
        <f>O1518-M1518</f>
        <v>780.26009962482931</v>
      </c>
      <c r="O1518" s="276">
        <f>'корпоративный баланс энергии'!AM1527+'корпоративный баланс энергии'!AP1527+'корпоративный баланс энергии'!AS1527</f>
        <v>15436.12</v>
      </c>
      <c r="P1518" s="277">
        <f>SUM(P1519:P1521)</f>
        <v>53784.254124673047</v>
      </c>
      <c r="Q1518" s="275">
        <f>R1518-P1518</f>
        <v>2016.0658753269599</v>
      </c>
      <c r="R1518" s="276">
        <f>F1518+I1518+L1518+O1518</f>
        <v>55800.320000000007</v>
      </c>
      <c r="S1518"/>
      <c r="T1518"/>
    </row>
    <row r="1519" spans="2:20" s="24" customFormat="1">
      <c r="B1519" s="126" t="s">
        <v>56</v>
      </c>
      <c r="C1519" s="500"/>
      <c r="D1519" s="270">
        <f>SUM(D1522:D1534)</f>
        <v>4053.5539999999992</v>
      </c>
      <c r="E1519" s="271"/>
      <c r="F1519" s="224"/>
      <c r="G1519" s="270">
        <f>SUM(G1522:G1534)</f>
        <v>2342.6119999999992</v>
      </c>
      <c r="H1519" s="271"/>
      <c r="I1519" s="224"/>
      <c r="J1519" s="270">
        <f>SUM(J1522:J1534)</f>
        <v>1536.9109999999998</v>
      </c>
      <c r="K1519" s="271"/>
      <c r="L1519" s="224"/>
      <c r="M1519" s="270">
        <f>SUM(M1522:M1534)</f>
        <v>4044.74</v>
      </c>
      <c r="N1519" s="271"/>
      <c r="O1519" s="224"/>
      <c r="P1519" s="270">
        <f>SUM(P1522:P1534)</f>
        <v>11977.816999999999</v>
      </c>
      <c r="Q1519" s="271"/>
      <c r="R1519" s="364"/>
      <c r="S1519"/>
      <c r="T1519"/>
    </row>
    <row r="1520" spans="2:20" s="109" customFormat="1">
      <c r="B1520" s="126" t="s">
        <v>55</v>
      </c>
      <c r="C1520" s="500"/>
      <c r="D1520" s="270">
        <f>SUM(D1535:D1538)</f>
        <v>9192.7376986091513</v>
      </c>
      <c r="E1520" s="271"/>
      <c r="F1520" s="224"/>
      <c r="G1520" s="223">
        <f>SUM(G1535:G1538)</f>
        <v>9922.1427804915511</v>
      </c>
      <c r="H1520" s="271"/>
      <c r="I1520" s="224"/>
      <c r="J1520" s="223">
        <f>SUM(J1535:J1538)</f>
        <v>11435.728092366546</v>
      </c>
      <c r="K1520" s="271"/>
      <c r="L1520" s="224"/>
      <c r="M1520" s="223">
        <f>SUM(M1535:M1538)</f>
        <v>10370.381884375172</v>
      </c>
      <c r="N1520" s="271"/>
      <c r="O1520" s="224"/>
      <c r="P1520" s="223">
        <f>SUM(P1535:P1538)</f>
        <v>40920.990455842424</v>
      </c>
      <c r="Q1520" s="271"/>
      <c r="R1520" s="364"/>
      <c r="S1520"/>
      <c r="T1520"/>
    </row>
    <row r="1521" spans="2:20" s="24" customFormat="1">
      <c r="B1521" s="124" t="s">
        <v>184</v>
      </c>
      <c r="C1521" s="497"/>
      <c r="D1521" s="270">
        <f>D1539</f>
        <v>223.42128983062139</v>
      </c>
      <c r="E1521" s="271"/>
      <c r="F1521" s="224"/>
      <c r="G1521" s="223">
        <f>G1539</f>
        <v>209.69596300000001</v>
      </c>
      <c r="H1521" s="271"/>
      <c r="I1521" s="224"/>
      <c r="J1521" s="223">
        <f>J1539</f>
        <v>211.59139999999999</v>
      </c>
      <c r="K1521" s="271"/>
      <c r="L1521" s="224"/>
      <c r="M1521" s="223">
        <f>M1539</f>
        <v>240.73801599999999</v>
      </c>
      <c r="N1521" s="271"/>
      <c r="O1521" s="224"/>
      <c r="P1521" s="223">
        <f>P1539</f>
        <v>885.44666883062143</v>
      </c>
      <c r="Q1521" s="271"/>
      <c r="R1521" s="364"/>
      <c r="S1521"/>
      <c r="T1521"/>
    </row>
    <row r="1522" spans="2:20" s="24" customFormat="1">
      <c r="B1522" s="122" t="str">
        <f>'корпоративный баланс энергии'!H1531</f>
        <v>Уч. №1 Иркутской ТЭЦ-9 (ТЭЦ-1) (ПАО "Иркутскэнерго")</v>
      </c>
      <c r="C1522" s="516" t="s">
        <v>364</v>
      </c>
      <c r="D1522" s="281">
        <f>'корпоративный баланс энергии'!J1531+'корпоративный баланс энергии'!M1531+'корпоративный баланс энергии'!P1531</f>
        <v>0</v>
      </c>
      <c r="E1522" s="246"/>
      <c r="F1522" s="282"/>
      <c r="G1522" s="244">
        <f>'корпоративный баланс энергии'!S1531+'корпоративный баланс энергии'!V1531+'корпоративный баланс энергии'!Y1531</f>
        <v>0</v>
      </c>
      <c r="H1522" s="246"/>
      <c r="I1522" s="282"/>
      <c r="J1522" s="244">
        <f>'корпоративный баланс энергии'!AB1531+'корпоративный баланс энергии'!AE1531+'корпоративный баланс энергии'!AH1531</f>
        <v>0</v>
      </c>
      <c r="K1522" s="246"/>
      <c r="L1522" s="282"/>
      <c r="M1522" s="244">
        <f>'корпоративный баланс энергии'!AK1531+'корпоративный баланс энергии'!AN1531+'корпоративный баланс энергии'!AQ1531</f>
        <v>0</v>
      </c>
      <c r="N1522" s="246"/>
      <c r="O1522" s="282"/>
      <c r="P1522" s="244">
        <f t="shared" ref="P1522:P1538" si="127">D1522+G1522+J1522+M1522</f>
        <v>0</v>
      </c>
      <c r="Q1522" s="246"/>
      <c r="R1522" s="282"/>
      <c r="S1522"/>
      <c r="T1522"/>
    </row>
    <row r="1523" spans="2:20" s="24" customFormat="1">
      <c r="B1523" s="122" t="str">
        <f>'корпоративный баланс энергии'!H1532</f>
        <v>Иркутская ТЭЦ-6 (ПАО "Иркутскэнерго")</v>
      </c>
      <c r="C1523" s="516" t="s">
        <v>364</v>
      </c>
      <c r="D1523" s="281">
        <f>'корпоративный баланс энергии'!J1532+'корпоративный баланс энергии'!M1532+'корпоративный баланс энергии'!P1532</f>
        <v>292.99700000000001</v>
      </c>
      <c r="E1523" s="246"/>
      <c r="F1523" s="282"/>
      <c r="G1523" s="244">
        <f>'корпоративный баланс энергии'!S1532+'корпоративный баланс энергии'!V1532+'корпоративный баланс энергии'!Y1532</f>
        <v>163.643</v>
      </c>
      <c r="H1523" s="246"/>
      <c r="I1523" s="282"/>
      <c r="J1523" s="244">
        <f>'корпоративный баланс энергии'!AB1532+'корпоративный баланс энергии'!AE1532+'корпоративный баланс энергии'!AH1532</f>
        <v>119.72899999999998</v>
      </c>
      <c r="K1523" s="246"/>
      <c r="L1523" s="282"/>
      <c r="M1523" s="244">
        <f>'корпоративный баланс энергии'!AK1532+'корпоративный баланс энергии'!AN1532+'корпоративный баланс энергии'!AQ1532</f>
        <v>267.25900000000001</v>
      </c>
      <c r="N1523" s="246"/>
      <c r="O1523" s="282"/>
      <c r="P1523" s="244">
        <f t="shared" si="127"/>
        <v>843.62799999999993</v>
      </c>
      <c r="Q1523" s="246"/>
      <c r="R1523" s="282"/>
      <c r="S1523"/>
      <c r="T1523"/>
    </row>
    <row r="1524" spans="2:20" s="110" customFormat="1">
      <c r="B1524" s="122" t="str">
        <f>'корпоративный баланс энергии'!H1533</f>
        <v>Иркутская ТЭЦ-9 (ПАО "Иркутскэнерго")</v>
      </c>
      <c r="C1524" s="516" t="s">
        <v>364</v>
      </c>
      <c r="D1524" s="281">
        <f>'корпоративный баланс энергии'!J1533+'корпоративный баланс энергии'!M1533+'корпоративный баланс энергии'!P1533</f>
        <v>750.77800000000002</v>
      </c>
      <c r="E1524" s="246"/>
      <c r="F1524" s="282"/>
      <c r="G1524" s="244">
        <f>'корпоративный баланс энергии'!S1533+'корпоративный баланс энергии'!V1533+'корпоративный баланс энергии'!Y1533</f>
        <v>401.49099999999999</v>
      </c>
      <c r="H1524" s="246"/>
      <c r="I1524" s="282"/>
      <c r="J1524" s="244">
        <f>'корпоративный баланс энергии'!AB1533+'корпоративный баланс энергии'!AE1533+'корпоративный баланс энергии'!AH1533</f>
        <v>238.167</v>
      </c>
      <c r="K1524" s="246"/>
      <c r="L1524" s="282"/>
      <c r="M1524" s="244">
        <f>'корпоративный баланс энергии'!AK1533+'корпоративный баланс энергии'!AN1533+'корпоративный баланс энергии'!AQ1533</f>
        <v>684.72799999999995</v>
      </c>
      <c r="N1524" s="246"/>
      <c r="O1524" s="282"/>
      <c r="P1524" s="244">
        <f t="shared" si="127"/>
        <v>2075.1639999999998</v>
      </c>
      <c r="Q1524" s="246"/>
      <c r="R1524" s="282"/>
      <c r="S1524"/>
      <c r="T1524"/>
    </row>
    <row r="1525" spans="2:20" s="113" customFormat="1">
      <c r="B1525" s="122" t="str">
        <f>'корпоративный баланс энергии'!H1534</f>
        <v>Иркутская ТЭЦ-10 (ПАО "Иркутскэнерго")</v>
      </c>
      <c r="C1525" s="516" t="s">
        <v>364</v>
      </c>
      <c r="D1525" s="281">
        <f>'корпоративный баланс энергии'!J1534+'корпоративный баланс энергии'!M1534+'корпоративный баланс энергии'!P1534</f>
        <v>836.6</v>
      </c>
      <c r="E1525" s="246"/>
      <c r="F1525" s="282"/>
      <c r="G1525" s="244">
        <f>'корпоративный баланс энергии'!S1534+'корпоративный баланс энергии'!V1534+'корпоративный баланс энергии'!Y1534</f>
        <v>829.31299999999987</v>
      </c>
      <c r="H1525" s="246"/>
      <c r="I1525" s="282"/>
      <c r="J1525" s="244">
        <f>'корпоративный баланс энергии'!AB1534+'корпоративный баланс энергии'!AE1534+'корпоративный баланс энергии'!AH1534</f>
        <v>651.34400000000005</v>
      </c>
      <c r="K1525" s="246"/>
      <c r="L1525" s="282"/>
      <c r="M1525" s="244">
        <f>'корпоративный баланс энергии'!AK1534+'корпоративный баланс энергии'!AN1534+'корпоративный баланс энергии'!AQ1534</f>
        <v>986.7700000000001</v>
      </c>
      <c r="N1525" s="246"/>
      <c r="O1525" s="282"/>
      <c r="P1525" s="244">
        <f t="shared" si="127"/>
        <v>3304.027</v>
      </c>
      <c r="Q1525" s="246"/>
      <c r="R1525" s="282"/>
      <c r="S1525"/>
      <c r="T1525"/>
    </row>
    <row r="1526" spans="2:20" s="113" customFormat="1">
      <c r="B1526" s="122" t="str">
        <f>'корпоративный баланс энергии'!H1535</f>
        <v>Иркутская ТЭЦ-11 (ПАО "Иркутскэнерго")</v>
      </c>
      <c r="C1526" s="516" t="s">
        <v>364</v>
      </c>
      <c r="D1526" s="281">
        <f>'корпоративный баланс энергии'!J1535+'корпоративный баланс энергии'!M1535+'корпоративный баланс энергии'!P1535</f>
        <v>270.92099999999999</v>
      </c>
      <c r="E1526" s="246"/>
      <c r="F1526" s="282"/>
      <c r="G1526" s="244">
        <f>'корпоративный баланс энергии'!S1535+'корпоративный баланс энергии'!V1535+'корпоративный баланс энергии'!Y1535</f>
        <v>149.94499999999999</v>
      </c>
      <c r="H1526" s="246"/>
      <c r="I1526" s="282"/>
      <c r="J1526" s="244">
        <f>'корпоративный баланс энергии'!AB1535+'корпоративный баланс энергии'!AE1535+'корпоративный баланс энергии'!AH1535</f>
        <v>59.981000000000002</v>
      </c>
      <c r="K1526" s="246"/>
      <c r="L1526" s="282"/>
      <c r="M1526" s="244">
        <f>'корпоративный баланс энергии'!AK1535+'корпоративный баланс энергии'!AN1535+'корпоративный баланс энергии'!AQ1535</f>
        <v>278.50299999999999</v>
      </c>
      <c r="N1526" s="246"/>
      <c r="O1526" s="282"/>
      <c r="P1526" s="244">
        <f t="shared" si="127"/>
        <v>759.34999999999991</v>
      </c>
      <c r="Q1526" s="246"/>
      <c r="R1526" s="282"/>
      <c r="S1526"/>
      <c r="T1526"/>
    </row>
    <row r="1527" spans="2:20" s="113" customFormat="1">
      <c r="B1527" s="122" t="str">
        <f>'корпоративный баланс энергии'!H1536</f>
        <v>Ново-Иркутская ТЭЦ (ПАО "Иркутскэнерго")</v>
      </c>
      <c r="C1527" s="516" t="s">
        <v>364</v>
      </c>
      <c r="D1527" s="281">
        <f>'корпоративный баланс энергии'!J1536+'корпоративный баланс энергии'!M1536+'корпоративный баланс энергии'!P1536</f>
        <v>1120.7739999999999</v>
      </c>
      <c r="E1527" s="246"/>
      <c r="F1527" s="282"/>
      <c r="G1527" s="244">
        <f>'корпоративный баланс энергии'!S1536+'корпоративный баланс энергии'!V1536+'корпоративный баланс энергии'!Y1536</f>
        <v>399.57599999999996</v>
      </c>
      <c r="H1527" s="246"/>
      <c r="I1527" s="282"/>
      <c r="J1527" s="244">
        <f>'корпоративный баланс энергии'!AB1536+'корпоративный баланс энергии'!AE1536+'корпоративный баланс энергии'!AH1536</f>
        <v>212.47899999999998</v>
      </c>
      <c r="K1527" s="246"/>
      <c r="L1527" s="282"/>
      <c r="M1527" s="244">
        <f>'корпоративный баланс энергии'!AK1536+'корпоративный баланс энергии'!AN1536+'корпоративный баланс энергии'!AQ1536</f>
        <v>1030.308</v>
      </c>
      <c r="N1527" s="246"/>
      <c r="O1527" s="282"/>
      <c r="P1527" s="244">
        <f t="shared" si="127"/>
        <v>2763.1369999999997</v>
      </c>
      <c r="Q1527" s="246"/>
      <c r="R1527" s="282"/>
      <c r="S1527"/>
      <c r="T1527"/>
    </row>
    <row r="1528" spans="2:20" s="146" customFormat="1">
      <c r="B1528" s="122" t="str">
        <f>'корпоративный баланс энергии'!H1537</f>
        <v>Усть-Илимская ТЭЦ (ПАО "Иркутскэнерго")</v>
      </c>
      <c r="C1528" s="516" t="s">
        <v>364</v>
      </c>
      <c r="D1528" s="281">
        <f>'корпоративный баланс энергии'!J1537+'корпоративный баланс энергии'!M1537+'корпоративный баланс энергии'!P1537</f>
        <v>350.625</v>
      </c>
      <c r="E1528" s="246"/>
      <c r="F1528" s="282"/>
      <c r="G1528" s="244">
        <f>'корпоративный баланс энергии'!S1537+'корпоративный баланс энергии'!V1537+'корпоративный баланс энергии'!Y1537</f>
        <v>166.52699999999999</v>
      </c>
      <c r="H1528" s="246"/>
      <c r="I1528" s="282"/>
      <c r="J1528" s="244">
        <f>'корпоративный баланс энергии'!AB1537+'корпоративный баланс энергии'!AE1537+'корпоративный баланс энергии'!AH1537</f>
        <v>136.14699999999999</v>
      </c>
      <c r="K1528" s="246"/>
      <c r="L1528" s="282"/>
      <c r="M1528" s="244">
        <f>'корпоративный баланс энергии'!AK1537+'корпоративный баланс энергии'!AN1537+'корпоративный баланс энергии'!AQ1537</f>
        <v>351.036</v>
      </c>
      <c r="N1528" s="246"/>
      <c r="O1528" s="282"/>
      <c r="P1528" s="244">
        <f t="shared" si="127"/>
        <v>1004.335</v>
      </c>
      <c r="Q1528" s="246"/>
      <c r="R1528" s="282"/>
      <c r="S1528"/>
      <c r="T1528"/>
    </row>
    <row r="1529" spans="2:20" s="24" customFormat="1">
      <c r="B1529" s="122" t="str">
        <f>'корпоративный баланс энергии'!H1538</f>
        <v>Ново-Зиминская ТЭЦ (ПАО "Иркутскэнерго")</v>
      </c>
      <c r="C1529" s="516" t="s">
        <v>364</v>
      </c>
      <c r="D1529" s="281">
        <f>'корпоративный баланс энергии'!J1538+'корпоративный баланс энергии'!M1538+'корпоративный баланс энергии'!P1538</f>
        <v>284.37</v>
      </c>
      <c r="E1529" s="246"/>
      <c r="F1529" s="282"/>
      <c r="G1529" s="244">
        <f>'корпоративный баланс энергии'!S1538+'корпоративный баланс энергии'!V1538+'корпоративный баланс энергии'!Y1538</f>
        <v>173.35</v>
      </c>
      <c r="H1529" s="246"/>
      <c r="I1529" s="282"/>
      <c r="J1529" s="244">
        <f>'корпоративный баланс энергии'!AB1538+'корпоративный баланс энергии'!AE1538+'корпоративный баланс энергии'!AH1538</f>
        <v>92.733000000000004</v>
      </c>
      <c r="K1529" s="246"/>
      <c r="L1529" s="282"/>
      <c r="M1529" s="244">
        <f>'корпоративный баланс энергии'!AK1538+'корпоративный баланс энергии'!AN1538+'корпоративный баланс энергии'!AQ1538</f>
        <v>316.74799999999999</v>
      </c>
      <c r="N1529" s="246"/>
      <c r="O1529" s="282"/>
      <c r="P1529" s="244">
        <f t="shared" si="127"/>
        <v>867.20100000000002</v>
      </c>
      <c r="Q1529" s="246"/>
      <c r="R1529" s="282"/>
      <c r="S1529"/>
      <c r="T1529"/>
    </row>
    <row r="1530" spans="2:20" s="24" customFormat="1">
      <c r="B1530" s="122" t="str">
        <f>'корпоративный баланс энергии'!H1539</f>
        <v>Шелеховский участок Ново-Иркутской ТЭЦ (ТЭЦ-5 ПАО "Иркутскэнерго")</v>
      </c>
      <c r="C1530" s="526" t="s">
        <v>365</v>
      </c>
      <c r="D1530" s="281">
        <f>'корпоративный баланс энергии'!J1539+'корпоративный баланс энергии'!M1539+'корпоративный баланс энергии'!P1539</f>
        <v>34.712000000000003</v>
      </c>
      <c r="E1530" s="246"/>
      <c r="F1530" s="282"/>
      <c r="G1530" s="244">
        <f>'корпоративный баланс энергии'!S1539+'корпоративный баланс энергии'!V1539+'корпоративный баланс энергии'!Y1539</f>
        <v>14.848000000000003</v>
      </c>
      <c r="H1530" s="246"/>
      <c r="I1530" s="282"/>
      <c r="J1530" s="244">
        <f>'корпоративный баланс энергии'!AB1539+'корпоративный баланс энергии'!AE1539+'корпоративный баланс энергии'!AH1539</f>
        <v>6.7419999999999991</v>
      </c>
      <c r="K1530" s="246"/>
      <c r="L1530" s="282"/>
      <c r="M1530" s="244">
        <f>'корпоративный баланс энергии'!AK1539+'корпоративный баланс энергии'!AN1539+'корпоративный баланс энергии'!AQ1539</f>
        <v>30.346</v>
      </c>
      <c r="N1530" s="246"/>
      <c r="O1530" s="282"/>
      <c r="P1530" s="244">
        <f t="shared" si="127"/>
        <v>86.647999999999996</v>
      </c>
      <c r="Q1530" s="246"/>
      <c r="R1530" s="282"/>
      <c r="S1530"/>
      <c r="T1530"/>
    </row>
    <row r="1531" spans="2:20" s="24" customFormat="1">
      <c r="B1531" s="122" t="str">
        <f>'корпоративный баланс энергии'!H1540</f>
        <v>Участок ТИиТС Иркутской ТЭЦ-6 (БТС)</v>
      </c>
      <c r="C1531" s="526" t="s">
        <v>365</v>
      </c>
      <c r="D1531" s="281">
        <f>'корпоративный баланс энергии'!J1540+'корпоративный баланс энергии'!M1540+'корпоративный баланс энергии'!P1540</f>
        <v>25.82</v>
      </c>
      <c r="E1531" s="246"/>
      <c r="F1531" s="282"/>
      <c r="G1531" s="244">
        <f>'корпоративный баланс энергии'!S1540+'корпоративный баланс энергии'!V1540+'корпоративный баланс энергии'!Y1540</f>
        <v>12.361000000000001</v>
      </c>
      <c r="H1531" s="246"/>
      <c r="I1531" s="282"/>
      <c r="J1531" s="244">
        <f>'корпоративный баланс энергии'!AB1540+'корпоративный баланс энергии'!AE1540+'корпоративный баланс энергии'!AH1540</f>
        <v>7.5600000000000005</v>
      </c>
      <c r="K1531" s="246"/>
      <c r="L1531" s="282"/>
      <c r="M1531" s="244">
        <f>'корпоративный баланс энергии'!AK1540+'корпоративный баланс энергии'!AN1540+'корпоративный баланс энергии'!AQ1540</f>
        <v>26.196000000000002</v>
      </c>
      <c r="N1531" s="246"/>
      <c r="O1531" s="282"/>
      <c r="P1531" s="244">
        <f t="shared" si="127"/>
        <v>71.936999999999998</v>
      </c>
      <c r="Q1531" s="246"/>
      <c r="R1531" s="282"/>
      <c r="S1531"/>
      <c r="T1531"/>
    </row>
    <row r="1532" spans="2:20" s="24" customFormat="1">
      <c r="B1532" s="122" t="str">
        <f>'корпоративный баланс энергии'!H1541</f>
        <v>Иркутская ТЭЦ-12 (ПАО "Иркутскэнерго")</v>
      </c>
      <c r="C1532" s="526" t="s">
        <v>365</v>
      </c>
      <c r="D1532" s="281">
        <f>'корпоративный баланс энергии'!J1541+'корпоративный баланс энергии'!M1541+'корпоративный баланс энергии'!P1541</f>
        <v>20.141999999999999</v>
      </c>
      <c r="E1532" s="246"/>
      <c r="F1532" s="282"/>
      <c r="G1532" s="244">
        <f>'корпоративный баланс энергии'!S1541+'корпоративный баланс энергии'!V1541+'корпоративный баланс энергии'!Y1541</f>
        <v>5.9879999999999995</v>
      </c>
      <c r="H1532" s="246"/>
      <c r="I1532" s="282"/>
      <c r="J1532" s="244">
        <f>'корпоративный баланс энергии'!AB1541+'корпоративный баланс энергии'!AE1541+'корпоративный баланс энергии'!AH1541</f>
        <v>0</v>
      </c>
      <c r="K1532" s="246"/>
      <c r="L1532" s="282"/>
      <c r="M1532" s="244">
        <f>'корпоративный баланс энергии'!AK1541+'корпоративный баланс энергии'!AN1541+'корпоративный баланс энергии'!AQ1541</f>
        <v>20.323</v>
      </c>
      <c r="N1532" s="246"/>
      <c r="O1532" s="282"/>
      <c r="P1532" s="244">
        <f t="shared" si="127"/>
        <v>46.453000000000003</v>
      </c>
      <c r="Q1532" s="246"/>
      <c r="R1532" s="282"/>
      <c r="S1532"/>
      <c r="T1532"/>
    </row>
    <row r="1533" spans="2:20" s="24" customFormat="1">
      <c r="B1533" s="122" t="str">
        <f>'корпоративный баланс энергии'!H1542</f>
        <v>Иркутская ТЭЦ-16 (ПАО "Иркутскэнерго")</v>
      </c>
      <c r="C1533" s="526" t="s">
        <v>365</v>
      </c>
      <c r="D1533" s="281">
        <f>'корпоративный баланс энергии'!J1542+'корпоративный баланс энергии'!M1542+'корпоративный баланс энергии'!P1542</f>
        <v>32.670999999999999</v>
      </c>
      <c r="E1533" s="246"/>
      <c r="F1533" s="282"/>
      <c r="G1533" s="244">
        <f>'корпоративный баланс энергии'!S1542+'корпоративный баланс энергии'!V1542+'корпоративный баланс энергии'!Y1542</f>
        <v>10.257999999999999</v>
      </c>
      <c r="H1533" s="246"/>
      <c r="I1533" s="282"/>
      <c r="J1533" s="244">
        <f>'корпоративный баланс энергии'!AB1542+'корпоративный баланс энергии'!AE1542+'корпоративный баланс энергии'!AH1542</f>
        <v>3.1970000000000001</v>
      </c>
      <c r="K1533" s="246"/>
      <c r="L1533" s="282"/>
      <c r="M1533" s="244">
        <f>'корпоративный баланс энергии'!AK1542+'корпоративный баланс энергии'!AN1542+'корпоративный баланс энергии'!AQ1542</f>
        <v>27.515000000000001</v>
      </c>
      <c r="N1533" s="246"/>
      <c r="O1533" s="282"/>
      <c r="P1533" s="244">
        <f t="shared" si="127"/>
        <v>73.641000000000005</v>
      </c>
      <c r="Q1533" s="246"/>
      <c r="R1533" s="282"/>
      <c r="S1533"/>
      <c r="T1533"/>
    </row>
    <row r="1534" spans="2:20" s="24" customFormat="1">
      <c r="B1534" s="122" t="str">
        <f>'корпоративный баланс энергии'!H1543</f>
        <v>ТЭЦ (ООО «Теплоснабжение»)</v>
      </c>
      <c r="C1534" s="526" t="s">
        <v>365</v>
      </c>
      <c r="D1534" s="281">
        <f>'корпоративный баланс энергии'!J1543+'корпоративный баланс энергии'!M1543+'корпоративный баланс энергии'!P1543</f>
        <v>33.144000000000005</v>
      </c>
      <c r="E1534" s="246"/>
      <c r="F1534" s="282"/>
      <c r="G1534" s="244">
        <f>'корпоративный баланс энергии'!S1543+'корпоративный баланс энергии'!V1543+'корпоративный баланс энергии'!Y1543</f>
        <v>15.312000000000001</v>
      </c>
      <c r="H1534" s="246"/>
      <c r="I1534" s="282"/>
      <c r="J1534" s="244">
        <f>'корпоративный баланс энергии'!AB1543+'корпоративный баланс энергии'!AE1543+'корпоративный баланс энергии'!AH1543</f>
        <v>8.8320000000000007</v>
      </c>
      <c r="K1534" s="246"/>
      <c r="L1534" s="282"/>
      <c r="M1534" s="244">
        <f>'корпоративный баланс энергии'!AK1543+'корпоративный баланс энергии'!AN1543+'корпоративный баланс энергии'!AQ1543</f>
        <v>25.008000000000003</v>
      </c>
      <c r="N1534" s="246"/>
      <c r="O1534" s="282"/>
      <c r="P1534" s="244">
        <f>D1534+G1534+J1534+M1534</f>
        <v>82.296000000000006</v>
      </c>
      <c r="Q1534" s="246"/>
      <c r="R1534" s="282"/>
      <c r="S1534"/>
      <c r="T1534"/>
    </row>
    <row r="1535" spans="2:20" s="24" customFormat="1">
      <c r="B1535" s="122" t="str">
        <f>'корпоративный баланс энергии'!H1544</f>
        <v>Братская ГЭС (ОАО "Иркутскэнерго")</v>
      </c>
      <c r="C1535" s="516" t="s">
        <v>364</v>
      </c>
      <c r="D1535" s="281">
        <f>'корпоративный баланс энергии'!J1544+'корпоративный баланс энергии'!M1544+'корпоративный баланс энергии'!P1544</f>
        <v>4206.7892531047492</v>
      </c>
      <c r="E1535" s="246"/>
      <c r="F1535" s="282"/>
      <c r="G1535" s="244">
        <f>'корпоративный баланс энергии'!S1544+'корпоративный баланс энергии'!V1544+'корпоративный баланс энергии'!Y1544</f>
        <v>4554.8591989016586</v>
      </c>
      <c r="H1535" s="246"/>
      <c r="I1535" s="282"/>
      <c r="J1535" s="244">
        <f>'корпоративный баланс энергии'!AB1544+'корпоративный баланс энергии'!AE1544+'корпоративный баланс энергии'!AH1544</f>
        <v>5380.8303985711464</v>
      </c>
      <c r="K1535" s="246"/>
      <c r="L1535" s="282"/>
      <c r="M1535" s="244">
        <f>'корпоративный баланс энергии'!AK1544+'корпоративный баланс энергии'!AN1544+'корпоративный баланс энергии'!AQ1544</f>
        <v>4970.7512897106571</v>
      </c>
      <c r="N1535" s="246"/>
      <c r="O1535" s="282"/>
      <c r="P1535" s="244">
        <f t="shared" si="127"/>
        <v>19113.230140288211</v>
      </c>
      <c r="Q1535" s="246"/>
      <c r="R1535" s="282"/>
      <c r="S1535"/>
      <c r="T1535"/>
    </row>
    <row r="1536" spans="2:20" s="24" customFormat="1">
      <c r="B1536" s="122" t="str">
        <f>'корпоративный баланс энергии'!H1545</f>
        <v>Иркутская ГЭС (ОАО "Иркутскэнерго")</v>
      </c>
      <c r="C1536" s="516" t="s">
        <v>364</v>
      </c>
      <c r="D1536" s="281">
        <f>'корпоративный баланс энергии'!J1545+'корпоративный баланс энергии'!M1545+'корпоративный баланс энергии'!P1545</f>
        <v>835.96935042923724</v>
      </c>
      <c r="E1536" s="246"/>
      <c r="F1536" s="282"/>
      <c r="G1536" s="244">
        <f>'корпоративный баланс энергии'!S1545+'корпоративный баланс энергии'!V1545+'корпоративный баланс энергии'!Y1545</f>
        <v>834.34122032091113</v>
      </c>
      <c r="H1536" s="246"/>
      <c r="I1536" s="282"/>
      <c r="J1536" s="244">
        <f>'корпоративный баланс энергии'!AB1545+'корпоративный баланс энергии'!AE1545+'корпоративный баланс энергии'!AH1545</f>
        <v>849.57886681914999</v>
      </c>
      <c r="K1536" s="246"/>
      <c r="L1536" s="282"/>
      <c r="M1536" s="244">
        <f>'корпоративный баланс энергии'!AK1545+'корпоративный баланс энергии'!AN1545+'корпоративный баланс энергии'!AQ1545</f>
        <v>849.79133315674358</v>
      </c>
      <c r="N1536" s="246"/>
      <c r="O1536" s="282"/>
      <c r="P1536" s="244">
        <f t="shared" si="127"/>
        <v>3369.6807707260423</v>
      </c>
      <c r="Q1536" s="246"/>
      <c r="R1536" s="282"/>
      <c r="S1536"/>
      <c r="T1536"/>
    </row>
    <row r="1537" spans="2:20" s="24" customFormat="1">
      <c r="B1537" s="122" t="str">
        <f>'корпоративный баланс энергии'!H1546</f>
        <v>Усть-Илимская ГЭС (ОАО "Иркутскэнерго")</v>
      </c>
      <c r="C1537" s="516" t="s">
        <v>364</v>
      </c>
      <c r="D1537" s="281">
        <f>'корпоративный баланс энергии'!J1546+'корпоративный баланс энергии'!M1546+'корпоративный баланс энергии'!P1546</f>
        <v>4126.5413247084971</v>
      </c>
      <c r="E1537" s="246"/>
      <c r="F1537" s="282"/>
      <c r="G1537" s="244">
        <f>'корпоративный баланс энергии'!S1546+'корпоративный баланс энергии'!V1546+'корпоративный баланс энергии'!Y1546</f>
        <v>4425.3244203662725</v>
      </c>
      <c r="H1537" s="246"/>
      <c r="I1537" s="282"/>
      <c r="J1537" s="244">
        <f>'корпоративный баланс энергии'!AB1546+'корпоративный баланс энергии'!AE1546+'корпоративный баланс энергии'!AH1546</f>
        <v>5044.3491309313267</v>
      </c>
      <c r="K1537" s="246"/>
      <c r="L1537" s="282"/>
      <c r="M1537" s="244">
        <f>'корпоративный баланс энергии'!AK1546+'корпоративный баланс энергии'!AN1546+'корпоративный баланс энергии'!AQ1546</f>
        <v>4488.8203253505462</v>
      </c>
      <c r="N1537" s="246"/>
      <c r="O1537" s="282"/>
      <c r="P1537" s="244">
        <f t="shared" si="127"/>
        <v>18085.035201356644</v>
      </c>
      <c r="Q1537" s="246"/>
      <c r="R1537" s="282"/>
      <c r="S1537"/>
      <c r="T1537"/>
    </row>
    <row r="1538" spans="2:20" s="24" customFormat="1">
      <c r="B1538" s="122" t="str">
        <f>'корпоративный баланс энергии'!H1547</f>
        <v>Мамаканская ГЭС (ЗАО "Витимэнергосбыт")</v>
      </c>
      <c r="C1538" s="516" t="s">
        <v>364</v>
      </c>
      <c r="D1538" s="281">
        <f>'корпоративный баланс энергии'!J1547+'корпоративный баланс энергии'!M1547+'корпоративный баланс энергии'!P1547</f>
        <v>23.437770366668701</v>
      </c>
      <c r="E1538" s="246"/>
      <c r="F1538" s="282"/>
      <c r="G1538" s="244">
        <f>'корпоративный баланс энергии'!S1547+'корпоративный баланс энергии'!V1547+'корпоративный баланс энергии'!Y1547</f>
        <v>107.61794090270996</v>
      </c>
      <c r="H1538" s="246"/>
      <c r="I1538" s="282"/>
      <c r="J1538" s="244">
        <f>'корпоративный баланс энергии'!AB1547+'корпоративный баланс энергии'!AE1547+'корпоративный баланс энергии'!AH1547</f>
        <v>160.96969604492188</v>
      </c>
      <c r="K1538" s="246"/>
      <c r="L1538" s="282"/>
      <c r="M1538" s="244">
        <f>'корпоративный баланс энергии'!AK1547+'корпоративный баланс энергии'!AN1547+'корпоративный баланс энергии'!AQ1547</f>
        <v>61.018936157226563</v>
      </c>
      <c r="N1538" s="246"/>
      <c r="O1538" s="282"/>
      <c r="P1538" s="244">
        <f t="shared" si="127"/>
        <v>353.0443434715271</v>
      </c>
      <c r="Q1538" s="246"/>
      <c r="R1538" s="282"/>
      <c r="S1538"/>
      <c r="T1538"/>
    </row>
    <row r="1539" spans="2:20" s="24" customFormat="1">
      <c r="B1539" s="138" t="s">
        <v>174</v>
      </c>
      <c r="C1539" s="488"/>
      <c r="D1539" s="287">
        <f>SUM(D1540:D1541)</f>
        <v>223.42128983062139</v>
      </c>
      <c r="E1539" s="307"/>
      <c r="F1539" s="308"/>
      <c r="G1539" s="287">
        <f>SUM(G1540:G1541)</f>
        <v>209.69596300000001</v>
      </c>
      <c r="H1539" s="307"/>
      <c r="I1539" s="308"/>
      <c r="J1539" s="287">
        <f>SUM(J1540:J1541)</f>
        <v>211.59139999999999</v>
      </c>
      <c r="K1539" s="307"/>
      <c r="L1539" s="308"/>
      <c r="M1539" s="287">
        <f>SUM(M1540:M1541)</f>
        <v>240.73801599999999</v>
      </c>
      <c r="N1539" s="307"/>
      <c r="O1539" s="308"/>
      <c r="P1539" s="287">
        <f>SUM(P1540:P1541)</f>
        <v>885.44666883062143</v>
      </c>
      <c r="Q1539" s="307"/>
      <c r="R1539" s="308"/>
      <c r="S1539"/>
      <c r="T1539"/>
    </row>
    <row r="1540" spans="2:20" s="24" customFormat="1">
      <c r="B1540" s="145" t="str">
        <f>'корпоративный баланс энергии'!H1549</f>
        <v>ТЭЦ (Филиал ОАО "Группа" Илим" в г. Братске)</v>
      </c>
      <c r="C1540" s="518" t="s">
        <v>365</v>
      </c>
      <c r="D1540" s="293">
        <f>'корпоративный баланс энергии'!J1549+'корпоративный баланс энергии'!M1549+'корпоративный баланс энергии'!P1549</f>
        <v>127.8812898306214</v>
      </c>
      <c r="E1540" s="288"/>
      <c r="F1540" s="289"/>
      <c r="G1540" s="294">
        <f>'корпоративный баланс энергии'!S1549+'корпоративный баланс энергии'!V1549+'корпоративный баланс энергии'!Y1549</f>
        <v>131.135963</v>
      </c>
      <c r="H1540" s="288"/>
      <c r="I1540" s="289"/>
      <c r="J1540" s="294">
        <f>'корпоративный баланс энергии'!AB1549+'корпоративный баланс энергии'!AE1549+'корпоративный баланс энергии'!AH1549</f>
        <v>132.4314</v>
      </c>
      <c r="K1540" s="288"/>
      <c r="L1540" s="289"/>
      <c r="M1540" s="294">
        <f>'корпоративный баланс энергии'!AK1549+'корпоративный баланс энергии'!AN1549+'корпоративный баланс энергии'!AQ1549</f>
        <v>144.13801599999999</v>
      </c>
      <c r="N1540" s="288"/>
      <c r="O1540" s="289"/>
      <c r="P1540" s="294">
        <f>D1540+G1540+J1540+M1540</f>
        <v>535.58666883062142</v>
      </c>
      <c r="Q1540" s="288"/>
      <c r="R1540" s="289"/>
      <c r="S1540"/>
      <c r="T1540"/>
    </row>
    <row r="1541" spans="2:20" s="24" customFormat="1">
      <c r="B1541" s="145" t="str">
        <f>'корпоративный баланс энергии'!H1550</f>
        <v>ТЭЦ (Филиал ОАО "Группа" Илим" в г. Усть-Илимске)</v>
      </c>
      <c r="C1541" s="518" t="s">
        <v>365</v>
      </c>
      <c r="D1541" s="293">
        <f>'корпоративный баланс энергии'!J1550+'корпоративный баланс энергии'!M1550+'корпоративный баланс энергии'!P1550</f>
        <v>95.539999999999992</v>
      </c>
      <c r="E1541" s="288"/>
      <c r="F1541" s="289"/>
      <c r="G1541" s="294">
        <f>'корпоративный баланс энергии'!S1550+'корпоративный баланс энергии'!V1550+'корпоративный баланс энергии'!Y1550</f>
        <v>78.56</v>
      </c>
      <c r="H1541" s="288"/>
      <c r="I1541" s="289"/>
      <c r="J1541" s="294">
        <f>'корпоративный баланс энергии'!AB1550+'корпоративный баланс энергии'!AE1550+'корпоративный баланс энергии'!AH1550</f>
        <v>79.16</v>
      </c>
      <c r="K1541" s="288"/>
      <c r="L1541" s="289"/>
      <c r="M1541" s="294">
        <f>'корпоративный баланс энергии'!AK1550+'корпоративный баланс энергии'!AN1550+'корпоративный баланс энергии'!AQ1550</f>
        <v>96.6</v>
      </c>
      <c r="N1541" s="288"/>
      <c r="O1541" s="289"/>
      <c r="P1541" s="294">
        <f>D1541+G1541+J1541+M1541</f>
        <v>349.86</v>
      </c>
      <c r="Q1541" s="288"/>
      <c r="R1541" s="289"/>
      <c r="S1541"/>
      <c r="T1541"/>
    </row>
    <row r="1542" spans="2:20" s="24" customFormat="1" ht="18.75">
      <c r="B1542" s="474" t="str">
        <f>'корпоративный баланс энергии'!H1551</f>
        <v>Энергосистема Кемеровской области</v>
      </c>
      <c r="C1542" s="474"/>
      <c r="D1542" s="277">
        <f>SUM(D1543:D1544)</f>
        <v>7960.2874069999998</v>
      </c>
      <c r="E1542" s="275">
        <f>F1542-D1542</f>
        <v>652.29722499999843</v>
      </c>
      <c r="F1542" s="276">
        <f>'корпоративный баланс энергии'!L1551+'корпоративный баланс энергии'!O1551+'корпоративный баланс энергии'!R1551</f>
        <v>8612.5846319999982</v>
      </c>
      <c r="G1542" s="277">
        <f>SUM(G1543:G1544)</f>
        <v>5261.3217520000007</v>
      </c>
      <c r="H1542" s="275">
        <f>I1542-G1542</f>
        <v>2379.4770920820056</v>
      </c>
      <c r="I1542" s="276">
        <f>'корпоративный баланс энергии'!U1551+'корпоративный баланс энергии'!X1551+'корпоративный баланс энергии'!AA1551</f>
        <v>7640.7988440820063</v>
      </c>
      <c r="J1542" s="277">
        <f>SUM(J1543:J1544)</f>
        <v>4206.3231780000006</v>
      </c>
      <c r="K1542" s="275">
        <f>L1542-J1542</f>
        <v>3222.306866182671</v>
      </c>
      <c r="L1542" s="276">
        <f>'корпоративный баланс энергии'!AD1551+'корпоративный баланс энергии'!AG1551+'корпоративный баланс энергии'!AJ1551</f>
        <v>7428.6300441826716</v>
      </c>
      <c r="M1542" s="277">
        <f>SUM(M1543:M1544)</f>
        <v>6842.620879000001</v>
      </c>
      <c r="N1542" s="275">
        <f>O1542-M1542</f>
        <v>1732.6094190981084</v>
      </c>
      <c r="O1542" s="276">
        <f>'корпоративный баланс энергии'!AM1551+'корпоративный баланс энергии'!AP1551+'корпоративный баланс энергии'!AS1551</f>
        <v>8575.2302980981094</v>
      </c>
      <c r="P1542" s="277">
        <f>SUM(P1543:P1544)</f>
        <v>24270.553216</v>
      </c>
      <c r="Q1542" s="275">
        <f>R1542-P1542</f>
        <v>7986.6906023627889</v>
      </c>
      <c r="R1542" s="276">
        <f>F1542+I1542+L1542+O1542</f>
        <v>32257.243818362789</v>
      </c>
      <c r="S1542"/>
      <c r="T1542"/>
    </row>
    <row r="1543" spans="2:20" s="24" customFormat="1">
      <c r="B1543" s="126" t="s">
        <v>56</v>
      </c>
      <c r="C1543" s="126"/>
      <c r="D1543" s="223">
        <f>SUM(D1545,D1549,D1553:D1555,D1558,D1561,D1564:D1565)</f>
        <v>7737.0788069999999</v>
      </c>
      <c r="E1543" s="271"/>
      <c r="F1543" s="224"/>
      <c r="G1543" s="223">
        <f>SUM(G1545,G1549,G1553:G1555,G1558,G1561,G1564:G1565)</f>
        <v>5154.8328520000005</v>
      </c>
      <c r="H1543" s="271"/>
      <c r="I1543" s="224"/>
      <c r="J1543" s="223">
        <f>SUM(J1545,J1549,J1553:J1555,J1558,J1561,J1564:J1565)</f>
        <v>4145.7987780000003</v>
      </c>
      <c r="K1543" s="271"/>
      <c r="L1543" s="224"/>
      <c r="M1543" s="223">
        <f>SUM(M1545,M1549,M1553:M1555,M1558,M1561,M1564:M1565)</f>
        <v>6673.2928790000005</v>
      </c>
      <c r="N1543" s="271"/>
      <c r="O1543" s="224"/>
      <c r="P1543" s="223">
        <f>SUM(P1545,P1549,P1553:P1555,P1558,P1561,P1564:P1565)</f>
        <v>23711.003316000002</v>
      </c>
      <c r="Q1543" s="271"/>
      <c r="R1543" s="364"/>
      <c r="S1543"/>
      <c r="T1543"/>
    </row>
    <row r="1544" spans="2:20" s="24" customFormat="1">
      <c r="B1544" s="124" t="s">
        <v>184</v>
      </c>
      <c r="C1544" s="124"/>
      <c r="D1544" s="223">
        <f>D1566</f>
        <v>223.20859999999999</v>
      </c>
      <c r="E1544" s="271"/>
      <c r="F1544" s="224"/>
      <c r="G1544" s="223">
        <f>G1566</f>
        <v>106.4889</v>
      </c>
      <c r="H1544" s="271"/>
      <c r="I1544" s="224"/>
      <c r="J1544" s="223">
        <f>J1566</f>
        <v>60.5244</v>
      </c>
      <c r="K1544" s="271"/>
      <c r="L1544" s="224"/>
      <c r="M1544" s="223">
        <f>M1566</f>
        <v>169.32800000000003</v>
      </c>
      <c r="N1544" s="271"/>
      <c r="O1544" s="224"/>
      <c r="P1544" s="223">
        <f>P1566</f>
        <v>559.54989999999998</v>
      </c>
      <c r="Q1544" s="271"/>
      <c r="R1544" s="364"/>
      <c r="S1544"/>
      <c r="T1544"/>
    </row>
    <row r="1545" spans="2:20" s="24" customFormat="1" ht="16.5" customHeight="1">
      <c r="B1545" s="141" t="str">
        <f>'корпоративный баланс энергии'!H1554</f>
        <v>Томь-Усинская ГРЭС  (филиал ПАО "Кузбассэнерго")</v>
      </c>
      <c r="C1545" s="516" t="s">
        <v>364</v>
      </c>
      <c r="D1545" s="262">
        <f>SUM(D1546:D1548)</f>
        <v>2441.46</v>
      </c>
      <c r="E1545" s="246"/>
      <c r="F1545" s="282"/>
      <c r="G1545" s="317">
        <f>SUM(G1546:G1548)</f>
        <v>1672.4759999999999</v>
      </c>
      <c r="H1545" s="246"/>
      <c r="I1545" s="282"/>
      <c r="J1545" s="317">
        <f>SUM(J1546:J1548)</f>
        <v>1403.9679999999998</v>
      </c>
      <c r="K1545" s="246"/>
      <c r="L1545" s="282"/>
      <c r="M1545" s="317">
        <f>SUM(M1546:M1548)</f>
        <v>1873.634</v>
      </c>
      <c r="N1545" s="246"/>
      <c r="O1545" s="282"/>
      <c r="P1545" s="317">
        <f>SUM(P1546:P1548)</f>
        <v>7391.5380000000005</v>
      </c>
      <c r="Q1545" s="246"/>
      <c r="R1545" s="282"/>
      <c r="S1545"/>
      <c r="T1545"/>
    </row>
    <row r="1546" spans="2:20" s="24" customFormat="1" ht="15" customHeight="1">
      <c r="B1546" s="801" t="str">
        <f>'корпоративный баланс энергии'!H1555</f>
        <v>Томь-Усинская ГРЭС (филиал ПАО "Кузбассэнерго") без ДПМ/НВ/ВР</v>
      </c>
      <c r="C1546" s="512"/>
      <c r="D1546" s="281">
        <f>'корпоративный баланс энергии'!J1555+'корпоративный баланс энергии'!M1555+'корпоративный баланс энергии'!P1555</f>
        <v>2125.1950000000002</v>
      </c>
      <c r="E1546" s="246"/>
      <c r="F1546" s="282"/>
      <c r="G1546" s="244">
        <f>'корпоративный баланс энергии'!S1555+'корпоративный баланс энергии'!V1555+'корпоративный баланс энергии'!Y1555</f>
        <v>1564.9669999999999</v>
      </c>
      <c r="H1546" s="246"/>
      <c r="I1546" s="282"/>
      <c r="J1546" s="244">
        <f>'корпоративный баланс энергии'!AB1555+'корпоративный баланс энергии'!AE1555+'корпоративный баланс энергии'!AH1555</f>
        <v>1307.877</v>
      </c>
      <c r="K1546" s="246"/>
      <c r="L1546" s="282"/>
      <c r="M1546" s="244">
        <f>'корпоративный баланс энергии'!AK1555+'корпоративный баланс энергии'!AN1555+'корпоративный баланс энергии'!AQ1555</f>
        <v>1650.0439999999999</v>
      </c>
      <c r="N1546" s="246"/>
      <c r="O1546" s="282"/>
      <c r="P1546" s="244">
        <f>D1546+G1546+J1546+M1546</f>
        <v>6648.0830000000005</v>
      </c>
      <c r="Q1546" s="246"/>
      <c r="R1546" s="282"/>
      <c r="S1546"/>
      <c r="T1546"/>
    </row>
    <row r="1547" spans="2:20" s="24" customFormat="1">
      <c r="B1547" s="801" t="str">
        <f>'корпоративный баланс энергии'!H1556</f>
        <v>Томь-Усинская ГРЭС  (филиал ПАО "Кузбассэнерго") Бл №4 124 МВт НВ, ДПМ 01.10.2014</v>
      </c>
      <c r="C1547" s="502"/>
      <c r="D1547" s="281">
        <f>'корпоративный баланс энергии'!J1556+'корпоративный баланс энергии'!M1556+'корпоративный баланс энергии'!P1556</f>
        <v>151.64699999999999</v>
      </c>
      <c r="E1547" s="246"/>
      <c r="F1547" s="282"/>
      <c r="G1547" s="244">
        <f>'корпоративный баланс энергии'!S1556+'корпоративный баланс энергии'!V1556+'корпоративный баланс энергии'!Y1556</f>
        <v>65.417000000000002</v>
      </c>
      <c r="H1547" s="246"/>
      <c r="I1547" s="282"/>
      <c r="J1547" s="244">
        <f>'корпоративный баланс энергии'!AB1556+'корпоративный баланс энергии'!AE1556+'корпоративный баланс энергии'!AH1556</f>
        <v>54.599000000000004</v>
      </c>
      <c r="K1547" s="246"/>
      <c r="L1547" s="282"/>
      <c r="M1547" s="244">
        <f>'корпоративный баланс энергии'!AK1556+'корпоративный баланс энергии'!AN1556+'корпоративный баланс энергии'!AQ1556</f>
        <v>107.10300000000001</v>
      </c>
      <c r="N1547" s="246"/>
      <c r="O1547" s="282"/>
      <c r="P1547" s="244">
        <f>D1547+G1547+J1547+M1547</f>
        <v>378.76600000000002</v>
      </c>
      <c r="Q1547" s="246"/>
      <c r="R1547" s="282"/>
      <c r="S1547"/>
      <c r="T1547"/>
    </row>
    <row r="1548" spans="2:20" s="24" customFormat="1">
      <c r="B1548" s="801" t="str">
        <f>'корпоративный баланс энергии'!H1557</f>
        <v>Томь-Усинская ГРЭС  (филиал ПАО "Кузбассэнерго") Бл №5 121,4 МВт НВ, ДПМ 01.05.2014</v>
      </c>
      <c r="C1548" s="502"/>
      <c r="D1548" s="281">
        <f>'корпоративный баланс энергии'!J1557+'корпоративный баланс энергии'!M1557+'корпоративный баланс энергии'!P1557</f>
        <v>164.61799999999999</v>
      </c>
      <c r="E1548" s="246"/>
      <c r="F1548" s="282"/>
      <c r="G1548" s="244">
        <f>'корпоративный баланс энергии'!S1557+'корпоративный баланс энергии'!V1557+'корпоративный баланс энергии'!Y1557</f>
        <v>42.091999999999999</v>
      </c>
      <c r="H1548" s="246"/>
      <c r="I1548" s="282"/>
      <c r="J1548" s="244">
        <f>'корпоративный баланс энергии'!AB1557+'корпоративный баланс энергии'!AE1557+'корпоративный баланс энергии'!AH1557</f>
        <v>41.491999999999997</v>
      </c>
      <c r="K1548" s="246"/>
      <c r="L1548" s="282"/>
      <c r="M1548" s="244">
        <f>'корпоративный баланс энергии'!AK1557+'корпоративный баланс энергии'!AN1557+'корпоративный баланс энергии'!AQ1557</f>
        <v>116.48699999999999</v>
      </c>
      <c r="N1548" s="246"/>
      <c r="O1548" s="282"/>
      <c r="P1548" s="244">
        <f>D1548+G1548+J1548+M1548</f>
        <v>364.68899999999996</v>
      </c>
      <c r="Q1548" s="246"/>
      <c r="R1548" s="282"/>
      <c r="S1548"/>
      <c r="T1548"/>
    </row>
    <row r="1549" spans="2:20" s="24" customFormat="1">
      <c r="B1549" s="847" t="str">
        <f>'корпоративный баланс энергии'!H1558</f>
        <v>Беловская ГРЭС (филиал ПАО "Кузбассэнерго")</v>
      </c>
      <c r="C1549" s="516" t="s">
        <v>364</v>
      </c>
      <c r="D1549" s="317">
        <f>SUM(D1550:D1552)</f>
        <v>2244.821175</v>
      </c>
      <c r="E1549" s="246"/>
      <c r="F1549" s="282"/>
      <c r="G1549" s="317">
        <f>SUM(G1550:G1552)</f>
        <v>1425.995052</v>
      </c>
      <c r="H1549" s="246"/>
      <c r="I1549" s="282"/>
      <c r="J1549" s="317">
        <f>SUM(J1550:J1552)</f>
        <v>1259.2016820000001</v>
      </c>
      <c r="K1549" s="246"/>
      <c r="L1549" s="282"/>
      <c r="M1549" s="317">
        <f>SUM(M1550:M1552)</f>
        <v>1941.345879</v>
      </c>
      <c r="N1549" s="246"/>
      <c r="O1549" s="282"/>
      <c r="P1549" s="317">
        <f>SUM(P1550:P1552)</f>
        <v>6871.3637880000006</v>
      </c>
      <c r="Q1549" s="246"/>
      <c r="R1549" s="282"/>
      <c r="S1549"/>
      <c r="T1549"/>
    </row>
    <row r="1550" spans="2:20" s="110" customFormat="1">
      <c r="B1550" s="801" t="str">
        <f>'корпоративный баланс энергии'!H1559</f>
        <v>Беловская ГРЭС (филиал ПАО "Кузбассэнерго") без ДПМ/НВ/ВР</v>
      </c>
      <c r="C1550" s="502"/>
      <c r="D1550" s="281">
        <f>'корпоративный баланс энергии'!J1559+'корпоративный баланс энергии'!M1559+'корпоративный баланс энергии'!P1559</f>
        <v>1398.5784489999999</v>
      </c>
      <c r="E1550" s="246"/>
      <c r="F1550" s="282"/>
      <c r="G1550" s="244">
        <f>'корпоративный баланс энергии'!S1559+'корпоративный баланс энергии'!V1559+'корпоративный баланс энергии'!Y1559</f>
        <v>902.52378500000009</v>
      </c>
      <c r="H1550" s="246"/>
      <c r="I1550" s="282"/>
      <c r="J1550" s="244">
        <f>'корпоративный баланс энергии'!AB1559+'корпоративный баланс энергии'!AE1559+'корпоративный баланс энергии'!AH1559</f>
        <v>762.313987</v>
      </c>
      <c r="K1550" s="246"/>
      <c r="L1550" s="282"/>
      <c r="M1550" s="244">
        <f>'корпоративный баланс энергии'!AK1559+'корпоративный баланс энергии'!AN1559+'корпоративный баланс энергии'!AQ1559</f>
        <v>1238.907363</v>
      </c>
      <c r="N1550" s="246"/>
      <c r="O1550" s="282"/>
      <c r="P1550" s="244">
        <f>D1550+G1550+J1550+M1550</f>
        <v>4302.3235839999998</v>
      </c>
      <c r="Q1550" s="246"/>
      <c r="R1550" s="282"/>
      <c r="S1550"/>
      <c r="T1550"/>
    </row>
    <row r="1551" spans="2:20" s="113" customFormat="1">
      <c r="B1551" s="801" t="str">
        <f>'корпоративный баланс энергии'!H1560</f>
        <v>Беловская ГРЭС (филиал ПАО "Кузбассэнерго") Бл №4 220 МВт НВ, ДПМ 23.10.2015</v>
      </c>
      <c r="C1551" s="502"/>
      <c r="D1551" s="281">
        <f>'корпоративный баланс энергии'!J1560+'корпоративный баланс энергии'!M1560+'корпоративный баланс энергии'!P1560</f>
        <v>444.391662</v>
      </c>
      <c r="E1551" s="246"/>
      <c r="F1551" s="282"/>
      <c r="G1551" s="244">
        <f>'корпоративный баланс энергии'!S1560+'корпоративный баланс энергии'!V1560+'корпоративный баланс энергии'!Y1560</f>
        <v>121.60818</v>
      </c>
      <c r="H1551" s="246"/>
      <c r="I1551" s="282"/>
      <c r="J1551" s="244">
        <f>'корпоративный баланс энергии'!AB1560+'корпоративный баланс энергии'!AE1560+'корпоративный баланс энергии'!AH1560</f>
        <v>166.83836300000002</v>
      </c>
      <c r="K1551" s="246"/>
      <c r="L1551" s="282"/>
      <c r="M1551" s="244">
        <f>'корпоративный баланс энергии'!AK1560+'корпоративный баланс энергии'!AN1560+'корпоративный баланс энергии'!AQ1560</f>
        <v>370.038972</v>
      </c>
      <c r="N1551" s="246"/>
      <c r="O1551" s="282"/>
      <c r="P1551" s="244">
        <f>D1551+G1551+J1551+M1551</f>
        <v>1102.8771770000001</v>
      </c>
      <c r="Q1551" s="246"/>
      <c r="R1551" s="282"/>
      <c r="S1551"/>
      <c r="T1551"/>
    </row>
    <row r="1552" spans="2:20" s="113" customFormat="1">
      <c r="B1552" s="801" t="str">
        <f>'корпоративный баланс энергии'!H1561</f>
        <v>Беловская ГРЭС (филиал ПАО "Кузбассэнерго") Бл №6 220 МВт НВ, ДПМ 09.10.2015</v>
      </c>
      <c r="C1552" s="502"/>
      <c r="D1552" s="281">
        <f>'корпоративный баланс энергии'!J1561+'корпоративный баланс энергии'!M1561+'корпоративный баланс энергии'!P1561</f>
        <v>401.85106399999995</v>
      </c>
      <c r="E1552" s="246"/>
      <c r="F1552" s="282"/>
      <c r="G1552" s="244">
        <f>'корпоративный баланс энергии'!S1561+'корпоративный баланс энергии'!V1561+'корпоративный баланс энергии'!Y1561</f>
        <v>401.86308700000001</v>
      </c>
      <c r="H1552" s="246"/>
      <c r="I1552" s="282"/>
      <c r="J1552" s="244">
        <f>'корпоративный баланс энергии'!AB1561+'корпоративный баланс энергии'!AE1561+'корпоративный баланс энергии'!AH1561</f>
        <v>330.04933199999999</v>
      </c>
      <c r="K1552" s="246"/>
      <c r="L1552" s="282"/>
      <c r="M1552" s="244">
        <f>'корпоративный баланс энергии'!AK1561+'корпоративный баланс энергии'!AN1561+'корпоративный баланс энергии'!AQ1561</f>
        <v>332.39954399999999</v>
      </c>
      <c r="N1552" s="246"/>
      <c r="O1552" s="282"/>
      <c r="P1552" s="244">
        <f>D1552+G1552+J1552+M1552</f>
        <v>1466.1630270000001</v>
      </c>
      <c r="Q1552" s="246"/>
      <c r="R1552" s="282"/>
      <c r="S1552"/>
      <c r="T1552"/>
    </row>
    <row r="1553" spans="2:24" s="113" customFormat="1">
      <c r="B1553" s="801" t="str">
        <f>'корпоративный баланс энергии'!H1562</f>
        <v>Кемеровская ГРЭС (филиал АО "Кемеровская генерация")</v>
      </c>
      <c r="C1553" s="516" t="s">
        <v>364</v>
      </c>
      <c r="D1553" s="281">
        <f>'корпоративный баланс энергии'!J1562+'корпоративный баланс энергии'!M1562+'корпоративный баланс энергии'!P1562</f>
        <v>499.76700000000005</v>
      </c>
      <c r="E1553" s="246"/>
      <c r="F1553" s="282"/>
      <c r="G1553" s="244">
        <f>'корпоративный баланс энергии'!S1562+'корпоративный баланс энергии'!V1562+'корпоративный баланс энергии'!Y1562</f>
        <v>349.40899999999999</v>
      </c>
      <c r="H1553" s="246"/>
      <c r="I1553" s="282"/>
      <c r="J1553" s="244">
        <f>'корпоративный баланс энергии'!AB1562+'корпоративный баланс энергии'!AE1562+'корпоративный баланс энергии'!AH1562</f>
        <v>191.18040000000002</v>
      </c>
      <c r="K1553" s="246"/>
      <c r="L1553" s="282"/>
      <c r="M1553" s="244">
        <f>'корпоративный баланс энергии'!AK1562+'корпоративный баланс энергии'!AN1562+'корпоративный баланс энергии'!AQ1562</f>
        <v>510.08979999999997</v>
      </c>
      <c r="N1553" s="246"/>
      <c r="O1553" s="282"/>
      <c r="P1553" s="244">
        <f>D1553+G1553+J1553+M1553</f>
        <v>1550.4462000000001</v>
      </c>
      <c r="Q1553" s="246"/>
      <c r="R1553" s="282"/>
      <c r="S1553"/>
      <c r="T1553"/>
    </row>
    <row r="1554" spans="2:24" s="24" customFormat="1">
      <c r="B1554" s="801" t="str">
        <f>'корпоративный баланс энергии'!H1563</f>
        <v>Кемеровская ТЭЦ (филиал АО "Кемеровская генерация")</v>
      </c>
      <c r="C1554" s="516" t="s">
        <v>364</v>
      </c>
      <c r="D1554" s="281">
        <f>'корпоративный баланс энергии'!J1563+'корпоративный баланс энергии'!M1563+'корпоративный баланс энергии'!P1563</f>
        <v>58.960031999999998</v>
      </c>
      <c r="E1554" s="246"/>
      <c r="F1554" s="282"/>
      <c r="G1554" s="244">
        <f>'корпоративный баланс энергии'!S1563+'корпоративный баланс энергии'!V1563+'корпоративный баланс энергии'!Y1563</f>
        <v>21.2958</v>
      </c>
      <c r="H1554" s="246"/>
      <c r="I1554" s="282"/>
      <c r="J1554" s="244">
        <f>'корпоративный баланс энергии'!AB1563+'корпоративный баланс энергии'!AE1563+'корпоративный баланс энергии'!AH1563</f>
        <v>8.6106960000000008</v>
      </c>
      <c r="K1554" s="246"/>
      <c r="L1554" s="282"/>
      <c r="M1554" s="244">
        <f>'корпоративный баланс энергии'!AK1563+'корпоративный баланс энергии'!AN1563+'корпоративный баланс энергии'!AQ1563</f>
        <v>54.935999999999993</v>
      </c>
      <c r="N1554" s="246"/>
      <c r="O1554" s="282"/>
      <c r="P1554" s="244">
        <f>D1554+G1554+J1554+M1554</f>
        <v>143.802528</v>
      </c>
      <c r="Q1554" s="246"/>
      <c r="R1554" s="282"/>
      <c r="S1554"/>
      <c r="T1554"/>
    </row>
    <row r="1555" spans="2:24" s="24" customFormat="1">
      <c r="B1555" s="847" t="str">
        <f>'корпоративный баланс энергии'!H1564</f>
        <v>ГТЭС "Новокузнецкая" (филиал ПАО "Кузбассэнерго")</v>
      </c>
      <c r="C1555" s="516" t="s">
        <v>364</v>
      </c>
      <c r="D1555" s="317">
        <f>SUM(D1556:D1557)</f>
        <v>30</v>
      </c>
      <c r="E1555" s="246"/>
      <c r="F1555" s="282"/>
      <c r="G1555" s="317">
        <f>SUM(G1556:G1557)</f>
        <v>50</v>
      </c>
      <c r="H1555" s="246"/>
      <c r="I1555" s="282"/>
      <c r="J1555" s="317">
        <f>SUM(J1556:J1557)</f>
        <v>50</v>
      </c>
      <c r="K1555" s="246"/>
      <c r="L1555" s="282"/>
      <c r="M1555" s="317">
        <f>SUM(M1556:M1557)</f>
        <v>30</v>
      </c>
      <c r="N1555" s="246"/>
      <c r="O1555" s="282"/>
      <c r="P1555" s="317">
        <f>SUM(P1556:P1557)</f>
        <v>160</v>
      </c>
      <c r="Q1555" s="246"/>
      <c r="R1555" s="282"/>
      <c r="S1555"/>
      <c r="T1555"/>
    </row>
    <row r="1556" spans="2:24" s="24" customFormat="1">
      <c r="B1556" s="801" t="str">
        <f>'корпоративный баланс энергии'!H1565</f>
        <v>ГТЭС "Новокузнецкая" (филиал ПАО "Кузбассэнерго") Бл №14 148,6 МВт НВ, ДПМ 19.09.2014</v>
      </c>
      <c r="C1556" s="516"/>
      <c r="D1556" s="281">
        <f>'корпоративный баланс энергии'!J1565+'корпоративный баланс энергии'!M1565+'корпоративный баланс энергии'!P1565</f>
        <v>15</v>
      </c>
      <c r="E1556" s="246"/>
      <c r="F1556" s="282"/>
      <c r="G1556" s="244">
        <f>'корпоративный баланс энергии'!S1565+'корпоративный баланс энергии'!V1565+'корпоративный баланс энергии'!Y1565</f>
        <v>15</v>
      </c>
      <c r="H1556" s="246"/>
      <c r="I1556" s="282"/>
      <c r="J1556" s="244">
        <f>'корпоративный баланс энергии'!AB1565+'корпоративный баланс энергии'!AE1565+'корпоративный баланс энергии'!AH1565</f>
        <v>35</v>
      </c>
      <c r="K1556" s="246"/>
      <c r="L1556" s="282"/>
      <c r="M1556" s="244">
        <f>'корпоративный баланс энергии'!AK1565+'корпоративный баланс энергии'!AN1565+'корпоративный баланс энергии'!AQ1565</f>
        <v>15</v>
      </c>
      <c r="N1556" s="246"/>
      <c r="O1556" s="282"/>
      <c r="P1556" s="244">
        <f>D1556+G1556+J1556+M1556</f>
        <v>80</v>
      </c>
      <c r="Q1556" s="246"/>
      <c r="R1556" s="282"/>
      <c r="S1556"/>
      <c r="T1556"/>
    </row>
    <row r="1557" spans="2:24" s="24" customFormat="1">
      <c r="B1557" s="801" t="str">
        <f>'корпоративный баланс энергии'!H1566</f>
        <v>ГТЭС "Новокузнецкая" (филиал ПАО "Кузбассэнерго") Бл №15 148,8 МВт НВ, ДПМ 15.09.2014</v>
      </c>
      <c r="C1557" s="516"/>
      <c r="D1557" s="281">
        <f>'корпоративный баланс энергии'!J1566+'корпоративный баланс энергии'!M1566+'корпоративный баланс энергии'!P1566</f>
        <v>15</v>
      </c>
      <c r="E1557" s="246"/>
      <c r="F1557" s="282"/>
      <c r="G1557" s="244">
        <f>'корпоративный баланс энергии'!S1566+'корпоративный баланс энергии'!V1566+'корпоративный баланс энергии'!Y1566</f>
        <v>35</v>
      </c>
      <c r="H1557" s="246"/>
      <c r="I1557" s="282"/>
      <c r="J1557" s="244">
        <f>'корпоративный баланс энергии'!AB1566+'корпоративный баланс энергии'!AE1566+'корпоративный баланс энергии'!AH1566</f>
        <v>15</v>
      </c>
      <c r="K1557" s="246"/>
      <c r="L1557" s="282"/>
      <c r="M1557" s="244">
        <f>'корпоративный баланс энергии'!AK1566+'корпоративный баланс энергии'!AN1566+'корпоративный баланс энергии'!AQ1566</f>
        <v>15</v>
      </c>
      <c r="N1557" s="246"/>
      <c r="O1557" s="282"/>
      <c r="P1557" s="244">
        <f>D1557+G1557+J1557+M1557</f>
        <v>80</v>
      </c>
      <c r="Q1557" s="246"/>
      <c r="R1557" s="282"/>
      <c r="S1557"/>
      <c r="T1557"/>
    </row>
    <row r="1558" spans="2:24" s="24" customFormat="1">
      <c r="B1558" s="847" t="str">
        <f>'корпоративный баланс энергии'!H1567</f>
        <v>Ново-Кемеровская ТЭЦ (АО "Ново-Кемеровская ТЭЦ")</v>
      </c>
      <c r="C1558" s="516" t="s">
        <v>364</v>
      </c>
      <c r="D1558" s="317">
        <f>SUM(D1559:D1560)</f>
        <v>741.57200000000012</v>
      </c>
      <c r="E1558" s="246"/>
      <c r="F1558" s="282"/>
      <c r="G1558" s="317">
        <f>SUM(G1559:G1560)</f>
        <v>446.97399999999999</v>
      </c>
      <c r="H1558" s="246"/>
      <c r="I1558" s="282"/>
      <c r="J1558" s="317">
        <f>SUM(J1559:J1560)</f>
        <v>280.26800000000003</v>
      </c>
      <c r="K1558" s="246"/>
      <c r="L1558" s="282"/>
      <c r="M1558" s="317">
        <f>SUM(M1559:M1560)</f>
        <v>535.81200000000001</v>
      </c>
      <c r="N1558" s="246"/>
      <c r="O1558" s="282"/>
      <c r="P1558" s="317">
        <f>SUM(P1559:P1560)</f>
        <v>2004.6260000000002</v>
      </c>
      <c r="Q1558" s="246"/>
      <c r="R1558" s="282"/>
      <c r="S1558"/>
      <c r="T1558"/>
    </row>
    <row r="1559" spans="2:24" s="24" customFormat="1">
      <c r="B1559" s="801" t="str">
        <f>'корпоративный баланс энергии'!H1568</f>
        <v>Ново-Кемеровская ТЭЦ (АО "Ново-Кемеровская ТЭЦ")</v>
      </c>
      <c r="C1559" s="502"/>
      <c r="D1559" s="281">
        <f>'корпоративный баланс энергии'!J1568+'корпоративный баланс энергии'!M1568+'корпоративный баланс энергии'!P1568</f>
        <v>534.03600000000006</v>
      </c>
      <c r="E1559" s="246"/>
      <c r="F1559" s="282"/>
      <c r="G1559" s="244">
        <f>'корпоративный баланс энергии'!S1568+'корпоративный баланс энергии'!V1568+'корпоративный баланс энергии'!Y1568</f>
        <v>342.49099999999999</v>
      </c>
      <c r="H1559" s="246"/>
      <c r="I1559" s="282"/>
      <c r="J1559" s="244">
        <f>'корпоративный баланс энергии'!AB1568+'корпоративный баланс энергии'!AE1568+'корпоративный баланс энергии'!AH1568</f>
        <v>155.39099999999999</v>
      </c>
      <c r="K1559" s="246"/>
      <c r="L1559" s="282"/>
      <c r="M1559" s="244">
        <f>'корпоративный баланс энергии'!AK1568+'корпоративный баланс энергии'!AN1568+'корпоративный баланс энергии'!AQ1568</f>
        <v>361.46199999999999</v>
      </c>
      <c r="N1559" s="246"/>
      <c r="O1559" s="282"/>
      <c r="P1559" s="244">
        <f>D1559+G1559+J1559+M1559</f>
        <v>1393.38</v>
      </c>
      <c r="Q1559" s="246"/>
      <c r="R1559" s="282"/>
      <c r="S1559"/>
      <c r="T1559"/>
    </row>
    <row r="1560" spans="2:24" s="24" customFormat="1">
      <c r="B1560" s="801" t="str">
        <f>'корпоративный баланс энергии'!H1569</f>
        <v>Ново-Кемеровская ТЭЦ (АО "Ново-Кемеровская ТЭЦ") БЛ №15 100МВт НВ, ДПМ 01.03.2009</v>
      </c>
      <c r="C1560" s="502"/>
      <c r="D1560" s="281">
        <f>'корпоративный баланс энергии'!J1569+'корпоративный баланс энергии'!M1569+'корпоративный баланс энергии'!P1569</f>
        <v>207.536</v>
      </c>
      <c r="E1560" s="246"/>
      <c r="F1560" s="282"/>
      <c r="G1560" s="244">
        <f>'корпоративный баланс энергии'!S1569+'корпоративный баланс энергии'!V1569+'корпоративный баланс энергии'!Y1569</f>
        <v>104.48299999999999</v>
      </c>
      <c r="H1560" s="246"/>
      <c r="I1560" s="282"/>
      <c r="J1560" s="244">
        <f>'корпоративный баланс энергии'!AB1569+'корпоративный баланс энергии'!AE1569+'корпоративный баланс энергии'!AH1569</f>
        <v>124.87700000000001</v>
      </c>
      <c r="K1560" s="246"/>
      <c r="L1560" s="282"/>
      <c r="M1560" s="244">
        <f>'корпоративный баланс энергии'!AK1569+'корпоративный баланс энергии'!AN1569+'корпоративный баланс энергии'!AQ1569</f>
        <v>174.35</v>
      </c>
      <c r="N1560" s="246"/>
      <c r="O1560" s="282"/>
      <c r="P1560" s="244">
        <f>D1560+G1560+J1560+M1560</f>
        <v>611.24599999999998</v>
      </c>
      <c r="Q1560" s="246"/>
      <c r="R1560" s="282"/>
      <c r="S1560"/>
      <c r="T1560"/>
    </row>
    <row r="1561" spans="2:24" s="24" customFormat="1">
      <c r="B1561" s="847" t="str">
        <f>'корпоративный баланс энергии'!H1570</f>
        <v>Кузнецкая ТЭЦ (АО "Кузнецкая ТЭЦ")</v>
      </c>
      <c r="C1561" s="516" t="s">
        <v>364</v>
      </c>
      <c r="D1561" s="317">
        <f>SUM(D1562:D1563)</f>
        <v>214.2586</v>
      </c>
      <c r="E1561" s="246"/>
      <c r="F1561" s="282"/>
      <c r="G1561" s="317">
        <f>SUM(G1562:G1563)</f>
        <v>99.442999999999998</v>
      </c>
      <c r="H1561" s="246"/>
      <c r="I1561" s="282"/>
      <c r="J1561" s="317">
        <f>SUM(J1562:J1563)</f>
        <v>48.09</v>
      </c>
      <c r="K1561" s="246"/>
      <c r="L1561" s="282"/>
      <c r="M1561" s="317">
        <f>SUM(M1562:M1563)</f>
        <v>187.43520000000001</v>
      </c>
      <c r="N1561" s="246"/>
      <c r="O1561" s="282"/>
      <c r="P1561" s="317">
        <f>SUM(P1562:P1563)</f>
        <v>549.22680000000003</v>
      </c>
      <c r="Q1561" s="246"/>
      <c r="R1561" s="282"/>
      <c r="S1561"/>
      <c r="T1561"/>
    </row>
    <row r="1562" spans="2:24" s="24" customFormat="1">
      <c r="B1562" s="801" t="str">
        <f>'корпоративный баланс энергии'!H1571</f>
        <v>Кузнецкая ТЭЦ (АО "Кузнецкая ТЭЦ") без ДПМ/НВ/ВР</v>
      </c>
      <c r="C1562" s="502"/>
      <c r="D1562" s="281">
        <f>'корпоративный баланс энергии'!J1571+'корпоративный баланс энергии'!M1571+'корпоративный баланс энергии'!P1571</f>
        <v>189.5386</v>
      </c>
      <c r="E1562" s="246"/>
      <c r="F1562" s="282"/>
      <c r="G1562" s="244">
        <f>'корпоративный баланс энергии'!S1571+'корпоративный баланс энергии'!V1571+'корпоративный баланс энергии'!Y1571</f>
        <v>87.057000000000002</v>
      </c>
      <c r="H1562" s="246"/>
      <c r="I1562" s="282"/>
      <c r="J1562" s="244">
        <f>'корпоративный баланс энергии'!AB1571+'корпоративный баланс энергии'!AE1571+'корпоративный баланс энергии'!AH1571</f>
        <v>48.09</v>
      </c>
      <c r="K1562" s="246"/>
      <c r="L1562" s="282"/>
      <c r="M1562" s="244">
        <f>'корпоративный баланс энергии'!AK1571+'корпоративный баланс энергии'!AN1571+'корпоративный баланс энергии'!AQ1571</f>
        <v>166.0992</v>
      </c>
      <c r="N1562" s="246"/>
      <c r="O1562" s="282"/>
      <c r="P1562" s="244">
        <f>D1562+G1562+J1562+M1562</f>
        <v>490.78480000000002</v>
      </c>
      <c r="Q1562" s="246"/>
      <c r="R1562" s="282"/>
      <c r="S1562"/>
      <c r="T1562"/>
    </row>
    <row r="1563" spans="2:24" s="110" customFormat="1">
      <c r="B1563" s="801" t="str">
        <f>'корпоративный баланс энергии'!H1572</f>
        <v>Кузнецкая ТЭЦ (АО "Кузнецкая ТЭЦ") Бл №3 НВ 01.01.2009</v>
      </c>
      <c r="C1563" s="502"/>
      <c r="D1563" s="281">
        <f>'корпоративный баланс энергии'!J1572+'корпоративный баланс энергии'!M1572+'корпоративный баланс энергии'!P1572</f>
        <v>24.720000000000002</v>
      </c>
      <c r="E1563" s="246"/>
      <c r="F1563" s="282"/>
      <c r="G1563" s="244">
        <f>'корпоративный баланс энергии'!S1572+'корпоративный баланс энергии'!V1572+'корпоративный баланс энергии'!Y1572</f>
        <v>12.385999999999999</v>
      </c>
      <c r="H1563" s="246"/>
      <c r="I1563" s="282"/>
      <c r="J1563" s="244">
        <f>'корпоративный баланс энергии'!AB1572+'корпоративный баланс энергии'!AE1572+'корпоративный баланс энергии'!AH1572</f>
        <v>0</v>
      </c>
      <c r="K1563" s="246"/>
      <c r="L1563" s="282"/>
      <c r="M1563" s="244">
        <f>'корпоративный баланс энергии'!AK1572+'корпоративный баланс энергии'!AN1572+'корпоративный баланс энергии'!AQ1572</f>
        <v>21.336000000000002</v>
      </c>
      <c r="N1563" s="246"/>
      <c r="O1563" s="282"/>
      <c r="P1563" s="244">
        <f>D1563+G1563+J1563+M1563</f>
        <v>58.442000000000007</v>
      </c>
      <c r="Q1563" s="246"/>
      <c r="R1563" s="282"/>
      <c r="S1563"/>
      <c r="T1563"/>
    </row>
    <row r="1564" spans="2:24" s="146" customFormat="1">
      <c r="B1564" s="801" t="str">
        <f>'корпоративный баланс энергии'!H1573</f>
        <v>Южно-Кузбасская ГРЭС (ОАО "Южно-Кузбасская ГРЭС")</v>
      </c>
      <c r="C1564" s="516" t="s">
        <v>364</v>
      </c>
      <c r="D1564" s="281">
        <f>'корпоративный баланс энергии'!J1573+'корпоративный баланс энергии'!M1573+'корпоративный баланс энергии'!P1573</f>
        <v>513.3599999999999</v>
      </c>
      <c r="E1564" s="246"/>
      <c r="F1564" s="282"/>
      <c r="G1564" s="244">
        <f>'корпоративный баланс энергии'!S1573+'корпоративный баланс энергии'!V1573+'корпоративный баланс энергии'!Y1573</f>
        <v>419.64</v>
      </c>
      <c r="H1564" s="246"/>
      <c r="I1564" s="282"/>
      <c r="J1564" s="244">
        <f>'корпоративный баланс энергии'!AB1573+'корпоративный баланс энергии'!AE1573+'корпоративный баланс энергии'!AH1573</f>
        <v>338.56</v>
      </c>
      <c r="K1564" s="246"/>
      <c r="L1564" s="282"/>
      <c r="M1564" s="244">
        <f>'корпоративный баланс энергии'!AK1573+'корпоративный баланс энергии'!AN1573+'корпоративный баланс энергии'!AQ1573</f>
        <v>546.44000000000005</v>
      </c>
      <c r="N1564" s="246"/>
      <c r="O1564" s="282"/>
      <c r="P1564" s="244">
        <f>D1564+G1564+J1564+M1564</f>
        <v>1818</v>
      </c>
      <c r="Q1564" s="246"/>
      <c r="R1564" s="282"/>
      <c r="S1564"/>
      <c r="T1564"/>
      <c r="W1564" s="173"/>
      <c r="X1564" s="24"/>
    </row>
    <row r="1565" spans="2:24" s="24" customFormat="1">
      <c r="B1565" s="801" t="str">
        <f>'корпоративный баланс энергии'!H1574</f>
        <v>Западно-Сибирская ТЭЦ (АО "Западно-Сибирский металлургический комбинат")</v>
      </c>
      <c r="C1565" s="533" t="s">
        <v>365</v>
      </c>
      <c r="D1565" s="281">
        <f>'корпоративный баланс энергии'!J1574+'корпоративный баланс энергии'!M1574+'корпоративный баланс энергии'!P1574</f>
        <v>992.88</v>
      </c>
      <c r="E1565" s="246"/>
      <c r="F1565" s="282"/>
      <c r="G1565" s="244">
        <f>'корпоративный баланс энергии'!S1574+'корпоративный баланс энергии'!V1574+'корпоративный баланс энергии'!Y1574</f>
        <v>669.6</v>
      </c>
      <c r="H1565" s="246"/>
      <c r="I1565" s="282"/>
      <c r="J1565" s="244">
        <f>'корпоративный баланс энергии'!AB1574+'корпоративный баланс энергии'!AE1574+'корпоративный баланс энергии'!AH1574</f>
        <v>565.92000000000007</v>
      </c>
      <c r="K1565" s="246"/>
      <c r="L1565" s="282"/>
      <c r="M1565" s="244">
        <f>'корпоративный баланс энергии'!AK1574+'корпоративный баланс энергии'!AN1574+'корпоративный баланс энергии'!AQ1574</f>
        <v>993.59999999999991</v>
      </c>
      <c r="N1565" s="246"/>
      <c r="O1565" s="282"/>
      <c r="P1565" s="244">
        <f>D1565+G1565+J1565+M1565</f>
        <v>3222</v>
      </c>
      <c r="Q1565" s="246"/>
      <c r="R1565" s="282"/>
      <c r="S1565"/>
      <c r="T1565"/>
    </row>
    <row r="1566" spans="2:24" s="24" customFormat="1">
      <c r="B1566" s="138" t="s">
        <v>174</v>
      </c>
      <c r="C1566" s="488"/>
      <c r="D1566" s="287">
        <f>SUM(D1567:D1570)</f>
        <v>223.20859999999999</v>
      </c>
      <c r="E1566" s="288"/>
      <c r="F1566" s="289"/>
      <c r="G1566" s="287">
        <f>SUM(G1567:G1570)</f>
        <v>106.4889</v>
      </c>
      <c r="H1566" s="288"/>
      <c r="I1566" s="289"/>
      <c r="J1566" s="287">
        <f>SUM(J1567:J1570)</f>
        <v>60.5244</v>
      </c>
      <c r="K1566" s="288"/>
      <c r="L1566" s="289"/>
      <c r="M1566" s="287">
        <f>SUM(M1567:M1570)</f>
        <v>169.32800000000003</v>
      </c>
      <c r="N1566" s="288"/>
      <c r="O1566" s="289"/>
      <c r="P1566" s="287">
        <f>SUM(P1567:P1570)</f>
        <v>559.54989999999998</v>
      </c>
      <c r="Q1566" s="288"/>
      <c r="R1566" s="289"/>
      <c r="S1566"/>
      <c r="T1566"/>
    </row>
    <row r="1567" spans="2:24" s="24" customFormat="1">
      <c r="B1567" s="145" t="str">
        <f>'корпоративный баланс энергии'!H1576</f>
        <v>ТЭЦ (ООО"Юргинский машзавод")</v>
      </c>
      <c r="C1567" s="518" t="s">
        <v>365</v>
      </c>
      <c r="D1567" s="293">
        <f>'корпоративный баланс энергии'!J1576+'корпоративный баланс энергии'!M1576+'корпоративный баланс энергии'!P1576</f>
        <v>85.5</v>
      </c>
      <c r="E1567" s="288"/>
      <c r="F1567" s="289"/>
      <c r="G1567" s="294">
        <f>'корпоративный баланс энергии'!S1576+'корпоративный баланс энергии'!V1576+'корпоративный баланс энергии'!Y1576</f>
        <v>35</v>
      </c>
      <c r="H1567" s="288"/>
      <c r="I1567" s="289"/>
      <c r="J1567" s="294">
        <f>'корпоративный баланс энергии'!AB1576+'корпоративный баланс энергии'!AE1576+'корпоративный баланс энергии'!AH1576</f>
        <v>11</v>
      </c>
      <c r="K1567" s="288"/>
      <c r="L1567" s="289"/>
      <c r="M1567" s="294">
        <f>'корпоративный баланс энергии'!AK1576+'корпоративный баланс энергии'!AN1576+'корпоративный баланс энергии'!AQ1576</f>
        <v>79</v>
      </c>
      <c r="N1567" s="288"/>
      <c r="O1567" s="289"/>
      <c r="P1567" s="294">
        <f>D1567+G1567+J1567+M1567</f>
        <v>210.5</v>
      </c>
      <c r="Q1567" s="288"/>
      <c r="R1567" s="289"/>
      <c r="S1567"/>
      <c r="T1567"/>
    </row>
    <row r="1568" spans="2:24" s="24" customFormat="1">
      <c r="B1568" s="145" t="str">
        <f>'корпоративный баланс энергии'!H1577</f>
        <v>Центральная ТЭЦ (ООО "Центральная ТЭЦ" (ТЭЦ ОАО "НКМК"))</v>
      </c>
      <c r="C1568" s="518" t="s">
        <v>365</v>
      </c>
      <c r="D1568" s="293">
        <f>'корпоративный баланс энергии'!J1577+'корпоративный баланс энергии'!M1577+'корпоративный баланс энергии'!P1577</f>
        <v>99.900599999999983</v>
      </c>
      <c r="E1568" s="288"/>
      <c r="F1568" s="289"/>
      <c r="G1568" s="294">
        <f>'корпоративный баланс энергии'!S1577+'корпоративный баланс энергии'!V1577+'корпоративный баланс энергии'!Y1577</f>
        <v>37.640900000000002</v>
      </c>
      <c r="H1568" s="288"/>
      <c r="I1568" s="289"/>
      <c r="J1568" s="294">
        <f>'корпоративный баланс энергии'!AB1577+'корпоративный баланс энергии'!AE1577+'корпоративный баланс энергии'!AH1577</f>
        <v>19.538399999999999</v>
      </c>
      <c r="K1568" s="288"/>
      <c r="L1568" s="289"/>
      <c r="M1568" s="294">
        <f>'корпоративный баланс энергии'!AK1577+'корпоративный баланс энергии'!AN1577+'корпоративный баланс энергии'!AQ1577</f>
        <v>52.992000000000004</v>
      </c>
      <c r="N1568" s="288"/>
      <c r="O1568" s="289"/>
      <c r="P1568" s="294">
        <f>D1568+G1568+J1568+M1568</f>
        <v>210.07189999999997</v>
      </c>
      <c r="Q1568" s="288"/>
      <c r="R1568" s="289"/>
      <c r="S1568"/>
      <c r="T1568"/>
    </row>
    <row r="1569" spans="2:20" s="24" customFormat="1">
      <c r="B1569" s="145" t="str">
        <f>'корпоративный баланс энергии'!H1578</f>
        <v>ОАО "Каскад-Энерго"</v>
      </c>
      <c r="C1569" s="499"/>
      <c r="D1569" s="293">
        <f>'корпоративный баланс энергии'!J1578+'корпоративный баланс энергии'!M1578+'корпоративный баланс энергии'!P1578</f>
        <v>11.600000000000001</v>
      </c>
      <c r="E1569" s="288"/>
      <c r="F1569" s="289"/>
      <c r="G1569" s="294">
        <f>'корпоративный баланс энергии'!S1578+'корпоративный баланс энергии'!V1578+'корпоративный баланс энергии'!Y1578</f>
        <v>7.6400000000000006</v>
      </c>
      <c r="H1569" s="288"/>
      <c r="I1569" s="289"/>
      <c r="J1569" s="294">
        <f>'корпоративный баланс энергии'!AB1578+'корпоративный баланс энергии'!AE1578+'корпоративный баланс энергии'!AH1578</f>
        <v>3.49</v>
      </c>
      <c r="K1569" s="288"/>
      <c r="L1569" s="289"/>
      <c r="M1569" s="294">
        <f>'корпоративный баланс энергии'!AK1578+'корпоративный баланс энергии'!AN1578+'корпоративный баланс энергии'!AQ1578</f>
        <v>10.84</v>
      </c>
      <c r="N1569" s="288"/>
      <c r="O1569" s="289"/>
      <c r="P1569" s="294">
        <f>D1569+G1569+J1569+M1569</f>
        <v>33.570000000000007</v>
      </c>
      <c r="Q1569" s="288"/>
      <c r="R1569" s="289"/>
      <c r="S1569"/>
      <c r="T1569"/>
    </row>
    <row r="1570" spans="2:20" s="24" customFormat="1">
      <c r="B1570" s="145" t="str">
        <f>'корпоративный баланс энергии'!H1579</f>
        <v>КЭС "Кокс" (ПАО "Кокс")</v>
      </c>
      <c r="C1570" s="499"/>
      <c r="D1570" s="293">
        <f>'корпоративный баланс энергии'!J1579+'корпоративный баланс энергии'!M1579+'корпоративный баланс энергии'!P1579</f>
        <v>26.208000000000002</v>
      </c>
      <c r="E1570" s="288"/>
      <c r="F1570" s="289"/>
      <c r="G1570" s="294">
        <f>'корпоративный баланс энергии'!S1579+'корпоративный баланс энергии'!V1579+'корпоративный баланс энергии'!Y1579</f>
        <v>26.208000000000002</v>
      </c>
      <c r="H1570" s="288"/>
      <c r="I1570" s="289"/>
      <c r="J1570" s="294">
        <f>'корпоративный баланс энергии'!AB1579+'корпоративный баланс энергии'!AE1579+'корпоративный баланс энергии'!AH1579</f>
        <v>26.496000000000002</v>
      </c>
      <c r="K1570" s="288"/>
      <c r="L1570" s="289"/>
      <c r="M1570" s="294">
        <f>'корпоративный баланс энергии'!AK1579+'корпоративный баланс энергии'!AN1579+'корпоративный баланс энергии'!AQ1579</f>
        <v>26.496000000000002</v>
      </c>
      <c r="N1570" s="288"/>
      <c r="O1570" s="289"/>
      <c r="P1570" s="294">
        <f>D1570+G1570+J1570+M1570</f>
        <v>105.40800000000002</v>
      </c>
      <c r="Q1570" s="288"/>
      <c r="R1570" s="289"/>
      <c r="S1570"/>
      <c r="T1570"/>
    </row>
    <row r="1571" spans="2:20" s="24" customFormat="1" ht="18.75">
      <c r="B1571" s="474" t="str">
        <f>'корпоративный баланс энергии'!H1580</f>
        <v>Энергосистема Красноярского края и Республики Тыва (в границах Красноярского края)</v>
      </c>
      <c r="C1571" s="501"/>
      <c r="D1571" s="274">
        <f>SUM(D1572:D1574)</f>
        <v>15684.130023025855</v>
      </c>
      <c r="E1571" s="275">
        <f>F1571-D1571</f>
        <v>-2761.4274190800115</v>
      </c>
      <c r="F1571" s="276">
        <f>'корпоративный баланс энергии'!L1580+'корпоративный баланс энергии'!O1580+'корпоративный баланс энергии'!R1580</f>
        <v>12922.702603945843</v>
      </c>
      <c r="G1571" s="274">
        <f>SUM(G1572:G1574)</f>
        <v>14160.997661855754</v>
      </c>
      <c r="H1571" s="275">
        <f>I1571-G1571</f>
        <v>-2842.3261540793537</v>
      </c>
      <c r="I1571" s="276">
        <f>'корпоративный баланс энергии'!U1580+'корпоративный баланс энергии'!X1580+'корпоративный баланс энергии'!AA1580</f>
        <v>11318.6715077764</v>
      </c>
      <c r="J1571" s="274">
        <f>SUM(J1572:J1574)</f>
        <v>13909.867566387371</v>
      </c>
      <c r="K1571" s="275">
        <f>L1571-J1571</f>
        <v>-3023.525822338348</v>
      </c>
      <c r="L1571" s="276">
        <f>'корпоративный баланс энергии'!AD1580+'корпоративный баланс энергии'!AG1580+'корпоративный баланс энергии'!AJ1580</f>
        <v>10886.341744049023</v>
      </c>
      <c r="M1571" s="274">
        <f>SUM(M1572:M1574)</f>
        <v>16481.355582154585</v>
      </c>
      <c r="N1571" s="275">
        <f>O1571-M1571</f>
        <v>-3645.0714379258534</v>
      </c>
      <c r="O1571" s="276">
        <f>'корпоративный баланс энергии'!AM1580+'корпоративный баланс энергии'!AP1580+'корпоративный баланс энергии'!AS1580</f>
        <v>12836.284144228732</v>
      </c>
      <c r="P1571" s="274">
        <f>SUM(P1572:P1574)</f>
        <v>60236.350833423559</v>
      </c>
      <c r="Q1571" s="275">
        <f>R1571-P1571</f>
        <v>-12272.350833423559</v>
      </c>
      <c r="R1571" s="276">
        <f>F1571+I1571+L1571+O1571</f>
        <v>47964</v>
      </c>
      <c r="S1571"/>
      <c r="T1571"/>
    </row>
    <row r="1572" spans="2:20" s="24" customFormat="1">
      <c r="B1572" s="126" t="s">
        <v>56</v>
      </c>
      <c r="C1572" s="500"/>
      <c r="D1572" s="270">
        <f>SUM(D1575,D1578:D1582,D1585:D1586)</f>
        <v>7451.2364293334949</v>
      </c>
      <c r="E1572" s="271"/>
      <c r="F1572" s="224"/>
      <c r="G1572" s="270">
        <f>SUM(G1575,G1578:G1582,G1585:G1586)</f>
        <v>4753.2372987722665</v>
      </c>
      <c r="H1572" s="271"/>
      <c r="I1572" s="224"/>
      <c r="J1572" s="270">
        <f>SUM(J1575,J1578:J1582,J1585:J1586)</f>
        <v>3162.6068357999998</v>
      </c>
      <c r="K1572" s="271"/>
      <c r="L1572" s="224"/>
      <c r="M1572" s="270">
        <f>SUM(M1575,M1578:M1582,M1585:M1586)</f>
        <v>7357.9395613731731</v>
      </c>
      <c r="N1572" s="271"/>
      <c r="O1572" s="224"/>
      <c r="P1572" s="270">
        <f>SUM(P1575,P1578:P1582,P1585:P1586)</f>
        <v>22725.020125278934</v>
      </c>
      <c r="Q1572" s="271"/>
      <c r="R1572" s="364"/>
      <c r="S1572"/>
      <c r="T1572"/>
    </row>
    <row r="1573" spans="2:20" s="24" customFormat="1">
      <c r="B1573" s="126" t="s">
        <v>55</v>
      </c>
      <c r="C1573" s="500"/>
      <c r="D1573" s="270">
        <f>SUM(D1590:D1592)</f>
        <v>7254.0974936923603</v>
      </c>
      <c r="E1573" s="271"/>
      <c r="F1573" s="224"/>
      <c r="G1573" s="270">
        <f>SUM(G1590:G1592)</f>
        <v>8489.2285630834867</v>
      </c>
      <c r="H1573" s="271"/>
      <c r="I1573" s="224"/>
      <c r="J1573" s="270">
        <f>SUM(J1590:J1592)</f>
        <v>9853.9909305873716</v>
      </c>
      <c r="K1573" s="271"/>
      <c r="L1573" s="224"/>
      <c r="M1573" s="270">
        <f>SUM(M1590:M1592)</f>
        <v>8166.6302807814118</v>
      </c>
      <c r="N1573" s="271"/>
      <c r="O1573" s="224"/>
      <c r="P1573" s="270">
        <f>SUM(P1590:P1592)</f>
        <v>33763.947268144628</v>
      </c>
      <c r="Q1573" s="271"/>
      <c r="R1573" s="364"/>
      <c r="S1573"/>
      <c r="T1573"/>
    </row>
    <row r="1574" spans="2:20" s="24" customFormat="1">
      <c r="B1574" s="124" t="s">
        <v>184</v>
      </c>
      <c r="C1574" s="497"/>
      <c r="D1574" s="270">
        <f>D1593</f>
        <v>978.79610000000002</v>
      </c>
      <c r="E1574" s="271"/>
      <c r="F1574" s="224"/>
      <c r="G1574" s="270">
        <f>G1593</f>
        <v>918.53180000000009</v>
      </c>
      <c r="H1574" s="271"/>
      <c r="I1574" s="224"/>
      <c r="J1574" s="270">
        <f>J1593</f>
        <v>893.26980000000003</v>
      </c>
      <c r="K1574" s="271"/>
      <c r="L1574" s="224"/>
      <c r="M1574" s="270">
        <f>M1593</f>
        <v>956.78574000000003</v>
      </c>
      <c r="N1574" s="271"/>
      <c r="O1574" s="224"/>
      <c r="P1574" s="270">
        <f>P1593</f>
        <v>3747.3834399999996</v>
      </c>
      <c r="Q1574" s="271"/>
      <c r="R1574" s="364"/>
      <c r="S1574"/>
      <c r="T1574"/>
    </row>
    <row r="1575" spans="2:20" s="24" customFormat="1">
      <c r="B1575" s="147" t="str">
        <f>'корпоративный баланс энергии'!H1584</f>
        <v>Назаровская ГРЭС (АО Назаровская ГРЭС)</v>
      </c>
      <c r="C1575" s="516" t="s">
        <v>364</v>
      </c>
      <c r="D1575" s="317">
        <f>SUM(D1576:D1577)</f>
        <v>1429.9558420000001</v>
      </c>
      <c r="E1575" s="323"/>
      <c r="F1575" s="324"/>
      <c r="G1575" s="317">
        <f>SUM(G1576:G1577)</f>
        <v>957.02942899999994</v>
      </c>
      <c r="H1575" s="323"/>
      <c r="I1575" s="324"/>
      <c r="J1575" s="317">
        <f>SUM(J1576:J1577)</f>
        <v>610.81562200000008</v>
      </c>
      <c r="K1575" s="323"/>
      <c r="L1575" s="324"/>
      <c r="M1575" s="317">
        <f>SUM(M1576:M1577)</f>
        <v>1425.047084</v>
      </c>
      <c r="N1575" s="323"/>
      <c r="O1575" s="324"/>
      <c r="P1575" s="317">
        <f>SUM(P1576:P1577)</f>
        <v>4422.8479770000004</v>
      </c>
      <c r="Q1575" s="323"/>
      <c r="R1575" s="324"/>
      <c r="S1575"/>
      <c r="T1575"/>
    </row>
    <row r="1576" spans="2:20" s="24" customFormat="1">
      <c r="B1576" s="125" t="str">
        <f>'корпоративный баланс энергии'!H1585</f>
        <v>Назаровская ГРЭС (АО Назаровская ГРЭС)</v>
      </c>
      <c r="C1576" s="502"/>
      <c r="D1576" s="281">
        <f>'корпоративный баланс энергии'!J1585+'корпоративный баланс энергии'!M1585+'корпоративный баланс энергии'!P1585</f>
        <v>1251.5908180000001</v>
      </c>
      <c r="E1576" s="246"/>
      <c r="F1576" s="282"/>
      <c r="G1576" s="244">
        <f>'корпоративный баланс энергии'!S1585+'корпоративный баланс энергии'!V1585+'корпоративный баланс энергии'!Y1585</f>
        <v>816.03053299999999</v>
      </c>
      <c r="H1576" s="246"/>
      <c r="I1576" s="282"/>
      <c r="J1576" s="244">
        <f>'корпоративный баланс энергии'!AB1585+'корпоративный баланс энергии'!AE1585+'корпоративный баланс энергии'!AH1585</f>
        <v>449.38133000000005</v>
      </c>
      <c r="K1576" s="246"/>
      <c r="L1576" s="282"/>
      <c r="M1576" s="244">
        <f>'корпоративный баланс энергии'!AK1585+'корпоративный баланс энергии'!AN1585+'корпоративный баланс энергии'!AQ1585</f>
        <v>964.66938800000003</v>
      </c>
      <c r="N1576" s="246"/>
      <c r="O1576" s="282"/>
      <c r="P1576" s="244">
        <f t="shared" ref="P1576:P1581" si="128">D1576+G1576+J1576+M1576</f>
        <v>3481.6720690000002</v>
      </c>
      <c r="Q1576" s="246"/>
      <c r="R1576" s="282"/>
      <c r="S1576"/>
      <c r="T1576"/>
    </row>
    <row r="1577" spans="2:20" s="24" customFormat="1">
      <c r="B1577" s="125" t="str">
        <f>'корпоративный баланс энергии'!H1586</f>
        <v>Назаровская ГРЭС (АО Назаровская ГРЭС) Бл № 7 реконструкц ДПМ 01.04.2014</v>
      </c>
      <c r="C1577" s="502"/>
      <c r="D1577" s="281">
        <f>'корпоративный баланс энергии'!J1586+'корпоративный баланс энергии'!M1586+'корпоративный баланс энергии'!P1586</f>
        <v>178.36502400000001</v>
      </c>
      <c r="E1577" s="246"/>
      <c r="F1577" s="282"/>
      <c r="G1577" s="244">
        <f>'корпоративный баланс энергии'!S1586+'корпоративный баланс энергии'!V1586+'корпоративный баланс энергии'!Y1586</f>
        <v>140.998896</v>
      </c>
      <c r="H1577" s="246"/>
      <c r="I1577" s="282"/>
      <c r="J1577" s="244">
        <f>'корпоративный баланс энергии'!AB1586+'корпоративный баланс энергии'!AE1586+'корпоративный баланс энергии'!AH1586</f>
        <v>161.434292</v>
      </c>
      <c r="K1577" s="246"/>
      <c r="L1577" s="282"/>
      <c r="M1577" s="244">
        <f>'корпоративный баланс энергии'!AK1586+'корпоративный баланс энергии'!AN1586+'корпоративный баланс энергии'!AQ1586</f>
        <v>460.37769599999996</v>
      </c>
      <c r="N1577" s="246"/>
      <c r="O1577" s="282"/>
      <c r="P1577" s="244">
        <f t="shared" si="128"/>
        <v>941.17590799999994</v>
      </c>
      <c r="Q1577" s="246"/>
      <c r="R1577" s="282"/>
      <c r="S1577"/>
      <c r="T1577"/>
    </row>
    <row r="1578" spans="2:20" s="24" customFormat="1">
      <c r="B1578" s="125" t="str">
        <f>'корпоративный баланс энергии'!H1587</f>
        <v>Красноярская ТЭЦ-1 (АО "Красноярская ТЭЦ-1")</v>
      </c>
      <c r="C1578" s="516" t="s">
        <v>364</v>
      </c>
      <c r="D1578" s="281">
        <f>'корпоративный баланс энергии'!J1587+'корпоративный баланс энергии'!M1587+'корпоративный баланс энергии'!P1587</f>
        <v>602.90393999999992</v>
      </c>
      <c r="E1578" s="246"/>
      <c r="F1578" s="282"/>
      <c r="G1578" s="244">
        <f>'корпоративный баланс энергии'!S1587+'корпоративный баланс энергии'!V1587+'корпоративный баланс энергии'!Y1587</f>
        <v>451.41933</v>
      </c>
      <c r="H1578" s="246"/>
      <c r="I1578" s="282"/>
      <c r="J1578" s="244">
        <f>'корпоративный баланс энергии'!AB1587+'корпоративный баланс энергии'!AE1587+'корпоративный баланс энергии'!AH1587</f>
        <v>251.60134400000001</v>
      </c>
      <c r="K1578" s="246"/>
      <c r="L1578" s="282"/>
      <c r="M1578" s="244">
        <f>'корпоративный баланс энергии'!AK1587+'корпоративный баланс энергии'!AN1587+'корпоративный баланс энергии'!AQ1587</f>
        <v>647.83970999999997</v>
      </c>
      <c r="N1578" s="246"/>
      <c r="O1578" s="282"/>
      <c r="P1578" s="244">
        <f t="shared" si="128"/>
        <v>1953.7643239999998</v>
      </c>
      <c r="Q1578" s="246"/>
      <c r="R1578" s="282"/>
      <c r="S1578"/>
      <c r="T1578"/>
    </row>
    <row r="1579" spans="2:20" s="109" customFormat="1">
      <c r="B1579" s="125" t="str">
        <f>'корпоративный баланс энергии'!H1588</f>
        <v>Красноярская ТЭЦ-2 (АО "Енисейская ТГК (ТГК-13)")</v>
      </c>
      <c r="C1579" s="516" t="s">
        <v>364</v>
      </c>
      <c r="D1579" s="281">
        <f>'корпоративный баланс энергии'!J1588+'корпоративный баланс энергии'!M1588+'корпоративный баланс энергии'!P1588</f>
        <v>842.63479933333406</v>
      </c>
      <c r="E1579" s="246"/>
      <c r="F1579" s="282"/>
      <c r="G1579" s="244">
        <f>'корпоративный баланс энергии'!S1588+'корпоративный баланс энергии'!V1588+'корпоративный баланс энергии'!Y1588</f>
        <v>538.77230966666696</v>
      </c>
      <c r="H1579" s="246"/>
      <c r="I1579" s="282"/>
      <c r="J1579" s="244">
        <f>'корпоративный баланс энергии'!AB1588+'корпоративный баланс энергии'!AE1588+'корпоративный баланс энергии'!AH1588</f>
        <v>336.36297200000001</v>
      </c>
      <c r="K1579" s="246"/>
      <c r="L1579" s="282"/>
      <c r="M1579" s="244">
        <f>'корпоративный баланс энергии'!AK1588+'корпоративный баланс энергии'!AN1588+'корпоративный баланс энергии'!AQ1588</f>
        <v>794.71839133333299</v>
      </c>
      <c r="N1579" s="246"/>
      <c r="O1579" s="282"/>
      <c r="P1579" s="244">
        <f t="shared" si="128"/>
        <v>2512.4884723333339</v>
      </c>
      <c r="Q1579" s="246"/>
      <c r="R1579" s="282"/>
      <c r="S1579"/>
      <c r="T1579"/>
    </row>
    <row r="1580" spans="2:20" s="24" customFormat="1">
      <c r="B1580" s="125" t="str">
        <f>'корпоративный баланс энергии'!H1589</f>
        <v>Красноярская ТЭЦ-3 (АО "Енисейская ТГК (ТГК-13)")</v>
      </c>
      <c r="C1580" s="516" t="s">
        <v>364</v>
      </c>
      <c r="D1580" s="281">
        <f>'корпоративный баланс энергии'!J1589+'корпоративный баланс энергии'!M1589+'корпоративный баланс энергии'!P1589</f>
        <v>333.48353600000002</v>
      </c>
      <c r="E1580" s="246"/>
      <c r="F1580" s="282"/>
      <c r="G1580" s="244">
        <f>'корпоративный баланс энергии'!S1589+'корпоративный баланс энергии'!V1589+'корпоративный баланс энергии'!Y1589</f>
        <v>235.965318</v>
      </c>
      <c r="H1580" s="246"/>
      <c r="I1580" s="282"/>
      <c r="J1580" s="244">
        <f>'корпоративный баланс энергии'!AB1589+'корпоративный баланс энергии'!AE1589+'корпоративный баланс энергии'!AH1589</f>
        <v>24.579782999999999</v>
      </c>
      <c r="K1580" s="246"/>
      <c r="L1580" s="282"/>
      <c r="M1580" s="244">
        <f>'корпоративный баланс энергии'!AK1589+'корпоративный баланс энергии'!AN1589+'корпоративный баланс энергии'!AQ1589</f>
        <v>284.40603499999997</v>
      </c>
      <c r="N1580" s="246"/>
      <c r="O1580" s="282"/>
      <c r="P1580" s="244">
        <f t="shared" si="128"/>
        <v>878.43467199999998</v>
      </c>
      <c r="Q1580" s="246"/>
      <c r="R1580" s="282"/>
      <c r="S1580"/>
      <c r="T1580"/>
    </row>
    <row r="1581" spans="2:20" s="24" customFormat="1">
      <c r="B1581" s="125" t="str">
        <f>'корпоративный баланс энергии'!H1590</f>
        <v>Минусинская ТЭЦ (АО "Енисейская ТГК (ТГК-13)")</v>
      </c>
      <c r="C1581" s="516" t="s">
        <v>364</v>
      </c>
      <c r="D1581" s="281">
        <f>'корпоративный баланс энергии'!J1590+'корпоративный баланс энергии'!M1590+'корпоративный баланс энергии'!P1590</f>
        <v>173.08036999999999</v>
      </c>
      <c r="E1581" s="246"/>
      <c r="F1581" s="282"/>
      <c r="G1581" s="244">
        <f>'корпоративный баланс энергии'!S1590+'корпоративный баланс энергии'!V1590+'корпоративный баланс энергии'!Y1590</f>
        <v>100.38821999999999</v>
      </c>
      <c r="H1581" s="246"/>
      <c r="I1581" s="282"/>
      <c r="J1581" s="244">
        <f>'корпоративный баланс энергии'!AB1590+'корпоративный баланс энергии'!AE1590+'корпоративный баланс энергии'!AH1590</f>
        <v>85.300530000000009</v>
      </c>
      <c r="K1581" s="246"/>
      <c r="L1581" s="282"/>
      <c r="M1581" s="244">
        <f>'корпоративный баланс энергии'!AK1590+'корпоративный баланс энергии'!AN1590+'корпоративный баланс энергии'!AQ1590</f>
        <v>174.87926300000001</v>
      </c>
      <c r="N1581" s="246"/>
      <c r="O1581" s="282"/>
      <c r="P1581" s="244">
        <f t="shared" si="128"/>
        <v>533.64838299999997</v>
      </c>
      <c r="Q1581" s="246"/>
      <c r="R1581" s="282"/>
      <c r="S1581"/>
      <c r="T1581"/>
    </row>
    <row r="1582" spans="2:20" s="24" customFormat="1">
      <c r="B1582" s="141" t="str">
        <f>'корпоративный баланс энергии'!H1591</f>
        <v>Канская ТЭЦ (АО "Канская ТЭЦ")</v>
      </c>
      <c r="C1582" s="516" t="s">
        <v>364</v>
      </c>
      <c r="D1582" s="317">
        <f>SUM(D1583:D1584)</f>
        <v>46.887941999999995</v>
      </c>
      <c r="E1582" s="246"/>
      <c r="F1582" s="282"/>
      <c r="G1582" s="317">
        <f>SUM(G1583:G1584)</f>
        <v>21.242691999999998</v>
      </c>
      <c r="H1582" s="246"/>
      <c r="I1582" s="282"/>
      <c r="J1582" s="317">
        <f>SUM(J1583:J1584)</f>
        <v>11.82658</v>
      </c>
      <c r="K1582" s="246"/>
      <c r="L1582" s="282"/>
      <c r="M1582" s="317">
        <f>SUM(M1583:M1584)</f>
        <v>40.979078999999999</v>
      </c>
      <c r="N1582" s="246"/>
      <c r="O1582" s="282"/>
      <c r="P1582" s="317">
        <f>SUM(P1583:P1584)</f>
        <v>120.93629300000001</v>
      </c>
      <c r="Q1582" s="246"/>
      <c r="R1582" s="282"/>
      <c r="S1582"/>
      <c r="T1582"/>
    </row>
    <row r="1583" spans="2:20" s="110" customFormat="1">
      <c r="B1583" s="125" t="str">
        <f>'корпоративный баланс энергии'!H1592</f>
        <v>Канская ТЭЦ (АО "Канская ТЭЦ")</v>
      </c>
      <c r="C1583" s="502"/>
      <c r="D1583" s="281">
        <f>'корпоративный баланс энергии'!J1592+'корпоративный баланс энергии'!M1592+'корпоративный баланс энергии'!P1592</f>
        <v>23.204709999999999</v>
      </c>
      <c r="E1583" s="246"/>
      <c r="F1583" s="282"/>
      <c r="G1583" s="244">
        <f>'корпоративный баланс энергии'!S1592+'корпоративный баланс энергии'!V1592+'корпоративный баланс энергии'!Y1592</f>
        <v>13.356562</v>
      </c>
      <c r="H1583" s="246"/>
      <c r="I1583" s="282"/>
      <c r="J1583" s="244">
        <f>'корпоративный баланс энергии'!AB1592+'корпоративный баланс энергии'!AE1592+'корпоративный баланс энергии'!AH1592</f>
        <v>11.82658</v>
      </c>
      <c r="K1583" s="246"/>
      <c r="L1583" s="282"/>
      <c r="M1583" s="244">
        <f>'корпоративный баланс энергии'!AK1592+'корпоративный баланс энергии'!AN1592+'корпоративный баланс энергии'!AQ1592</f>
        <v>22.056000000000001</v>
      </c>
      <c r="N1583" s="246"/>
      <c r="O1583" s="282"/>
      <c r="P1583" s="244">
        <f>D1583+G1583+J1583+M1583</f>
        <v>70.443852000000007</v>
      </c>
      <c r="Q1583" s="246"/>
      <c r="R1583" s="282"/>
      <c r="S1583"/>
      <c r="T1583"/>
    </row>
    <row r="1584" spans="2:20" s="113" customFormat="1">
      <c r="B1584" s="125" t="str">
        <f>'корпоративный баланс энергии'!H1593</f>
        <v>Канская ТЭЦ (АО "Канская ТЭЦ") Бл №2 НВ 01.07.2009</v>
      </c>
      <c r="C1584" s="502"/>
      <c r="D1584" s="281">
        <f>'корпоративный баланс энергии'!J1593+'корпоративный баланс энергии'!M1593+'корпоративный баланс энергии'!P1593</f>
        <v>23.683232</v>
      </c>
      <c r="E1584" s="246"/>
      <c r="F1584" s="282"/>
      <c r="G1584" s="244">
        <f>'корпоративный баланс энергии'!S1593+'корпоративный баланс энергии'!V1593+'корпоративный баланс энергии'!Y1593</f>
        <v>7.8861299999999996</v>
      </c>
      <c r="H1584" s="246"/>
      <c r="I1584" s="282"/>
      <c r="J1584" s="244">
        <f>'корпоративный баланс энергии'!AB1593+'корпоративный баланс энергии'!AE1593+'корпоративный баланс энергии'!AH1593</f>
        <v>0</v>
      </c>
      <c r="K1584" s="246"/>
      <c r="L1584" s="282"/>
      <c r="M1584" s="244">
        <f>'корпоративный баланс энергии'!AK1593+'корпоративный баланс энергии'!AN1593+'корпоративный баланс энергии'!AQ1593</f>
        <v>18.923079000000001</v>
      </c>
      <c r="N1584" s="246"/>
      <c r="O1584" s="282"/>
      <c r="P1584" s="244">
        <f>D1584+G1584+J1584+M1584</f>
        <v>50.492440999999999</v>
      </c>
      <c r="Q1584" s="246"/>
      <c r="R1584" s="282"/>
      <c r="S1584"/>
      <c r="T1584"/>
    </row>
    <row r="1585" spans="2:20" s="24" customFormat="1">
      <c r="B1585" s="125" t="str">
        <f>'корпоративный баланс энергии'!H1594</f>
        <v>Красноярская ГРЭС-2 (филиал ПАО "ОГК-2")</v>
      </c>
      <c r="C1585" s="516" t="s">
        <v>364</v>
      </c>
      <c r="D1585" s="281">
        <f>'корпоративный баланс энергии'!J1594+'корпоративный баланс энергии'!M1594+'корпоративный баланс энергии'!P1594</f>
        <v>1524.0000000001601</v>
      </c>
      <c r="E1585" s="246"/>
      <c r="F1585" s="282"/>
      <c r="G1585" s="244">
        <f>'корпоративный баланс энергии'!S1594+'корпоративный баланс энергии'!V1594+'корпоративный баланс энергии'!Y1594</f>
        <v>996.42</v>
      </c>
      <c r="H1585" s="246"/>
      <c r="I1585" s="282"/>
      <c r="J1585" s="244">
        <f>'корпоративный баланс энергии'!AB1594+'корпоративный баланс энергии'!AE1594+'корпоративный баланс энергии'!AH1594</f>
        <v>1060.24</v>
      </c>
      <c r="K1585" s="246"/>
      <c r="L1585" s="282"/>
      <c r="M1585" s="244">
        <f>'корпоративный баланс энергии'!AK1594+'корпоративный баланс энергии'!AN1594+'корпоративный баланс энергии'!AQ1594</f>
        <v>1573.14999999984</v>
      </c>
      <c r="N1585" s="246"/>
      <c r="O1585" s="282"/>
      <c r="P1585" s="244">
        <f>D1585+G1585+J1585+M1585</f>
        <v>5153.8099999999995</v>
      </c>
      <c r="Q1585" s="246"/>
      <c r="R1585" s="282"/>
      <c r="S1585"/>
      <c r="T1585"/>
    </row>
    <row r="1586" spans="2:20" s="24" customFormat="1">
      <c r="B1586" s="141" t="str">
        <f>'корпоративный баланс энергии'!H1595</f>
        <v>Березовская ГРЭС-1 (филиал ПАО "Юнипро")</v>
      </c>
      <c r="C1586" s="516" t="s">
        <v>364</v>
      </c>
      <c r="D1586" s="317">
        <f>SUM(D1587:D1589)</f>
        <v>2498.29</v>
      </c>
      <c r="E1586" s="246"/>
      <c r="F1586" s="282"/>
      <c r="G1586" s="317">
        <f>SUM(G1587:G1589)</f>
        <v>1452.0000001055998</v>
      </c>
      <c r="H1586" s="246"/>
      <c r="I1586" s="282"/>
      <c r="J1586" s="317">
        <f>SUM(J1587:J1589)</f>
        <v>781.88000479999994</v>
      </c>
      <c r="K1586" s="246"/>
      <c r="L1586" s="282"/>
      <c r="M1586" s="317">
        <f>SUM(M1587:M1589)</f>
        <v>2416.9199990400002</v>
      </c>
      <c r="N1586" s="246"/>
      <c r="O1586" s="282"/>
      <c r="P1586" s="317">
        <f>SUM(P1587:P1589)</f>
        <v>7149.0900039455992</v>
      </c>
      <c r="Q1586" s="246"/>
      <c r="R1586" s="282"/>
      <c r="S1586"/>
      <c r="T1586"/>
    </row>
    <row r="1587" spans="2:20" s="110" customFormat="1">
      <c r="B1587" s="125" t="str">
        <f>'корпоративный баланс энергии'!H1596</f>
        <v>Березовская ГРЭС-1 (филиал ПАО "Юнипро") Бл №1 800 МВт отказ от ДПМ 01.11.2011</v>
      </c>
      <c r="C1587" s="486"/>
      <c r="D1587" s="281">
        <f>'корпоративный баланс энергии'!J1596+'корпоративный баланс энергии'!M1596+'корпоративный баланс энергии'!P1596</f>
        <v>933.24</v>
      </c>
      <c r="E1587" s="246"/>
      <c r="F1587" s="282"/>
      <c r="G1587" s="244">
        <f>'корпоративный баланс энергии'!S1596+'корпоративный баланс энергии'!V1596+'корпоративный баланс энергии'!Y1596</f>
        <v>520.79999999999995</v>
      </c>
      <c r="H1587" s="246"/>
      <c r="I1587" s="282"/>
      <c r="J1587" s="244">
        <f>'корпоративный баланс энергии'!AB1596+'корпоративный баланс энергии'!AE1596+'корпоративный баланс энергии'!AH1596</f>
        <v>185.76</v>
      </c>
      <c r="K1587" s="246"/>
      <c r="L1587" s="282"/>
      <c r="M1587" s="244">
        <f>'корпоративный баланс энергии'!AK1596+'корпоративный баланс энергии'!AN1596+'корпоративный баланс энергии'!AQ1596</f>
        <v>1140.39999872</v>
      </c>
      <c r="N1587" s="246"/>
      <c r="O1587" s="282"/>
      <c r="P1587" s="244">
        <f t="shared" ref="P1587:P1592" si="129">D1587+G1587+J1587+M1587</f>
        <v>2780.1999987199997</v>
      </c>
      <c r="Q1587" s="246"/>
      <c r="R1587" s="282"/>
      <c r="S1587"/>
      <c r="T1587"/>
    </row>
    <row r="1588" spans="2:20" s="113" customFormat="1">
      <c r="B1588" s="125" t="str">
        <f>'корпоративный баланс энергии'!H1597</f>
        <v>Березовская ГРЭС-1 (филиал ПАО "Юнипро") Бл №2 800 МВт отказ от ДПМ 01.12.2010</v>
      </c>
      <c r="C1588" s="486"/>
      <c r="D1588" s="281">
        <f>'корпоративный баланс энергии'!J1597+'корпоративный баланс энергии'!M1597+'корпоративный баланс энергии'!P1597</f>
        <v>1167.3599999999999</v>
      </c>
      <c r="E1588" s="246"/>
      <c r="F1588" s="282"/>
      <c r="G1588" s="244">
        <f>'корпоративный баланс энергии'!S1597+'корпоративный баланс энергии'!V1597+'корпоративный баланс энергии'!Y1597</f>
        <v>865.92000010560002</v>
      </c>
      <c r="H1588" s="246"/>
      <c r="I1588" s="282"/>
      <c r="J1588" s="244">
        <f>'корпоративный баланс энергии'!AB1597+'корпоративный баланс энергии'!AE1597+'корпоративный баланс энергии'!AH1597</f>
        <v>454.04</v>
      </c>
      <c r="K1588" s="246"/>
      <c r="L1588" s="282"/>
      <c r="M1588" s="244">
        <f>'корпоративный баланс энергии'!AK1597+'корпоративный баланс энергии'!AN1597+'корпоративный баланс энергии'!AQ1597</f>
        <v>542.48</v>
      </c>
      <c r="N1588" s="246"/>
      <c r="O1588" s="282"/>
      <c r="P1588" s="244">
        <f t="shared" si="129"/>
        <v>3029.8000001055998</v>
      </c>
      <c r="Q1588" s="246"/>
      <c r="R1588" s="282"/>
      <c r="S1588"/>
      <c r="T1588"/>
    </row>
    <row r="1589" spans="2:20" s="113" customFormat="1">
      <c r="B1589" s="125" t="str">
        <f>'корпоративный баланс энергии'!H1598</f>
        <v>Березовская ГРЭС-1 (филиал ПАО "Юнипро") Бл №3 800 МВт НВ, ДПМ 22.09.2015</v>
      </c>
      <c r="C1589" s="486"/>
      <c r="D1589" s="281">
        <f>'корпоративный баланс энергии'!J1598+'корпоративный баланс энергии'!M1598+'корпоративный баланс энергии'!P1598</f>
        <v>397.69</v>
      </c>
      <c r="E1589" s="246"/>
      <c r="F1589" s="282"/>
      <c r="G1589" s="244">
        <f>'корпоративный баланс энергии'!S1598+'корпоративный баланс энергии'!V1598+'корпоративный баланс энергии'!Y1598</f>
        <v>65.28</v>
      </c>
      <c r="H1589" s="246"/>
      <c r="I1589" s="282"/>
      <c r="J1589" s="244">
        <f>'корпоративный баланс энергии'!AB1598+'корпоративный баланс энергии'!AE1598+'корпоративный баланс энергии'!AH1598</f>
        <v>142.08000479999998</v>
      </c>
      <c r="K1589" s="246"/>
      <c r="L1589" s="282"/>
      <c r="M1589" s="244">
        <f>'корпоративный баланс энергии'!AK1598+'корпоративный баланс энергии'!AN1598+'корпоративный баланс энергии'!AQ1598</f>
        <v>734.04000031999999</v>
      </c>
      <c r="N1589" s="246"/>
      <c r="O1589" s="282"/>
      <c r="P1589" s="244">
        <f t="shared" si="129"/>
        <v>1339.0900051200001</v>
      </c>
      <c r="Q1589" s="246"/>
      <c r="R1589" s="282"/>
      <c r="S1589"/>
      <c r="T1589"/>
    </row>
    <row r="1590" spans="2:20" s="113" customFormat="1">
      <c r="B1590" s="125" t="str">
        <f>'корпоративный баланс энергии'!H1599</f>
        <v>Красноярская ГЭС (Филиал АО "ЕвроСибЭнерго")</v>
      </c>
      <c r="C1590" s="516" t="s">
        <v>364</v>
      </c>
      <c r="D1590" s="281">
        <f>'корпоративный баланс энергии'!J1599+'корпоративный баланс энергии'!M1599+'корпоративный баланс энергии'!P1599</f>
        <v>3617.6059999361505</v>
      </c>
      <c r="E1590" s="246"/>
      <c r="F1590" s="282"/>
      <c r="G1590" s="244">
        <f>'корпоративный баланс энергии'!S1599+'корпоративный баланс энергии'!V1599+'корпоративный баланс энергии'!Y1599</f>
        <v>4429.222639809057</v>
      </c>
      <c r="H1590" s="246"/>
      <c r="I1590" s="282"/>
      <c r="J1590" s="244">
        <f>'корпоративный баланс энергии'!AB1599+'корпоративный баланс энергии'!AE1599+'корпоративный баланс энергии'!AH1599</f>
        <v>5458.0618616098727</v>
      </c>
      <c r="K1590" s="246"/>
      <c r="L1590" s="282"/>
      <c r="M1590" s="244">
        <f>'корпоративный баланс энергии'!AK1599+'корпоративный баланс энергии'!AN1599+'корпоративный баланс энергии'!AQ1599</f>
        <v>4333.0724449165627</v>
      </c>
      <c r="N1590" s="246"/>
      <c r="O1590" s="282"/>
      <c r="P1590" s="244">
        <f t="shared" si="129"/>
        <v>17837.96294627164</v>
      </c>
      <c r="Q1590" s="246"/>
      <c r="R1590" s="282"/>
      <c r="S1590"/>
      <c r="T1590"/>
    </row>
    <row r="1591" spans="2:20" s="24" customFormat="1">
      <c r="B1591" s="125" t="str">
        <f>'корпоративный баланс энергии'!H1600</f>
        <v>Богучанская ГЭС (ОАО "Богучанская ГЭС")</v>
      </c>
      <c r="C1591" s="516" t="s">
        <v>364</v>
      </c>
      <c r="D1591" s="281">
        <f>'корпоративный баланс энергии'!J1600+'корпоративный баланс энергии'!M1600+'корпоративный баланс энергии'!P1600</f>
        <v>3634.3538119143595</v>
      </c>
      <c r="E1591" s="246"/>
      <c r="F1591" s="282"/>
      <c r="G1591" s="244">
        <f>'корпоративный баланс энергии'!S1600+'корпоративный баланс энергии'!V1600+'корпоративный баланс энергии'!Y1600</f>
        <v>4053.7626197370614</v>
      </c>
      <c r="H1591" s="246"/>
      <c r="I1591" s="282"/>
      <c r="J1591" s="244">
        <f>'корпоративный баланс энергии'!AB1600+'корпоративный баланс энергии'!AE1600+'корпоративный баланс энергии'!AH1600</f>
        <v>4390.6592848845958</v>
      </c>
      <c r="K1591" s="246"/>
      <c r="L1591" s="282"/>
      <c r="M1591" s="244">
        <f>'корпоративный баланс энергии'!AK1600+'корпоративный баланс энергии'!AN1600+'корпоративный баланс энергии'!AQ1600</f>
        <v>3829.1654638527107</v>
      </c>
      <c r="N1591" s="246"/>
      <c r="O1591" s="282"/>
      <c r="P1591" s="244">
        <f t="shared" si="129"/>
        <v>15907.941180388727</v>
      </c>
      <c r="Q1591" s="246"/>
      <c r="R1591" s="282"/>
      <c r="S1591"/>
      <c r="T1591"/>
    </row>
    <row r="1592" spans="2:20" s="24" customFormat="1">
      <c r="B1592" s="125" t="str">
        <f>'корпоративный баланс энергии'!H1601</f>
        <v>Енашиминская ГЭС (ООО "Енашиминская ГЭС")</v>
      </c>
      <c r="C1592" s="519" t="s">
        <v>365</v>
      </c>
      <c r="D1592" s="281">
        <f>'корпоративный баланс энергии'!J1601+'корпоративный баланс энергии'!M1601+'корпоративный баланс энергии'!P1601</f>
        <v>2.1376818418502808</v>
      </c>
      <c r="E1592" s="246"/>
      <c r="F1592" s="282"/>
      <c r="G1592" s="244">
        <f>'корпоративный баланс энергии'!S1601+'корпоративный баланс энергии'!V1601+'корпоративный баланс энергии'!Y1601</f>
        <v>6.2433035373690018</v>
      </c>
      <c r="H1592" s="246"/>
      <c r="I1592" s="282"/>
      <c r="J1592" s="244">
        <f>'корпоративный баланс энергии'!AB1601+'корпоративный баланс энергии'!AE1601+'корпоративный баланс энергии'!AH1601</f>
        <v>5.2697840929031372</v>
      </c>
      <c r="K1592" s="246"/>
      <c r="L1592" s="282"/>
      <c r="M1592" s="244">
        <f>'корпоративный баланс энергии'!AK1601+'корпоративный баланс энергии'!AN1601+'корпоративный баланс энергии'!AQ1601</f>
        <v>4.3923720121388214</v>
      </c>
      <c r="N1592" s="246"/>
      <c r="O1592" s="282"/>
      <c r="P1592" s="244">
        <f t="shared" si="129"/>
        <v>18.043141484261241</v>
      </c>
      <c r="Q1592" s="246"/>
      <c r="R1592" s="282"/>
      <c r="S1592"/>
      <c r="T1592"/>
    </row>
    <row r="1593" spans="2:20" s="24" customFormat="1">
      <c r="B1593" s="138" t="s">
        <v>174</v>
      </c>
      <c r="C1593" s="488"/>
      <c r="D1593" s="287">
        <f>SUM(D1594:D1600)</f>
        <v>978.79610000000002</v>
      </c>
      <c r="E1593" s="288"/>
      <c r="F1593" s="289"/>
      <c r="G1593" s="287">
        <f>SUM(G1594:G1600)</f>
        <v>918.53180000000009</v>
      </c>
      <c r="H1593" s="288"/>
      <c r="I1593" s="289"/>
      <c r="J1593" s="287">
        <f>SUM(J1594:J1600)</f>
        <v>893.26980000000003</v>
      </c>
      <c r="K1593" s="288"/>
      <c r="L1593" s="289"/>
      <c r="M1593" s="287">
        <f>SUM(M1594:M1600)</f>
        <v>956.78574000000003</v>
      </c>
      <c r="N1593" s="288"/>
      <c r="O1593" s="289"/>
      <c r="P1593" s="287">
        <f>SUM(P1594:P1600)</f>
        <v>3747.3834399999996</v>
      </c>
      <c r="Q1593" s="288"/>
      <c r="R1593" s="289"/>
      <c r="S1593"/>
      <c r="T1593"/>
    </row>
    <row r="1594" spans="2:20" s="24" customFormat="1">
      <c r="B1594" s="145" t="str">
        <f>'корпоративный баланс энергии'!H1603</f>
        <v>ТЭЦ ОАО "РУСАЛ-Ачинск"</v>
      </c>
      <c r="C1594" s="518" t="s">
        <v>365</v>
      </c>
      <c r="D1594" s="293">
        <f>'корпоративный баланс энергии'!J1603+'корпоративный баланс энергии'!M1603+'корпоративный баланс энергии'!P1603</f>
        <v>482</v>
      </c>
      <c r="E1594" s="288"/>
      <c r="F1594" s="289"/>
      <c r="G1594" s="294">
        <f>'корпоративный баланс энергии'!S1603+'корпоративный баланс энергии'!V1603+'корпоративный баланс энергии'!Y1603</f>
        <v>452</v>
      </c>
      <c r="H1594" s="288"/>
      <c r="I1594" s="289"/>
      <c r="J1594" s="294">
        <f>'корпоративный баланс энергии'!AB1603+'корпоративный баланс энергии'!AE1603+'корпоративный баланс энергии'!AH1603</f>
        <v>439</v>
      </c>
      <c r="K1594" s="288"/>
      <c r="L1594" s="289"/>
      <c r="M1594" s="294">
        <f>'корпоративный баланс энергии'!AK1603+'корпоративный баланс энергии'!AN1603+'корпоративный баланс энергии'!AQ1603</f>
        <v>470</v>
      </c>
      <c r="N1594" s="288"/>
      <c r="O1594" s="289"/>
      <c r="P1594" s="294">
        <f t="shared" ref="P1594:P1599" si="130">D1594+G1594+J1594+M1594</f>
        <v>1843</v>
      </c>
      <c r="Q1594" s="288"/>
      <c r="R1594" s="289"/>
      <c r="S1594"/>
      <c r="T1594"/>
    </row>
    <row r="1595" spans="2:20" s="24" customFormat="1">
      <c r="B1595" s="145" t="str">
        <f>'корпоративный баланс энергии'!H1604</f>
        <v>Ванкорская ГТЭС (ООО "Ванкорнефть")</v>
      </c>
      <c r="C1595" s="518" t="s">
        <v>365</v>
      </c>
      <c r="D1595" s="293">
        <f>'корпоративный баланс энергии'!J1604+'корпоративный баланс энергии'!M1604+'корпоративный баланс энергии'!P1604</f>
        <v>440.87040000000002</v>
      </c>
      <c r="E1595" s="288"/>
      <c r="F1595" s="289"/>
      <c r="G1595" s="294">
        <f>'корпоративный баланс энергии'!S1604+'корпоративный баланс энергии'!V1604+'корпоративный баланс энергии'!Y1604</f>
        <v>418.2</v>
      </c>
      <c r="H1595" s="288"/>
      <c r="I1595" s="289"/>
      <c r="J1595" s="294">
        <f>'корпоративный баланс энергии'!AB1604+'корпоративный баланс энергии'!AE1604+'корпоративный баланс энергии'!AH1604</f>
        <v>406.36800000000005</v>
      </c>
      <c r="K1595" s="288"/>
      <c r="L1595" s="289"/>
      <c r="M1595" s="294">
        <f>'корпоративный баланс энергии'!AK1604+'корпоративный баланс энергии'!AN1604+'корпоративный баланс энергии'!AQ1604</f>
        <v>426.5</v>
      </c>
      <c r="N1595" s="288"/>
      <c r="O1595" s="289"/>
      <c r="P1595" s="294">
        <f t="shared" si="130"/>
        <v>1691.9384</v>
      </c>
      <c r="Q1595" s="288"/>
      <c r="R1595" s="289"/>
      <c r="S1595"/>
      <c r="T1595"/>
    </row>
    <row r="1596" spans="2:20" s="24" customFormat="1">
      <c r="B1596" s="145" t="str">
        <f>'корпоративный баланс энергии'!H1605</f>
        <v>ТЭЦ ООО "Тепло-Сбыт-Сервис" (ТЭЦ Канского биохимзавода)</v>
      </c>
      <c r="C1596" s="518" t="s">
        <v>365</v>
      </c>
      <c r="D1596" s="293">
        <f>'корпоративный баланс энергии'!J1605+'корпоративный баланс энергии'!M1605+'корпоративный баланс энергии'!P1605</f>
        <v>4.0310000000000006</v>
      </c>
      <c r="E1596" s="288"/>
      <c r="F1596" s="289"/>
      <c r="G1596" s="294">
        <f>'корпоративный баланс энергии'!S1605+'корпоративный баланс энергии'!V1605+'корпоративный баланс энергии'!Y1605</f>
        <v>1.1279999999999999</v>
      </c>
      <c r="H1596" s="288"/>
      <c r="I1596" s="289"/>
      <c r="J1596" s="294">
        <f>'корпоративный баланс энергии'!AB1605+'корпоративный баланс энергии'!AE1605+'корпоративный баланс энергии'!AH1605</f>
        <v>0.124</v>
      </c>
      <c r="K1596" s="288"/>
      <c r="L1596" s="289"/>
      <c r="M1596" s="294">
        <f>'корпоративный баланс энергии'!AK1605+'корпоративный баланс энергии'!AN1605+'корпоративный баланс энергии'!AQ1605</f>
        <v>3.0774400000000002</v>
      </c>
      <c r="N1596" s="288"/>
      <c r="O1596" s="289"/>
      <c r="P1596" s="294">
        <f t="shared" si="130"/>
        <v>8.3604400000000005</v>
      </c>
      <c r="Q1596" s="288"/>
      <c r="R1596" s="289"/>
      <c r="S1596"/>
      <c r="T1596"/>
    </row>
    <row r="1597" spans="2:20" s="24" customFormat="1">
      <c r="B1597" s="145" t="str">
        <f>'корпоративный баланс энергии'!H1606</f>
        <v>ТЭЦ АО "Ачинский НПЗ-ВНК"</v>
      </c>
      <c r="C1597" s="518" t="s">
        <v>365</v>
      </c>
      <c r="D1597" s="293">
        <f>'корпоративный баланс энергии'!J1606+'корпоративный баланс энергии'!M1606+'корпоративный баланс энергии'!P1606</f>
        <v>17.334699999999998</v>
      </c>
      <c r="E1597" s="288"/>
      <c r="F1597" s="289"/>
      <c r="G1597" s="294">
        <f>'корпоративный баланс энергии'!S1606+'корпоративный баланс энергии'!V1606+'корпоративный баланс энергии'!Y1606</f>
        <v>12.259800000000002</v>
      </c>
      <c r="H1597" s="288"/>
      <c r="I1597" s="289"/>
      <c r="J1597" s="294">
        <f>'корпоративный баланс энергии'!AB1606+'корпоративный баланс энергии'!AE1606+'корпоративный баланс энергии'!AH1606</f>
        <v>12.449800000000003</v>
      </c>
      <c r="K1597" s="288"/>
      <c r="L1597" s="289"/>
      <c r="M1597" s="294">
        <f>'корпоративный баланс энергии'!AK1606+'корпоративный баланс энергии'!AN1606+'корпоративный баланс энергии'!AQ1606</f>
        <v>21.880299999999998</v>
      </c>
      <c r="N1597" s="288"/>
      <c r="O1597" s="289"/>
      <c r="P1597" s="294">
        <f t="shared" si="130"/>
        <v>63.924600000000005</v>
      </c>
      <c r="Q1597" s="288"/>
      <c r="R1597" s="289"/>
      <c r="S1597"/>
      <c r="T1597"/>
    </row>
    <row r="1598" spans="2:20" s="24" customFormat="1">
      <c r="B1598" s="145" t="str">
        <f>'корпоративный баланс энергии'!H1607</f>
        <v>ТЭЦ-1 АО "Полюс Красноярск" (18МВт)</v>
      </c>
      <c r="C1598" s="518" t="s">
        <v>365</v>
      </c>
      <c r="D1598" s="293">
        <f>'корпоративный баланс энергии'!J1607+'корпоративный баланс энергии'!M1607+'корпоративный баланс энергии'!P1607</f>
        <v>34.56</v>
      </c>
      <c r="E1598" s="288"/>
      <c r="F1598" s="289"/>
      <c r="G1598" s="294">
        <f>'корпоративный баланс энергии'!S1607+'корпоративный баланс энергии'!V1607+'корпоративный баланс энергии'!Y1607</f>
        <v>34.944000000000003</v>
      </c>
      <c r="H1598" s="288"/>
      <c r="I1598" s="289"/>
      <c r="J1598" s="294">
        <f>'корпоративный баланс энергии'!AB1607+'корпоративный баланс энергии'!AE1607+'корпоративный баланс энергии'!AH1607</f>
        <v>35.328000000000003</v>
      </c>
      <c r="K1598" s="288"/>
      <c r="L1598" s="289"/>
      <c r="M1598" s="294">
        <f>'корпоративный баланс энергии'!AK1607+'корпоративный баланс энергии'!AN1607+'корпоративный баланс энергии'!AQ1607</f>
        <v>35.328000000000003</v>
      </c>
      <c r="N1598" s="288"/>
      <c r="O1598" s="289"/>
      <c r="P1598" s="294">
        <f t="shared" si="130"/>
        <v>140.16000000000003</v>
      </c>
      <c r="Q1598" s="288"/>
      <c r="R1598" s="289"/>
      <c r="S1598"/>
      <c r="T1598"/>
    </row>
    <row r="1599" spans="2:20" s="24" customFormat="1">
      <c r="B1599" s="145" t="str">
        <f>'корпоративный баланс энергии'!H1608</f>
        <v>ТЭЦ-2 АО "Полюс Красноярск" (24 МВт)</v>
      </c>
      <c r="C1599" s="518" t="s">
        <v>365</v>
      </c>
      <c r="D1599" s="293">
        <f>'корпоративный баланс энергии'!J1608+'корпоративный баланс энергии'!M1608+'корпоративный баланс энергии'!P1608</f>
        <v>0</v>
      </c>
      <c r="E1599" s="288"/>
      <c r="F1599" s="289"/>
      <c r="G1599" s="294">
        <f>'корпоративный баланс энергии'!S1608+'корпоративный баланс энергии'!V1608+'корпоративный баланс энергии'!Y1608</f>
        <v>0</v>
      </c>
      <c r="H1599" s="288"/>
      <c r="I1599" s="289"/>
      <c r="J1599" s="294">
        <f>'корпоративный баланс энергии'!AB1608+'корпоративный баланс энергии'!AE1608+'корпоративный баланс энергии'!AH1608</f>
        <v>0</v>
      </c>
      <c r="K1599" s="288"/>
      <c r="L1599" s="289"/>
      <c r="M1599" s="294">
        <f>'корпоративный баланс энергии'!AK1608+'корпоративный баланс энергии'!AN1608+'корпоративный баланс энергии'!AQ1608</f>
        <v>0</v>
      </c>
      <c r="N1599" s="288"/>
      <c r="O1599" s="289"/>
      <c r="P1599" s="294">
        <f t="shared" si="130"/>
        <v>0</v>
      </c>
      <c r="Q1599" s="288"/>
      <c r="R1599" s="289"/>
      <c r="S1599"/>
      <c r="T1599"/>
    </row>
    <row r="1600" spans="2:20" s="24" customFormat="1">
      <c r="B1600" s="145" t="str">
        <f>'корпоративный баланс энергии'!H1609</f>
        <v>ДЭС АО "Полюс Красноярск"</v>
      </c>
      <c r="C1600" s="518" t="s">
        <v>365</v>
      </c>
      <c r="D1600" s="293">
        <f>'корпоративный баланс энергии'!J1609+'корпоративный баланс энергии'!M1609+'корпоративный баланс энергии'!P1609</f>
        <v>0</v>
      </c>
      <c r="E1600" s="288"/>
      <c r="F1600" s="289"/>
      <c r="G1600" s="294">
        <f>'корпоративный баланс энергии'!S1609+'корпоративный баланс энергии'!V1609+'корпоративный баланс энергии'!Y1609</f>
        <v>0</v>
      </c>
      <c r="H1600" s="288"/>
      <c r="I1600" s="289"/>
      <c r="J1600" s="294">
        <f>'корпоративный баланс энергии'!AB1609+'корпоративный баланс энергии'!AE1609+'корпоративный баланс энергии'!AH1609</f>
        <v>0</v>
      </c>
      <c r="K1600" s="288"/>
      <c r="L1600" s="289"/>
      <c r="M1600" s="294">
        <f>'корпоративный баланс энергии'!AK1609+'корпоративный баланс энергии'!AN1609+'корпоративный баланс энергии'!AQ1609</f>
        <v>0</v>
      </c>
      <c r="N1600" s="288"/>
      <c r="O1600" s="289"/>
      <c r="P1600" s="294">
        <f t="shared" ref="P1600" si="131">D1600+G1600+J1600+M1600</f>
        <v>0</v>
      </c>
      <c r="Q1600" s="307"/>
      <c r="R1600" s="308"/>
      <c r="S1600"/>
      <c r="T1600"/>
    </row>
    <row r="1601" spans="2:20" s="24" customFormat="1" ht="18.75">
      <c r="B1601" s="474" t="str">
        <f>'корпоративный баланс энергии'!H1610</f>
        <v>Энергосистема Новосибирской области</v>
      </c>
      <c r="C1601" s="501"/>
      <c r="D1601" s="274">
        <f>SUM(D1602:D1603)</f>
        <v>4124.1764175628523</v>
      </c>
      <c r="E1601" s="275">
        <f>F1601-D1601</f>
        <v>694.40258243714743</v>
      </c>
      <c r="F1601" s="276">
        <f>'корпоративный баланс энергии'!L1610+'корпоративный баланс энергии'!O1610+'корпоративный баланс энергии'!R1610</f>
        <v>4818.5789999999997</v>
      </c>
      <c r="G1601" s="277">
        <f>SUM(G1602:G1603)</f>
        <v>2997.2720657900391</v>
      </c>
      <c r="H1601" s="275">
        <f>I1601-G1601</f>
        <v>642.82793420996086</v>
      </c>
      <c r="I1601" s="276">
        <f>'корпоративный баланс энергии'!U1610+'корпоративный баланс энергии'!X1610+'корпоративный баланс энергии'!AA1610</f>
        <v>3640.1</v>
      </c>
      <c r="J1601" s="277">
        <f>SUM(J1602:J1603)</f>
        <v>2323.5389219023436</v>
      </c>
      <c r="K1601" s="275">
        <f>L1601-J1601</f>
        <v>1066.9610780976564</v>
      </c>
      <c r="L1601" s="276">
        <f>'корпоративный баланс энергии'!AD1610+'корпоративный баланс энергии'!AG1610+'корпоративный баланс энергии'!AJ1610</f>
        <v>3390.5</v>
      </c>
      <c r="M1601" s="277">
        <f>SUM(M1602:M1603)</f>
        <v>3789.3896868754882</v>
      </c>
      <c r="N1601" s="275">
        <f>O1601-M1601</f>
        <v>913.61031312451178</v>
      </c>
      <c r="O1601" s="276">
        <f>'корпоративный баланс энергии'!AM1610+'корпоративный баланс энергии'!AP1610+'корпоративный баланс энергии'!AS1610</f>
        <v>4703</v>
      </c>
      <c r="P1601" s="277">
        <f>SUM(P1602:P1603)</f>
        <v>13234.377092130724</v>
      </c>
      <c r="Q1601" s="275">
        <f>R1601-P1601</f>
        <v>3317.801907869276</v>
      </c>
      <c r="R1601" s="276">
        <f>F1601+I1601+L1601+O1601</f>
        <v>16552.179</v>
      </c>
      <c r="S1601"/>
      <c r="T1601"/>
    </row>
    <row r="1602" spans="2:20" s="24" customFormat="1">
      <c r="B1602" s="126" t="s">
        <v>56</v>
      </c>
      <c r="C1602" s="500"/>
      <c r="D1602" s="270">
        <f>SUM(D1604:D1608)</f>
        <v>3890.8821823333601</v>
      </c>
      <c r="E1602" s="271"/>
      <c r="F1602" s="224"/>
      <c r="G1602" s="223">
        <f>SUM(G1604:G1608)</f>
        <v>2281.642656</v>
      </c>
      <c r="H1602" s="271"/>
      <c r="I1602" s="224"/>
      <c r="J1602" s="223">
        <f>SUM(J1604:J1608)</f>
        <v>1680.9383969999999</v>
      </c>
      <c r="K1602" s="271"/>
      <c r="L1602" s="224"/>
      <c r="M1602" s="223">
        <f>SUM(M1604:M1608)</f>
        <v>3453.3267519999999</v>
      </c>
      <c r="N1602" s="271"/>
      <c r="O1602" s="224"/>
      <c r="P1602" s="223">
        <f>SUM(P1604:P1608)</f>
        <v>11306.789987333361</v>
      </c>
      <c r="Q1602" s="271"/>
      <c r="R1602" s="364"/>
      <c r="S1602"/>
      <c r="T1602"/>
    </row>
    <row r="1603" spans="2:20" s="24" customFormat="1">
      <c r="B1603" s="126" t="s">
        <v>55</v>
      </c>
      <c r="C1603" s="500"/>
      <c r="D1603" s="270">
        <f>D1609</f>
        <v>233.29423522949219</v>
      </c>
      <c r="E1603" s="271"/>
      <c r="F1603" s="224"/>
      <c r="G1603" s="223">
        <f>G1609</f>
        <v>715.62940979003906</v>
      </c>
      <c r="H1603" s="271"/>
      <c r="I1603" s="224"/>
      <c r="J1603" s="223">
        <f>J1609</f>
        <v>642.60052490234375</v>
      </c>
      <c r="K1603" s="271"/>
      <c r="L1603" s="224"/>
      <c r="M1603" s="223">
        <f>M1609</f>
        <v>336.06293487548828</v>
      </c>
      <c r="N1603" s="271"/>
      <c r="O1603" s="224"/>
      <c r="P1603" s="223">
        <f>P1609</f>
        <v>1927.5871047973633</v>
      </c>
      <c r="Q1603" s="271"/>
      <c r="R1603" s="364"/>
      <c r="S1603"/>
      <c r="T1603"/>
    </row>
    <row r="1604" spans="2:20" s="110" customFormat="1">
      <c r="B1604" s="122" t="str">
        <f>'корпоративный баланс энергии'!H1613</f>
        <v>Новосибирская ТЭЦ-2 (филиал АО "СИБЭКО")</v>
      </c>
      <c r="C1604" s="516" t="s">
        <v>364</v>
      </c>
      <c r="D1604" s="281">
        <f>'корпоративный баланс энергии'!J1613+'корпоративный баланс энергии'!M1613+'корпоративный баланс энергии'!P1613</f>
        <v>423.20013933336037</v>
      </c>
      <c r="E1604" s="246"/>
      <c r="F1604" s="282"/>
      <c r="G1604" s="244">
        <f>'корпоративный баланс энергии'!S1613+'корпоративный баланс энергии'!V1613+'корпоративный баланс энергии'!Y1613</f>
        <v>222.50400000000002</v>
      </c>
      <c r="H1604" s="246"/>
      <c r="I1604" s="282"/>
      <c r="J1604" s="244">
        <f>'корпоративный баланс энергии'!AB1613+'корпоративный баланс энергии'!AE1613+'корпоративный баланс энергии'!AH1613</f>
        <v>91.063999999999993</v>
      </c>
      <c r="K1604" s="246"/>
      <c r="L1604" s="282"/>
      <c r="M1604" s="244">
        <f>'корпоративный баланс энергии'!AK1613+'корпоративный баланс энергии'!AN1613+'корпоративный баланс энергии'!AQ1613</f>
        <v>445.2</v>
      </c>
      <c r="N1604" s="246"/>
      <c r="O1604" s="282"/>
      <c r="P1604" s="244">
        <f t="shared" ref="P1604:P1609" si="132">D1604+G1604+J1604+M1604</f>
        <v>1181.9681393333603</v>
      </c>
      <c r="Q1604" s="246"/>
      <c r="R1604" s="282"/>
      <c r="S1604"/>
      <c r="T1604"/>
    </row>
    <row r="1605" spans="2:20" s="113" customFormat="1">
      <c r="B1605" s="122" t="str">
        <f>'корпоративный баланс энергии'!H1614</f>
        <v>Новосибирская ТЭЦ-3 (филиал АО "СИБЭКО")</v>
      </c>
      <c r="C1605" s="516" t="s">
        <v>364</v>
      </c>
      <c r="D1605" s="281">
        <f>'корпоративный баланс энергии'!J1614+'корпоративный баланс энергии'!M1614+'корпоративный баланс энергии'!P1614</f>
        <v>821.11999999999989</v>
      </c>
      <c r="E1605" s="246"/>
      <c r="F1605" s="282"/>
      <c r="G1605" s="244">
        <f>'корпоративный баланс энергии'!S1614+'корпоративный баланс энергии'!V1614+'корпоративный баланс энергии'!Y1614</f>
        <v>512.94299999999998</v>
      </c>
      <c r="H1605" s="246"/>
      <c r="I1605" s="282"/>
      <c r="J1605" s="244">
        <f>'корпоративный баланс энергии'!AB1614+'корпоративный баланс энергии'!AE1614+'корпоративный баланс энергии'!AH1614</f>
        <v>334.79399999999998</v>
      </c>
      <c r="K1605" s="246"/>
      <c r="L1605" s="282"/>
      <c r="M1605" s="244">
        <f>'корпоративный баланс энергии'!AK1614+'корпоративный баланс энергии'!AN1614+'корпоративный баланс энергии'!AQ1614</f>
        <v>816.55799999999999</v>
      </c>
      <c r="N1605" s="246"/>
      <c r="O1605" s="282"/>
      <c r="P1605" s="244">
        <f t="shared" si="132"/>
        <v>2485.415</v>
      </c>
      <c r="Q1605" s="246"/>
      <c r="R1605" s="282"/>
      <c r="S1605"/>
      <c r="T1605"/>
    </row>
    <row r="1606" spans="2:20" s="113" customFormat="1">
      <c r="B1606" s="122" t="str">
        <f>'корпоративный баланс энергии'!H1615</f>
        <v>Новосибирская ТЭЦ-4 (филиал АО "СИБЭКО")</v>
      </c>
      <c r="C1606" s="516" t="s">
        <v>364</v>
      </c>
      <c r="D1606" s="281">
        <f>'корпоративный баланс энергии'!J1615+'корпоративный баланс энергии'!M1615+'корпоративный баланс энергии'!P1615</f>
        <v>588.18100000000004</v>
      </c>
      <c r="E1606" s="246"/>
      <c r="F1606" s="282"/>
      <c r="G1606" s="244">
        <f>'корпоративный баланс энергии'!S1615+'корпоративный баланс энергии'!V1615+'корпоративный баланс энергии'!Y1615</f>
        <v>244.614</v>
      </c>
      <c r="H1606" s="246"/>
      <c r="I1606" s="282"/>
      <c r="J1606" s="244">
        <f>'корпоративный баланс энергии'!AB1615+'корпоративный баланс энергии'!AE1615+'корпоративный баланс энергии'!AH1615</f>
        <v>82.716000000000008</v>
      </c>
      <c r="K1606" s="246"/>
      <c r="L1606" s="282"/>
      <c r="M1606" s="244">
        <f>'корпоративный баланс энергии'!AK1615+'корпоративный баланс энергии'!AN1615+'корпоративный баланс энергии'!AQ1615</f>
        <v>528.01</v>
      </c>
      <c r="N1606" s="246"/>
      <c r="O1606" s="282"/>
      <c r="P1606" s="244">
        <f t="shared" si="132"/>
        <v>1443.5210000000002</v>
      </c>
      <c r="Q1606" s="246"/>
      <c r="R1606" s="282"/>
      <c r="S1606"/>
      <c r="T1606"/>
    </row>
    <row r="1607" spans="2:20" s="24" customFormat="1">
      <c r="B1607" s="122" t="str">
        <f>'корпоративный баланс энергии'!H1616</f>
        <v>Новосибирская ТЭЦ-5 (филиал АО "СИБЭКО")</v>
      </c>
      <c r="C1607" s="516" t="s">
        <v>364</v>
      </c>
      <c r="D1607" s="281">
        <f>'корпоративный баланс энергии'!J1616+'корпоративный баланс энергии'!M1616+'корпоративный баланс энергии'!P1616</f>
        <v>1950.2360429999999</v>
      </c>
      <c r="E1607" s="246"/>
      <c r="F1607" s="282"/>
      <c r="G1607" s="244">
        <f>'корпоративный баланс энергии'!S1616+'корпоративный баланс энергии'!V1616+'корпоративный баланс энергии'!Y1616</f>
        <v>1258.066656</v>
      </c>
      <c r="H1607" s="246"/>
      <c r="I1607" s="282"/>
      <c r="J1607" s="244">
        <f>'корпоративный баланс энергии'!AB1616+'корпоративный баланс энергии'!AE1616+'корпоративный баланс энергии'!AH1616</f>
        <v>1160.8443969999998</v>
      </c>
      <c r="K1607" s="246"/>
      <c r="L1607" s="282"/>
      <c r="M1607" s="244">
        <f>'корпоративный баланс энергии'!AK1616+'корпоративный баланс энергии'!AN1616+'корпоративный баланс энергии'!AQ1616</f>
        <v>1576.7337520000001</v>
      </c>
      <c r="N1607" s="246"/>
      <c r="O1607" s="282"/>
      <c r="P1607" s="244">
        <f t="shared" si="132"/>
        <v>5945.8808479999998</v>
      </c>
      <c r="Q1607" s="246"/>
      <c r="R1607" s="282"/>
      <c r="S1607"/>
      <c r="T1607"/>
    </row>
    <row r="1608" spans="2:20" s="24" customFormat="1">
      <c r="B1608" s="122" t="str">
        <f>'корпоративный баланс энергии'!H1617</f>
        <v>Барабинская ТЭЦ (филиал АО "СИБЭКО")</v>
      </c>
      <c r="C1608" s="516" t="s">
        <v>364</v>
      </c>
      <c r="D1608" s="281">
        <f>'корпоративный баланс энергии'!J1617+'корпоративный баланс энергии'!M1617+'корпоративный баланс энергии'!P1617</f>
        <v>108.14500000000001</v>
      </c>
      <c r="E1608" s="246"/>
      <c r="F1608" s="282"/>
      <c r="G1608" s="244">
        <f>'корпоративный баланс энергии'!S1617+'корпоративный баланс энергии'!V1617+'корпоративный баланс энергии'!Y1617</f>
        <v>43.515000000000001</v>
      </c>
      <c r="H1608" s="246"/>
      <c r="I1608" s="282"/>
      <c r="J1608" s="244">
        <f>'корпоративный баланс энергии'!AB1617+'корпоративный баланс энергии'!AE1617+'корпоративный баланс энергии'!AH1617</f>
        <v>11.52</v>
      </c>
      <c r="K1608" s="246"/>
      <c r="L1608" s="282"/>
      <c r="M1608" s="244">
        <f>'корпоративный баланс энергии'!AK1617+'корпоративный баланс энергии'!AN1617+'корпоративный баланс энергии'!AQ1617</f>
        <v>86.825000000000003</v>
      </c>
      <c r="N1608" s="246"/>
      <c r="O1608" s="282"/>
      <c r="P1608" s="244">
        <f t="shared" si="132"/>
        <v>250.00500000000005</v>
      </c>
      <c r="Q1608" s="246"/>
      <c r="R1608" s="282"/>
      <c r="S1608"/>
      <c r="T1608"/>
    </row>
    <row r="1609" spans="2:20" s="24" customFormat="1">
      <c r="B1609" s="122" t="str">
        <f>'корпоративный баланс энергии'!H1618</f>
        <v>Новосибирская ГЭС (филиал ПАО "РусГидро")</v>
      </c>
      <c r="C1609" s="516" t="s">
        <v>364</v>
      </c>
      <c r="D1609" s="281">
        <f>'корпоративный баланс энергии'!J1618+'корпоративный баланс энергии'!M1618+'корпоративный баланс энергии'!P1618</f>
        <v>233.29423522949219</v>
      </c>
      <c r="E1609" s="246"/>
      <c r="F1609" s="282"/>
      <c r="G1609" s="244">
        <f>'корпоративный баланс энергии'!S1618+'корпоративный баланс энергии'!V1618+'корпоративный баланс энергии'!Y1618</f>
        <v>715.62940979003906</v>
      </c>
      <c r="H1609" s="246"/>
      <c r="I1609" s="282"/>
      <c r="J1609" s="244">
        <f>'корпоративный баланс энергии'!AB1618+'корпоративный баланс энергии'!AE1618+'корпоративный баланс энергии'!AH1618</f>
        <v>642.60052490234375</v>
      </c>
      <c r="K1609" s="246"/>
      <c r="L1609" s="282"/>
      <c r="M1609" s="244">
        <f>'корпоративный баланс энергии'!AK1618+'корпоративный баланс энергии'!AN1618+'корпоративный баланс энергии'!AQ1618</f>
        <v>336.06293487548828</v>
      </c>
      <c r="N1609" s="246"/>
      <c r="O1609" s="282"/>
      <c r="P1609" s="244">
        <f t="shared" si="132"/>
        <v>1927.5871047973633</v>
      </c>
      <c r="Q1609" s="246"/>
      <c r="R1609" s="282"/>
      <c r="S1609"/>
      <c r="T1609"/>
    </row>
    <row r="1610" spans="2:20" s="24" customFormat="1" ht="18.75">
      <c r="B1610" s="474" t="str">
        <f>'корпоративный баланс энергии'!H1619</f>
        <v>Энергосистема Омской области</v>
      </c>
      <c r="C1610" s="501"/>
      <c r="D1610" s="274">
        <f>SUM(D1611:D1613)</f>
        <v>2199.924484149557</v>
      </c>
      <c r="E1610" s="275">
        <f>F1610-D1610</f>
        <v>975.07551585044303</v>
      </c>
      <c r="F1610" s="276">
        <f>'корпоративный баланс энергии'!L1619+'корпоративный баланс энергии'!O1619+'корпоративный баланс энергии'!R1619</f>
        <v>3175</v>
      </c>
      <c r="G1610" s="274">
        <f>SUM(G1611:G1613)</f>
        <v>1525.385864153154</v>
      </c>
      <c r="H1610" s="275">
        <f>I1610-G1610</f>
        <v>970.61413584684601</v>
      </c>
      <c r="I1610" s="276">
        <f>'корпоративный баланс энергии'!U1619+'корпоративный баланс энергии'!X1619+'корпоративный баланс энергии'!AA1619</f>
        <v>2496</v>
      </c>
      <c r="J1610" s="274">
        <f>SUM(J1611:J1613)</f>
        <v>1494.3655983802064</v>
      </c>
      <c r="K1610" s="275">
        <f>L1610-J1610</f>
        <v>871.63440161979361</v>
      </c>
      <c r="L1610" s="276">
        <f>'корпоративный баланс энергии'!AD1619+'корпоративный баланс энергии'!AG1619+'корпоративный баланс энергии'!AJ1619</f>
        <v>2366</v>
      </c>
      <c r="M1610" s="274">
        <f>SUM(M1611:M1613)</f>
        <v>2184.3396847364374</v>
      </c>
      <c r="N1610" s="275">
        <f>O1610-M1610</f>
        <v>920.66031526356255</v>
      </c>
      <c r="O1610" s="276">
        <f>'корпоративный баланс энергии'!AM1619+'корпоративный баланс энергии'!AP1619+'корпоративный баланс энергии'!AS1619</f>
        <v>3105</v>
      </c>
      <c r="P1610" s="274">
        <f>SUM(P1611:P1613)</f>
        <v>7404.0156314193555</v>
      </c>
      <c r="Q1610" s="275">
        <f>R1610-P1610</f>
        <v>3737.9843685806445</v>
      </c>
      <c r="R1610" s="276">
        <f>F1610+I1610+L1610+O1610</f>
        <v>11142</v>
      </c>
      <c r="S1610"/>
      <c r="T1610"/>
    </row>
    <row r="1611" spans="2:20" s="24" customFormat="1">
      <c r="B1611" s="126" t="s">
        <v>56</v>
      </c>
      <c r="C1611" s="126"/>
      <c r="D1611" s="223">
        <f>SUM(D1614,D1621:D1622)</f>
        <v>2144.6456081495571</v>
      </c>
      <c r="E1611" s="271"/>
      <c r="F1611" s="224"/>
      <c r="G1611" s="270">
        <f>SUM(G1614,G1621:G1622)</f>
        <v>1474.9998941531539</v>
      </c>
      <c r="H1611" s="271"/>
      <c r="I1611" s="224"/>
      <c r="J1611" s="270">
        <f>SUM(J1614,J1621:J1622)</f>
        <v>1445.7458373802065</v>
      </c>
      <c r="K1611" s="271"/>
      <c r="L1611" s="224"/>
      <c r="M1611" s="270">
        <f>SUM(M1614,M1621:M1622)</f>
        <v>2127.0598603170824</v>
      </c>
      <c r="N1611" s="271"/>
      <c r="O1611" s="224"/>
      <c r="P1611" s="270">
        <f>SUM(P1614,P1621:P1622)</f>
        <v>7192.4512000000004</v>
      </c>
      <c r="Q1611" s="271"/>
      <c r="R1611" s="364"/>
      <c r="S1611"/>
      <c r="T1611"/>
    </row>
    <row r="1612" spans="2:20" s="24" customFormat="1">
      <c r="B1612" s="467" t="s">
        <v>347</v>
      </c>
      <c r="C1612" s="126"/>
      <c r="D1612" s="223">
        <f>D1626</f>
        <v>0</v>
      </c>
      <c r="E1612" s="271"/>
      <c r="F1612" s="224"/>
      <c r="G1612" s="223">
        <f>G1626</f>
        <v>0</v>
      </c>
      <c r="H1612" s="271"/>
      <c r="I1612" s="224"/>
      <c r="J1612" s="223">
        <f>J1626</f>
        <v>0</v>
      </c>
      <c r="K1612" s="271"/>
      <c r="L1612" s="224"/>
      <c r="M1612" s="223">
        <f>M1626</f>
        <v>0.41153341935483878</v>
      </c>
      <c r="N1612" s="271"/>
      <c r="O1612" s="224"/>
      <c r="P1612" s="223">
        <f>P1626</f>
        <v>0.41153341935483878</v>
      </c>
      <c r="Q1612" s="271"/>
      <c r="R1612" s="364"/>
      <c r="S1612"/>
      <c r="T1612"/>
    </row>
    <row r="1613" spans="2:20" s="24" customFormat="1">
      <c r="B1613" s="124" t="s">
        <v>184</v>
      </c>
      <c r="C1613" s="124"/>
      <c r="D1613" s="223">
        <f>D1627</f>
        <v>55.278875999999997</v>
      </c>
      <c r="E1613" s="271"/>
      <c r="F1613" s="224"/>
      <c r="G1613" s="270">
        <f>G1627</f>
        <v>50.385969999999993</v>
      </c>
      <c r="H1613" s="271"/>
      <c r="I1613" s="224"/>
      <c r="J1613" s="270">
        <f>J1627</f>
        <v>48.619760999999997</v>
      </c>
      <c r="K1613" s="271"/>
      <c r="L1613" s="224"/>
      <c r="M1613" s="270">
        <f>M1627</f>
        <v>56.868290999999999</v>
      </c>
      <c r="N1613" s="271"/>
      <c r="O1613" s="224"/>
      <c r="P1613" s="270">
        <f>P1627</f>
        <v>211.15289800000002</v>
      </c>
      <c r="Q1613" s="271"/>
      <c r="R1613" s="364"/>
      <c r="S1613"/>
      <c r="T1613"/>
    </row>
    <row r="1614" spans="2:20" s="24" customFormat="1">
      <c r="B1614" s="134" t="str">
        <f>'корпоративный баланс энергии'!H1623</f>
        <v>Омская ТЭЦ-3 (филиал АО "ТГК-11")</v>
      </c>
      <c r="C1614" s="516" t="s">
        <v>364</v>
      </c>
      <c r="D1614" s="262">
        <f>SUM(D1615:D1620)</f>
        <v>604.21399999999994</v>
      </c>
      <c r="E1614" s="323"/>
      <c r="F1614" s="324"/>
      <c r="G1614" s="262">
        <f>SUM(G1615:G1620)</f>
        <v>415.05099999999999</v>
      </c>
      <c r="H1614" s="323"/>
      <c r="I1614" s="324"/>
      <c r="J1614" s="262">
        <f>SUM(J1615:J1620)</f>
        <v>421.125</v>
      </c>
      <c r="K1614" s="323"/>
      <c r="L1614" s="324"/>
      <c r="M1614" s="262">
        <f>SUM(M1615:M1620)</f>
        <v>553.40699999999993</v>
      </c>
      <c r="N1614" s="323"/>
      <c r="O1614" s="324"/>
      <c r="P1614" s="262">
        <f>SUM(P1615:P1620)</f>
        <v>1993.7970000000003</v>
      </c>
      <c r="Q1614" s="323"/>
      <c r="R1614" s="324"/>
      <c r="S1614"/>
      <c r="T1614"/>
    </row>
    <row r="1615" spans="2:20" s="24" customFormat="1">
      <c r="B1615" s="122" t="str">
        <f>'корпоративный баланс энергии'!H1624</f>
        <v>Омская ТЭЦ-3 (филиал АО "ТГК-11") Бл №10 120 МВт НВ, ДПМ 01.01.2017</v>
      </c>
      <c r="C1615" s="122"/>
      <c r="D1615" s="281">
        <f>'корпоративный баланс энергии'!J1624+'корпоративный баланс энергии'!M1624+'корпоративный баланс энергии'!P1624</f>
        <v>214.68</v>
      </c>
      <c r="E1615" s="246"/>
      <c r="F1615" s="282"/>
      <c r="G1615" s="244">
        <f>'корпоративный баланс энергии'!S1624+'корпоративный баланс энергии'!V1624+'корпоративный баланс энергии'!Y1624</f>
        <v>151.44</v>
      </c>
      <c r="H1615" s="246"/>
      <c r="I1615" s="282"/>
      <c r="J1615" s="244">
        <f>'корпоративный баланс энергии'!AB1624+'корпоративный баланс энергии'!AE1624+'корпоративный баланс энергии'!AH1624</f>
        <v>181.44</v>
      </c>
      <c r="K1615" s="246"/>
      <c r="L1615" s="282"/>
      <c r="M1615" s="244">
        <f>'корпоративный баланс энергии'!AK1624+'корпоративный баланс энергии'!AN1624+'корпоративный баланс энергии'!AQ1624</f>
        <v>205.92000000000002</v>
      </c>
      <c r="N1615" s="246"/>
      <c r="O1615" s="282"/>
      <c r="P1615" s="244">
        <f t="shared" ref="P1615:P1621" si="133">D1615+G1615+J1615+M1615</f>
        <v>753.48</v>
      </c>
      <c r="Q1615" s="246"/>
      <c r="R1615" s="282"/>
      <c r="S1615"/>
      <c r="T1615"/>
    </row>
    <row r="1616" spans="2:20" s="24" customFormat="1">
      <c r="B1616" s="122" t="str">
        <f>'корпоративный баланс энергии'!H1625</f>
        <v>Омская ТЭЦ-3 (филиал АО "ТГК-11") Бл №9 60 МВт, Бл №11 60 МВт, Бл №12 60 МВт отказ от ДПМ</v>
      </c>
      <c r="C1616" s="122"/>
      <c r="D1616" s="281">
        <f>'корпоративный баланс энергии'!J1625+'корпоративный баланс энергии'!M1625+'корпоративный баланс энергии'!P1625</f>
        <v>0</v>
      </c>
      <c r="E1616" s="246"/>
      <c r="F1616" s="282"/>
      <c r="G1616" s="244">
        <f>'корпоративный баланс энергии'!S1625+'корпоративный баланс энергии'!V1625+'корпоративный баланс энергии'!Y1625</f>
        <v>8.5860000000000003</v>
      </c>
      <c r="H1616" s="246"/>
      <c r="I1616" s="282"/>
      <c r="J1616" s="244">
        <f>'корпоративный баланс энергии'!AB1625+'корпоративный баланс энергии'!AE1625+'корпоративный баланс энергии'!AH1625</f>
        <v>45.251999999999995</v>
      </c>
      <c r="K1616" s="246"/>
      <c r="L1616" s="282"/>
      <c r="M1616" s="244">
        <f>'корпоративный баланс энергии'!AK1625+'корпоративный баланс энергии'!AN1625+'корпоративный баланс энергии'!AQ1625</f>
        <v>5.7240000000000002</v>
      </c>
      <c r="N1616" s="246"/>
      <c r="O1616" s="282"/>
      <c r="P1616" s="244">
        <f t="shared" si="133"/>
        <v>59.561999999999998</v>
      </c>
      <c r="Q1616" s="246"/>
      <c r="R1616" s="282"/>
      <c r="S1616"/>
      <c r="T1616"/>
    </row>
    <row r="1617" spans="2:20" s="24" customFormat="1">
      <c r="B1617" s="122" t="str">
        <f>'корпоративный баланс энергии'!H1626</f>
        <v>Омская ТЭЦ-3 (филиал АО "ТГК-11") Бл №11 60 МВт отказ от ДПМ 01.01.2011</v>
      </c>
      <c r="C1617" s="122"/>
      <c r="D1617" s="281">
        <f>'корпоративный баланс энергии'!J1626+'корпоративный баланс энергии'!M1626+'корпоративный баланс энергии'!P1626</f>
        <v>90.300000000000011</v>
      </c>
      <c r="E1617" s="246"/>
      <c r="F1617" s="282"/>
      <c r="G1617" s="244">
        <f>'корпоративный баланс энергии'!S1626+'корпоративный баланс энергии'!V1626+'корпоративный баланс энергии'!Y1626</f>
        <v>59.783999999999999</v>
      </c>
      <c r="H1617" s="246"/>
      <c r="I1617" s="282"/>
      <c r="J1617" s="244">
        <f>'корпоративный баланс энергии'!AB1626+'корпоративный баланс энергии'!AE1626+'корпоративный баланс энергии'!AH1626</f>
        <v>0</v>
      </c>
      <c r="K1617" s="246"/>
      <c r="L1617" s="282"/>
      <c r="M1617" s="244">
        <f>'корпоративный баланс энергии'!AK1626+'корпоративный баланс энергии'!AN1626+'корпоративный баланс энергии'!AQ1626</f>
        <v>63.949999999999996</v>
      </c>
      <c r="N1617" s="246"/>
      <c r="O1617" s="282"/>
      <c r="P1617" s="244">
        <f t="shared" ref="P1617:P1618" si="134">D1617+G1617+J1617+M1617</f>
        <v>214.03399999999999</v>
      </c>
      <c r="Q1617" s="246"/>
      <c r="R1617" s="282"/>
      <c r="S1617"/>
      <c r="T1617"/>
    </row>
    <row r="1618" spans="2:20" s="24" customFormat="1">
      <c r="B1618" s="122" t="str">
        <f>'корпоративный баланс энергии'!H1627</f>
        <v>Омская ТЭЦ-3 (филиал АО "ТГК-11")Бл №12 60 МВт отказ от ДПМ 01.10.2013</v>
      </c>
      <c r="C1618" s="122"/>
      <c r="D1618" s="281">
        <f>'корпоративный баланс энергии'!J1627+'корпоративный баланс энергии'!M1627+'корпоративный баланс энергии'!P1627</f>
        <v>85.224000000000004</v>
      </c>
      <c r="E1618" s="246"/>
      <c r="F1618" s="282"/>
      <c r="G1618" s="244">
        <f>'корпоративный баланс энергии'!S1627+'корпоративный баланс энергии'!V1627+'корпоративный баланс энергии'!Y1627</f>
        <v>82.800000000000011</v>
      </c>
      <c r="H1618" s="246"/>
      <c r="I1618" s="282"/>
      <c r="J1618" s="244">
        <f>'корпоративный баланс энергии'!AB1627+'корпоративный баланс энергии'!AE1627+'корпоративный баланс энергии'!AH1627</f>
        <v>108.974</v>
      </c>
      <c r="K1618" s="246"/>
      <c r="L1618" s="282"/>
      <c r="M1618" s="244">
        <f>'корпоративный баланс энергии'!AK1627+'корпоративный баланс энергии'!AN1627+'корпоративный баланс энергии'!AQ1627</f>
        <v>86.046999999999997</v>
      </c>
      <c r="N1618" s="246"/>
      <c r="O1618" s="282"/>
      <c r="P1618" s="244">
        <f t="shared" si="134"/>
        <v>363.04499999999996</v>
      </c>
      <c r="Q1618" s="246"/>
      <c r="R1618" s="282"/>
      <c r="S1618"/>
      <c r="T1618"/>
    </row>
    <row r="1619" spans="2:20" s="24" customFormat="1">
      <c r="B1619" s="122" t="str">
        <f>'корпоративный баланс энергии'!H1628</f>
        <v>Омская ТЭЦ-3 (филиал АО "ТГК-11") Бл №13 60 МВт реконструкц, ДПМ 01.12.2014</v>
      </c>
      <c r="C1619" s="122"/>
      <c r="D1619" s="281">
        <f>'корпоративный баланс энергии'!J1628+'корпоративный баланс энергии'!M1628+'корпоративный баланс энергии'!P1628</f>
        <v>129.48000000000002</v>
      </c>
      <c r="E1619" s="246"/>
      <c r="F1619" s="282"/>
      <c r="G1619" s="244">
        <f>'корпоративный баланс энергии'!S1628+'корпоративный баланс энергии'!V1628+'корпоративный баланс энергии'!Y1628</f>
        <v>37.200000000000003</v>
      </c>
      <c r="H1619" s="246"/>
      <c r="I1619" s="282"/>
      <c r="J1619" s="244">
        <f>'корпоративный баланс энергии'!AB1628+'корпоративный баланс энергии'!AE1628+'корпоративный баланс энергии'!AH1628</f>
        <v>0</v>
      </c>
      <c r="K1619" s="246"/>
      <c r="L1619" s="282"/>
      <c r="M1619" s="244">
        <f>'корпоративный баланс энергии'!AK1628+'корпоративный баланс энергии'!AN1628+'корпоративный баланс энергии'!AQ1628</f>
        <v>115.59599999999999</v>
      </c>
      <c r="N1619" s="246"/>
      <c r="O1619" s="282"/>
      <c r="P1619" s="244">
        <f t="shared" si="133"/>
        <v>282.27600000000001</v>
      </c>
      <c r="Q1619" s="246"/>
      <c r="R1619" s="282"/>
      <c r="S1619"/>
      <c r="T1619"/>
    </row>
    <row r="1620" spans="2:20" s="24" customFormat="1">
      <c r="B1620" s="122" t="str">
        <f>'корпоративный баланс энергии'!H1629</f>
        <v>Омская ТЭЦ-3 (филиал АО "ТГК-11") ПГУ Бл №1,2,3 85,2 МВт НВ, ДПМ 01.01.2014</v>
      </c>
      <c r="C1620" s="122"/>
      <c r="D1620" s="281">
        <f>'корпоративный баланс энергии'!J1629+'корпоративный баланс энергии'!M1629+'корпоративный баланс энергии'!P1629</f>
        <v>84.53</v>
      </c>
      <c r="E1620" s="246"/>
      <c r="F1620" s="282"/>
      <c r="G1620" s="244">
        <f>'корпоративный баланс энергии'!S1629+'корпоративный баланс энергии'!V1629+'корпоративный баланс энергии'!Y1629</f>
        <v>75.241</v>
      </c>
      <c r="H1620" s="246"/>
      <c r="I1620" s="282"/>
      <c r="J1620" s="244">
        <f>'корпоративный баланс энергии'!AB1629+'корпоративный баланс энергии'!AE1629+'корпоративный баланс энергии'!AH1629</f>
        <v>85.459000000000003</v>
      </c>
      <c r="K1620" s="246"/>
      <c r="L1620" s="282"/>
      <c r="M1620" s="244">
        <f>'корпоративный баланс энергии'!AK1629+'корпоративный баланс энергии'!AN1629+'корпоративный баланс энергии'!AQ1629</f>
        <v>76.17</v>
      </c>
      <c r="N1620" s="246"/>
      <c r="O1620" s="282"/>
      <c r="P1620" s="244">
        <f t="shared" si="133"/>
        <v>321.40000000000003</v>
      </c>
      <c r="Q1620" s="246"/>
      <c r="R1620" s="282"/>
      <c r="S1620"/>
      <c r="T1620"/>
    </row>
    <row r="1621" spans="2:20" s="24" customFormat="1">
      <c r="B1621" s="122" t="str">
        <f>'корпоративный баланс энергии'!H1630</f>
        <v>Омская ТЭЦ-4 (филиал АО "ТГК-11")</v>
      </c>
      <c r="C1621" s="516" t="s">
        <v>364</v>
      </c>
      <c r="D1621" s="281">
        <f>'корпоративный баланс энергии'!J1630+'корпоративный баланс энергии'!M1630+'корпоративный баланс энергии'!P1630</f>
        <v>411.99839999999995</v>
      </c>
      <c r="E1621" s="246"/>
      <c r="F1621" s="282"/>
      <c r="G1621" s="244">
        <f>'корпоративный баланс энергии'!S1630+'корпоративный баланс энергии'!V1630+'корпоративный баланс энергии'!Y1630</f>
        <v>341.49599999999998</v>
      </c>
      <c r="H1621" s="246"/>
      <c r="I1621" s="282"/>
      <c r="J1621" s="244">
        <f>'корпоративный баланс энергии'!AB1630+'корпоративный баланс энергии'!AE1630+'корпоративный баланс энергии'!AH1630</f>
        <v>320.39100000000002</v>
      </c>
      <c r="K1621" s="246"/>
      <c r="L1621" s="282"/>
      <c r="M1621" s="244">
        <f>'корпоративный баланс энергии'!AK1630+'корпоративный баланс энергии'!AN1630+'корпоративный баланс энергии'!AQ1630</f>
        <v>432.92880000000002</v>
      </c>
      <c r="N1621" s="246"/>
      <c r="O1621" s="282"/>
      <c r="P1621" s="244">
        <f t="shared" si="133"/>
        <v>1506.8141999999998</v>
      </c>
      <c r="Q1621" s="246"/>
      <c r="R1621" s="282"/>
      <c r="S1621"/>
      <c r="T1621"/>
    </row>
    <row r="1622" spans="2:20" s="110" customFormat="1">
      <c r="B1622" s="134" t="str">
        <f>'корпоративный баланс энергии'!H1631</f>
        <v>Омская ТЭЦ-5 (филиал АО "ТГК-11")</v>
      </c>
      <c r="C1622" s="516" t="s">
        <v>364</v>
      </c>
      <c r="D1622" s="262">
        <f>SUM(D1623:D1625)</f>
        <v>1128.4332081495575</v>
      </c>
      <c r="E1622" s="246"/>
      <c r="F1622" s="282"/>
      <c r="G1622" s="262">
        <f>SUM(G1623:G1625)</f>
        <v>718.45289415315403</v>
      </c>
      <c r="H1622" s="246"/>
      <c r="I1622" s="282"/>
      <c r="J1622" s="262">
        <f>SUM(J1623:J1625)</f>
        <v>704.22983738020628</v>
      </c>
      <c r="K1622" s="246"/>
      <c r="L1622" s="282"/>
      <c r="M1622" s="262">
        <f>SUM(M1623:M1625)</f>
        <v>1140.7240603170826</v>
      </c>
      <c r="N1622" s="246"/>
      <c r="O1622" s="282"/>
      <c r="P1622" s="262">
        <f>SUM(P1623:P1625)</f>
        <v>3691.84</v>
      </c>
      <c r="Q1622" s="246"/>
      <c r="R1622" s="282"/>
      <c r="S1622"/>
      <c r="T1622"/>
    </row>
    <row r="1623" spans="2:20" s="110" customFormat="1">
      <c r="B1623" s="122" t="str">
        <f>'корпоративный баланс энергии'!H1632</f>
        <v>Омская ТЭЦ-5 (филиал АО "ТГК-11") без ДПМ/НВ/ВР</v>
      </c>
      <c r="C1623" s="486"/>
      <c r="D1623" s="281">
        <f>'корпоративный баланс энергии'!J1632+'корпоративный баланс энергии'!M1632+'корпоративный баланс энергии'!P1632</f>
        <v>896.9914081495574</v>
      </c>
      <c r="E1623" s="246"/>
      <c r="F1623" s="282"/>
      <c r="G1623" s="244">
        <f>'корпоративный баланс энергии'!S1632+'корпоративный баланс энергии'!V1632+'корпоративный баланс энергии'!Y1632</f>
        <v>491.41049415315399</v>
      </c>
      <c r="H1623" s="246"/>
      <c r="I1623" s="282"/>
      <c r="J1623" s="244">
        <f>'корпоративный баланс энергии'!AB1632+'корпоративный баланс энергии'!AE1632+'корпоративный баланс энергии'!AH1632</f>
        <v>449.06843738020626</v>
      </c>
      <c r="K1623" s="246"/>
      <c r="L1623" s="282"/>
      <c r="M1623" s="244">
        <f>'корпоративный баланс энергии'!AK1632+'корпоративный баланс энергии'!AN1632+'корпоративный баланс энергии'!AQ1632</f>
        <v>848.24606031708277</v>
      </c>
      <c r="N1623" s="246"/>
      <c r="O1623" s="282"/>
      <c r="P1623" s="244">
        <f>D1623+G1623+J1623+M1623</f>
        <v>2685.7164000000002</v>
      </c>
      <c r="Q1623" s="246"/>
      <c r="R1623" s="282"/>
      <c r="S1623"/>
      <c r="T1623"/>
    </row>
    <row r="1624" spans="2:20" s="110" customFormat="1">
      <c r="B1624" s="122" t="str">
        <f>'корпоративный баланс энергии'!H1633</f>
        <v>Омская ТЭЦ-5 (филиал АО "ТГК-11") Бл №1 98 МВт реконструкц, ДПМ 01.01.2015</v>
      </c>
      <c r="C1624" s="486"/>
      <c r="D1624" s="281">
        <f>'корпоративный баланс энергии'!J1633+'корпоративный баланс энергии'!M1633+'корпоративный баланс энергии'!P1633</f>
        <v>131.13499999999999</v>
      </c>
      <c r="E1624" s="246"/>
      <c r="F1624" s="282"/>
      <c r="G1624" s="244">
        <f>'корпоративный баланс энергии'!S1633+'корпоративный баланс энергии'!V1633+'корпоративный баланс энергии'!Y1633</f>
        <v>131.124</v>
      </c>
      <c r="H1624" s="246"/>
      <c r="I1624" s="282"/>
      <c r="J1624" s="244">
        <f>'корпоративный баланс энергии'!AB1633+'корпоративный баланс энергии'!AE1633+'корпоративный баланс энергии'!AH1633</f>
        <v>114.81460000000001</v>
      </c>
      <c r="K1624" s="246"/>
      <c r="L1624" s="282"/>
      <c r="M1624" s="244">
        <f>'корпоративный баланс энергии'!AK1633+'корпоративный баланс энергии'!AN1633+'корпоративный баланс энергии'!AQ1633</f>
        <v>142.94759999999999</v>
      </c>
      <c r="N1624" s="246"/>
      <c r="O1624" s="282"/>
      <c r="P1624" s="244">
        <f>D1624+G1624+J1624+M1624</f>
        <v>520.02120000000002</v>
      </c>
      <c r="Q1624" s="246"/>
      <c r="R1624" s="282"/>
      <c r="S1624"/>
      <c r="T1624"/>
    </row>
    <row r="1625" spans="2:20" s="110" customFormat="1">
      <c r="B1625" s="122" t="str">
        <f>'корпоративный баланс энергии'!H1634</f>
        <v>Омская ТЭЦ-5 (филиал АО "ТГК-11") Бл №2 98 МВт реконструкц, ДПМ 01.01.2016</v>
      </c>
      <c r="C1625" s="486"/>
      <c r="D1625" s="281">
        <f>'корпоративный баланс энергии'!J1634+'корпоративный баланс энергии'!M1634+'корпоративный баланс энергии'!P1634</f>
        <v>100.30680000000001</v>
      </c>
      <c r="E1625" s="246"/>
      <c r="F1625" s="282"/>
      <c r="G1625" s="244">
        <f>'корпоративный баланс энергии'!S1634+'корпоративный баланс энергии'!V1634+'корпоративный баланс энергии'!Y1634</f>
        <v>95.918400000000005</v>
      </c>
      <c r="H1625" s="246"/>
      <c r="I1625" s="282"/>
      <c r="J1625" s="244">
        <f>'корпоративный баланс энергии'!AB1634+'корпоративный баланс энергии'!AE1634+'корпоративный баланс энергии'!AH1634</f>
        <v>140.3468</v>
      </c>
      <c r="K1625" s="246"/>
      <c r="L1625" s="282"/>
      <c r="M1625" s="244">
        <f>'корпоративный баланс энергии'!AK1634+'корпоративный баланс энергии'!AN1634+'корпоративный баланс энергии'!AQ1634</f>
        <v>149.53039999999999</v>
      </c>
      <c r="N1625" s="246"/>
      <c r="O1625" s="282"/>
      <c r="P1625" s="244">
        <f>D1625+G1625+J1625+M1625</f>
        <v>486.10239999999999</v>
      </c>
      <c r="Q1625" s="246"/>
      <c r="R1625" s="282"/>
      <c r="S1625"/>
      <c r="T1625"/>
    </row>
    <row r="1626" spans="2:20" s="110" customFormat="1">
      <c r="B1626" s="122" t="str">
        <f>'корпоративный баланс энергии'!H1635</f>
        <v>Нововаршавская СЭС 1, 2 очередь (ООО "Грин Энерджи Рус")</v>
      </c>
      <c r="C1626" s="486"/>
      <c r="D1626" s="281">
        <f>'корпоративный баланс энергии'!J1635+'корпоративный баланс энергии'!M1635+'корпоративный баланс энергии'!P1635</f>
        <v>0</v>
      </c>
      <c r="E1626" s="246"/>
      <c r="F1626" s="282"/>
      <c r="G1626" s="244">
        <f>'корпоративный баланс энергии'!S1635+'корпоративный баланс энергии'!V1635+'корпоративный баланс энергии'!Y1635</f>
        <v>0</v>
      </c>
      <c r="H1626" s="246"/>
      <c r="I1626" s="282"/>
      <c r="J1626" s="244">
        <f>'корпоративный баланс энергии'!AB1635+'корпоративный баланс энергии'!AE1635+'корпоративный баланс энергии'!AH1635</f>
        <v>0</v>
      </c>
      <c r="K1626" s="246"/>
      <c r="L1626" s="282"/>
      <c r="M1626" s="244">
        <f>'корпоративный баланс энергии'!AK1635+'корпоративный баланс энергии'!AN1635+'корпоративный баланс энергии'!AQ1635</f>
        <v>0.41153341935483878</v>
      </c>
      <c r="N1626" s="246"/>
      <c r="O1626" s="282"/>
      <c r="P1626" s="244">
        <f>D1626+G1626+J1626+M1626</f>
        <v>0.41153341935483878</v>
      </c>
      <c r="Q1626" s="246"/>
      <c r="R1626" s="282"/>
      <c r="S1626"/>
      <c r="T1626"/>
    </row>
    <row r="1627" spans="2:20" s="113" customFormat="1">
      <c r="B1627" s="138" t="s">
        <v>174</v>
      </c>
      <c r="C1627" s="518" t="s">
        <v>365</v>
      </c>
      <c r="D1627" s="287">
        <f>SUM(D1628:D1630)</f>
        <v>55.278875999999997</v>
      </c>
      <c r="E1627" s="288"/>
      <c r="F1627" s="289"/>
      <c r="G1627" s="287">
        <f>SUM(G1628:G1630)</f>
        <v>50.385969999999993</v>
      </c>
      <c r="H1627" s="288"/>
      <c r="I1627" s="289"/>
      <c r="J1627" s="287">
        <f>SUM(J1628:J1630)</f>
        <v>48.619760999999997</v>
      </c>
      <c r="K1627" s="288"/>
      <c r="L1627" s="289"/>
      <c r="M1627" s="287">
        <f>SUM(M1628:M1630)</f>
        <v>56.868290999999999</v>
      </c>
      <c r="N1627" s="288"/>
      <c r="O1627" s="289"/>
      <c r="P1627" s="287">
        <f>SUM(P1628:P1630)</f>
        <v>211.15289800000002</v>
      </c>
      <c r="Q1627" s="288"/>
      <c r="R1627" s="289"/>
      <c r="S1627"/>
      <c r="T1627"/>
    </row>
    <row r="1628" spans="2:20" s="113" customFormat="1">
      <c r="B1628" s="135" t="str">
        <f>'корпоративный баланс энергии'!H1637</f>
        <v>ТЭС ПАО "Омскшина"</v>
      </c>
      <c r="C1628" s="518" t="s">
        <v>365</v>
      </c>
      <c r="D1628" s="293">
        <f>'корпоративный баланс энергии'!J1637+'корпоративный баланс энергии'!M1637+'корпоративный баланс энергии'!P1637</f>
        <v>6.4</v>
      </c>
      <c r="E1628" s="288"/>
      <c r="F1628" s="289"/>
      <c r="G1628" s="294">
        <f>'корпоративный баланс энергии'!S1637+'корпоративный баланс энергии'!V1637+'корпоративный баланс энергии'!Y1637</f>
        <v>5.05</v>
      </c>
      <c r="H1628" s="288"/>
      <c r="I1628" s="289"/>
      <c r="J1628" s="294">
        <f>'корпоративный баланс энергии'!AB1637+'корпоративный баланс энергии'!AE1637+'корпоративный баланс энергии'!AH1637</f>
        <v>3.4000000000000004</v>
      </c>
      <c r="K1628" s="288"/>
      <c r="L1628" s="289"/>
      <c r="M1628" s="294">
        <f>'корпоративный баланс энергии'!AK1637+'корпоративный баланс энергии'!AN1637+'корпоративный баланс энергии'!AQ1637</f>
        <v>7.1499999999999995</v>
      </c>
      <c r="N1628" s="288"/>
      <c r="O1628" s="289"/>
      <c r="P1628" s="294">
        <f>D1628+G1628+J1628+M1628</f>
        <v>22</v>
      </c>
      <c r="Q1628" s="288"/>
      <c r="R1628" s="289"/>
      <c r="S1628"/>
      <c r="T1628"/>
    </row>
    <row r="1629" spans="2:20" s="113" customFormat="1">
      <c r="B1629" s="135" t="str">
        <f>'корпоративный баланс энергии'!H1638</f>
        <v>ТЭС ООО "Омсктехуглерод"</v>
      </c>
      <c r="C1629" s="518" t="s">
        <v>365</v>
      </c>
      <c r="D1629" s="293">
        <f>'корпоративный баланс энергии'!J1638+'корпоративный баланс энергии'!M1638+'корпоративный баланс энергии'!P1638</f>
        <v>39.08</v>
      </c>
      <c r="E1629" s="288"/>
      <c r="F1629" s="289"/>
      <c r="G1629" s="294">
        <f>'корпоративный баланс энергии'!S1638+'корпоративный баланс энергии'!V1638+'корпоративный баланс энергии'!Y1638</f>
        <v>37.76</v>
      </c>
      <c r="H1629" s="288"/>
      <c r="I1629" s="289"/>
      <c r="J1629" s="294">
        <f>'корпоративный баланс энергии'!AB1638+'корпоративный баланс энергии'!AE1638+'корпоративный баланс энергии'!AH1638</f>
        <v>37.83</v>
      </c>
      <c r="K1629" s="288"/>
      <c r="L1629" s="289"/>
      <c r="M1629" s="294">
        <f>'корпоративный баланс энергии'!AK1638+'корпоративный баланс энергии'!AN1638+'корпоративный баланс энергии'!AQ1638</f>
        <v>38.56</v>
      </c>
      <c r="N1629" s="288"/>
      <c r="O1629" s="289"/>
      <c r="P1629" s="294">
        <f>D1629+G1629+J1629+M1629</f>
        <v>153.23000000000002</v>
      </c>
      <c r="Q1629" s="288"/>
      <c r="R1629" s="289"/>
      <c r="S1629"/>
      <c r="T1629"/>
    </row>
    <row r="1630" spans="2:20" s="113" customFormat="1">
      <c r="B1630" s="135" t="str">
        <f>'корпоративный баланс энергии'!H1639</f>
        <v>ТЭС ООО "Теплогенерирующий комплекс"</v>
      </c>
      <c r="C1630" s="518" t="s">
        <v>365</v>
      </c>
      <c r="D1630" s="293">
        <f>'корпоративный баланс энергии'!J1639+'корпоративный баланс энергии'!M1639+'корпоративный баланс энергии'!P1639</f>
        <v>9.7988759999999999</v>
      </c>
      <c r="E1630" s="288"/>
      <c r="F1630" s="289"/>
      <c r="G1630" s="294">
        <f>'корпоративный баланс энергии'!S1639+'корпоративный баланс энергии'!V1639+'корпоративный баланс энергии'!Y1639</f>
        <v>7.5759699999999999</v>
      </c>
      <c r="H1630" s="288"/>
      <c r="I1630" s="289"/>
      <c r="J1630" s="294">
        <f>'корпоративный баланс энергии'!AB1639+'корпоративный баланс энергии'!AE1639+'корпоративный баланс энергии'!AH1639</f>
        <v>7.389761</v>
      </c>
      <c r="K1630" s="288"/>
      <c r="L1630" s="289"/>
      <c r="M1630" s="294">
        <f>'корпоративный баланс энергии'!AK1639+'корпоративный баланс энергии'!AN1639+'корпоративный баланс энергии'!AQ1639</f>
        <v>11.158291</v>
      </c>
      <c r="N1630" s="288"/>
      <c r="O1630" s="289"/>
      <c r="P1630" s="294">
        <f>D1630+G1630+J1630+M1630</f>
        <v>35.922897999999996</v>
      </c>
      <c r="Q1630" s="288"/>
      <c r="R1630" s="289"/>
      <c r="S1630"/>
      <c r="T1630"/>
    </row>
    <row r="1631" spans="2:20" s="113" customFormat="1" ht="18.75">
      <c r="B1631" s="474" t="str">
        <f>'корпоративный баланс энергии'!H1640</f>
        <v>Энергосистема Томской области</v>
      </c>
      <c r="C1631" s="501"/>
      <c r="D1631" s="274">
        <f>SUM(D1632:D1633)</f>
        <v>1364.1861900000004</v>
      </c>
      <c r="E1631" s="275">
        <f>F1631-D1631</f>
        <v>951.57984200000055</v>
      </c>
      <c r="F1631" s="276">
        <f>'корпоративный баланс энергии'!L1640+'корпоративный баланс энергии'!O1640+'корпоративный баланс энергии'!R1640</f>
        <v>2315.7660320000009</v>
      </c>
      <c r="G1631" s="274">
        <f>SUM(G1632:G1633)</f>
        <v>878.26729999999998</v>
      </c>
      <c r="H1631" s="275">
        <f>I1631-G1631</f>
        <v>1008.5542029999997</v>
      </c>
      <c r="I1631" s="276">
        <f>'корпоративный баланс энергии'!U1640+'корпоративный баланс энергии'!X1640+'корпоративный баланс энергии'!AA1640</f>
        <v>1886.8215029999997</v>
      </c>
      <c r="J1631" s="274">
        <f>SUM(J1632:J1633)</f>
        <v>576.35779000000002</v>
      </c>
      <c r="K1631" s="275">
        <f>L1631-J1631</f>
        <v>1263.9037679999992</v>
      </c>
      <c r="L1631" s="276">
        <f>'корпоративный баланс энергии'!AD1640+'корпоративный баланс энергии'!AG1640+'корпоративный баланс энергии'!AJ1640</f>
        <v>1840.2615579999992</v>
      </c>
      <c r="M1631" s="274">
        <f>SUM(M1632:M1633)</f>
        <v>1307.60339</v>
      </c>
      <c r="N1631" s="275">
        <f>O1631-M1631</f>
        <v>986.50557399999911</v>
      </c>
      <c r="O1631" s="276">
        <f>'корпоративный баланс энергии'!AM1640+'корпоративный баланс энергии'!AP1640+'корпоративный баланс энергии'!AS1640</f>
        <v>2294.1089639999991</v>
      </c>
      <c r="P1631" s="274">
        <f>SUM(P1632:P1633)</f>
        <v>4126.4146700000001</v>
      </c>
      <c r="Q1631" s="275">
        <f>R1631-P1631</f>
        <v>4210.5433869999997</v>
      </c>
      <c r="R1631" s="276">
        <f>F1631+I1631+L1631+O1631</f>
        <v>8336.9580569999998</v>
      </c>
      <c r="S1631"/>
      <c r="T1631"/>
    </row>
    <row r="1632" spans="2:20" s="113" customFormat="1">
      <c r="B1632" s="126" t="s">
        <v>56</v>
      </c>
      <c r="C1632" s="500"/>
      <c r="D1632" s="270">
        <f>SUM(D1634,D1637:D1638)</f>
        <v>802.7650000000001</v>
      </c>
      <c r="E1632" s="271"/>
      <c r="F1632" s="224"/>
      <c r="G1632" s="270">
        <f>SUM(G1634,G1637:G1638)</f>
        <v>379.26600000000002</v>
      </c>
      <c r="H1632" s="271"/>
      <c r="I1632" s="224"/>
      <c r="J1632" s="270">
        <f>SUM(J1634,J1637:J1638)</f>
        <v>174.11500000000001</v>
      </c>
      <c r="K1632" s="271"/>
      <c r="L1632" s="224"/>
      <c r="M1632" s="270">
        <f>SUM(M1634,M1637:M1638)</f>
        <v>746.56499999999983</v>
      </c>
      <c r="N1632" s="271"/>
      <c r="O1632" s="224"/>
      <c r="P1632" s="270">
        <f>SUM(P1634,P1637:P1638)</f>
        <v>2102.7109999999998</v>
      </c>
      <c r="Q1632" s="363"/>
      <c r="R1632" s="366"/>
      <c r="S1632"/>
      <c r="T1632"/>
    </row>
    <row r="1633" spans="2:23" s="24" customFormat="1">
      <c r="B1633" s="124" t="s">
        <v>184</v>
      </c>
      <c r="C1633" s="497"/>
      <c r="D1633" s="270">
        <f>D1639</f>
        <v>561.42119000000014</v>
      </c>
      <c r="E1633" s="271"/>
      <c r="F1633" s="224"/>
      <c r="G1633" s="270">
        <f>G1639</f>
        <v>499.00130000000001</v>
      </c>
      <c r="H1633" s="271"/>
      <c r="I1633" s="224"/>
      <c r="J1633" s="270">
        <f>J1639</f>
        <v>402.24279000000001</v>
      </c>
      <c r="K1633" s="271"/>
      <c r="L1633" s="224"/>
      <c r="M1633" s="270">
        <f>M1639</f>
        <v>561.03839000000016</v>
      </c>
      <c r="N1633" s="271"/>
      <c r="O1633" s="224"/>
      <c r="P1633" s="270">
        <f>P1639</f>
        <v>2023.7036699999999</v>
      </c>
      <c r="Q1633" s="363"/>
      <c r="R1633" s="366"/>
      <c r="S1633"/>
      <c r="T1633"/>
    </row>
    <row r="1634" spans="2:23" s="24" customFormat="1">
      <c r="B1634" s="141" t="str">
        <f>'корпоративный баланс энергии'!H1643</f>
        <v>Томская ГРЭС-2 (филиал АО "Томская генерация")</v>
      </c>
      <c r="C1634" s="516" t="s">
        <v>364</v>
      </c>
      <c r="D1634" s="317">
        <f>SUM(D1635:D1636)</f>
        <v>477.24099999999999</v>
      </c>
      <c r="E1634" s="246"/>
      <c r="F1634" s="282"/>
      <c r="G1634" s="317">
        <f>SUM(G1635:G1636)</f>
        <v>209.75</v>
      </c>
      <c r="H1634" s="246"/>
      <c r="I1634" s="282"/>
      <c r="J1634" s="317">
        <f>SUM(J1635:J1636)</f>
        <v>110.87100000000001</v>
      </c>
      <c r="K1634" s="246"/>
      <c r="L1634" s="282"/>
      <c r="M1634" s="317">
        <f>SUM(M1635:M1636)</f>
        <v>428.30499999999995</v>
      </c>
      <c r="N1634" s="246"/>
      <c r="O1634" s="282"/>
      <c r="P1634" s="317">
        <f>SUM(P1635:P1636)</f>
        <v>1226.1669999999999</v>
      </c>
      <c r="Q1634" s="246"/>
      <c r="R1634" s="282"/>
      <c r="S1634"/>
      <c r="T1634"/>
      <c r="W1634" s="174"/>
    </row>
    <row r="1635" spans="2:23" s="24" customFormat="1">
      <c r="B1635" s="125" t="str">
        <f>'корпоративный баланс энергии'!H1644</f>
        <v>Томская ГРЭС-2 (АО "Томская генерация") без ДПМ/НВ/ВР</v>
      </c>
      <c r="C1635" s="502"/>
      <c r="D1635" s="281">
        <f>'корпоративный баланс энергии'!J1644+'корпоративный баланс энергии'!M1644+'корпоративный баланс энергии'!P1644</f>
        <v>375.94099999999997</v>
      </c>
      <c r="E1635" s="246"/>
      <c r="F1635" s="282"/>
      <c r="G1635" s="244">
        <f>'корпоративный баланс энергии'!S1644+'корпоративный баланс энергии'!V1644+'корпоративный баланс энергии'!Y1644</f>
        <v>128.32000000000002</v>
      </c>
      <c r="H1635" s="246"/>
      <c r="I1635" s="282"/>
      <c r="J1635" s="244">
        <f>'корпоративный баланс энергии'!AB1644+'корпоративный баланс энергии'!AE1644+'корпоративный баланс энергии'!AH1644</f>
        <v>60.071000000000005</v>
      </c>
      <c r="K1635" s="246"/>
      <c r="L1635" s="282"/>
      <c r="M1635" s="244">
        <f>'корпоративный баланс энергии'!AK1644+'корпоративный баланс энергии'!AN1644+'корпоративный баланс энергии'!AQ1644</f>
        <v>333.51499999999999</v>
      </c>
      <c r="N1635" s="246"/>
      <c r="O1635" s="282"/>
      <c r="P1635" s="244">
        <f>D1635+G1635+J1635+M1635</f>
        <v>897.84699999999998</v>
      </c>
      <c r="Q1635" s="246"/>
      <c r="R1635" s="282"/>
      <c r="S1635"/>
      <c r="T1635"/>
      <c r="W1635" s="173"/>
    </row>
    <row r="1636" spans="2:23" s="24" customFormat="1">
      <c r="B1636" s="125" t="str">
        <f>'корпоративный баланс энергии'!H1645</f>
        <v>Томская ГРЭС-2 (филиал АО "Томская генерация") Бл №2 50 МВт НВ, ДПМ 01.12.2009</v>
      </c>
      <c r="C1636" s="502"/>
      <c r="D1636" s="281">
        <f>'корпоративный баланс энергии'!J1645+'корпоративный баланс энергии'!M1645+'корпоративный баланс энергии'!P1645</f>
        <v>101.30000000000001</v>
      </c>
      <c r="E1636" s="246"/>
      <c r="F1636" s="282"/>
      <c r="G1636" s="244">
        <f>'корпоративный баланс энергии'!S1645+'корпоративный баланс энергии'!V1645+'корпоративный баланс энергии'!Y1645</f>
        <v>81.429999999999993</v>
      </c>
      <c r="H1636" s="246"/>
      <c r="I1636" s="282"/>
      <c r="J1636" s="244">
        <f>'корпоративный баланс энергии'!AB1645+'корпоративный баланс энергии'!AE1645+'корпоративный баланс энергии'!AH1645</f>
        <v>50.8</v>
      </c>
      <c r="K1636" s="246"/>
      <c r="L1636" s="282"/>
      <c r="M1636" s="244">
        <f>'корпоративный баланс энергии'!AK1645+'корпоративный баланс энергии'!AN1645+'корпоративный баланс энергии'!AQ1645</f>
        <v>94.789999999999992</v>
      </c>
      <c r="N1636" s="246"/>
      <c r="O1636" s="282"/>
      <c r="P1636" s="244">
        <f>D1636+G1636+J1636+M1636</f>
        <v>328.32000000000005</v>
      </c>
      <c r="Q1636" s="246"/>
      <c r="R1636" s="282"/>
      <c r="S1636"/>
      <c r="T1636"/>
    </row>
    <row r="1637" spans="2:23" s="24" customFormat="1">
      <c r="B1637" s="125" t="str">
        <f>'корпоративный баланс энергии'!H1646</f>
        <v>Томская ТЭЦ-3 (филиал АО "Томская генерация")</v>
      </c>
      <c r="C1637" s="516" t="s">
        <v>364</v>
      </c>
      <c r="D1637" s="281">
        <f>'корпоративный баланс энергии'!J1646+'корпоративный баланс энергии'!M1646+'корпоративный баланс энергии'!P1646</f>
        <v>294.94</v>
      </c>
      <c r="E1637" s="246"/>
      <c r="F1637" s="282"/>
      <c r="G1637" s="244">
        <f>'корпоративный баланс энергии'!S1646+'корпоративный баланс энергии'!V1646+'корпоративный баланс энергии'!Y1646</f>
        <v>152.524</v>
      </c>
      <c r="H1637" s="246"/>
      <c r="I1637" s="282"/>
      <c r="J1637" s="244">
        <f>'корпоративный баланс энергии'!AB1646+'корпоративный баланс энергии'!AE1646+'корпоративный баланс энергии'!AH1646</f>
        <v>41.042000000000002</v>
      </c>
      <c r="K1637" s="246"/>
      <c r="L1637" s="282"/>
      <c r="M1637" s="244">
        <f>'корпоративный баланс энергии'!AK1646+'корпоративный баланс энергии'!AN1646+'корпоративный баланс энергии'!AQ1646</f>
        <v>290.7</v>
      </c>
      <c r="N1637" s="246"/>
      <c r="O1637" s="282"/>
      <c r="P1637" s="244">
        <f>D1637+G1637+J1637+M1637</f>
        <v>779.2059999999999</v>
      </c>
      <c r="Q1637" s="246"/>
      <c r="R1637" s="282"/>
      <c r="S1637"/>
      <c r="T1637"/>
    </row>
    <row r="1638" spans="2:23" s="24" customFormat="1">
      <c r="B1638" s="125" t="str">
        <f>'корпоративный баланс энергии'!H1647</f>
        <v>Томская ТЭЦ-1 (ПРК-ГТУ 16 МВт) (АО "Томская генерация")</v>
      </c>
      <c r="C1638" s="516" t="s">
        <v>364</v>
      </c>
      <c r="D1638" s="281">
        <f>'корпоративный баланс энергии'!J1647+'корпоративный баланс энергии'!M1647+'корпоративный баланс энергии'!P1647</f>
        <v>30.584000000000003</v>
      </c>
      <c r="E1638" s="246"/>
      <c r="F1638" s="282"/>
      <c r="G1638" s="244">
        <f>'корпоративный баланс энергии'!S1647+'корпоративный баланс энергии'!V1647+'корпоративный баланс энергии'!Y1647</f>
        <v>16.992000000000001</v>
      </c>
      <c r="H1638" s="246"/>
      <c r="I1638" s="282"/>
      <c r="J1638" s="244">
        <f>'корпоративный баланс энергии'!AB1647+'корпоративный баланс энергии'!AE1647+'корпоративный баланс энергии'!AH1647</f>
        <v>22.201999999999998</v>
      </c>
      <c r="K1638" s="246"/>
      <c r="L1638" s="282"/>
      <c r="M1638" s="244">
        <f>'корпоративный баланс энергии'!AK1647+'корпоративный баланс энергии'!AN1647+'корпоративный баланс энергии'!AQ1647</f>
        <v>27.56</v>
      </c>
      <c r="N1638" s="246"/>
      <c r="O1638" s="282"/>
      <c r="P1638" s="244">
        <f>D1638+G1638+J1638+M1638</f>
        <v>97.338000000000008</v>
      </c>
      <c r="Q1638" s="246"/>
      <c r="R1638" s="282"/>
      <c r="S1638"/>
      <c r="T1638"/>
    </row>
    <row r="1639" spans="2:23" s="24" customFormat="1">
      <c r="B1639" s="138" t="s">
        <v>174</v>
      </c>
      <c r="C1639" s="488"/>
      <c r="D1639" s="287">
        <f>SUM(D1640,D1643:D1647)</f>
        <v>561.42119000000014</v>
      </c>
      <c r="E1639" s="288"/>
      <c r="F1639" s="289"/>
      <c r="G1639" s="287">
        <f>SUM(G1640,G1643:G1647)</f>
        <v>499.00130000000001</v>
      </c>
      <c r="H1639" s="288"/>
      <c r="I1639" s="289"/>
      <c r="J1639" s="287">
        <f>SUM(J1640,J1643:J1647)</f>
        <v>402.24279000000001</v>
      </c>
      <c r="K1639" s="288"/>
      <c r="L1639" s="289"/>
      <c r="M1639" s="287">
        <f>SUM(M1640,M1643:M1647)</f>
        <v>561.03839000000016</v>
      </c>
      <c r="N1639" s="288"/>
      <c r="O1639" s="289"/>
      <c r="P1639" s="287">
        <f>SUM(P1640,P1643:P1647)</f>
        <v>2023.7036699999999</v>
      </c>
      <c r="Q1639" s="288"/>
      <c r="R1639" s="289"/>
      <c r="S1639"/>
      <c r="T1639"/>
    </row>
    <row r="1640" spans="2:23" s="115" customFormat="1">
      <c r="B1640" s="139" t="str">
        <f>'корпоративный баланс энергии'!H1649</f>
        <v>ТЭЦ СХК (АО "Сибирский химический комбинат" )</v>
      </c>
      <c r="C1640" s="518" t="s">
        <v>364</v>
      </c>
      <c r="D1640" s="287">
        <f>SUM(D1641:D1642)</f>
        <v>419.12400000000002</v>
      </c>
      <c r="E1640" s="288"/>
      <c r="F1640" s="289"/>
      <c r="G1640" s="287">
        <f>SUM(G1641:G1642)</f>
        <v>361.38200000000001</v>
      </c>
      <c r="H1640" s="288"/>
      <c r="I1640" s="289"/>
      <c r="J1640" s="287">
        <f>SUM(J1641:J1642)</f>
        <v>284.63</v>
      </c>
      <c r="K1640" s="288"/>
      <c r="L1640" s="289"/>
      <c r="M1640" s="287">
        <f>SUM(M1641:M1642)</f>
        <v>421.73</v>
      </c>
      <c r="N1640" s="288"/>
      <c r="O1640" s="289"/>
      <c r="P1640" s="287">
        <f>SUM(P1641:P1642)</f>
        <v>1486.866</v>
      </c>
      <c r="Q1640" s="288"/>
      <c r="R1640" s="289"/>
      <c r="S1640"/>
      <c r="T1640"/>
    </row>
    <row r="1641" spans="2:23" s="115" customFormat="1">
      <c r="B1641" s="136" t="str">
        <f>'корпоративный баланс энергии'!H1650</f>
        <v>ТЭЦ СХК (АО "Сибирский химический комбинат")</v>
      </c>
      <c r="C1641" s="518"/>
      <c r="D1641" s="293">
        <f>'корпоративный баланс энергии'!J1650+'корпоративный баланс энергии'!M1650+'корпоративный баланс энергии'!P1650</f>
        <v>281.00400000000002</v>
      </c>
      <c r="E1641" s="288"/>
      <c r="F1641" s="289"/>
      <c r="G1641" s="294">
        <f>'корпоративный баланс энергии'!S1650+'корпоративный баланс энергии'!V1650+'корпоративный баланс энергии'!Y1650</f>
        <v>262.83199999999999</v>
      </c>
      <c r="H1641" s="288"/>
      <c r="I1641" s="289"/>
      <c r="J1641" s="294">
        <f>'корпоративный баланс энергии'!AB1650+'корпоративный баланс энергии'!AE1650+'корпоративный баланс энергии'!AH1650</f>
        <v>164.52</v>
      </c>
      <c r="K1641" s="288"/>
      <c r="L1641" s="289"/>
      <c r="M1641" s="294">
        <f>'корпоративный баланс энергии'!AK1650+'корпоративный баланс энергии'!AN1650+'корпоративный баланс энергии'!AQ1650</f>
        <v>276.29000000000002</v>
      </c>
      <c r="N1641" s="288"/>
      <c r="O1641" s="289"/>
      <c r="P1641" s="294">
        <f t="shared" ref="P1641:P1647" si="135">D1641+G1641+J1641+M1641</f>
        <v>984.64599999999996</v>
      </c>
      <c r="Q1641" s="288"/>
      <c r="R1641" s="289"/>
      <c r="S1641"/>
      <c r="T1641"/>
    </row>
    <row r="1642" spans="2:23" s="115" customFormat="1">
      <c r="B1642" s="136" t="str">
        <f>'корпоративный баланс энергии'!H1651</f>
        <v>ТЭЦ СХК (АО "Сибирский химический комбинат") Бл №10 100 МВт НВ 01.10.2008</v>
      </c>
      <c r="C1642" s="518"/>
      <c r="D1642" s="293">
        <f>'корпоративный баланс энергии'!J1651+'корпоративный баланс энергии'!M1651+'корпоративный баланс энергии'!P1651</f>
        <v>138.12</v>
      </c>
      <c r="E1642" s="288"/>
      <c r="F1642" s="289"/>
      <c r="G1642" s="294">
        <f>'корпоративный баланс энергии'!S1651+'корпоративный баланс энергии'!V1651+'корпоративный баланс энергии'!Y1651</f>
        <v>98.55</v>
      </c>
      <c r="H1642" s="288"/>
      <c r="I1642" s="289"/>
      <c r="J1642" s="294">
        <f>'корпоративный баланс энергии'!AB1651+'корпоративный баланс энергии'!AE1651+'корпоративный баланс энергии'!AH1651</f>
        <v>120.11</v>
      </c>
      <c r="K1642" s="288"/>
      <c r="L1642" s="289"/>
      <c r="M1642" s="294">
        <f>'корпоративный баланс энергии'!AK1651+'корпоративный баланс энергии'!AN1651+'корпоративный баланс энергии'!AQ1651</f>
        <v>145.44</v>
      </c>
      <c r="N1642" s="288"/>
      <c r="O1642" s="289"/>
      <c r="P1642" s="294">
        <f t="shared" si="135"/>
        <v>502.22</v>
      </c>
      <c r="Q1642" s="288"/>
      <c r="R1642" s="289"/>
      <c r="S1642"/>
      <c r="T1642"/>
    </row>
    <row r="1643" spans="2:23" s="115" customFormat="1">
      <c r="B1643" s="136" t="str">
        <f>'корпоративный баланс энергии'!H1652</f>
        <v>ГТЭС 2х6 Игольско-Талового нмр (АО «Томскнефть» ВНК)</v>
      </c>
      <c r="C1643" s="518" t="s">
        <v>365</v>
      </c>
      <c r="D1643" s="293">
        <f>'корпоративный баланс энергии'!J1652+'корпоративный баланс энергии'!M1652+'корпоративный баланс энергии'!P1652</f>
        <v>16.190799999999999</v>
      </c>
      <c r="E1643" s="288"/>
      <c r="F1643" s="289"/>
      <c r="G1643" s="294">
        <f>'корпоративный баланс энергии'!S1652+'корпоративный баланс энергии'!V1652+'корпоративный баланс энергии'!Y1652</f>
        <v>17.628</v>
      </c>
      <c r="H1643" s="288"/>
      <c r="I1643" s="289"/>
      <c r="J1643" s="294">
        <f>'корпоративный баланс энергии'!AB1652+'корпоративный баланс энергии'!AE1652+'корпоративный баланс энергии'!AH1652</f>
        <v>15.5</v>
      </c>
      <c r="K1643" s="288"/>
      <c r="L1643" s="289"/>
      <c r="M1643" s="294">
        <f>'корпоративный баланс энергии'!AK1652+'корпоративный баланс энергии'!AN1652+'корпоративный баланс энергии'!AQ1652</f>
        <v>13.807400000000001</v>
      </c>
      <c r="N1643" s="288"/>
      <c r="O1643" s="289"/>
      <c r="P1643" s="294">
        <f t="shared" si="135"/>
        <v>63.126199999999997</v>
      </c>
      <c r="Q1643" s="288"/>
      <c r="R1643" s="289"/>
      <c r="S1643"/>
      <c r="T1643"/>
    </row>
    <row r="1644" spans="2:23" s="115" customFormat="1">
      <c r="B1644" s="136" t="str">
        <f>'корпоративный баланс энергии'!H1653</f>
        <v>ГТЭС Игольско-Талового нмр (АО «Томскнефть» ВНК)</v>
      </c>
      <c r="C1644" s="518" t="s">
        <v>365</v>
      </c>
      <c r="D1644" s="293">
        <f>'корпоративный баланс энергии'!J1653+'корпоративный баланс энергии'!M1653+'корпоративный баланс энергии'!P1653</f>
        <v>17.981909999999999</v>
      </c>
      <c r="E1644" s="288"/>
      <c r="F1644" s="289"/>
      <c r="G1644" s="294">
        <f>'корпоративный баланс энергии'!S1653+'корпоративный баланс энергии'!V1653+'корпоративный баланс энергии'!Y1653</f>
        <v>14.82016</v>
      </c>
      <c r="H1644" s="288"/>
      <c r="I1644" s="289"/>
      <c r="J1644" s="294">
        <f>'корпоративный баланс энергии'!AB1653+'корпоративный баланс энергии'!AE1653+'корпоративный баланс энергии'!AH1653</f>
        <v>12.59822</v>
      </c>
      <c r="K1644" s="288"/>
      <c r="L1644" s="289"/>
      <c r="M1644" s="294">
        <f>'корпоративный баланс энергии'!AK1653+'корпоративный баланс энергии'!AN1653+'корпоративный баланс энергии'!AQ1653</f>
        <v>18.240829999999999</v>
      </c>
      <c r="N1644" s="288"/>
      <c r="O1644" s="289"/>
      <c r="P1644" s="294">
        <f t="shared" si="135"/>
        <v>63.641120000000001</v>
      </c>
      <c r="Q1644" s="288"/>
      <c r="R1644" s="289"/>
      <c r="S1644"/>
      <c r="T1644"/>
    </row>
    <row r="1645" spans="2:23" s="115" customFormat="1">
      <c r="B1645" s="136" t="str">
        <f>'корпоративный баланс энергии'!H1654</f>
        <v>Двуреченская ГТЭС (АО «Томскнефть» ВНК)</v>
      </c>
      <c r="C1645" s="518" t="s">
        <v>365</v>
      </c>
      <c r="D1645" s="293">
        <f>'корпоративный баланс энергии'!J1654+'корпоративный баланс энергии'!M1654+'корпоративный баланс энергии'!P1654</f>
        <v>30.642879999999998</v>
      </c>
      <c r="E1645" s="288"/>
      <c r="F1645" s="289"/>
      <c r="G1645" s="294">
        <f>'корпоративный баланс энергии'!S1654+'корпоративный баланс энергии'!V1654+'корпоративный баланс энергии'!Y1654</f>
        <v>29.57114</v>
      </c>
      <c r="H1645" s="288"/>
      <c r="I1645" s="289"/>
      <c r="J1645" s="294">
        <f>'корпоративный баланс энергии'!AB1654+'корпоративный баланс энергии'!AE1654+'корпоративный баланс энергии'!AH1654</f>
        <v>26.34657</v>
      </c>
      <c r="K1645" s="288"/>
      <c r="L1645" s="289"/>
      <c r="M1645" s="294">
        <f>'корпоративный баланс энергии'!AK1654+'корпоративный баланс энергии'!AN1654+'корпоративный баланс энергии'!AQ1654</f>
        <v>28.63616</v>
      </c>
      <c r="N1645" s="288"/>
      <c r="O1645" s="289"/>
      <c r="P1645" s="294">
        <f t="shared" si="135"/>
        <v>115.19674999999999</v>
      </c>
      <c r="Q1645" s="288"/>
      <c r="R1645" s="289"/>
      <c r="S1645"/>
      <c r="T1645"/>
    </row>
    <row r="1646" spans="2:23" s="115" customFormat="1">
      <c r="B1646" s="136" t="str">
        <f>'корпоративный баланс энергии'!H1655</f>
        <v>Шингинская ГТЭС (ООО "Газпромнефтегаз-Восток")</v>
      </c>
      <c r="C1646" s="518" t="s">
        <v>365</v>
      </c>
      <c r="D1646" s="293">
        <f>'корпоративный баланс энергии'!J1655+'корпоративный баланс энергии'!M1655+'корпоративный баланс энергии'!P1655</f>
        <v>46.9056</v>
      </c>
      <c r="E1646" s="288"/>
      <c r="F1646" s="289"/>
      <c r="G1646" s="294">
        <f>'корпоративный баланс энергии'!S1655+'корпоративный баланс энергии'!V1655+'корпоративный баланс энергии'!Y1655</f>
        <v>45.024000000000001</v>
      </c>
      <c r="H1646" s="288"/>
      <c r="I1646" s="289"/>
      <c r="J1646" s="294">
        <f>'корпоративный баланс энергии'!AB1655+'корпоративный баланс энергии'!AE1655+'корпоративный баланс энергии'!AH1655</f>
        <v>47.712000000000003</v>
      </c>
      <c r="K1646" s="288"/>
      <c r="L1646" s="289"/>
      <c r="M1646" s="294">
        <f>'корпоративный баланс энергии'!AK1655+'корпоративный баланс энергии'!AN1655+'корпоративный баланс энергии'!AQ1655</f>
        <v>47.712000000000003</v>
      </c>
      <c r="N1646" s="288"/>
      <c r="O1646" s="289"/>
      <c r="P1646" s="294">
        <f t="shared" ref="P1646" si="136">D1646+G1646+J1646+M1646</f>
        <v>187.35359999999997</v>
      </c>
      <c r="Q1646" s="288"/>
      <c r="R1646" s="289"/>
      <c r="S1646"/>
      <c r="T1646"/>
    </row>
    <row r="1647" spans="2:23" s="92" customFormat="1">
      <c r="B1647" s="136" t="str">
        <f>'корпоративный баланс энергии'!H1656</f>
        <v>Котельная ОАО "Томскнефтехим"  (ПАО «СИБУР Холдинг»)</v>
      </c>
      <c r="C1647" s="518" t="s">
        <v>365</v>
      </c>
      <c r="D1647" s="293">
        <f>'корпоративный баланс энергии'!J1656+'корпоративный баланс энергии'!M1656+'корпоративный баланс энергии'!P1656</f>
        <v>30.576000000000001</v>
      </c>
      <c r="E1647" s="288"/>
      <c r="F1647" s="289"/>
      <c r="G1647" s="294">
        <f>'корпоративный баланс энергии'!S1656+'корпоративный баланс энергии'!V1656+'корпоративный баланс энергии'!Y1656</f>
        <v>30.576000000000001</v>
      </c>
      <c r="H1647" s="288"/>
      <c r="I1647" s="289"/>
      <c r="J1647" s="294">
        <f>'корпоративный баланс энергии'!AB1656+'корпоративный баланс энергии'!AE1656+'корпоративный баланс энергии'!AH1656</f>
        <v>15.456</v>
      </c>
      <c r="K1647" s="288"/>
      <c r="L1647" s="289"/>
      <c r="M1647" s="294">
        <f>'корпоративный баланс энергии'!AK1656+'корпоративный баланс энергии'!AN1656+'корпоративный баланс энергии'!AQ1656</f>
        <v>30.912000000000003</v>
      </c>
      <c r="N1647" s="288"/>
      <c r="O1647" s="289"/>
      <c r="P1647" s="294">
        <f t="shared" si="135"/>
        <v>107.52000000000001</v>
      </c>
      <c r="Q1647" s="288"/>
      <c r="R1647" s="289"/>
      <c r="S1647"/>
      <c r="T1647"/>
    </row>
    <row r="1648" spans="2:23" s="24" customFormat="1" ht="18.75">
      <c r="B1648" s="474" t="str">
        <f>'корпоративный баланс энергии'!H1657</f>
        <v>Энергосистема Красноярского края и Республики Тыва (в границах Республики Тыва)</v>
      </c>
      <c r="C1648" s="474"/>
      <c r="D1648" s="277">
        <f>D1649</f>
        <v>15</v>
      </c>
      <c r="E1648" s="275">
        <f>F1648-D1648</f>
        <v>255.07714557343616</v>
      </c>
      <c r="F1648" s="276">
        <f>'корпоративный баланс энергии'!L1657+'корпоративный баланс энергии'!O1657+'корпоративный баланс энергии'!R1657</f>
        <v>270.07714557343616</v>
      </c>
      <c r="G1648" s="277">
        <f>G1649</f>
        <v>6.8</v>
      </c>
      <c r="H1648" s="275">
        <f>I1648-G1648</f>
        <v>150.76184719567846</v>
      </c>
      <c r="I1648" s="276">
        <f>'корпоративный баланс энергии'!U1657+'корпоративный баланс энергии'!X1657+'корпоративный баланс энергии'!AA1657</f>
        <v>157.56184719567847</v>
      </c>
      <c r="J1648" s="277">
        <f>J1649</f>
        <v>4</v>
      </c>
      <c r="K1648" s="275">
        <f>L1648-J1648</f>
        <v>139.59691610349441</v>
      </c>
      <c r="L1648" s="276">
        <f>'корпоративный баланс энергии'!AD1657+'корпоративный баланс энергии'!AG1657+'корпоративный баланс энергии'!AJ1657</f>
        <v>143.59691610349441</v>
      </c>
      <c r="M1648" s="277">
        <f>M1649</f>
        <v>13.8</v>
      </c>
      <c r="N1648" s="275">
        <f>O1648-M1648</f>
        <v>238.96409112739082</v>
      </c>
      <c r="O1648" s="276">
        <f>'корпоративный баланс энергии'!AM1657+'корпоративный баланс энергии'!AP1657+'корпоративный баланс энергии'!AS1657</f>
        <v>252.76409112739083</v>
      </c>
      <c r="P1648" s="277">
        <f>P1649</f>
        <v>39.6</v>
      </c>
      <c r="Q1648" s="275">
        <f>R1648-P1648</f>
        <v>784.39999999999975</v>
      </c>
      <c r="R1648" s="276">
        <f>F1648+I1648+L1648+O1648</f>
        <v>823.99999999999977</v>
      </c>
      <c r="S1648"/>
      <c r="T1648"/>
    </row>
    <row r="1649" spans="2:20" s="24" customFormat="1">
      <c r="B1649" s="126" t="s">
        <v>56</v>
      </c>
      <c r="C1649" s="126"/>
      <c r="D1649" s="223">
        <f>D1650</f>
        <v>15</v>
      </c>
      <c r="E1649" s="271"/>
      <c r="F1649" s="224"/>
      <c r="G1649" s="223">
        <f>G1650</f>
        <v>6.8</v>
      </c>
      <c r="H1649" s="271"/>
      <c r="I1649" s="224"/>
      <c r="J1649" s="223">
        <f>J1650</f>
        <v>4</v>
      </c>
      <c r="K1649" s="271"/>
      <c r="L1649" s="224"/>
      <c r="M1649" s="223">
        <f>M1650</f>
        <v>13.8</v>
      </c>
      <c r="N1649" s="271"/>
      <c r="O1649" s="224"/>
      <c r="P1649" s="223">
        <f>P1650</f>
        <v>39.6</v>
      </c>
      <c r="Q1649" s="271"/>
      <c r="R1649" s="364"/>
      <c r="S1649"/>
      <c r="T1649"/>
    </row>
    <row r="1650" spans="2:20" s="24" customFormat="1">
      <c r="B1650" s="122" t="str">
        <f>'корпоративный баланс энергии'!H1659</f>
        <v>Кызыльская ТЭЦ (ОАО "Кызылская ТЭЦ")</v>
      </c>
      <c r="C1650" s="533" t="s">
        <v>365</v>
      </c>
      <c r="D1650" s="281">
        <f>'корпоративный баланс энергии'!J1659+'корпоративный баланс энергии'!M1659+'корпоративный баланс энергии'!P1659</f>
        <v>15</v>
      </c>
      <c r="E1650" s="246"/>
      <c r="F1650" s="282"/>
      <c r="G1650" s="244">
        <f>'корпоративный баланс энергии'!S1659+'корпоративный баланс энергии'!V1659+'корпоративный баланс энергии'!Y1659</f>
        <v>6.8</v>
      </c>
      <c r="H1650" s="246"/>
      <c r="I1650" s="282"/>
      <c r="J1650" s="244">
        <f>'корпоративный баланс энергии'!AB1659+'корпоративный баланс энергии'!AE1659+'корпоративный баланс энергии'!AH1659</f>
        <v>4</v>
      </c>
      <c r="K1650" s="246"/>
      <c r="L1650" s="282"/>
      <c r="M1650" s="244">
        <f>'корпоративный баланс энергии'!AK1659+'корпоративный баланс энергии'!AN1659+'корпоративный баланс энергии'!AQ1659</f>
        <v>13.8</v>
      </c>
      <c r="N1650" s="246"/>
      <c r="O1650" s="282"/>
      <c r="P1650" s="244">
        <f>D1650+G1650+J1650+M1650</f>
        <v>39.6</v>
      </c>
      <c r="Q1650" s="246"/>
      <c r="R1650" s="282"/>
      <c r="S1650"/>
      <c r="T1650"/>
    </row>
    <row r="1651" spans="2:20" ht="18.75">
      <c r="B1651" s="474" t="str">
        <f>'корпоративный баланс энергии'!H1660</f>
        <v>Энергосистема Республики Хакасия</v>
      </c>
      <c r="C1651" s="501"/>
      <c r="D1651" s="274">
        <f>SUM(D1652:D1655)</f>
        <v>5954.8602799028322</v>
      </c>
      <c r="E1651" s="275">
        <f>F1651-D1651</f>
        <v>-1546.4347885389252</v>
      </c>
      <c r="F1651" s="276">
        <f>'корпоративный баланс энергии'!L1660+'корпоративный баланс энергии'!O1660+'корпоративный баланс энергии'!R1660</f>
        <v>4408.425491363907</v>
      </c>
      <c r="G1651" s="277">
        <f>SUM(G1652:G1655)</f>
        <v>6064.6846270566402</v>
      </c>
      <c r="H1651" s="275">
        <f>I1651-G1651</f>
        <v>-2027.0612798261463</v>
      </c>
      <c r="I1651" s="276">
        <f>'корпоративный баланс энергии'!U1660+'корпоративный баланс энергии'!X1660+'корпоративный баланс энергии'!AA1660</f>
        <v>4037.6233472304939</v>
      </c>
      <c r="J1651" s="277">
        <f>SUM(J1652:J1655)</f>
        <v>6877.855256967875</v>
      </c>
      <c r="K1651" s="275">
        <f>L1651-J1651</f>
        <v>-2835.2074904401798</v>
      </c>
      <c r="L1651" s="276">
        <f>'корпоративный баланс энергии'!AD1660+'корпоративный баланс энергии'!AG1660+'корпоративный баланс энергии'!AJ1660</f>
        <v>4042.6477665276952</v>
      </c>
      <c r="M1651" s="277">
        <f>SUM(M1652:M1655)</f>
        <v>6363.2980831005652</v>
      </c>
      <c r="N1651" s="275">
        <f>O1651-M1651</f>
        <v>-1979.9946882226614</v>
      </c>
      <c r="O1651" s="276">
        <f>'корпоративный баланс энергии'!AM1660+'корпоративный баланс энергии'!AP1660+'корпоративный баланс энергии'!AS1660</f>
        <v>4383.3033948779039</v>
      </c>
      <c r="P1651" s="277">
        <f>SUM(P1652:P1655)</f>
        <v>25260.698247027914</v>
      </c>
      <c r="Q1651" s="275">
        <f>R1651-P1651</f>
        <v>-8388.6982470279145</v>
      </c>
      <c r="R1651" s="276">
        <f>F1651+I1651+L1651+O1651</f>
        <v>16872</v>
      </c>
    </row>
    <row r="1652" spans="2:20">
      <c r="B1652" s="126" t="s">
        <v>56</v>
      </c>
      <c r="C1652" s="500"/>
      <c r="D1652" s="270">
        <f>D1658</f>
        <v>565.15608299999997</v>
      </c>
      <c r="E1652" s="271"/>
      <c r="F1652" s="224"/>
      <c r="G1652" s="270">
        <f>G1658</f>
        <v>367.74224399999997</v>
      </c>
      <c r="H1652" s="271"/>
      <c r="I1652" s="224"/>
      <c r="J1652" s="270">
        <f>J1658</f>
        <v>279.49130499999995</v>
      </c>
      <c r="K1652" s="271"/>
      <c r="L1652" s="224"/>
      <c r="M1652" s="270">
        <f>M1658</f>
        <v>544.466317</v>
      </c>
      <c r="N1652" s="271"/>
      <c r="O1652" s="224"/>
      <c r="P1652" s="270">
        <f>P1658</f>
        <v>1756.8559489999998</v>
      </c>
      <c r="Q1652" s="271"/>
      <c r="R1652" s="364"/>
    </row>
    <row r="1653" spans="2:20" s="92" customFormat="1">
      <c r="B1653" s="126" t="s">
        <v>55</v>
      </c>
      <c r="C1653" s="500"/>
      <c r="D1653" s="270">
        <f>SUM(D1656:D1657)</f>
        <v>5373.1004129028324</v>
      </c>
      <c r="E1653" s="271"/>
      <c r="F1653" s="224"/>
      <c r="G1653" s="223">
        <f>SUM(G1656:G1657)</f>
        <v>5685.2413830566402</v>
      </c>
      <c r="H1653" s="271"/>
      <c r="I1653" s="224"/>
      <c r="J1653" s="223">
        <f>SUM(J1656:J1657)</f>
        <v>6588.6719519678754</v>
      </c>
      <c r="K1653" s="271"/>
      <c r="L1653" s="224"/>
      <c r="M1653" s="223">
        <f>SUM(M1656:M1657)</f>
        <v>5804.4327661005655</v>
      </c>
      <c r="N1653" s="271"/>
      <c r="O1653" s="224"/>
      <c r="P1653" s="223">
        <f>SUM(P1656:P1657)</f>
        <v>23451.446514027914</v>
      </c>
      <c r="Q1653" s="271"/>
      <c r="R1653" s="364"/>
      <c r="S1653"/>
      <c r="T1653"/>
    </row>
    <row r="1654" spans="2:20" s="92" customFormat="1">
      <c r="B1654" s="126" t="s">
        <v>347</v>
      </c>
      <c r="C1654" s="500"/>
      <c r="D1654" s="270">
        <f>D1661</f>
        <v>1.1237840000000001</v>
      </c>
      <c r="E1654" s="271"/>
      <c r="F1654" s="224"/>
      <c r="G1654" s="223">
        <f>G1661</f>
        <v>2.2610000000000001</v>
      </c>
      <c r="H1654" s="271"/>
      <c r="I1654" s="224"/>
      <c r="J1654" s="223">
        <f>J1661</f>
        <v>1.992</v>
      </c>
      <c r="K1654" s="271"/>
      <c r="L1654" s="224"/>
      <c r="M1654" s="223">
        <f>M1661</f>
        <v>0.69900000000000007</v>
      </c>
      <c r="N1654" s="271"/>
      <c r="O1654" s="224"/>
      <c r="P1654" s="223">
        <f>P1661</f>
        <v>6.0757840000000005</v>
      </c>
      <c r="Q1654" s="271"/>
      <c r="R1654" s="364"/>
      <c r="S1654"/>
      <c r="T1654"/>
    </row>
    <row r="1655" spans="2:20">
      <c r="B1655" s="124" t="s">
        <v>184</v>
      </c>
      <c r="C1655" s="497"/>
      <c r="D1655" s="270">
        <f>D1662</f>
        <v>15.48</v>
      </c>
      <c r="E1655" s="271"/>
      <c r="F1655" s="224"/>
      <c r="G1655" s="223">
        <f>G1662</f>
        <v>9.44</v>
      </c>
      <c r="H1655" s="271"/>
      <c r="I1655" s="224"/>
      <c r="J1655" s="223">
        <f>J1662</f>
        <v>7.6999999999999993</v>
      </c>
      <c r="K1655" s="271"/>
      <c r="L1655" s="224"/>
      <c r="M1655" s="223">
        <f>M1662</f>
        <v>13.7</v>
      </c>
      <c r="N1655" s="271"/>
      <c r="O1655" s="224"/>
      <c r="P1655" s="223">
        <f>P1662</f>
        <v>46.320000000000007</v>
      </c>
      <c r="Q1655" s="271"/>
      <c r="R1655" s="364"/>
    </row>
    <row r="1656" spans="2:20">
      <c r="B1656" s="122" t="str">
        <f>'корпоративный баланс энергии'!H1665</f>
        <v>Саяно-Шушенская ГЭС  (филиал ПАО "РусГидро")</v>
      </c>
      <c r="C1656" s="516" t="s">
        <v>364</v>
      </c>
      <c r="D1656" s="281">
        <f>'корпоративный баланс энергии'!J1665+'корпоративный баланс энергии'!M1665+'корпоративный баланс энергии'!P1665</f>
        <v>5028.0915820312503</v>
      </c>
      <c r="E1656" s="246"/>
      <c r="F1656" s="282"/>
      <c r="G1656" s="244">
        <f>'корпоративный баланс энергии'!S1665+'корпоративный баланс энергии'!V1665+'корпоративный баланс энергии'!Y1665</f>
        <v>5339.4270214843746</v>
      </c>
      <c r="H1656" s="246"/>
      <c r="I1656" s="282"/>
      <c r="J1656" s="244">
        <f>'корпоративный баланс энергии'!AB1665+'корпоративный баланс энергии'!AE1665+'корпоративный баланс энергии'!AH1665</f>
        <v>6221.4489369710291</v>
      </c>
      <c r="K1656" s="246"/>
      <c r="L1656" s="282"/>
      <c r="M1656" s="244">
        <f>'корпоративный баланс энергии'!AK1665+'корпоративный баланс энергии'!AN1665+'корпоративный баланс энергии'!AQ1665</f>
        <v>5458.0013816324872</v>
      </c>
      <c r="N1656" s="246"/>
      <c r="O1656" s="282"/>
      <c r="P1656" s="244">
        <f>D1656+G1656+J1656+M1656</f>
        <v>22046.96892211914</v>
      </c>
      <c r="Q1656" s="246"/>
      <c r="R1656" s="282"/>
    </row>
    <row r="1657" spans="2:20">
      <c r="B1657" s="122" t="str">
        <f>'корпоративный баланс энергии'!H1666</f>
        <v>Майнская ГЭС (филиал ПАО "РусГидро")</v>
      </c>
      <c r="C1657" s="516" t="s">
        <v>364</v>
      </c>
      <c r="D1657" s="281">
        <f>'корпоративный баланс энергии'!J1666+'корпоративный баланс энергии'!M1666+'корпоративный баланс энергии'!P1666</f>
        <v>345.00883087158201</v>
      </c>
      <c r="E1657" s="246"/>
      <c r="F1657" s="282"/>
      <c r="G1657" s="244">
        <f>'корпоративный баланс энергии'!S1666+'корпоративный баланс энергии'!V1666+'корпоративный баланс энергии'!Y1666</f>
        <v>345.81436157226563</v>
      </c>
      <c r="H1657" s="246"/>
      <c r="I1657" s="282"/>
      <c r="J1657" s="244">
        <f>'корпоративный баланс энергии'!AB1666+'корпоративный баланс энергии'!AE1666+'корпоративный баланс энергии'!AH1666</f>
        <v>367.22301499684653</v>
      </c>
      <c r="K1657" s="246"/>
      <c r="L1657" s="282"/>
      <c r="M1657" s="244">
        <f>'корпоративный баланс энергии'!AK1666+'корпоративный баланс энергии'!AN1666+'корпоративный баланс энергии'!AQ1666</f>
        <v>346.43138446807859</v>
      </c>
      <c r="N1657" s="246"/>
      <c r="O1657" s="282"/>
      <c r="P1657" s="244">
        <f>D1657+G1657+J1657+M1657</f>
        <v>1404.4775919087729</v>
      </c>
      <c r="Q1657" s="246"/>
      <c r="R1657" s="282"/>
    </row>
    <row r="1658" spans="2:20">
      <c r="B1658" s="134" t="str">
        <f>'корпоративный баланс энергии'!H1667</f>
        <v>Абаканская ТЭЦ (Абаканский филиал АО "Енисейская ТГК (ТГК-13)")</v>
      </c>
      <c r="C1658" s="516" t="s">
        <v>364</v>
      </c>
      <c r="D1658" s="317">
        <f>D1659+D1660</f>
        <v>565.15608299999997</v>
      </c>
      <c r="E1658" s="246"/>
      <c r="F1658" s="282"/>
      <c r="G1658" s="317">
        <f>G1659+G1660</f>
        <v>367.74224399999997</v>
      </c>
      <c r="H1658" s="246"/>
      <c r="I1658" s="282"/>
      <c r="J1658" s="317">
        <f>J1659+J1660</f>
        <v>279.49130499999995</v>
      </c>
      <c r="K1658" s="246"/>
      <c r="L1658" s="282"/>
      <c r="M1658" s="317">
        <f>M1659+M1660</f>
        <v>544.466317</v>
      </c>
      <c r="N1658" s="246"/>
      <c r="O1658" s="282"/>
      <c r="P1658" s="317">
        <f>P1659+P1660</f>
        <v>1756.8559489999998</v>
      </c>
      <c r="Q1658" s="246"/>
      <c r="R1658" s="282"/>
    </row>
    <row r="1659" spans="2:20">
      <c r="B1659" s="122" t="str">
        <f>'корпоративный баланс энергии'!H1668</f>
        <v>Абаканская ТЭЦ (АО "Енисейская ТГК (ТГК-13)") без ДПМ/НВ/ВР</v>
      </c>
      <c r="C1659" s="486"/>
      <c r="D1659" s="281">
        <f>'корпоративный баланс энергии'!J1668+'корпоративный баланс энергии'!M1668+'корпоративный баланс энергии'!P1668</f>
        <v>426.77009099999998</v>
      </c>
      <c r="E1659" s="246"/>
      <c r="F1659" s="282"/>
      <c r="G1659" s="244">
        <f>'корпоративный баланс энергии'!S1668+'корпоративный баланс энергии'!V1668+'корпоративный баланс энергии'!Y1668</f>
        <v>274.25339399999996</v>
      </c>
      <c r="H1659" s="246"/>
      <c r="I1659" s="282"/>
      <c r="J1659" s="244">
        <f>'корпоративный баланс энергии'!AB1668+'корпоративный баланс энергии'!AE1668+'корпоративный баланс энергии'!AH1668</f>
        <v>207.58738999999997</v>
      </c>
      <c r="K1659" s="246"/>
      <c r="L1659" s="282"/>
      <c r="M1659" s="244">
        <f>'корпоративный баланс энергии'!AK1668+'корпоративный баланс энергии'!AN1668+'корпоративный баланс энергии'!AQ1668</f>
        <v>375.485704</v>
      </c>
      <c r="N1659" s="246"/>
      <c r="O1659" s="282"/>
      <c r="P1659" s="244">
        <f>D1659+G1659+J1659+M1659</f>
        <v>1284.0965789999998</v>
      </c>
      <c r="Q1659" s="246"/>
      <c r="R1659" s="282"/>
    </row>
    <row r="1660" spans="2:20">
      <c r="B1660" s="122" t="str">
        <f>'корпоративный баланс энергии'!H1669</f>
        <v>Абаканская ТЭЦ (АО "Енисейская ТГК (ТГК-13)") Бл №4 136 МВт НВ, ДПМ 14.06.2014</v>
      </c>
      <c r="C1660" s="486"/>
      <c r="D1660" s="281">
        <f>'корпоративный баланс энергии'!J1669+'корпоративный баланс энергии'!M1669+'корпоративный баланс энергии'!P1669</f>
        <v>138.38599199999999</v>
      </c>
      <c r="E1660" s="246"/>
      <c r="F1660" s="282"/>
      <c r="G1660" s="244">
        <f>'корпоративный баланс энергии'!S1669+'корпоративный баланс энергии'!V1669+'корпоративный баланс энергии'!Y1669</f>
        <v>93.488849999999999</v>
      </c>
      <c r="H1660" s="246"/>
      <c r="I1660" s="282"/>
      <c r="J1660" s="244">
        <f>'корпоративный баланс энергии'!AB1669+'корпоративный баланс энергии'!AE1669+'корпоративный баланс энергии'!AH1669</f>
        <v>71.903914999999998</v>
      </c>
      <c r="K1660" s="246"/>
      <c r="L1660" s="282"/>
      <c r="M1660" s="244">
        <f>'корпоративный баланс энергии'!AK1669+'корпоративный баланс энергии'!AN1669+'корпоративный баланс энергии'!AQ1669</f>
        <v>168.98061300000001</v>
      </c>
      <c r="N1660" s="246"/>
      <c r="O1660" s="282"/>
      <c r="P1660" s="244">
        <f>D1660+G1660+J1660+M1660</f>
        <v>472.75936999999999</v>
      </c>
      <c r="Q1660" s="246"/>
      <c r="R1660" s="282"/>
    </row>
    <row r="1661" spans="2:20">
      <c r="B1661" s="122" t="str">
        <f>'корпоративный баланс энергии'!H1670</f>
        <v>Абаканская СЭС (ООО "Абаканская СЭС")</v>
      </c>
      <c r="C1661" s="690" t="s">
        <v>364</v>
      </c>
      <c r="D1661" s="281">
        <f>'корпоративный баланс энергии'!J1670+'корпоративный баланс энергии'!M1670+'корпоративный баланс энергии'!P1670</f>
        <v>1.1237840000000001</v>
      </c>
      <c r="E1661" s="246"/>
      <c r="F1661" s="282"/>
      <c r="G1661" s="244">
        <f>'корпоративный баланс энергии'!S1670+'корпоративный баланс энергии'!V1670+'корпоративный баланс энергии'!Y1670</f>
        <v>2.2610000000000001</v>
      </c>
      <c r="H1661" s="246"/>
      <c r="I1661" s="282"/>
      <c r="J1661" s="244">
        <f>'корпоративный баланс энергии'!AB1670+'корпоративный баланс энергии'!AE1670+'корпоративный баланс энергии'!AH1670</f>
        <v>1.992</v>
      </c>
      <c r="K1661" s="246"/>
      <c r="L1661" s="282"/>
      <c r="M1661" s="244">
        <f>'корпоративный баланс энергии'!AK1670+'корпоративный баланс энергии'!AN1670+'корпоративный баланс энергии'!AQ1670</f>
        <v>0.69900000000000007</v>
      </c>
      <c r="N1661" s="246"/>
      <c r="O1661" s="282"/>
      <c r="P1661" s="244">
        <f>D1661+G1661+J1661+M1661</f>
        <v>6.0757840000000005</v>
      </c>
      <c r="Q1661" s="246"/>
      <c r="R1661" s="282"/>
    </row>
    <row r="1662" spans="2:20">
      <c r="B1662" s="138" t="s">
        <v>174</v>
      </c>
      <c r="C1662" s="488"/>
      <c r="D1662" s="287">
        <f>SUM(D1663:D1664)</f>
        <v>15.48</v>
      </c>
      <c r="E1662" s="288"/>
      <c r="F1662" s="289"/>
      <c r="G1662" s="287">
        <f>SUM(G1663:G1664)</f>
        <v>9.44</v>
      </c>
      <c r="H1662" s="288"/>
      <c r="I1662" s="289"/>
      <c r="J1662" s="287">
        <f>SUM(J1663:J1664)</f>
        <v>7.6999999999999993</v>
      </c>
      <c r="K1662" s="288"/>
      <c r="L1662" s="289"/>
      <c r="M1662" s="287">
        <f>SUM(M1663:M1664)</f>
        <v>13.7</v>
      </c>
      <c r="N1662" s="288"/>
      <c r="O1662" s="289"/>
      <c r="P1662" s="287">
        <f>SUM(P1663:P1664)</f>
        <v>46.320000000000007</v>
      </c>
      <c r="Q1662" s="288"/>
      <c r="R1662" s="289"/>
    </row>
    <row r="1663" spans="2:20">
      <c r="B1663" s="145" t="str">
        <f>'корпоративный баланс энергии'!H1672</f>
        <v>Абазинская ТЭЦ (ООО "Абаза - Энерго")</v>
      </c>
      <c r="C1663" s="518" t="s">
        <v>365</v>
      </c>
      <c r="D1663" s="293">
        <f>'корпоративный баланс энергии'!J1672+'корпоративный баланс энергии'!M1672+'корпоративный баланс энергии'!P1672</f>
        <v>15.48</v>
      </c>
      <c r="E1663" s="288"/>
      <c r="F1663" s="289"/>
      <c r="G1663" s="294">
        <f>'корпоративный баланс энергии'!S1672+'корпоративный баланс энергии'!V1672+'корпоративный баланс энергии'!Y1672</f>
        <v>9.44</v>
      </c>
      <c r="H1663" s="288"/>
      <c r="I1663" s="289"/>
      <c r="J1663" s="294">
        <f>'корпоративный баланс энергии'!AB1672+'корпоративный баланс энергии'!AE1672+'корпоративный баланс энергии'!AH1672</f>
        <v>7.6999999999999993</v>
      </c>
      <c r="K1663" s="288"/>
      <c r="L1663" s="289"/>
      <c r="M1663" s="294">
        <f>'корпоративный баланс энергии'!AK1672+'корпоративный баланс энергии'!AN1672+'корпоративный баланс энергии'!AQ1672</f>
        <v>13.7</v>
      </c>
      <c r="N1663" s="288"/>
      <c r="O1663" s="289"/>
      <c r="P1663" s="294">
        <f>D1663+G1663+J1663+M1663</f>
        <v>46.320000000000007</v>
      </c>
      <c r="Q1663" s="288"/>
      <c r="R1663" s="289"/>
    </row>
    <row r="1664" spans="2:20" ht="16.5" thickBot="1">
      <c r="B1664" s="145" t="str">
        <f>'корпоративный баланс энергии'!H1673</f>
        <v>Сорская  ТЭЦ (ООО "Сорский ГОК")</v>
      </c>
      <c r="C1664" s="518" t="s">
        <v>365</v>
      </c>
      <c r="D1664" s="293">
        <f>'корпоративный баланс энергии'!J1673+'корпоративный баланс энергии'!M1673+'корпоративный баланс энергии'!P1673</f>
        <v>0</v>
      </c>
      <c r="E1664" s="288"/>
      <c r="F1664" s="289"/>
      <c r="G1664" s="294">
        <f>'корпоративный баланс энергии'!S1673+'корпоративный баланс энергии'!V1673+'корпоративный баланс энергии'!Y1673</f>
        <v>0</v>
      </c>
      <c r="H1664" s="288"/>
      <c r="I1664" s="289"/>
      <c r="J1664" s="294">
        <f>'корпоративный баланс энергии'!AB1673+'корпоративный баланс энергии'!AE1673+'корпоративный баланс энергии'!AH1673</f>
        <v>0</v>
      </c>
      <c r="K1664" s="288"/>
      <c r="L1664" s="289"/>
      <c r="M1664" s="294">
        <f>'корпоративный баланс энергии'!AK1673+'корпоративный баланс энергии'!AN1673+'корпоративный баланс энергии'!AQ1673</f>
        <v>0</v>
      </c>
      <c r="N1664" s="288"/>
      <c r="O1664" s="289"/>
      <c r="P1664" s="294">
        <f>D1664+G1664+J1664+M1664</f>
        <v>0</v>
      </c>
      <c r="Q1664" s="288"/>
      <c r="R1664" s="289"/>
    </row>
    <row r="1665" spans="2:20" ht="18.75">
      <c r="B1665" s="472" t="s">
        <v>95</v>
      </c>
      <c r="C1665" s="494"/>
      <c r="D1665" s="263">
        <f>SUM(D1670:D1671)</f>
        <v>8306.9850000000006</v>
      </c>
      <c r="E1665" s="264">
        <f>F1665-D1665</f>
        <v>4058.0290533000007</v>
      </c>
      <c r="F1665" s="265">
        <f>F1707+F1711+F1717+F1672+F1683+F1695+F1706</f>
        <v>12365.014053300001</v>
      </c>
      <c r="G1665" s="263">
        <f>SUM(G1670:G1671)</f>
        <v>9696.2019999999993</v>
      </c>
      <c r="H1665" s="264">
        <f>I1665-G1665</f>
        <v>-861.99930709999899</v>
      </c>
      <c r="I1665" s="265">
        <f>I1707+I1711+I1717+I1672+I1683+I1695+I1706</f>
        <v>8834.2026929000003</v>
      </c>
      <c r="J1665" s="263">
        <f>SUM(J1670:J1671)</f>
        <v>9413.2250000000004</v>
      </c>
      <c r="K1665" s="264">
        <f>L1665-J1665</f>
        <v>-1137.8399695000007</v>
      </c>
      <c r="L1665" s="265">
        <f>L1707+L1711+L1717+L1672+L1683+L1695+L1706</f>
        <v>8275.3850304999996</v>
      </c>
      <c r="M1665" s="263">
        <f>SUM(M1670:M1671)</f>
        <v>12900.297999999999</v>
      </c>
      <c r="N1665" s="264">
        <f>O1665-M1665</f>
        <v>-979.59943079999903</v>
      </c>
      <c r="O1665" s="265">
        <f>O1707+O1711+O1717+O1672+O1683+O1695+O1706</f>
        <v>11920.6985692</v>
      </c>
      <c r="P1665" s="263">
        <f>SUM(P1670:P1671)</f>
        <v>40316.710000000006</v>
      </c>
      <c r="Q1665" s="264">
        <f>R1665-P1665</f>
        <v>1078.5903458999965</v>
      </c>
      <c r="R1665" s="414">
        <f>F1665+I1665+L1665+O1665</f>
        <v>41395.300345900003</v>
      </c>
      <c r="S1665" s="306"/>
      <c r="T1665" s="306"/>
    </row>
    <row r="1666" spans="2:20">
      <c r="B1666" s="189" t="s">
        <v>331</v>
      </c>
      <c r="C1666" s="513"/>
      <c r="D1666" s="270"/>
      <c r="E1666" s="381">
        <f>E1667+E1668+E1669</f>
        <v>-640.55999999999995</v>
      </c>
      <c r="F1666" s="224"/>
      <c r="G1666" s="270"/>
      <c r="H1666" s="381">
        <f>H1667+H1668+H1669</f>
        <v>-862</v>
      </c>
      <c r="I1666" s="224"/>
      <c r="J1666" s="270"/>
      <c r="K1666" s="381">
        <f>K1667+K1668+K1669</f>
        <v>-1137.8399999999999</v>
      </c>
      <c r="L1666" s="224"/>
      <c r="M1666" s="270"/>
      <c r="N1666" s="381">
        <f>N1667+N1668+N1669</f>
        <v>-979.6</v>
      </c>
      <c r="O1666" s="224"/>
      <c r="P1666" s="270"/>
      <c r="Q1666" s="381">
        <f>Q1667+Q1668+Q1669</f>
        <v>-3620</v>
      </c>
      <c r="R1666" s="697"/>
      <c r="S1666" s="306"/>
      <c r="T1666" s="306"/>
    </row>
    <row r="1667" spans="2:20">
      <c r="B1667" s="126" t="s">
        <v>332</v>
      </c>
      <c r="C1667" s="500"/>
      <c r="D1667" s="270"/>
      <c r="E1667" s="271">
        <f>E21</f>
        <v>-550</v>
      </c>
      <c r="F1667" s="224"/>
      <c r="G1667" s="270"/>
      <c r="H1667" s="271">
        <f>H21</f>
        <v>-790</v>
      </c>
      <c r="I1667" s="224"/>
      <c r="J1667" s="270"/>
      <c r="K1667" s="271">
        <f>K21</f>
        <v>-1070</v>
      </c>
      <c r="L1667" s="224"/>
      <c r="M1667" s="270"/>
      <c r="N1667" s="271">
        <f>N21</f>
        <v>-890</v>
      </c>
      <c r="O1667" s="224"/>
      <c r="P1667" s="270"/>
      <c r="Q1667" s="271">
        <f>E1667+H1667+K1667+N1667</f>
        <v>-3300</v>
      </c>
      <c r="R1667" s="697"/>
      <c r="S1667" s="306"/>
      <c r="T1667" s="306"/>
    </row>
    <row r="1668" spans="2:20">
      <c r="B1668" s="126" t="s">
        <v>333</v>
      </c>
      <c r="C1668" s="500"/>
      <c r="D1668" s="270"/>
      <c r="E1668" s="271">
        <f>'корпоративный баланс энергии'!K1677+'корпоративный баланс энергии'!N1677+'корпоративный баланс энергии'!Q1677</f>
        <v>-90.56</v>
      </c>
      <c r="F1668" s="224"/>
      <c r="G1668" s="270"/>
      <c r="H1668" s="271">
        <f>'корпоративный баланс энергии'!T1677+'корпоративный баланс энергии'!W1677+'корпоративный баланс энергии'!Z1677</f>
        <v>-72</v>
      </c>
      <c r="I1668" s="224"/>
      <c r="J1668" s="270"/>
      <c r="K1668" s="271">
        <f>'корпоративный баланс энергии'!AC1677+'корпоративный баланс энергии'!AF1677+'корпоративный баланс энергии'!AI1677</f>
        <v>-67.84</v>
      </c>
      <c r="L1668" s="224"/>
      <c r="M1668" s="270"/>
      <c r="N1668" s="271">
        <f>'корпоративный баланс энергии'!AL1677+'корпоративный баланс энергии'!AO1677+'корпоративный баланс энергии'!AR1677</f>
        <v>-89.6</v>
      </c>
      <c r="O1668" s="224"/>
      <c r="P1668" s="270"/>
      <c r="Q1668" s="271">
        <f>E1668+H1668+K1668+N1668</f>
        <v>-320</v>
      </c>
      <c r="R1668" s="697"/>
      <c r="S1668" s="306"/>
      <c r="T1668" s="306"/>
    </row>
    <row r="1669" spans="2:20">
      <c r="B1669" s="126" t="s">
        <v>1659</v>
      </c>
      <c r="C1669" s="500"/>
      <c r="D1669" s="270"/>
      <c r="E1669" s="271"/>
      <c r="F1669" s="224"/>
      <c r="G1669" s="270"/>
      <c r="H1669" s="271"/>
      <c r="I1669" s="224"/>
      <c r="J1669" s="270"/>
      <c r="K1669" s="271"/>
      <c r="L1669" s="224"/>
      <c r="M1669" s="270"/>
      <c r="N1669" s="271"/>
      <c r="O1669" s="224"/>
      <c r="P1669" s="270"/>
      <c r="Q1669" s="271">
        <f>E1669+H1669+K1669+N1669</f>
        <v>0</v>
      </c>
      <c r="R1669" s="697"/>
      <c r="S1669" s="306"/>
      <c r="T1669" s="306"/>
    </row>
    <row r="1670" spans="2:20">
      <c r="B1670" s="10" t="s">
        <v>56</v>
      </c>
      <c r="C1670" s="483"/>
      <c r="D1670" s="270">
        <f>D1708+D1712+D1718+D1673+D1684+D1696</f>
        <v>5628.2150000000001</v>
      </c>
      <c r="E1670" s="271"/>
      <c r="F1670" s="224"/>
      <c r="G1670" s="270">
        <f>G1708+G1712+G1718+G1673+G1684+G1696</f>
        <v>6067.7819999999992</v>
      </c>
      <c r="H1670" s="271"/>
      <c r="I1670" s="224"/>
      <c r="J1670" s="270">
        <f>J1708+J1712+J1718+J1673+J1684+J1696</f>
        <v>5393.9750000000004</v>
      </c>
      <c r="K1670" s="271"/>
      <c r="L1670" s="224"/>
      <c r="M1670" s="270">
        <f>M1708+M1712+M1718+M1673+M1684+M1696</f>
        <v>8542.9779999999992</v>
      </c>
      <c r="N1670" s="271"/>
      <c r="O1670" s="224"/>
      <c r="P1670" s="270">
        <f>P1708+P1712+P1718+P1673+P1684+P1696</f>
        <v>25632.95</v>
      </c>
      <c r="Q1670" s="271"/>
      <c r="R1670" s="364"/>
      <c r="S1670" s="261"/>
      <c r="T1670" s="261"/>
    </row>
    <row r="1671" spans="2:20" ht="16.5" thickBot="1">
      <c r="B1671" s="121" t="s">
        <v>55</v>
      </c>
      <c r="C1671" s="484"/>
      <c r="D1671" s="272">
        <f>D1719+D1674</f>
        <v>2678.77</v>
      </c>
      <c r="E1671" s="273"/>
      <c r="F1671" s="233"/>
      <c r="G1671" s="272">
        <f>G1719+G1674</f>
        <v>3628.42</v>
      </c>
      <c r="H1671" s="273"/>
      <c r="I1671" s="233"/>
      <c r="J1671" s="272">
        <f>J1719+J1674</f>
        <v>4019.25</v>
      </c>
      <c r="K1671" s="273"/>
      <c r="L1671" s="233"/>
      <c r="M1671" s="272">
        <f>M1719+M1674</f>
        <v>4357.32</v>
      </c>
      <c r="N1671" s="273"/>
      <c r="O1671" s="233"/>
      <c r="P1671" s="272">
        <f>P1719+P1674</f>
        <v>14683.760000000002</v>
      </c>
      <c r="Q1671" s="273"/>
      <c r="R1671" s="400"/>
      <c r="S1671" s="261"/>
      <c r="T1671" s="261"/>
    </row>
    <row r="1672" spans="2:20" ht="18.75">
      <c r="B1672" s="473" t="str">
        <f>'корпоративный баланс энергии'!H1681</f>
        <v>Энергосистема Амурской области</v>
      </c>
      <c r="C1672" s="495"/>
      <c r="D1672" s="390">
        <f>SUM(D1673:D1674)</f>
        <v>2393.3380000000002</v>
      </c>
      <c r="E1672" s="391">
        <f>F1672-D1672</f>
        <v>182.66199999999981</v>
      </c>
      <c r="F1672" s="392">
        <f>'корпоративный баланс энергии'!L1681+'корпоративный баланс энергии'!O1681+'корпоративный баланс энергии'!R1681</f>
        <v>2576</v>
      </c>
      <c r="G1672" s="390">
        <f>SUM(G1673:G1674)</f>
        <v>3332.5460000000003</v>
      </c>
      <c r="H1672" s="391">
        <f>I1672-G1672</f>
        <v>-1394.3460000000002</v>
      </c>
      <c r="I1672" s="392">
        <f>'корпоративный баланс энергии'!U1681+'корпоративный баланс энергии'!X1681+'корпоративный баланс энергии'!AA1681</f>
        <v>1938.2</v>
      </c>
      <c r="J1672" s="390">
        <f>SUM(J1673:J1674)</f>
        <v>3818.174</v>
      </c>
      <c r="K1672" s="391">
        <f>L1672-J1672</f>
        <v>-1897.174</v>
      </c>
      <c r="L1672" s="392">
        <f>'корпоративный баланс энергии'!AD1681+'корпоративный баланс энергии'!AG1681+'корпоративный баланс энергии'!AJ1681</f>
        <v>1921</v>
      </c>
      <c r="M1672" s="390">
        <f>SUM(M1673:M1674)</f>
        <v>4019.3250000000003</v>
      </c>
      <c r="N1672" s="391">
        <f>O1672-M1672</f>
        <v>-1387.0250000000001</v>
      </c>
      <c r="O1672" s="392">
        <f>'корпоративный баланс энергии'!AM1681+'корпоративный баланс энергии'!AP1681+'корпоративный баланс энергии'!AS1681</f>
        <v>2632.3</v>
      </c>
      <c r="P1672" s="390">
        <f>SUM(P1673:P1674)</f>
        <v>13563.383000000002</v>
      </c>
      <c r="Q1672" s="391">
        <f>R1672-P1672</f>
        <v>-4495.8830000000016</v>
      </c>
      <c r="R1672" s="276">
        <f>F1672+I1672+L1672+O1672</f>
        <v>9067.5</v>
      </c>
      <c r="S1672" s="261"/>
      <c r="T1672" s="261"/>
    </row>
    <row r="1673" spans="2:20">
      <c r="B1673" s="10" t="s">
        <v>56</v>
      </c>
      <c r="C1673" s="483"/>
      <c r="D1673" s="270">
        <f>SUM(D1675:D1676)+D1679</f>
        <v>460.88800000000003</v>
      </c>
      <c r="E1673" s="271"/>
      <c r="F1673" s="224"/>
      <c r="G1673" s="270">
        <f>SUM(G1675:G1676)+G1679</f>
        <v>438.15599999999995</v>
      </c>
      <c r="H1673" s="271"/>
      <c r="I1673" s="224"/>
      <c r="J1673" s="270">
        <f>SUM(J1675:J1676)+J1679</f>
        <v>382.96399999999994</v>
      </c>
      <c r="K1673" s="271"/>
      <c r="L1673" s="224"/>
      <c r="M1673" s="270">
        <f>SUM(M1675:M1676)+M1679</f>
        <v>768.48500000000001</v>
      </c>
      <c r="N1673" s="271"/>
      <c r="O1673" s="224"/>
      <c r="P1673" s="270">
        <f>SUM(P1675:P1676)+P1679</f>
        <v>2050.4929999999999</v>
      </c>
      <c r="Q1673" s="271"/>
      <c r="R1673" s="364"/>
      <c r="S1673" s="261"/>
      <c r="T1673" s="261"/>
    </row>
    <row r="1674" spans="2:20">
      <c r="B1674" s="10" t="s">
        <v>55</v>
      </c>
      <c r="C1674" s="483"/>
      <c r="D1674" s="270">
        <f>SUM(D1680:D1682)</f>
        <v>1932.45</v>
      </c>
      <c r="E1674" s="271"/>
      <c r="F1674" s="224"/>
      <c r="G1674" s="270">
        <f>SUM(G1680:G1682)</f>
        <v>2894.3900000000003</v>
      </c>
      <c r="H1674" s="271"/>
      <c r="I1674" s="224"/>
      <c r="J1674" s="270">
        <f>SUM(J1680:J1682)</f>
        <v>3435.21</v>
      </c>
      <c r="K1674" s="271"/>
      <c r="L1674" s="224"/>
      <c r="M1674" s="270">
        <f>SUM(M1680:M1682)</f>
        <v>3250.84</v>
      </c>
      <c r="N1674" s="271"/>
      <c r="O1674" s="224"/>
      <c r="P1674" s="270">
        <f>SUM(P1680:P1682)</f>
        <v>11512.890000000001</v>
      </c>
      <c r="Q1674" s="271"/>
      <c r="R1674" s="364"/>
      <c r="S1674" s="261"/>
      <c r="T1674" s="261"/>
    </row>
    <row r="1675" spans="2:20" s="114" customFormat="1">
      <c r="B1675" s="122" t="str">
        <f>'корпоративный баланс энергии'!H1684</f>
        <v>Райчихинская ГРЭС (филиал ОАО "ДГК")</v>
      </c>
      <c r="C1675" s="516" t="s">
        <v>364</v>
      </c>
      <c r="D1675" s="281">
        <f>'корпоративный баланс энергии'!J1684+'корпоративный баланс энергии'!M1684+'корпоративный баланс энергии'!P1684</f>
        <v>88.52000000000001</v>
      </c>
      <c r="E1675" s="246"/>
      <c r="F1675" s="282"/>
      <c r="G1675" s="244">
        <f>'корпоративный баланс энергии'!S1684+'корпоративный баланс энергии'!V1684+'корпоративный баланс энергии'!Y1684</f>
        <v>78.912000000000006</v>
      </c>
      <c r="H1675" s="246"/>
      <c r="I1675" s="282"/>
      <c r="J1675" s="244">
        <f>'корпоративный баланс энергии'!AB1684+'корпоративный баланс энергии'!AE1684+'корпоративный баланс энергии'!AH1684</f>
        <v>68.544000000000011</v>
      </c>
      <c r="K1675" s="246"/>
      <c r="L1675" s="282"/>
      <c r="M1675" s="244">
        <f>'корпоративный баланс энергии'!AK1684+'корпоративный баланс энергии'!AN1684+'корпоративный баланс энергии'!AQ1684</f>
        <v>116.976</v>
      </c>
      <c r="N1675" s="246"/>
      <c r="O1675" s="282"/>
      <c r="P1675" s="244">
        <f>D1675+G1675+J1675+M1675</f>
        <v>352.952</v>
      </c>
      <c r="Q1675" s="246"/>
      <c r="R1675" s="282"/>
      <c r="S1675" s="261"/>
      <c r="T1675" s="261"/>
    </row>
    <row r="1676" spans="2:20" s="114" customFormat="1">
      <c r="B1676" s="134" t="str">
        <f>'корпоративный баланс энергии'!H1685</f>
        <v>Благовещенская ТЭЦ(филиал ОАО "ДГК")</v>
      </c>
      <c r="C1676" s="516" t="s">
        <v>364</v>
      </c>
      <c r="D1676" s="317">
        <f>D1677+D1678</f>
        <v>372.36799999999999</v>
      </c>
      <c r="E1676" s="416"/>
      <c r="F1676" s="421"/>
      <c r="G1676" s="317">
        <f>G1677+G1678</f>
        <v>359.24399999999997</v>
      </c>
      <c r="H1676" s="416"/>
      <c r="I1676" s="421"/>
      <c r="J1676" s="317">
        <f>J1677+J1678</f>
        <v>314.41999999999996</v>
      </c>
      <c r="K1676" s="246"/>
      <c r="L1676" s="282"/>
      <c r="M1676" s="317">
        <f>M1677+M1678</f>
        <v>651.50900000000001</v>
      </c>
      <c r="N1676" s="246"/>
      <c r="O1676" s="282"/>
      <c r="P1676" s="317">
        <f>P1677+P1678</f>
        <v>1697.5409999999999</v>
      </c>
      <c r="Q1676" s="246"/>
      <c r="R1676" s="282"/>
      <c r="S1676" s="261"/>
      <c r="T1676" s="261"/>
    </row>
    <row r="1677" spans="2:20" s="114" customFormat="1">
      <c r="B1677" s="122" t="str">
        <f>'корпоративный баланс энергии'!H1686</f>
        <v>Благовещенская ТЭЦ (филиал ОАО "ДГК") (без ДПМ/НВ/ВР)</v>
      </c>
      <c r="C1677" s="487"/>
      <c r="D1677" s="281">
        <f>'корпоративный баланс энергии'!J1686+'корпоративный баланс энергии'!M1686+'корпоративный баланс энергии'!P1686</f>
        <v>260.36799999999999</v>
      </c>
      <c r="E1677" s="246"/>
      <c r="F1677" s="282"/>
      <c r="G1677" s="244">
        <f>'корпоративный баланс энергии'!S1686+'корпоративный баланс энергии'!V1686+'корпоративный баланс энергии'!Y1686</f>
        <v>212.04399999999998</v>
      </c>
      <c r="H1677" s="246"/>
      <c r="I1677" s="282"/>
      <c r="J1677" s="244">
        <f>'корпоративный баланс энергии'!AB1686+'корпоративный баланс энергии'!AE1686+'корпоративный баланс энергии'!AH1686</f>
        <v>180.51999999999998</v>
      </c>
      <c r="K1677" s="246"/>
      <c r="L1677" s="282"/>
      <c r="M1677" s="244">
        <f>'корпоративный баланс энергии'!AK1686+'корпоративный баланс энергии'!AN1686+'корпоративный баланс энергии'!AQ1686</f>
        <v>490.755</v>
      </c>
      <c r="N1677" s="246"/>
      <c r="O1677" s="282"/>
      <c r="P1677" s="244">
        <f t="shared" ref="P1677:P1682" si="137">D1677+G1677+J1677+M1677</f>
        <v>1143.6869999999999</v>
      </c>
      <c r="Q1677" s="246"/>
      <c r="R1677" s="282"/>
      <c r="S1677" s="261"/>
      <c r="T1677" s="261"/>
    </row>
    <row r="1678" spans="2:20" s="114" customFormat="1">
      <c r="B1678" s="122" t="str">
        <f>'корпоративный баланс энергии'!H1687</f>
        <v>Благовещенская ТЭЦ (филиал ОАО "ДГК") Бл №4 120 МВт НВ 01.11.2015</v>
      </c>
      <c r="C1678" s="487"/>
      <c r="D1678" s="281">
        <f>'корпоративный баланс энергии'!J1687+'корпоративный баланс энергии'!M1687+'корпоративный баланс энергии'!P1687</f>
        <v>112</v>
      </c>
      <c r="E1678" s="246"/>
      <c r="F1678" s="282"/>
      <c r="G1678" s="244">
        <f>'корпоративный баланс энергии'!S1687+'корпоративный баланс энергии'!V1687+'корпоративный баланс энергии'!Y1687</f>
        <v>147.19999999999999</v>
      </c>
      <c r="H1678" s="246"/>
      <c r="I1678" s="282"/>
      <c r="J1678" s="244">
        <f>'корпоративный баланс энергии'!AB1687+'корпоративный баланс энергии'!AE1687+'корпоративный баланс энергии'!AH1687</f>
        <v>133.9</v>
      </c>
      <c r="K1678" s="246"/>
      <c r="L1678" s="282"/>
      <c r="M1678" s="244">
        <f>'корпоративный баланс энергии'!AK1687+'корпоративный баланс энергии'!AN1687+'корпоративный баланс энергии'!AQ1687</f>
        <v>160.75400000000002</v>
      </c>
      <c r="N1678" s="246"/>
      <c r="O1678" s="282"/>
      <c r="P1678" s="244">
        <f t="shared" si="137"/>
        <v>553.85400000000004</v>
      </c>
      <c r="Q1678" s="246"/>
      <c r="R1678" s="282"/>
      <c r="S1678" s="261"/>
      <c r="T1678" s="261"/>
    </row>
    <row r="1679" spans="2:20" s="114" customFormat="1">
      <c r="B1679" s="122" t="str">
        <f>'корпоративный баланс энергии'!H1688</f>
        <v>Свободненская ТЭС (ПАО "ОГК-2") НВ 01.11.2020</v>
      </c>
      <c r="C1679" s="516" t="s">
        <v>364</v>
      </c>
      <c r="D1679" s="281"/>
      <c r="E1679" s="246"/>
      <c r="F1679" s="282"/>
      <c r="G1679" s="244"/>
      <c r="H1679" s="246"/>
      <c r="I1679" s="282"/>
      <c r="J1679" s="244"/>
      <c r="K1679" s="246"/>
      <c r="L1679" s="282"/>
      <c r="M1679" s="244"/>
      <c r="N1679" s="246"/>
      <c r="O1679" s="282"/>
      <c r="P1679" s="244">
        <f t="shared" si="137"/>
        <v>0</v>
      </c>
      <c r="Q1679" s="246"/>
      <c r="R1679" s="282"/>
      <c r="S1679" s="261"/>
      <c r="T1679" s="261"/>
    </row>
    <row r="1680" spans="2:20" s="114" customFormat="1">
      <c r="B1680" s="122" t="str">
        <f>'корпоративный баланс энергии'!H1689</f>
        <v>Зейская ГЭС (филиал ПАО "РусГидро")</v>
      </c>
      <c r="C1680" s="516" t="s">
        <v>364</v>
      </c>
      <c r="D1680" s="281">
        <f>'корпоративный баланс энергии'!J1689+'корпоративный баланс энергии'!M1689+'корпоративный баланс энергии'!P1689</f>
        <v>774.4</v>
      </c>
      <c r="E1680" s="246"/>
      <c r="F1680" s="282"/>
      <c r="G1680" s="244">
        <f>'корпоративный баланс энергии'!S1689+'корпоративный баланс энергии'!V1689+'корпоративный баланс энергии'!Y1689</f>
        <v>1200.8400000000001</v>
      </c>
      <c r="H1680" s="246"/>
      <c r="I1680" s="282"/>
      <c r="J1680" s="244">
        <f>'корпоративный баланс энергии'!AB1689+'корпоративный баланс энергии'!AE1689+'корпоративный баланс энергии'!AH1689</f>
        <v>1271.81</v>
      </c>
      <c r="K1680" s="246"/>
      <c r="L1680" s="282"/>
      <c r="M1680" s="244">
        <f>'корпоративный баланс энергии'!AK1689+'корпоративный баланс энергии'!AN1689+'корпоративный баланс энергии'!AQ1689</f>
        <v>1217.8499999999999</v>
      </c>
      <c r="N1680" s="246"/>
      <c r="O1680" s="282"/>
      <c r="P1680" s="244">
        <f t="shared" si="137"/>
        <v>4464.8999999999996</v>
      </c>
      <c r="Q1680" s="246"/>
      <c r="R1680" s="282"/>
      <c r="S1680" s="261"/>
      <c r="T1680" s="261"/>
    </row>
    <row r="1681" spans="2:20" s="114" customFormat="1">
      <c r="B1681" s="122" t="str">
        <f>'корпоративный баланс энергии'!H1690</f>
        <v>Бурейская ГЭС (филиал ПАО "РусГидро")</v>
      </c>
      <c r="C1681" s="516" t="s">
        <v>364</v>
      </c>
      <c r="D1681" s="281">
        <f>'корпоративный баланс энергии'!J1690+'корпоративный баланс энергии'!M1690+'корпоративный баланс энергии'!P1690</f>
        <v>906.85</v>
      </c>
      <c r="E1681" s="246"/>
      <c r="F1681" s="282"/>
      <c r="G1681" s="244">
        <f>'корпоративный баланс энергии'!S1690+'корпоративный баланс энергии'!V1690+'корпоративный баланс энергии'!Y1690</f>
        <v>1327.55</v>
      </c>
      <c r="H1681" s="246"/>
      <c r="I1681" s="282"/>
      <c r="J1681" s="244">
        <f>'корпоративный баланс энергии'!AB1690+'корпоративный баланс энергии'!AE1690+'корпоративный баланс энергии'!AH1690</f>
        <v>1730.5</v>
      </c>
      <c r="K1681" s="246"/>
      <c r="L1681" s="282"/>
      <c r="M1681" s="244">
        <f>'корпоративный баланс энергии'!AK1690+'корпоративный баланс энергии'!AN1690+'корпоративный баланс энергии'!AQ1690</f>
        <v>1610.49</v>
      </c>
      <c r="N1681" s="246"/>
      <c r="O1681" s="282"/>
      <c r="P1681" s="244">
        <f t="shared" si="137"/>
        <v>5575.39</v>
      </c>
      <c r="Q1681" s="246"/>
      <c r="R1681" s="282"/>
      <c r="S1681" s="261"/>
      <c r="T1681" s="261"/>
    </row>
    <row r="1682" spans="2:20" s="114" customFormat="1">
      <c r="B1682" s="122" t="str">
        <f>'корпоративный баланс энергии'!H1691</f>
        <v>Нижне-Бурейская ГЭС (филиал АО "Нижне-Бурейская ГЭС") НВ 31.12.2016</v>
      </c>
      <c r="C1682" s="516" t="s">
        <v>364</v>
      </c>
      <c r="D1682" s="281">
        <f>'корпоративный баланс энергии'!J1691+'корпоративный баланс энергии'!M1691+'корпоративный баланс энергии'!P1691</f>
        <v>251.20000000000002</v>
      </c>
      <c r="E1682" s="246"/>
      <c r="F1682" s="282"/>
      <c r="G1682" s="244">
        <f>'корпоративный баланс энергии'!S1691+'корпоративный баланс энергии'!V1691+'корпоративный баланс энергии'!Y1691</f>
        <v>366</v>
      </c>
      <c r="H1682" s="246"/>
      <c r="I1682" s="282"/>
      <c r="J1682" s="244">
        <f>'корпоративный баланс энергии'!AB1691+'корпоративный баланс энергии'!AE1691+'корпоративный баланс энергии'!AH1691</f>
        <v>432.9</v>
      </c>
      <c r="K1682" s="246"/>
      <c r="L1682" s="282"/>
      <c r="M1682" s="244">
        <f>'корпоративный баланс энергии'!AK1691+'корпоративный баланс энергии'!AN1691+'корпоративный баланс энергии'!AQ1691</f>
        <v>422.5</v>
      </c>
      <c r="N1682" s="246"/>
      <c r="O1682" s="282"/>
      <c r="P1682" s="244">
        <f t="shared" si="137"/>
        <v>1472.6</v>
      </c>
      <c r="Q1682" s="246"/>
      <c r="R1682" s="282"/>
      <c r="S1682" s="261"/>
      <c r="T1682" s="261"/>
    </row>
    <row r="1683" spans="2:20" s="114" customFormat="1" ht="18.75">
      <c r="B1683" s="473" t="str">
        <f>'корпоративный баланс энергии'!H1692</f>
        <v>Энергосистема Приморского края</v>
      </c>
      <c r="C1683" s="495"/>
      <c r="D1683" s="390">
        <f>SUM(D1684:D1684)</f>
        <v>2219.0069999999996</v>
      </c>
      <c r="E1683" s="391">
        <f>F1683-D1683</f>
        <v>2094.6930000000002</v>
      </c>
      <c r="F1683" s="392">
        <f>'корпоративный баланс энергии'!L1692+'корпоративный баланс энергии'!O1692+'корпоративный баланс энергии'!R1692</f>
        <v>4313.7</v>
      </c>
      <c r="G1683" s="390">
        <f>SUM(G1684:G1684)</f>
        <v>2729.7059999999997</v>
      </c>
      <c r="H1683" s="391">
        <f>I1683-G1683</f>
        <v>272.79400000000032</v>
      </c>
      <c r="I1683" s="392">
        <f>'корпоративный баланс энергии'!U1692+'корпоративный баланс энергии'!X1692+'корпоративный баланс энергии'!AA1692</f>
        <v>3002.5</v>
      </c>
      <c r="J1683" s="390">
        <f>SUM(J1684:J1684)</f>
        <v>2336.3709999999996</v>
      </c>
      <c r="K1683" s="391">
        <f>L1683-J1683</f>
        <v>381.529</v>
      </c>
      <c r="L1683" s="392">
        <f>'корпоративный баланс энергии'!AD1692+'корпоративный баланс энергии'!AG1692+'корпоративный баланс энергии'!AJ1692</f>
        <v>2717.8999999999996</v>
      </c>
      <c r="M1683" s="390">
        <f>SUM(M1684:M1684)</f>
        <v>3353.5030000000002</v>
      </c>
      <c r="N1683" s="391">
        <f>O1683-M1683</f>
        <v>568.39699999999948</v>
      </c>
      <c r="O1683" s="392">
        <f>'корпоративный баланс энергии'!AM1692+'корпоративный баланс энергии'!AP1692+'корпоративный баланс энергии'!AS1692</f>
        <v>3921.8999999999996</v>
      </c>
      <c r="P1683" s="390">
        <f>SUM(P1684:P1684)</f>
        <v>10638.587</v>
      </c>
      <c r="Q1683" s="391">
        <f>R1683-P1683</f>
        <v>3317.4129999999986</v>
      </c>
      <c r="R1683" s="276">
        <f>F1683+I1683+L1683+O1683</f>
        <v>13955.999999999998</v>
      </c>
      <c r="S1683" s="261"/>
      <c r="T1683" s="261"/>
    </row>
    <row r="1684" spans="2:20" s="114" customFormat="1">
      <c r="B1684" s="10" t="s">
        <v>56</v>
      </c>
      <c r="C1684" s="483"/>
      <c r="D1684" s="270">
        <f>SUM(D1685:D1694)-D1686-D1687</f>
        <v>2219.0069999999996</v>
      </c>
      <c r="E1684" s="271"/>
      <c r="F1684" s="224"/>
      <c r="G1684" s="270">
        <f>SUM(G1685:G1694)-G1686-G1687</f>
        <v>2729.7059999999997</v>
      </c>
      <c r="H1684" s="271"/>
      <c r="I1684" s="224"/>
      <c r="J1684" s="270">
        <f>SUM(J1685:J1694)-J1686-J1687</f>
        <v>2336.3709999999996</v>
      </c>
      <c r="K1684" s="271"/>
      <c r="L1684" s="224"/>
      <c r="M1684" s="270">
        <f>SUM(M1685:M1694)-M1686-M1687</f>
        <v>3353.5030000000002</v>
      </c>
      <c r="N1684" s="271"/>
      <c r="O1684" s="224"/>
      <c r="P1684" s="270">
        <f>SUM(P1685:P1694)-P1686-P1687</f>
        <v>10638.587</v>
      </c>
      <c r="Q1684" s="271"/>
      <c r="R1684" s="364"/>
      <c r="S1684" s="261"/>
      <c r="T1684" s="261"/>
    </row>
    <row r="1685" spans="2:20" s="114" customFormat="1">
      <c r="B1685" s="1130" t="str">
        <f>'корпоративный баланс энергии'!H1694</f>
        <v>Партизанская ГРЭС (филиал ОАО "ДГК" )</v>
      </c>
      <c r="C1685" s="516" t="s">
        <v>364</v>
      </c>
      <c r="D1685" s="317">
        <f>D1686+D1687</f>
        <v>183</v>
      </c>
      <c r="E1685" s="323"/>
      <c r="F1685" s="324"/>
      <c r="G1685" s="262">
        <f>G1686+G1687</f>
        <v>256.87700000000001</v>
      </c>
      <c r="H1685" s="323"/>
      <c r="I1685" s="324"/>
      <c r="J1685" s="262">
        <f>J1686+J1687</f>
        <v>220.31200000000001</v>
      </c>
      <c r="K1685" s="323"/>
      <c r="L1685" s="324"/>
      <c r="M1685" s="262">
        <f>M1686+M1687</f>
        <v>275</v>
      </c>
      <c r="N1685" s="323"/>
      <c r="O1685" s="324"/>
      <c r="P1685" s="262">
        <f>P1686+P1687</f>
        <v>935.18899999999996</v>
      </c>
      <c r="Q1685" s="246"/>
      <c r="R1685" s="282"/>
      <c r="S1685" s="261"/>
      <c r="T1685" s="261"/>
    </row>
    <row r="1686" spans="2:20" s="114" customFormat="1">
      <c r="B1686" s="127" t="str">
        <f>'корпоративный баланс энергии'!H1695</f>
        <v>Партизанская ГРЭС (филиал ОАО "ДГК" ) (без ДПМ/НВ/ВР)</v>
      </c>
      <c r="C1686" s="516"/>
      <c r="D1686" s="281">
        <f>'корпоративный баланс энергии'!J1695+'корпоративный баланс энергии'!M1695+'корпоративный баланс энергии'!P1695</f>
        <v>87</v>
      </c>
      <c r="E1686" s="246"/>
      <c r="F1686" s="282"/>
      <c r="G1686" s="244">
        <f>'корпоративный баланс энергии'!S1695+'корпоративный баланс энергии'!V1695+'корпоративный баланс энергии'!Y1695</f>
        <v>124.89699999999999</v>
      </c>
      <c r="H1686" s="246"/>
      <c r="I1686" s="282"/>
      <c r="J1686" s="244">
        <f>'корпоративный баланс энергии'!AB1695+'корпоративный баланс энергии'!AE1695+'корпоративный баланс энергии'!AH1695</f>
        <v>108.378</v>
      </c>
      <c r="K1686" s="246"/>
      <c r="L1686" s="282"/>
      <c r="M1686" s="244">
        <f>'корпоративный баланс энергии'!AK1695+'корпоративный баланс энергии'!AN1695+'корпоративный баланс энергии'!AQ1695</f>
        <v>124</v>
      </c>
      <c r="N1686" s="246"/>
      <c r="O1686" s="282"/>
      <c r="P1686" s="244">
        <f t="shared" ref="P1686:P1694" si="138">D1686+G1686+J1686+M1686</f>
        <v>444.27499999999998</v>
      </c>
      <c r="Q1686" s="283"/>
      <c r="R1686" s="299"/>
      <c r="S1686" s="261"/>
      <c r="T1686" s="261"/>
    </row>
    <row r="1687" spans="2:20">
      <c r="B1687" s="127" t="str">
        <f>'корпоративный баланс энергии'!H1696</f>
        <v>Партизанская ГРЭС (филиал ОАО "ДГК" ) ТА-2 НВ</v>
      </c>
      <c r="C1687" s="516"/>
      <c r="D1687" s="281">
        <f>'корпоративный баланс энергии'!J1696+'корпоративный баланс энергии'!M1696+'корпоративный баланс энергии'!P1696</f>
        <v>96</v>
      </c>
      <c r="E1687" s="246"/>
      <c r="F1687" s="282"/>
      <c r="G1687" s="244">
        <f>'корпоративный баланс энергии'!S1696+'корпоративный баланс энергии'!V1696+'корпоративный баланс энергии'!Y1696</f>
        <v>131.98000000000002</v>
      </c>
      <c r="H1687" s="246"/>
      <c r="I1687" s="282"/>
      <c r="J1687" s="244">
        <f>'корпоративный баланс энергии'!AB1696+'корпоративный баланс энергии'!AE1696+'корпоративный баланс энергии'!AH1696</f>
        <v>111.934</v>
      </c>
      <c r="K1687" s="246"/>
      <c r="L1687" s="282"/>
      <c r="M1687" s="244">
        <f>'корпоративный баланс энергии'!AK1696+'корпоративный баланс энергии'!AN1696+'корпоративный баланс энергии'!AQ1696</f>
        <v>151</v>
      </c>
      <c r="N1687" s="246"/>
      <c r="O1687" s="282"/>
      <c r="P1687" s="244">
        <f t="shared" si="138"/>
        <v>490.91399999999999</v>
      </c>
      <c r="Q1687" s="246"/>
      <c r="R1687" s="282"/>
      <c r="S1687" s="261"/>
      <c r="T1687" s="261"/>
    </row>
    <row r="1688" spans="2:20">
      <c r="B1688" s="127" t="str">
        <f>'корпоративный баланс энергии'!H1697</f>
        <v>Владивостокская ТЭЦ-2  (филиал ОАО "ДГК" )</v>
      </c>
      <c r="C1688" s="516" t="s">
        <v>364</v>
      </c>
      <c r="D1688" s="281">
        <f>'корпоративный баланс энергии'!J1697+'корпоративный баланс энергии'!M1697+'корпоративный баланс энергии'!P1697</f>
        <v>433</v>
      </c>
      <c r="E1688" s="246"/>
      <c r="F1688" s="282"/>
      <c r="G1688" s="244">
        <f>'корпоративный баланс энергии'!S1697+'корпоративный баланс энергии'!V1697+'корпоративный баланс энергии'!Y1697</f>
        <v>505.49599999999998</v>
      </c>
      <c r="H1688" s="246"/>
      <c r="I1688" s="282"/>
      <c r="J1688" s="244">
        <f>'корпоративный баланс энергии'!AB1697+'корпоративный баланс энергии'!AE1697+'корпоративный баланс энергии'!AH1697</f>
        <v>419.23200000000003</v>
      </c>
      <c r="K1688" s="246"/>
      <c r="L1688" s="282"/>
      <c r="M1688" s="244">
        <f>'корпоративный баланс энергии'!AK1697+'корпоративный баланс энергии'!AN1697+'корпоративный баланс энергии'!AQ1697</f>
        <v>594.48</v>
      </c>
      <c r="N1688" s="246"/>
      <c r="O1688" s="282"/>
      <c r="P1688" s="244">
        <f t="shared" si="138"/>
        <v>1952.2080000000001</v>
      </c>
      <c r="Q1688" s="246"/>
      <c r="R1688" s="282"/>
      <c r="S1688" s="261"/>
      <c r="T1688" s="261"/>
    </row>
    <row r="1689" spans="2:20">
      <c r="B1689" s="127" t="str">
        <f>'корпоративный баланс энергии'!H1698</f>
        <v>Артемовская ТЭЦ (филиал ОАО "ДГК" )</v>
      </c>
      <c r="C1689" s="516" t="s">
        <v>364</v>
      </c>
      <c r="D1689" s="281">
        <f>'корпоративный баланс энергии'!J1698+'корпоративный баланс энергии'!M1698+'корпоративный баланс энергии'!P1698</f>
        <v>421</v>
      </c>
      <c r="E1689" s="246"/>
      <c r="F1689" s="282"/>
      <c r="G1689" s="244">
        <f>'корпоративный баланс энергии'!S1698+'корпоративный баланс энергии'!V1698+'корпоративный баланс энергии'!Y1698</f>
        <v>496.76</v>
      </c>
      <c r="H1689" s="246"/>
      <c r="I1689" s="282"/>
      <c r="J1689" s="244">
        <f>'корпоративный баланс энергии'!AB1698+'корпоративный баланс энергии'!AE1698+'корпоративный баланс энергии'!AH1698</f>
        <v>520.28</v>
      </c>
      <c r="K1689" s="246"/>
      <c r="L1689" s="282"/>
      <c r="M1689" s="244">
        <f>'корпоративный баланс энергии'!AK1698+'корпоративный баланс энергии'!AN1698+'корпоративный баланс энергии'!AQ1698</f>
        <v>640</v>
      </c>
      <c r="N1689" s="246"/>
      <c r="O1689" s="282"/>
      <c r="P1689" s="244">
        <f t="shared" si="138"/>
        <v>2078.04</v>
      </c>
      <c r="Q1689" s="246"/>
      <c r="R1689" s="282"/>
      <c r="S1689" s="261"/>
      <c r="T1689" s="261"/>
    </row>
    <row r="1690" spans="2:20">
      <c r="B1690" s="127" t="str">
        <f>'корпоративный баланс энергии'!H1699</f>
        <v>Приморская ГРЭС (ЛуТЭК) (филиал ОАО "ДГК")</v>
      </c>
      <c r="C1690" s="516" t="s">
        <v>364</v>
      </c>
      <c r="D1690" s="281">
        <f>'корпоративный баланс энергии'!J1699+'корпоративный баланс энергии'!M1699+'корпоративный баланс энергии'!P1699</f>
        <v>1035.9699999999998</v>
      </c>
      <c r="E1690" s="246"/>
      <c r="F1690" s="282"/>
      <c r="G1690" s="244">
        <f>'корпоративный баланс энергии'!S1699+'корпоративный баланс энергии'!V1699+'корпоративный баланс энергии'!Y1699</f>
        <v>1349.069</v>
      </c>
      <c r="H1690" s="246"/>
      <c r="I1690" s="282"/>
      <c r="J1690" s="244">
        <f>'корпоративный баланс энергии'!AB1699+'корпоративный баланс энергии'!AE1699+'корпоративный баланс энергии'!AH1699</f>
        <v>1073.0129999999999</v>
      </c>
      <c r="K1690" s="246"/>
      <c r="L1690" s="282"/>
      <c r="M1690" s="244">
        <f>'корпоративный баланс энергии'!AK1699+'корпоративный баланс энергии'!AN1699+'корпоративный баланс энергии'!AQ1699</f>
        <v>1632.788</v>
      </c>
      <c r="N1690" s="246"/>
      <c r="O1690" s="282"/>
      <c r="P1690" s="244">
        <f t="shared" si="138"/>
        <v>5090.84</v>
      </c>
      <c r="Q1690" s="246"/>
      <c r="R1690" s="282"/>
      <c r="S1690" s="415"/>
      <c r="T1690" s="415"/>
    </row>
    <row r="1691" spans="2:20">
      <c r="B1691" s="127" t="str">
        <f>'корпоративный баланс энергии'!H1700</f>
        <v>Восточная ГТУ-ТЭЦ на площадке ЦПВБ НВ 01.08.2015</v>
      </c>
      <c r="C1691" s="516" t="s">
        <v>364</v>
      </c>
      <c r="D1691" s="281">
        <f>'корпоративный баланс энергии'!J1700+'корпоративный баланс энергии'!M1700+'корпоративный баланс энергии'!P1700</f>
        <v>118</v>
      </c>
      <c r="E1691" s="246"/>
      <c r="F1691" s="282"/>
      <c r="G1691" s="244">
        <f>'корпоративный баланс энергии'!S1700+'корпоративный баланс энергии'!V1700+'корпоративный баланс энергии'!Y1700</f>
        <v>112</v>
      </c>
      <c r="H1691" s="246"/>
      <c r="I1691" s="282"/>
      <c r="J1691" s="244">
        <f>'корпоративный баланс энергии'!AB1700+'корпоративный баланс энергии'!AE1700+'корпоративный баланс энергии'!AH1700</f>
        <v>102</v>
      </c>
      <c r="K1691" s="246"/>
      <c r="L1691" s="282"/>
      <c r="M1691" s="244">
        <f>'корпоративный баланс энергии'!AK1700+'корпоративный баланс энергии'!AN1700+'корпоративный баланс энергии'!AQ1700</f>
        <v>187</v>
      </c>
      <c r="N1691" s="246"/>
      <c r="O1691" s="282"/>
      <c r="P1691" s="244">
        <f t="shared" si="138"/>
        <v>519</v>
      </c>
      <c r="Q1691" s="246"/>
      <c r="R1691" s="282"/>
      <c r="S1691" s="261"/>
      <c r="T1691" s="261"/>
    </row>
    <row r="1692" spans="2:20">
      <c r="B1692" s="127" t="str">
        <f>'корпоративный баланс энергии'!H1701</f>
        <v>мини ТЭЦ Северная (о. Русский)</v>
      </c>
      <c r="C1692" s="519" t="s">
        <v>365</v>
      </c>
      <c r="D1692" s="281">
        <f>'корпоративный баланс энергии'!J1701+'корпоративный баланс энергии'!M1701+'корпоративный баланс энергии'!P1701</f>
        <v>0</v>
      </c>
      <c r="E1692" s="246"/>
      <c r="F1692" s="282"/>
      <c r="G1692" s="244">
        <f>'корпоративный баланс энергии'!S1701+'корпоративный баланс энергии'!V1701+'корпоративный баланс энергии'!Y1701</f>
        <v>0</v>
      </c>
      <c r="H1692" s="246"/>
      <c r="I1692" s="282"/>
      <c r="J1692" s="244">
        <f>'корпоративный баланс энергии'!AB1701+'корпоративный баланс энергии'!AE1701+'корпоративный баланс энергии'!AH1701</f>
        <v>0</v>
      </c>
      <c r="K1692" s="246"/>
      <c r="L1692" s="282"/>
      <c r="M1692" s="244">
        <f>'корпоративный баланс энергии'!AK1701+'корпоративный баланс энергии'!AN1701+'корпоративный баланс энергии'!AQ1701</f>
        <v>0</v>
      </c>
      <c r="N1692" s="246"/>
      <c r="O1692" s="282"/>
      <c r="P1692" s="244">
        <f t="shared" si="138"/>
        <v>0</v>
      </c>
      <c r="Q1692" s="246"/>
      <c r="R1692" s="282"/>
      <c r="S1692" s="261"/>
      <c r="T1692" s="261"/>
    </row>
    <row r="1693" spans="2:20">
      <c r="B1693" s="127" t="str">
        <f>'корпоративный баланс энергии'!H1702</f>
        <v>мини ТЭЦ Центральная (о. Русский)</v>
      </c>
      <c r="C1693" s="519" t="s">
        <v>365</v>
      </c>
      <c r="D1693" s="281">
        <f>'корпоративный баланс энергии'!J1702+'корпоративный баланс энергии'!M1702+'корпоративный баланс энергии'!P1702</f>
        <v>28.036999999999999</v>
      </c>
      <c r="E1693" s="246"/>
      <c r="F1693" s="282"/>
      <c r="G1693" s="244">
        <f>'корпоративный баланс энергии'!S1702+'корпоративный баланс энергии'!V1702+'корпоративный баланс энергии'!Y1702</f>
        <v>9.5039999999999996</v>
      </c>
      <c r="H1693" s="246"/>
      <c r="I1693" s="282"/>
      <c r="J1693" s="244">
        <f>'корпоративный баланс энергии'!AB1702+'корпоративный баланс энергии'!AE1702+'корпоративный баланс энергии'!AH1702</f>
        <v>1.534</v>
      </c>
      <c r="K1693" s="246"/>
      <c r="L1693" s="282"/>
      <c r="M1693" s="244">
        <f>'корпоративный баланс энергии'!AK1702+'корпоративный баланс энергии'!AN1702+'корпоративный баланс энергии'!AQ1702</f>
        <v>24.234999999999999</v>
      </c>
      <c r="N1693" s="246"/>
      <c r="O1693" s="282"/>
      <c r="P1693" s="244">
        <f t="shared" si="138"/>
        <v>63.309999999999995</v>
      </c>
      <c r="Q1693" s="246"/>
      <c r="R1693" s="282"/>
      <c r="S1693" s="261"/>
      <c r="T1693" s="261"/>
    </row>
    <row r="1694" spans="2:20">
      <c r="B1694" s="127" t="str">
        <f>'корпоративный баланс энергии'!H1703</f>
        <v>мини ТЭЦ Океанариум (о. Русский)</v>
      </c>
      <c r="C1694" s="519" t="s">
        <v>365</v>
      </c>
      <c r="D1694" s="281">
        <f>'корпоративный баланс энергии'!J1703+'корпоративный баланс энергии'!M1703+'корпоративный баланс энергии'!P1703</f>
        <v>0</v>
      </c>
      <c r="E1694" s="246"/>
      <c r="F1694" s="282"/>
      <c r="G1694" s="244">
        <f>'корпоративный баланс энергии'!S1703+'корпоративный баланс энергии'!V1703+'корпоративный баланс энергии'!Y1703</f>
        <v>0</v>
      </c>
      <c r="H1694" s="246"/>
      <c r="I1694" s="282"/>
      <c r="J1694" s="244">
        <f>'корпоративный баланс энергии'!AB1703+'корпоративный баланс энергии'!AE1703+'корпоративный баланс энергии'!AH1703</f>
        <v>0</v>
      </c>
      <c r="K1694" s="246"/>
      <c r="L1694" s="282"/>
      <c r="M1694" s="244">
        <f>'корпоративный баланс энергии'!AK1703+'корпоративный баланс энергии'!AN1703+'корпоративный баланс энергии'!AQ1703</f>
        <v>0</v>
      </c>
      <c r="N1694" s="246"/>
      <c r="O1694" s="282"/>
      <c r="P1694" s="244">
        <f t="shared" si="138"/>
        <v>0</v>
      </c>
      <c r="Q1694" s="246"/>
      <c r="R1694" s="282"/>
      <c r="S1694" s="261"/>
      <c r="T1694" s="261"/>
    </row>
    <row r="1695" spans="2:20" ht="18.75">
      <c r="B1695" s="473" t="str">
        <f>'корпоративный баланс энергии'!H1704</f>
        <v>Энергосистема Хабаровского края и Еврейской АО (в границах Хабаровского края)*</v>
      </c>
      <c r="C1695" s="514"/>
      <c r="D1695" s="390">
        <f>D1696</f>
        <v>1976.5920000000001</v>
      </c>
      <c r="E1695" s="391">
        <f>F1695-D1695</f>
        <v>684.62791599999991</v>
      </c>
      <c r="F1695" s="392">
        <f>'корпоративный баланс энергии'!L1704+'корпоративный баланс энергии'!O1704+'корпоративный баланс энергии'!R1704</f>
        <v>2661.219916</v>
      </c>
      <c r="G1695" s="390">
        <f>G1696</f>
        <v>1837.0520000000001</v>
      </c>
      <c r="H1695" s="391">
        <f>I1695-G1695</f>
        <v>38.532903499999975</v>
      </c>
      <c r="I1695" s="392">
        <f>'корпоративный баланс энергии'!U1704+'корпоративный баланс энергии'!X1704+'корпоративный баланс энергии'!AA1704</f>
        <v>1875.5849035000001</v>
      </c>
      <c r="J1695" s="390">
        <f>J1696</f>
        <v>1513.0059999999999</v>
      </c>
      <c r="K1695" s="391">
        <f>L1695-J1695</f>
        <v>269.37471600000026</v>
      </c>
      <c r="L1695" s="392">
        <f>'корпоративный баланс энергии'!AD1704+'корпоративный баланс энергии'!AG1704+'корпоративный баланс энергии'!AJ1704</f>
        <v>1782.3807160000001</v>
      </c>
      <c r="M1695" s="390">
        <f>M1696</f>
        <v>2901</v>
      </c>
      <c r="N1695" s="391">
        <f>O1695-M1695</f>
        <v>-375.18553549999979</v>
      </c>
      <c r="O1695" s="392">
        <f>'корпоративный баланс энергии'!AM1704+'корпоративный баланс энергии'!AP1704+'корпоративный баланс энергии'!AS1704</f>
        <v>2525.8144645000002</v>
      </c>
      <c r="P1695" s="390">
        <f>P1696</f>
        <v>8227.6500000000015</v>
      </c>
      <c r="Q1695" s="391">
        <f>R1695-P1695</f>
        <v>-6459.0692530000015</v>
      </c>
      <c r="R1695" s="392">
        <f>'корпоративный баланс энергии'!X1704+'корпоративный баланс энергии'!AA1704+'корпоративный баланс энергии'!AD1704</f>
        <v>1768.580747</v>
      </c>
      <c r="S1695" s="261"/>
      <c r="T1695" s="261"/>
    </row>
    <row r="1696" spans="2:20">
      <c r="B1696" s="10" t="s">
        <v>56</v>
      </c>
      <c r="C1696" s="483"/>
      <c r="D1696" s="270">
        <f>SUM(D1697:D1699)+SUM(D1702:D1705)</f>
        <v>1976.5920000000001</v>
      </c>
      <c r="E1696" s="271"/>
      <c r="F1696" s="224"/>
      <c r="G1696" s="270">
        <f>SUM(G1697:G1699)+SUM(G1702:G1705)</f>
        <v>1837.0520000000001</v>
      </c>
      <c r="H1696" s="271"/>
      <c r="I1696" s="224"/>
      <c r="J1696" s="270">
        <f>SUM(J1697:J1699)+SUM(J1702:J1705)</f>
        <v>1513.0059999999999</v>
      </c>
      <c r="K1696" s="271"/>
      <c r="L1696" s="224"/>
      <c r="M1696" s="270">
        <f>SUM(M1697:M1699)+SUM(M1702:M1705)</f>
        <v>2901</v>
      </c>
      <c r="N1696" s="271"/>
      <c r="O1696" s="224"/>
      <c r="P1696" s="270">
        <f>SUM(P1697:P1699)+SUM(P1702:P1705)</f>
        <v>8227.6500000000015</v>
      </c>
      <c r="Q1696" s="271"/>
      <c r="R1696" s="364"/>
      <c r="S1696" s="261"/>
      <c r="T1696" s="261"/>
    </row>
    <row r="1697" spans="2:20">
      <c r="B1697" s="127" t="str">
        <f>'корпоративный баланс энергии'!H1706</f>
        <v>Хабаровская ТЭЦ-1 (филиал ОАО "ДГК" )</v>
      </c>
      <c r="C1697" s="516" t="s">
        <v>364</v>
      </c>
      <c r="D1697" s="281">
        <f>'корпоративный баланс энергии'!J1706+'корпоративный баланс энергии'!M1706+'корпоративный баланс энергии'!P1706</f>
        <v>371.59199999999998</v>
      </c>
      <c r="E1697" s="246"/>
      <c r="F1697" s="282"/>
      <c r="G1697" s="244">
        <f>'корпоративный баланс энергии'!S1706+'корпоративный баланс энергии'!V1706+'корпоративный баланс энергии'!Y1706</f>
        <v>311</v>
      </c>
      <c r="H1697" s="246"/>
      <c r="I1697" s="282"/>
      <c r="J1697" s="244">
        <f>'корпоративный баланс энергии'!AB1706+'корпоративный баланс энергии'!AE1706+'корпоративный баланс энергии'!AH1706</f>
        <v>268</v>
      </c>
      <c r="K1697" s="246"/>
      <c r="L1697" s="282"/>
      <c r="M1697" s="244">
        <f>'корпоративный баланс энергии'!AK1706+'корпоративный баланс энергии'!AN1706+'корпоративный баланс энергии'!AQ1706</f>
        <v>540</v>
      </c>
      <c r="N1697" s="246"/>
      <c r="O1697" s="282"/>
      <c r="P1697" s="244">
        <f>D1697+G1697+J1697+M1697</f>
        <v>1490.5920000000001</v>
      </c>
      <c r="Q1697" s="246"/>
      <c r="R1697" s="282"/>
      <c r="S1697" s="415"/>
      <c r="T1697" s="415"/>
    </row>
    <row r="1698" spans="2:20" s="153" customFormat="1">
      <c r="B1698" s="127" t="str">
        <f>'корпоративный баланс энергии'!H1707</f>
        <v>Хабаровская ТЭЦ-3 (филиал ОАО "ДГК" )</v>
      </c>
      <c r="C1698" s="516" t="s">
        <v>364</v>
      </c>
      <c r="D1698" s="281">
        <f>'корпоративный баланс энергии'!J1707+'корпоративный баланс энергии'!M1707+'корпоративный баланс энергии'!P1707</f>
        <v>810</v>
      </c>
      <c r="E1698" s="246"/>
      <c r="F1698" s="282"/>
      <c r="G1698" s="244">
        <f>'корпоративный баланс энергии'!S1707+'корпоративный баланс энергии'!V1707+'корпоративный баланс энергии'!Y1707</f>
        <v>760</v>
      </c>
      <c r="H1698" s="246"/>
      <c r="I1698" s="282"/>
      <c r="J1698" s="244">
        <f>'корпоративный баланс энергии'!AB1707+'корпоративный баланс энергии'!AE1707+'корпоративный баланс энергии'!AH1707</f>
        <v>586</v>
      </c>
      <c r="K1698" s="246"/>
      <c r="L1698" s="282"/>
      <c r="M1698" s="244">
        <f>'корпоративный баланс энергии'!AK1707+'корпоративный баланс энергии'!AN1707+'корпоративный баланс энергии'!AQ1707</f>
        <v>1125</v>
      </c>
      <c r="N1698" s="246"/>
      <c r="O1698" s="282"/>
      <c r="P1698" s="244">
        <f>D1698+G1698+J1698+M1698</f>
        <v>3281</v>
      </c>
      <c r="Q1698" s="246"/>
      <c r="R1698" s="282"/>
      <c r="S1698" s="415"/>
      <c r="T1698" s="415"/>
    </row>
    <row r="1699" spans="2:20">
      <c r="B1699" s="127" t="str">
        <f>'корпоративный баланс энергии'!H1708</f>
        <v>Комсомольская ТЭЦ-2 с филиалом Комсомольская ТЭЦ -1 (филиал ОАО "ДГК")</v>
      </c>
      <c r="C1699" s="516" t="s">
        <v>364</v>
      </c>
      <c r="D1699" s="317">
        <f>D1700+D1701</f>
        <v>215</v>
      </c>
      <c r="E1699" s="425"/>
      <c r="F1699" s="421"/>
      <c r="G1699" s="317">
        <f>G1700+G1701</f>
        <v>150.30799999999999</v>
      </c>
      <c r="H1699" s="425"/>
      <c r="I1699" s="421"/>
      <c r="J1699" s="317">
        <f>J1700+J1701</f>
        <v>121</v>
      </c>
      <c r="K1699" s="423"/>
      <c r="L1699" s="282"/>
      <c r="M1699" s="317">
        <f>M1700+M1701</f>
        <v>306</v>
      </c>
      <c r="N1699" s="423"/>
      <c r="O1699" s="282"/>
      <c r="P1699" s="317">
        <f>SUM(P1700:P1701)</f>
        <v>792.30799999999999</v>
      </c>
      <c r="Q1699" s="246"/>
      <c r="R1699" s="282"/>
      <c r="S1699" s="415"/>
      <c r="T1699" s="415"/>
    </row>
    <row r="1700" spans="2:20">
      <c r="B1700" s="127" t="str">
        <f>'корпоративный баланс энергии'!H1709</f>
        <v>в т.ч. Комсомольская ТЭЦ-1 (для ПО ОАО "СО ЕЭС")</v>
      </c>
      <c r="C1700" s="516"/>
      <c r="D1700" s="281">
        <f>'корпоративный баланс энергии'!J1709+'корпоративный баланс энергии'!M1709+'корпоративный баланс энергии'!P1709</f>
        <v>17.587</v>
      </c>
      <c r="E1700" s="246"/>
      <c r="F1700" s="282"/>
      <c r="G1700" s="244">
        <f>'корпоративный баланс энергии'!S1709+'корпоративный баланс энергии'!V1709+'корпоративный баланс энергии'!Y1709</f>
        <v>10.3802</v>
      </c>
      <c r="H1700" s="246"/>
      <c r="I1700" s="282"/>
      <c r="J1700" s="244">
        <f>'корпоративный баланс энергии'!AB1709+'корпоративный баланс энергии'!AE1709+'корпоративный баланс энергии'!AH1709</f>
        <v>0</v>
      </c>
      <c r="K1700" s="246"/>
      <c r="L1700" s="282"/>
      <c r="M1700" s="244">
        <f>'корпоративный баланс энергии'!AK1709+'корпоративный баланс энергии'!AN1709+'корпоративный баланс энергии'!AQ1709</f>
        <v>25.452199999999998</v>
      </c>
      <c r="N1700" s="246"/>
      <c r="O1700" s="282"/>
      <c r="P1700" s="244">
        <f t="shared" ref="P1700:P1704" si="139">D1700+G1700+J1700+M1700</f>
        <v>53.419399999999996</v>
      </c>
      <c r="Q1700" s="429"/>
      <c r="R1700" s="698"/>
      <c r="S1700" s="415"/>
      <c r="T1700" s="415"/>
    </row>
    <row r="1701" spans="2:20">
      <c r="B1701" s="127" t="str">
        <f>'корпоративный баланс энергии'!H1710</f>
        <v>в т.ч. Комсомольская ТЭЦ-2 (для ПО ОАО "СО ЕЭС")</v>
      </c>
      <c r="C1701" s="516"/>
      <c r="D1701" s="281">
        <f>'корпоративный баланс энергии'!J1710+'корпоративный баланс энергии'!M1710+'корпоративный баланс энергии'!P1710</f>
        <v>197.41300000000001</v>
      </c>
      <c r="E1701" s="246"/>
      <c r="F1701" s="282"/>
      <c r="G1701" s="244">
        <f>'корпоративный баланс энергии'!S1710+'корпоративный баланс энергии'!V1710+'корпоративный баланс энергии'!Y1710</f>
        <v>139.92779999999999</v>
      </c>
      <c r="H1701" s="246"/>
      <c r="I1701" s="282"/>
      <c r="J1701" s="244">
        <f>'корпоративный баланс энергии'!AB1710+'корпоративный баланс энергии'!AE1710+'корпоративный баланс энергии'!AH1710</f>
        <v>121</v>
      </c>
      <c r="K1701" s="246"/>
      <c r="L1701" s="282"/>
      <c r="M1701" s="244">
        <f>'корпоративный баланс энергии'!AK1710+'корпоративный баланс энергии'!AN1710+'корпоративный баланс энергии'!AQ1710</f>
        <v>280.5478</v>
      </c>
      <c r="N1701" s="246"/>
      <c r="O1701" s="282"/>
      <c r="P1701" s="244">
        <f t="shared" si="139"/>
        <v>738.8886</v>
      </c>
      <c r="Q1701" s="429"/>
      <c r="R1701" s="698"/>
      <c r="S1701" s="415"/>
      <c r="T1701" s="415"/>
    </row>
    <row r="1702" spans="2:20">
      <c r="B1702" s="127" t="str">
        <f>'корпоративный баланс энергии'!H1711</f>
        <v>Комсомольская ТЭЦ-3 (филиал ОАО "ДГК" )</v>
      </c>
      <c r="C1702" s="516" t="s">
        <v>364</v>
      </c>
      <c r="D1702" s="281">
        <f>'корпоративный баланс энергии'!J1711+'корпоративный баланс энергии'!M1711+'корпоративный баланс энергии'!P1711</f>
        <v>314</v>
      </c>
      <c r="E1702" s="246"/>
      <c r="F1702" s="282"/>
      <c r="G1702" s="244">
        <f>'корпоративный баланс энергии'!S1711+'корпоративный баланс энергии'!V1711+'корпоративный баланс энергии'!Y1711</f>
        <v>347</v>
      </c>
      <c r="H1702" s="246"/>
      <c r="I1702" s="282"/>
      <c r="J1702" s="244">
        <f>'корпоративный баланс энергии'!AB1711+'корпоративный баланс энергии'!AE1711+'корпоративный баланс энергии'!AH1711</f>
        <v>259</v>
      </c>
      <c r="K1702" s="246"/>
      <c r="L1702" s="282"/>
      <c r="M1702" s="244">
        <f>'корпоративный баланс энергии'!AK1711+'корпоративный баланс энергии'!AN1711+'корпоративный баланс энергии'!AQ1711</f>
        <v>436</v>
      </c>
      <c r="N1702" s="246"/>
      <c r="O1702" s="282"/>
      <c r="P1702" s="244">
        <f t="shared" si="139"/>
        <v>1356</v>
      </c>
      <c r="Q1702" s="246"/>
      <c r="R1702" s="282"/>
      <c r="S1702" s="415"/>
      <c r="T1702" s="415"/>
    </row>
    <row r="1703" spans="2:20">
      <c r="B1703" s="127" t="str">
        <f>'корпоративный баланс энергии'!H1712</f>
        <v>Амурская ТЭЦ-1 (филиал ОАО "ДГК" )</v>
      </c>
      <c r="C1703" s="516" t="s">
        <v>364</v>
      </c>
      <c r="D1703" s="281">
        <f>'корпоративный баланс энергии'!J1712+'корпоративный баланс энергии'!M1712+'корпоративный баланс энергии'!P1712</f>
        <v>155</v>
      </c>
      <c r="E1703" s="246"/>
      <c r="F1703" s="282"/>
      <c r="G1703" s="244">
        <f>'корпоративный баланс энергии'!S1712+'корпоративный баланс энергии'!V1712+'корпоративный баланс энергии'!Y1712</f>
        <v>125</v>
      </c>
      <c r="H1703" s="246"/>
      <c r="I1703" s="282"/>
      <c r="J1703" s="244">
        <f>'корпоративный баланс энергии'!AB1712+'корпоративный баланс энергии'!AE1712+'корпоративный баланс энергии'!AH1712</f>
        <v>160</v>
      </c>
      <c r="K1703" s="246"/>
      <c r="L1703" s="282"/>
      <c r="M1703" s="244">
        <f>'корпоративный баланс энергии'!AK1712+'корпоративный баланс энергии'!AN1712+'корпоративный баланс энергии'!AQ1712</f>
        <v>265</v>
      </c>
      <c r="N1703" s="246"/>
      <c r="O1703" s="282"/>
      <c r="P1703" s="244">
        <f t="shared" si="139"/>
        <v>705</v>
      </c>
      <c r="Q1703" s="246"/>
      <c r="R1703" s="282"/>
      <c r="S1703" s="415"/>
      <c r="T1703" s="415"/>
    </row>
    <row r="1704" spans="2:20">
      <c r="B1704" s="127" t="str">
        <f>'корпоративный баланс энергии'!H1713</f>
        <v>Майская ГРЭС (филиал ОАО "ДГК" )</v>
      </c>
      <c r="C1704" s="516" t="s">
        <v>364</v>
      </c>
      <c r="D1704" s="281">
        <f>'корпоративный баланс энергии'!J1713+'корпоративный баланс энергии'!M1713+'корпоративный баланс энергии'!P1713</f>
        <v>36</v>
      </c>
      <c r="E1704" s="246"/>
      <c r="F1704" s="282"/>
      <c r="G1704" s="244">
        <f>'корпоративный баланс энергии'!S1713+'корпоративный баланс энергии'!V1713+'корпоративный баланс энергии'!Y1713</f>
        <v>53.744</v>
      </c>
      <c r="H1704" s="246"/>
      <c r="I1704" s="282"/>
      <c r="J1704" s="244">
        <f>'корпоративный баланс энергии'!AB1713+'корпоративный баланс энергии'!AE1713+'корпоративный баланс энергии'!AH1713</f>
        <v>56.006</v>
      </c>
      <c r="K1704" s="246"/>
      <c r="L1704" s="282"/>
      <c r="M1704" s="244">
        <f>'корпоративный баланс энергии'!AK1713+'корпоративный баланс энергии'!AN1713+'корпоративный баланс энергии'!AQ1713</f>
        <v>62</v>
      </c>
      <c r="N1704" s="246"/>
      <c r="O1704" s="282"/>
      <c r="P1704" s="244">
        <f t="shared" si="139"/>
        <v>207.75</v>
      </c>
      <c r="Q1704" s="246"/>
      <c r="R1704" s="282"/>
      <c r="S1704" s="415"/>
      <c r="T1704" s="415"/>
    </row>
    <row r="1705" spans="2:20">
      <c r="B1705" s="127" t="str">
        <f>'корпоративный баланс энергии'!H1714</f>
        <v>ТЭЦ в г. Советская Гавань НВ</v>
      </c>
      <c r="C1705" s="839"/>
      <c r="D1705" s="281">
        <f>'корпоративный баланс энергии'!J1714+'корпоративный баланс энергии'!M1714+'корпоративный баланс энергии'!P1714</f>
        <v>75</v>
      </c>
      <c r="E1705" s="246"/>
      <c r="F1705" s="282"/>
      <c r="G1705" s="244">
        <f>'корпоративный баланс энергии'!S1714+'корпоративный баланс энергии'!V1714+'корпоративный баланс энергии'!Y1714</f>
        <v>90</v>
      </c>
      <c r="H1705" s="246"/>
      <c r="I1705" s="282"/>
      <c r="J1705" s="244">
        <f>'корпоративный баланс энергии'!AB1714+'корпоративный баланс энергии'!AE1714+'корпоративный баланс энергии'!AH1714</f>
        <v>63</v>
      </c>
      <c r="K1705" s="246"/>
      <c r="L1705" s="282"/>
      <c r="M1705" s="244">
        <f>'корпоративный баланс энергии'!AK1714+'корпоративный баланс энергии'!AN1714+'корпоративный баланс энергии'!AQ1714</f>
        <v>167</v>
      </c>
      <c r="N1705" s="246"/>
      <c r="O1705" s="282"/>
      <c r="P1705" s="244">
        <f t="shared" ref="P1705" si="140">D1705+G1705+J1705+M1705</f>
        <v>395</v>
      </c>
      <c r="Q1705" s="246"/>
      <c r="R1705" s="282"/>
      <c r="S1705" s="415"/>
      <c r="T1705" s="415"/>
    </row>
    <row r="1706" spans="2:20" ht="18.75">
      <c r="B1706" s="473" t="str">
        <f>'корпоративный баланс энергии'!H1715</f>
        <v>Энергосистема Хабаровского края и Еврейской АО (в границах Еврейской АО)</v>
      </c>
      <c r="C1706" s="7"/>
      <c r="D1706" s="277">
        <f>'корпоративный баланс энергии'!J1715+'корпоративный баланс энергии'!M1715+'корпоративный баланс энергии'!P1715</f>
        <v>0</v>
      </c>
      <c r="E1706" s="275">
        <f>F1706-D1706</f>
        <v>496.47318399999995</v>
      </c>
      <c r="F1706" s="392">
        <f>'корпоративный баланс энергии'!L1715+'корпоративный баланс энергии'!O1715+'корпоративный баланс энергии'!R1715</f>
        <v>496.47318399999995</v>
      </c>
      <c r="G1706" s="274">
        <v>0</v>
      </c>
      <c r="H1706" s="275">
        <f>I1706-G1706</f>
        <v>388.93568800000003</v>
      </c>
      <c r="I1706" s="392">
        <f>'корпоративный баланс энергии'!U1715+'корпоративный баланс энергии'!X1715+'корпоративный баланс энергии'!AA1715</f>
        <v>388.93568800000003</v>
      </c>
      <c r="J1706" s="274">
        <v>0</v>
      </c>
      <c r="K1706" s="275">
        <f>L1706-J1706</f>
        <v>365.42758799999996</v>
      </c>
      <c r="L1706" s="392">
        <f>'корпоративный баланс энергии'!AD1715+'корпоративный баланс энергии'!AG1715+'корпоративный баланс энергии'!AJ1715</f>
        <v>365.42758799999996</v>
      </c>
      <c r="M1706" s="274">
        <v>0</v>
      </c>
      <c r="N1706" s="275">
        <f>O1706-M1706</f>
        <v>469.16371200000003</v>
      </c>
      <c r="O1706" s="392">
        <f>'корпоративный баланс энергии'!AM1715+'корпоративный баланс энергии'!AP1715+'корпоративный баланс энергии'!AS1715</f>
        <v>469.16371200000003</v>
      </c>
      <c r="P1706" s="274">
        <f>D1706+G1706+J1706+M1706</f>
        <v>0</v>
      </c>
      <c r="Q1706" s="275">
        <f>R1706-P1706</f>
        <v>1720.000172</v>
      </c>
      <c r="R1706" s="276">
        <f>F1706+I1706+L1706+O1706</f>
        <v>1720.000172</v>
      </c>
      <c r="S1706" s="261"/>
      <c r="T1706" s="261"/>
    </row>
    <row r="1707" spans="2:20" ht="18.75">
      <c r="B1707" s="473" t="str">
        <f>'корпоративный баланс энергии'!H1716</f>
        <v>Южно - Якутский энергорайон энергосистемы Республики Саха (Якутия)</v>
      </c>
      <c r="C1707" s="514"/>
      <c r="D1707" s="390">
        <f>SUM(D1709:D1710)</f>
        <v>636.16799999999989</v>
      </c>
      <c r="E1707" s="391">
        <f>F1707-D1707</f>
        <v>51.032000000000153</v>
      </c>
      <c r="F1707" s="392">
        <f>'корпоративный баланс энергии'!L1716+'корпоративный баланс энергии'!O1716+'корпоративный баланс энергии'!R1716</f>
        <v>687.2</v>
      </c>
      <c r="G1707" s="390">
        <f>SUM(G1709:G1710)</f>
        <v>704.60799999999995</v>
      </c>
      <c r="H1707" s="391">
        <f>I1707-G1707</f>
        <v>-126.10799999999995</v>
      </c>
      <c r="I1707" s="392">
        <f>'корпоративный баланс энергии'!U1716+'корпоративный баланс энергии'!X1716+'корпоративный баланс энергии'!AA1716</f>
        <v>578.5</v>
      </c>
      <c r="J1707" s="390">
        <f>SUM(J1709:J1710)</f>
        <v>827.12400000000002</v>
      </c>
      <c r="K1707" s="391">
        <f>L1707-J1707</f>
        <v>-241.524</v>
      </c>
      <c r="L1707" s="392">
        <f>'корпоративный баланс энергии'!AD1716+'корпоративный баланс энергии'!AG1716+'корпоративный баланс энергии'!AJ1716</f>
        <v>585.6</v>
      </c>
      <c r="M1707" s="390">
        <f>SUM(M1709:M1710)</f>
        <v>992.12999999999988</v>
      </c>
      <c r="N1707" s="391">
        <f>O1707-M1707</f>
        <v>-218.12999999999988</v>
      </c>
      <c r="O1707" s="392">
        <f>'корпоративный баланс энергии'!AM1716+'корпоративный баланс энергии'!AP1716+'корпоративный баланс энергии'!AS1716</f>
        <v>774</v>
      </c>
      <c r="P1707" s="390">
        <f>SUM(P1709:P1710)</f>
        <v>3160.0299999999997</v>
      </c>
      <c r="Q1707" s="391">
        <f>R1707-P1707</f>
        <v>-534.72999999999956</v>
      </c>
      <c r="R1707" s="276">
        <f>F1707+I1707+L1707+O1707</f>
        <v>2625.3</v>
      </c>
      <c r="S1707" s="261"/>
      <c r="T1707" s="261"/>
    </row>
    <row r="1708" spans="2:20">
      <c r="B1708" s="10" t="s">
        <v>56</v>
      </c>
      <c r="C1708" s="483"/>
      <c r="D1708" s="270">
        <f>SUM(D1709:D1710)</f>
        <v>636.16799999999989</v>
      </c>
      <c r="E1708" s="271"/>
      <c r="F1708" s="224"/>
      <c r="G1708" s="270">
        <f>SUM(G1709:G1710)</f>
        <v>704.60799999999995</v>
      </c>
      <c r="H1708" s="271"/>
      <c r="I1708" s="224"/>
      <c r="J1708" s="270">
        <f>SUM(J1709:J1710)</f>
        <v>827.12400000000002</v>
      </c>
      <c r="K1708" s="271"/>
      <c r="L1708" s="224"/>
      <c r="M1708" s="270">
        <f>SUM(M1709:M1710)</f>
        <v>992.12999999999988</v>
      </c>
      <c r="N1708" s="271"/>
      <c r="O1708" s="224"/>
      <c r="P1708" s="270">
        <f>SUM(P1709:P1710)</f>
        <v>3160.0299999999997</v>
      </c>
      <c r="Q1708" s="271"/>
      <c r="R1708" s="364"/>
      <c r="S1708" s="261"/>
      <c r="T1708" s="261"/>
    </row>
    <row r="1709" spans="2:20">
      <c r="B1709" s="122" t="str">
        <f>'корпоративный баланс энергии'!H1718</f>
        <v>Нерюнгринская ГРЭС (филиал ОАО "ДГК" )</v>
      </c>
      <c r="C1709" s="516" t="s">
        <v>364</v>
      </c>
      <c r="D1709" s="281">
        <f>'корпоративный баланс энергии'!J1718+'корпоративный баланс энергии'!M1718+'корпоративный баланс энергии'!P1718</f>
        <v>618.07999999999993</v>
      </c>
      <c r="E1709" s="246"/>
      <c r="F1709" s="282"/>
      <c r="G1709" s="244">
        <f>'корпоративный баланс энергии'!S1718+'корпоративный баланс энергии'!V1718+'корпоративный баланс энергии'!Y1718</f>
        <v>678.4</v>
      </c>
      <c r="H1709" s="246"/>
      <c r="I1709" s="282"/>
      <c r="J1709" s="244">
        <f>'корпоративный баланс энергии'!AB1718+'корпоративный баланс энергии'!AE1718+'корпоративный баланс энергии'!AH1718</f>
        <v>816.72</v>
      </c>
      <c r="K1709" s="246"/>
      <c r="L1709" s="282"/>
      <c r="M1709" s="244">
        <f>'корпоративный баланс энергии'!AK1718+'корпоративный баланс энергии'!AN1718+'корпоративный баланс энергии'!AQ1718</f>
        <v>964.12999999999988</v>
      </c>
      <c r="N1709" s="246"/>
      <c r="O1709" s="282"/>
      <c r="P1709" s="244">
        <f>D1709+G1709+J1709+M1709</f>
        <v>3077.33</v>
      </c>
      <c r="Q1709" s="416"/>
      <c r="R1709" s="421"/>
      <c r="S1709" s="261"/>
      <c r="T1709" s="261"/>
    </row>
    <row r="1710" spans="2:20">
      <c r="B1710" s="122" t="str">
        <f>'корпоративный баланс энергии'!H1719</f>
        <v>Чульманская ТЭЦ (филиал ОАО "ДГК" )</v>
      </c>
      <c r="C1710" s="516" t="s">
        <v>364</v>
      </c>
      <c r="D1710" s="281">
        <f>'корпоративный баланс энергии'!J1719+'корпоративный баланс энергии'!M1719+'корпоративный баланс энергии'!P1719</f>
        <v>18.088000000000001</v>
      </c>
      <c r="E1710" s="246"/>
      <c r="F1710" s="282"/>
      <c r="G1710" s="244">
        <f>'корпоративный баланс энергии'!S1719+'корпоративный баланс энергии'!V1719+'корпоративный баланс энергии'!Y1719</f>
        <v>26.208000000000002</v>
      </c>
      <c r="H1710" s="246"/>
      <c r="I1710" s="282"/>
      <c r="J1710" s="244">
        <f>'корпоративный баланс энергии'!AB1719+'корпоративный баланс энергии'!AE1719+'корпоративный баланс энергии'!AH1719</f>
        <v>10.404</v>
      </c>
      <c r="K1710" s="246"/>
      <c r="L1710" s="282"/>
      <c r="M1710" s="244">
        <f>'корпоративный баланс энергии'!AK1719+'корпоративный баланс энергии'!AN1719+'корпоративный баланс энергии'!AQ1719</f>
        <v>28</v>
      </c>
      <c r="N1710" s="246"/>
      <c r="O1710" s="282"/>
      <c r="P1710" s="244">
        <f>D1710+G1710+J1710+M1710</f>
        <v>82.7</v>
      </c>
      <c r="Q1710" s="419"/>
      <c r="R1710" s="422"/>
      <c r="S1710" s="261"/>
      <c r="T1710" s="261"/>
    </row>
    <row r="1711" spans="2:20" ht="18.75">
      <c r="B1711" s="473" t="str">
        <f>'корпоративный баланс энергии'!H1720</f>
        <v>Центральный энергорайон энергосистемы Республики Саха (Якутия)</v>
      </c>
      <c r="C1711" s="514"/>
      <c r="D1711" s="390">
        <f>SUM(D1712:D1712)</f>
        <v>334.14</v>
      </c>
      <c r="E1711" s="391">
        <f>F1711-D1711</f>
        <v>191.08095330000003</v>
      </c>
      <c r="F1711" s="392">
        <f>'корпоративный баланс энергии'!L1720+'корпоративный баланс энергии'!O1720+'корпоративный баланс энергии'!R1720</f>
        <v>525.22095330000002</v>
      </c>
      <c r="G1711" s="390">
        <f>SUM(G1712:G1712)</f>
        <v>356.87000000000006</v>
      </c>
      <c r="H1711" s="391">
        <f>I1711-G1711</f>
        <v>1.2101399999949081E-2</v>
      </c>
      <c r="I1711" s="392">
        <f>'корпоративный баланс энергии'!U1720+'корпоративный баланс энергии'!X1720+'корпоративный баланс энергии'!AA1720</f>
        <v>356.88210140000001</v>
      </c>
      <c r="J1711" s="390">
        <f>SUM(J1712:J1712)</f>
        <v>333.87</v>
      </c>
      <c r="K1711" s="391">
        <f>L1711-J1711</f>
        <v>-0.3932735000000207</v>
      </c>
      <c r="L1711" s="392">
        <f>'корпоративный баланс энергии'!AD1720+'корпоративный баланс энергии'!AG1720+'корпоративный баланс энергии'!AJ1720</f>
        <v>333.47672649999998</v>
      </c>
      <c r="M1711" s="390">
        <f>SUM(M1712:M1712)</f>
        <v>527.37</v>
      </c>
      <c r="N1711" s="391">
        <f>O1711-M1711</f>
        <v>-3.9496073000000251</v>
      </c>
      <c r="O1711" s="392">
        <f>'корпоративный баланс энергии'!AM1720+'корпоративный баланс энергии'!AP1720+'корпоративный баланс энергии'!AS1720</f>
        <v>523.42039269999998</v>
      </c>
      <c r="P1711" s="390">
        <f>SUM(P1712:P1712)</f>
        <v>1552.25</v>
      </c>
      <c r="Q1711" s="391">
        <f>R1711-P1711</f>
        <v>186.75017389999994</v>
      </c>
      <c r="R1711" s="276">
        <f>F1711+I1711+L1711+O1711</f>
        <v>1739.0001738999999</v>
      </c>
      <c r="S1711" s="261"/>
      <c r="T1711" s="261"/>
    </row>
    <row r="1712" spans="2:20">
      <c r="B1712" s="10" t="s">
        <v>56</v>
      </c>
      <c r="C1712" s="483"/>
      <c r="D1712" s="270">
        <f>SUM(D1713:D1716)</f>
        <v>334.14</v>
      </c>
      <c r="E1712" s="271"/>
      <c r="F1712" s="224"/>
      <c r="G1712" s="270">
        <f>SUM(G1713:G1716)</f>
        <v>356.87000000000006</v>
      </c>
      <c r="H1712" s="271"/>
      <c r="I1712" s="224"/>
      <c r="J1712" s="270">
        <f>SUM(J1713:J1716)</f>
        <v>333.87</v>
      </c>
      <c r="K1712" s="271"/>
      <c r="L1712" s="224"/>
      <c r="M1712" s="270">
        <f>SUM(M1713:M1716)</f>
        <v>527.37</v>
      </c>
      <c r="N1712" s="271"/>
      <c r="O1712" s="224"/>
      <c r="P1712" s="270">
        <f>SUM(P1713:P1716)</f>
        <v>1552.25</v>
      </c>
      <c r="Q1712" s="271"/>
      <c r="R1712" s="364"/>
      <c r="S1712" s="261"/>
      <c r="T1712" s="261"/>
    </row>
    <row r="1713" spans="2:20">
      <c r="B1713" s="149" t="str">
        <f>'корпоративный баланс энергии'!H1722</f>
        <v>Якутская ТЭЦ</v>
      </c>
      <c r="C1713" s="526" t="s">
        <v>365</v>
      </c>
      <c r="D1713" s="281">
        <f>'корпоративный баланс энергии'!J1722+'корпоративный баланс энергии'!M1722+'корпоративный баланс энергии'!P1722</f>
        <v>8.64</v>
      </c>
      <c r="E1713" s="246"/>
      <c r="F1713" s="282"/>
      <c r="G1713" s="244">
        <f>'корпоративный баланс энергии'!S1722+'корпоративный баланс энергии'!V1722+'корпоративный баланс энергии'!Y1722</f>
        <v>13.100000000000001</v>
      </c>
      <c r="H1713" s="246"/>
      <c r="I1713" s="282"/>
      <c r="J1713" s="244">
        <f>'корпоративный баланс энергии'!AB1722+'корпоративный баланс энергии'!AE1722+'корпоративный баланс энергии'!AH1722</f>
        <v>11.48</v>
      </c>
      <c r="K1713" s="246"/>
      <c r="L1713" s="282"/>
      <c r="M1713" s="244">
        <f>'корпоративный баланс энергии'!AK1722+'корпоративный баланс энергии'!AN1722+'корпоративный баланс энергии'!AQ1722</f>
        <v>13.240000000000002</v>
      </c>
      <c r="N1713" s="246"/>
      <c r="O1713" s="282"/>
      <c r="P1713" s="244">
        <f>D1713+G1713+J1713+M1713</f>
        <v>46.46</v>
      </c>
      <c r="Q1713" s="323"/>
      <c r="R1713" s="324"/>
      <c r="S1713" s="261"/>
      <c r="T1713" s="261"/>
    </row>
    <row r="1714" spans="2:20">
      <c r="B1714" s="149" t="str">
        <f>'корпоративный баланс энергии'!H1723</f>
        <v>Якутская ГРЭС</v>
      </c>
      <c r="C1714" s="526" t="s">
        <v>365</v>
      </c>
      <c r="D1714" s="281">
        <f>'корпоративный баланс энергии'!J1723+'корпоративный баланс энергии'!M1723+'корпоративный баланс энергии'!P1723</f>
        <v>186.36</v>
      </c>
      <c r="E1714" s="246"/>
      <c r="F1714" s="282"/>
      <c r="G1714" s="244">
        <f>'корпоративный баланс энергии'!S1723+'корпоративный баланс энергии'!V1723+'корпоративный баланс энергии'!Y1723</f>
        <v>214.9</v>
      </c>
      <c r="H1714" s="246"/>
      <c r="I1714" s="282"/>
      <c r="J1714" s="244">
        <f>'корпоративный баланс энергии'!AB1723+'корпоративный баланс энергии'!AE1723+'корпоративный баланс энергии'!AH1723</f>
        <v>177.52</v>
      </c>
      <c r="K1714" s="246"/>
      <c r="L1714" s="282"/>
      <c r="M1714" s="244">
        <f>'корпоративный баланс энергии'!AK1723+'корпоративный баланс энергии'!AN1723+'корпоративный баланс энергии'!AQ1723</f>
        <v>294.10000000000002</v>
      </c>
      <c r="N1714" s="246"/>
      <c r="O1714" s="282"/>
      <c r="P1714" s="244">
        <f>D1714+G1714+J1714+M1714</f>
        <v>872.88</v>
      </c>
      <c r="Q1714" s="323"/>
      <c r="R1714" s="324"/>
      <c r="S1714" s="261"/>
      <c r="T1714" s="261"/>
    </row>
    <row r="1715" spans="2:20">
      <c r="B1715" s="149" t="str">
        <f>'корпоративный баланс энергии'!H1724</f>
        <v>Якутская ГРЭС - 2  (НВ)</v>
      </c>
      <c r="C1715" s="526" t="s">
        <v>365</v>
      </c>
      <c r="D1715" s="281">
        <f>'корпоративный баланс энергии'!J1724+'корпоративный баланс энергии'!M1724+'корпоративный баланс энергии'!P1724</f>
        <v>137.19999999999999</v>
      </c>
      <c r="E1715" s="246"/>
      <c r="F1715" s="282"/>
      <c r="G1715" s="244">
        <f>'корпоративный баланс энергии'!S1724+'корпоративный баланс энергии'!V1724+'корпоративный баланс энергии'!Y1724</f>
        <v>119.96000000000001</v>
      </c>
      <c r="H1715" s="246"/>
      <c r="I1715" s="282"/>
      <c r="J1715" s="244">
        <f>'корпоративный баланс энергии'!AB1724+'корпоративный баланс энергии'!AE1724+'корпоративный баланс энергии'!AH1724</f>
        <v>142.69999999999999</v>
      </c>
      <c r="K1715" s="246"/>
      <c r="L1715" s="282"/>
      <c r="M1715" s="244">
        <f>'корпоративный баланс энергии'!AK1724+'корпоративный баланс энергии'!AN1724+'корпоративный баланс энергии'!AQ1724</f>
        <v>219.39999999999998</v>
      </c>
      <c r="N1715" s="246"/>
      <c r="O1715" s="282"/>
      <c r="P1715" s="244">
        <f>D1715+G1715+J1715+M1715</f>
        <v>619.26</v>
      </c>
      <c r="Q1715" s="323"/>
      <c r="R1715" s="324"/>
      <c r="S1715" s="261"/>
      <c r="T1715" s="261"/>
    </row>
    <row r="1716" spans="2:20">
      <c r="B1716" s="149" t="str">
        <f>'корпоративный баланс энергии'!H1725</f>
        <v>ДЭС Центрального энергорайона Республики Саха (Якутия)</v>
      </c>
      <c r="C1716" s="526" t="s">
        <v>365</v>
      </c>
      <c r="D1716" s="281">
        <f>'корпоративный баланс энергии'!J1725+'корпоративный баланс энергии'!M1725+'корпоративный баланс энергии'!P1725</f>
        <v>1.94</v>
      </c>
      <c r="E1716" s="246"/>
      <c r="F1716" s="282"/>
      <c r="G1716" s="244">
        <f>'корпоративный баланс энергии'!S1725+'корпоративный баланс энергии'!V1725+'корпоративный баланс энергии'!Y1725</f>
        <v>8.91</v>
      </c>
      <c r="H1716" s="246"/>
      <c r="I1716" s="282"/>
      <c r="J1716" s="244">
        <f>'корпоративный баланс энергии'!AB1725+'корпоративный баланс энергии'!AE1725+'корпоративный баланс энергии'!AH1725</f>
        <v>2.17</v>
      </c>
      <c r="K1716" s="246"/>
      <c r="L1716" s="282"/>
      <c r="M1716" s="244">
        <f>'корпоративный баланс энергии'!AK1725+'корпоративный баланс энергии'!AN1725+'корпоративный баланс энергии'!AQ1725</f>
        <v>0.63000000000000012</v>
      </c>
      <c r="N1716" s="246"/>
      <c r="O1716" s="282"/>
      <c r="P1716" s="244">
        <f>D1716+G1716+J1716+M1716</f>
        <v>13.65</v>
      </c>
      <c r="Q1716" s="323"/>
      <c r="R1716" s="324"/>
      <c r="S1716" s="261"/>
      <c r="T1716" s="261"/>
    </row>
    <row r="1717" spans="2:20" ht="18.75">
      <c r="B1717" s="473" t="str">
        <f>'корпоративный баланс энергии'!H1726</f>
        <v>Западный энергорайон энергосистемы Республики Саха (Якутия)</v>
      </c>
      <c r="C1717" s="514"/>
      <c r="D1717" s="390">
        <f>SUM(D1718:D1719)</f>
        <v>747.74</v>
      </c>
      <c r="E1717" s="391">
        <f>F1717-D1717</f>
        <v>357.45999999999981</v>
      </c>
      <c r="F1717" s="392">
        <f>'корпоративный баланс энергии'!L1726+'корпоративный баланс энергии'!O1726+'корпоративный баланс энергии'!R1726</f>
        <v>1105.1999999999998</v>
      </c>
      <c r="G1717" s="390">
        <f>SUM(G1718:G1719)</f>
        <v>735.42</v>
      </c>
      <c r="H1717" s="391">
        <f>I1717-G1717</f>
        <v>-41.819999999999936</v>
      </c>
      <c r="I1717" s="392">
        <f>'корпоративный баланс энергии'!U1726+'корпоративный баланс энергии'!X1726+'корпоративный баланс энергии'!AA1726</f>
        <v>693.6</v>
      </c>
      <c r="J1717" s="390">
        <f>SUM(J1718:J1719)</f>
        <v>584.67999999999995</v>
      </c>
      <c r="K1717" s="391">
        <f>L1717-J1717</f>
        <v>-15.079999999999927</v>
      </c>
      <c r="L1717" s="392">
        <f>'корпоративный баланс энергии'!AD1726+'корпоративный баланс энергии'!AG1726+'корпоративный баланс энергии'!AJ1726</f>
        <v>569.6</v>
      </c>
      <c r="M1717" s="390">
        <f>SUM(M1718:M1719)</f>
        <v>1106.97</v>
      </c>
      <c r="N1717" s="391">
        <f>O1717-M1717</f>
        <v>-32.870000000000118</v>
      </c>
      <c r="O1717" s="392">
        <f>'корпоративный баланс энергии'!AM1726+'корпоративный баланс энергии'!AP1726+'корпоративный баланс энергии'!AS1726</f>
        <v>1074.0999999999999</v>
      </c>
      <c r="P1717" s="390">
        <f>SUM(P1718:P1719)</f>
        <v>3174.81</v>
      </c>
      <c r="Q1717" s="391">
        <f>R1717-P1717</f>
        <v>267.6899999999996</v>
      </c>
      <c r="R1717" s="276">
        <f>F1717+I1717+L1717+O1717</f>
        <v>3442.4999999999995</v>
      </c>
      <c r="S1717" s="261"/>
      <c r="T1717" s="261"/>
    </row>
    <row r="1718" spans="2:20">
      <c r="B1718" s="10" t="s">
        <v>56</v>
      </c>
      <c r="C1718" s="483"/>
      <c r="D1718" s="270">
        <f>D1722</f>
        <v>1.42</v>
      </c>
      <c r="E1718" s="271"/>
      <c r="F1718" s="224"/>
      <c r="G1718" s="270">
        <f>G1722</f>
        <v>1.39</v>
      </c>
      <c r="H1718" s="271"/>
      <c r="I1718" s="224"/>
      <c r="J1718" s="270">
        <f>J1722</f>
        <v>0.64</v>
      </c>
      <c r="K1718" s="271"/>
      <c r="L1718" s="224"/>
      <c r="M1718" s="270">
        <f>M1722</f>
        <v>0.48999999999999994</v>
      </c>
      <c r="N1718" s="271"/>
      <c r="O1718" s="224"/>
      <c r="P1718" s="270">
        <f>P1722</f>
        <v>3.9399999999999995</v>
      </c>
      <c r="Q1718" s="271"/>
      <c r="R1718" s="364"/>
      <c r="S1718" s="261"/>
      <c r="T1718" s="261"/>
    </row>
    <row r="1719" spans="2:20">
      <c r="B1719" s="10" t="s">
        <v>55</v>
      </c>
      <c r="C1719" s="483"/>
      <c r="D1719" s="270">
        <f>SUM(D1720:D1721)</f>
        <v>746.32</v>
      </c>
      <c r="E1719" s="271"/>
      <c r="F1719" s="224"/>
      <c r="G1719" s="270">
        <f>SUM(G1720:G1721)</f>
        <v>734.03</v>
      </c>
      <c r="H1719" s="271"/>
      <c r="I1719" s="224"/>
      <c r="J1719" s="270">
        <f>SUM(J1720:J1721)</f>
        <v>584.04</v>
      </c>
      <c r="K1719" s="271"/>
      <c r="L1719" s="224"/>
      <c r="M1719" s="270">
        <f>SUM(M1720:M1721)</f>
        <v>1106.48</v>
      </c>
      <c r="N1719" s="271"/>
      <c r="O1719" s="224"/>
      <c r="P1719" s="270">
        <f>SUM(P1720:P1721)</f>
        <v>3170.87</v>
      </c>
      <c r="Q1719" s="271"/>
      <c r="R1719" s="364"/>
      <c r="S1719" s="261"/>
      <c r="T1719" s="261"/>
    </row>
    <row r="1720" spans="2:20">
      <c r="B1720" s="122" t="str">
        <f>'корпоративный баланс энергии'!H1729</f>
        <v>Каскад Вилюйских ГЭС</v>
      </c>
      <c r="C1720" s="526" t="s">
        <v>365</v>
      </c>
      <c r="D1720" s="281">
        <f>'корпоративный баланс энергии'!J1729+'корпоративный баланс энергии'!M1729+'корпоративный баланс энергии'!P1729</f>
        <v>548.22</v>
      </c>
      <c r="E1720" s="246"/>
      <c r="F1720" s="282"/>
      <c r="G1720" s="244">
        <f>'корпоративный баланс энергии'!S1729+'корпоративный баланс энергии'!V1729+'корпоративный баланс энергии'!Y1729</f>
        <v>535.64</v>
      </c>
      <c r="H1720" s="246"/>
      <c r="I1720" s="282"/>
      <c r="J1720" s="244">
        <f>'корпоративный баланс энергии'!AB1729+'корпоративный баланс энергии'!AE1729+'корпоративный баланс энергии'!AH1729</f>
        <v>422.54999999999995</v>
      </c>
      <c r="K1720" s="246"/>
      <c r="L1720" s="282"/>
      <c r="M1720" s="244">
        <f>'корпоративный баланс энергии'!AK1729+'корпоративный баланс энергии'!AN1729+'корпоративный баланс энергии'!AQ1729</f>
        <v>815.97</v>
      </c>
      <c r="N1720" s="246"/>
      <c r="O1720" s="282"/>
      <c r="P1720" s="244">
        <f>D1720+G1720+J1720+M1720</f>
        <v>2322.38</v>
      </c>
      <c r="Q1720" s="419"/>
      <c r="R1720" s="422"/>
      <c r="S1720" s="261"/>
      <c r="T1720" s="261"/>
    </row>
    <row r="1721" spans="2:20">
      <c r="B1721" s="122" t="str">
        <f>'корпоративный баланс энергии'!H1730</f>
        <v>Вилюйская ГЭС-3 (Светлинская ГЭС)</v>
      </c>
      <c r="C1721" s="526" t="s">
        <v>365</v>
      </c>
      <c r="D1721" s="281">
        <f>'корпоративный баланс энергии'!J1730+'корпоративный баланс энергии'!M1730+'корпоративный баланс энергии'!P1730</f>
        <v>198.1</v>
      </c>
      <c r="E1721" s="246"/>
      <c r="F1721" s="282"/>
      <c r="G1721" s="244">
        <f>'корпоративный баланс энергии'!S1730+'корпоративный баланс энергии'!V1730+'корпоративный баланс энергии'!Y1730</f>
        <v>198.39000000000001</v>
      </c>
      <c r="H1721" s="246"/>
      <c r="I1721" s="282"/>
      <c r="J1721" s="244">
        <f>'корпоративный баланс энергии'!AB1730+'корпоративный баланс энергии'!AE1730+'корпоративный баланс энергии'!AH1730</f>
        <v>161.49</v>
      </c>
      <c r="K1721" s="246"/>
      <c r="L1721" s="282"/>
      <c r="M1721" s="244">
        <f>'корпоративный баланс энергии'!AK1730+'корпоративный баланс энергии'!AN1730+'корпоративный баланс энергии'!AQ1730</f>
        <v>290.51</v>
      </c>
      <c r="N1721" s="246"/>
      <c r="O1721" s="282"/>
      <c r="P1721" s="244">
        <f>D1721+G1721+J1721+M1721</f>
        <v>848.49</v>
      </c>
      <c r="Q1721" s="419"/>
      <c r="R1721" s="422"/>
      <c r="S1721" s="261"/>
      <c r="T1721" s="261"/>
    </row>
    <row r="1722" spans="2:20">
      <c r="B1722" s="122" t="str">
        <f>'корпоративный баланс энергии'!H1731</f>
        <v>ДЭС Западного энергорайона Республики Саха (Якутия)</v>
      </c>
      <c r="C1722" s="808"/>
      <c r="D1722" s="281">
        <f>'корпоративный баланс энергии'!J1731+'корпоративный баланс энергии'!M1731+'корпоративный баланс энергии'!P1731</f>
        <v>1.42</v>
      </c>
      <c r="E1722" s="246"/>
      <c r="F1722" s="282"/>
      <c r="G1722" s="244">
        <f>'корпоративный баланс энергии'!S1731+'корпоративный баланс энергии'!V1731+'корпоративный баланс энергии'!Y1731</f>
        <v>1.39</v>
      </c>
      <c r="H1722" s="246"/>
      <c r="I1722" s="282"/>
      <c r="J1722" s="244">
        <f>'корпоративный баланс энергии'!AB1731+'корпоративный баланс энергии'!AE1731+'корпоративный баланс энергии'!AH1731</f>
        <v>0.64</v>
      </c>
      <c r="K1722" s="246"/>
      <c r="L1722" s="282"/>
      <c r="M1722" s="244">
        <f>'корпоративный баланс энергии'!AK1731+'корпоративный баланс энергии'!AN1731+'корпоративный баланс энергии'!AQ1731</f>
        <v>0.48999999999999994</v>
      </c>
      <c r="N1722" s="246"/>
      <c r="O1722" s="282"/>
      <c r="P1722" s="244">
        <f>D1722+G1722+J1722+M1722</f>
        <v>3.9399999999999995</v>
      </c>
      <c r="Q1722" s="246"/>
      <c r="R1722" s="282"/>
      <c r="S1722" s="261"/>
      <c r="T1722" s="261"/>
    </row>
    <row r="1723" spans="2:20" ht="16.5" thickBot="1">
      <c r="B1723" s="978"/>
      <c r="C1723" s="979"/>
      <c r="D1723" s="843"/>
      <c r="E1723" s="844"/>
      <c r="F1723" s="845"/>
      <c r="G1723" s="846"/>
      <c r="H1723" s="844"/>
      <c r="I1723" s="845"/>
      <c r="J1723" s="846"/>
      <c r="K1723" s="844"/>
      <c r="L1723" s="845"/>
      <c r="M1723" s="846"/>
      <c r="N1723" s="844"/>
      <c r="O1723" s="845"/>
      <c r="P1723" s="846"/>
      <c r="Q1723" s="844"/>
      <c r="R1723" s="845"/>
    </row>
    <row r="1725" spans="2:20">
      <c r="B1725" s="120" t="str">
        <f>'корпоративный баланс энергии'!H1734</f>
        <v>* - Без учета производства и потребления электроэнергии Николаевского энергорайона Хабаровского края</v>
      </c>
    </row>
    <row r="1756" spans="2:18">
      <c r="B1756" s="150"/>
      <c r="C1756" s="150"/>
      <c r="D1756" s="118"/>
      <c r="E1756" s="118"/>
      <c r="F1756" s="118"/>
      <c r="G1756" s="118"/>
      <c r="H1756" s="118"/>
      <c r="I1756" s="118"/>
      <c r="J1756" s="118"/>
      <c r="K1756" s="118"/>
      <c r="L1756" s="118"/>
      <c r="M1756" s="118"/>
      <c r="N1756" s="118"/>
      <c r="O1756" s="118"/>
      <c r="P1756" s="118"/>
      <c r="Q1756" s="118"/>
      <c r="R1756" s="118"/>
    </row>
    <row r="1757" spans="2:18">
      <c r="B1757" s="150"/>
      <c r="C1757" s="150"/>
      <c r="D1757" s="118"/>
      <c r="E1757" s="118"/>
      <c r="F1757" s="118"/>
      <c r="G1757" s="118"/>
      <c r="H1757" s="118"/>
      <c r="I1757" s="118"/>
      <c r="J1757" s="118"/>
      <c r="K1757" s="118"/>
      <c r="L1757" s="118"/>
      <c r="M1757" s="118"/>
      <c r="N1757" s="118"/>
      <c r="O1757" s="118"/>
      <c r="P1757" s="118"/>
      <c r="Q1757" s="118"/>
      <c r="R1757" s="118"/>
    </row>
    <row r="1758" spans="2:18">
      <c r="B1758" s="150"/>
      <c r="C1758" s="150"/>
      <c r="D1758" s="118"/>
      <c r="E1758" s="118"/>
      <c r="F1758" s="118"/>
      <c r="G1758" s="118"/>
      <c r="H1758" s="118"/>
      <c r="I1758" s="118"/>
      <c r="J1758" s="118"/>
      <c r="K1758" s="118"/>
      <c r="L1758" s="118"/>
      <c r="M1758" s="118"/>
      <c r="N1758" s="118"/>
      <c r="O1758" s="118"/>
      <c r="P1758" s="118"/>
      <c r="Q1758" s="118"/>
      <c r="R1758" s="118"/>
    </row>
    <row r="1759" spans="2:18">
      <c r="B1759" s="150"/>
      <c r="C1759" s="150"/>
      <c r="D1759" s="118"/>
      <c r="E1759" s="118"/>
      <c r="F1759" s="118"/>
      <c r="G1759" s="118"/>
      <c r="H1759" s="118"/>
      <c r="I1759" s="118"/>
      <c r="J1759" s="118"/>
      <c r="K1759" s="118"/>
      <c r="L1759" s="118"/>
      <c r="M1759" s="118"/>
      <c r="N1759" s="118"/>
      <c r="O1759" s="118"/>
      <c r="P1759" s="118"/>
      <c r="Q1759" s="118"/>
      <c r="R1759" s="118"/>
    </row>
    <row r="1760" spans="2:18">
      <c r="B1760" s="150"/>
      <c r="C1760" s="150"/>
      <c r="D1760" s="118"/>
      <c r="E1760" s="118"/>
      <c r="F1760" s="118"/>
      <c r="G1760" s="118"/>
      <c r="H1760" s="118"/>
      <c r="I1760" s="118"/>
      <c r="J1760" s="118"/>
      <c r="K1760" s="118"/>
      <c r="L1760" s="118"/>
      <c r="M1760" s="118"/>
      <c r="N1760" s="118"/>
      <c r="O1760" s="118"/>
      <c r="P1760" s="118"/>
      <c r="Q1760" s="118"/>
      <c r="R1760" s="118"/>
    </row>
    <row r="1761" spans="2:18">
      <c r="B1761" s="151"/>
      <c r="C1761" s="151"/>
      <c r="D1761" s="152"/>
      <c r="E1761" s="92"/>
      <c r="F1761" s="92"/>
      <c r="G1761" s="92"/>
      <c r="H1761" s="92"/>
      <c r="I1761" s="92"/>
      <c r="J1761" s="92"/>
      <c r="K1761" s="92"/>
      <c r="L1761" s="92"/>
      <c r="M1761" s="92"/>
      <c r="N1761" s="92"/>
      <c r="O1761" s="92"/>
      <c r="P1761" s="92"/>
      <c r="Q1761" s="92"/>
      <c r="R1761" s="92"/>
    </row>
  </sheetData>
  <mergeCells count="7">
    <mergeCell ref="B1:R1"/>
    <mergeCell ref="P3:R3"/>
    <mergeCell ref="B3:B4"/>
    <mergeCell ref="D3:F3"/>
    <mergeCell ref="G3:I3"/>
    <mergeCell ref="J3:L3"/>
    <mergeCell ref="M3:O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7"/>
  <dimension ref="B2:U97"/>
  <sheetViews>
    <sheetView view="pageBreakPreview" topLeftCell="A10" zoomScale="75" zoomScaleNormal="75" workbookViewId="0">
      <selection activeCell="P60" sqref="P60"/>
    </sheetView>
  </sheetViews>
  <sheetFormatPr defaultColWidth="10.6640625" defaultRowHeight="12.75"/>
  <cols>
    <col min="1" max="1" width="4.83203125" style="13" customWidth="1"/>
    <col min="2" max="2" width="10.6640625" style="13"/>
    <col min="3" max="3" width="14.6640625" style="13" customWidth="1"/>
    <col min="4" max="4" width="13" style="13" customWidth="1"/>
    <col min="5" max="5" width="11.1640625" style="13" customWidth="1"/>
    <col min="6" max="6" width="11.83203125" style="13" bestFit="1" customWidth="1"/>
    <col min="7" max="7" width="12" style="13" bestFit="1" customWidth="1"/>
    <col min="8" max="8" width="12.5" style="13" customWidth="1"/>
    <col min="9" max="9" width="11.6640625" style="13" customWidth="1"/>
    <col min="10" max="10" width="12.33203125" style="13" customWidth="1"/>
    <col min="11" max="11" width="11.6640625" style="13" customWidth="1"/>
    <col min="12" max="12" width="13.6640625" style="13" customWidth="1"/>
    <col min="13" max="13" width="12.1640625" style="13" customWidth="1"/>
    <col min="14" max="14" width="15.1640625" style="13" customWidth="1"/>
    <col min="15" max="15" width="12.1640625" style="13" customWidth="1"/>
    <col min="16" max="16" width="13.83203125" style="13" bestFit="1" customWidth="1"/>
    <col min="17" max="17" width="12" style="13" customWidth="1"/>
    <col min="18" max="18" width="14.5" style="13" customWidth="1"/>
    <col min="19" max="19" width="10.83203125" style="13" customWidth="1"/>
    <col min="20" max="20" width="11.83203125" style="13" bestFit="1" customWidth="1"/>
    <col min="21" max="21" width="12.1640625" style="13" bestFit="1" customWidth="1"/>
    <col min="22" max="16384" width="10.6640625" style="13"/>
  </cols>
  <sheetData>
    <row r="2" spans="3:21" ht="25.5">
      <c r="C2" s="11" t="s">
        <v>100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3:21" ht="22.5">
      <c r="C3" s="14"/>
      <c r="D3" s="15"/>
      <c r="E3" s="15"/>
      <c r="F3" s="15"/>
      <c r="G3" s="15"/>
      <c r="I3" s="16" t="s">
        <v>169</v>
      </c>
      <c r="J3" s="17"/>
      <c r="K3" s="17"/>
      <c r="L3" s="1251" t="s">
        <v>72</v>
      </c>
      <c r="M3" s="1251"/>
      <c r="N3" s="18">
        <v>2020</v>
      </c>
      <c r="O3" s="17"/>
      <c r="P3" s="15"/>
      <c r="Q3" s="15"/>
      <c r="R3" s="15"/>
      <c r="S3" s="15"/>
      <c r="T3" s="15"/>
    </row>
    <row r="4" spans="3:21" ht="20.25">
      <c r="C4" s="19"/>
      <c r="I4" s="1252" t="s">
        <v>147</v>
      </c>
      <c r="J4" s="1252"/>
      <c r="K4" s="1252"/>
      <c r="L4" s="1252"/>
      <c r="M4" s="1252"/>
      <c r="N4" s="1252"/>
      <c r="O4" s="20"/>
    </row>
    <row r="5" spans="3:21" ht="14.25" customHeight="1">
      <c r="C5" s="32" t="s">
        <v>104</v>
      </c>
      <c r="D5" s="33"/>
      <c r="F5" s="21"/>
      <c r="G5" s="22"/>
      <c r="I5" s="23"/>
      <c r="K5" s="24"/>
      <c r="L5" s="25"/>
      <c r="M5" s="25"/>
      <c r="N5" s="26"/>
      <c r="O5" s="20"/>
    </row>
    <row r="6" spans="3:21" ht="14.25" customHeight="1">
      <c r="C6" s="36" t="s">
        <v>29</v>
      </c>
      <c r="D6" s="157">
        <f>'корпоративный баланс энергии'!J849</f>
        <v>11286.729827742263</v>
      </c>
      <c r="F6" s="21"/>
      <c r="G6" s="22"/>
      <c r="I6" s="23"/>
      <c r="K6" s="24"/>
      <c r="L6" s="25"/>
      <c r="M6" s="25"/>
      <c r="N6" s="26"/>
      <c r="O6" s="20"/>
    </row>
    <row r="7" spans="3:21" ht="14.25" customHeight="1">
      <c r="C7" s="36" t="s">
        <v>107</v>
      </c>
      <c r="D7" s="157">
        <f>'корпоративный баланс энергии'!L849</f>
        <v>9459.7182846574469</v>
      </c>
      <c r="F7" s="21"/>
      <c r="G7" s="22"/>
      <c r="I7" s="23"/>
      <c r="K7" s="24"/>
      <c r="L7" s="25"/>
      <c r="M7" s="25"/>
      <c r="N7" s="26"/>
      <c r="O7" s="20"/>
    </row>
    <row r="8" spans="3:21" ht="14.25" customHeight="1">
      <c r="C8" s="36" t="s">
        <v>108</v>
      </c>
      <c r="D8" s="40">
        <f>D7-D6</f>
        <v>-1827.0115430848164</v>
      </c>
      <c r="F8" s="21"/>
      <c r="G8" s="22"/>
      <c r="I8" s="23"/>
      <c r="K8" s="24"/>
      <c r="L8" s="25"/>
      <c r="M8" s="25"/>
      <c r="N8" s="26"/>
      <c r="O8" s="20"/>
    </row>
    <row r="9" spans="3:21" ht="14.25" customHeight="1">
      <c r="C9" s="41" t="s">
        <v>109</v>
      </c>
      <c r="D9" s="40">
        <f>-D8-G11-I11-J13-J15+F16-E18-F30-G27+K20</f>
        <v>1.15430848163669E-2</v>
      </c>
      <c r="F9" s="21"/>
      <c r="G9" s="22"/>
      <c r="I9" s="23"/>
      <c r="K9" s="24"/>
      <c r="L9" s="25"/>
      <c r="M9" s="25"/>
      <c r="N9" s="26"/>
      <c r="O9" s="20"/>
    </row>
    <row r="10" spans="3:21" ht="14.25" customHeight="1">
      <c r="C10" s="19"/>
      <c r="F10" s="21"/>
      <c r="G10" s="22" t="s">
        <v>101</v>
      </c>
      <c r="I10" s="158" t="s">
        <v>243</v>
      </c>
      <c r="K10" s="24"/>
      <c r="L10" s="25"/>
      <c r="M10" s="25"/>
      <c r="N10" s="26"/>
      <c r="O10" s="20"/>
    </row>
    <row r="11" spans="3:21" ht="15.75" customHeight="1">
      <c r="C11" s="19"/>
      <c r="F11" s="21"/>
      <c r="G11" s="69">
        <f>-('корпоративный баланс энергии'!K23+'корпоративный баланс энергии'!K59)</f>
        <v>760</v>
      </c>
      <c r="I11" s="27">
        <f>-'корпоративный баланс энергии'!K24</f>
        <v>50</v>
      </c>
      <c r="K11" s="24"/>
      <c r="L11" s="25"/>
      <c r="M11" s="25"/>
      <c r="N11" s="26"/>
      <c r="O11" s="20"/>
    </row>
    <row r="12" spans="3:21" ht="15.75" customHeight="1">
      <c r="C12" s="19"/>
      <c r="F12" s="21"/>
      <c r="J12" s="158" t="s">
        <v>244</v>
      </c>
      <c r="K12" s="15"/>
      <c r="L12" s="25"/>
      <c r="M12" s="25"/>
      <c r="N12" s="26"/>
      <c r="O12" s="29" t="s">
        <v>102</v>
      </c>
      <c r="R12" s="30">
        <f>SUM(D6,H34,D60,K34,N34,Q34,T34)</f>
        <v>100113.57564187478</v>
      </c>
    </row>
    <row r="13" spans="3:21" ht="15" customHeight="1">
      <c r="C13" s="19"/>
      <c r="D13" s="1253" t="s">
        <v>103</v>
      </c>
      <c r="E13" s="1253"/>
      <c r="F13" s="21"/>
      <c r="J13" s="27">
        <f>-'корпоративный баланс энергии'!K25</f>
        <v>55</v>
      </c>
      <c r="K13" s="15"/>
      <c r="L13" s="34"/>
      <c r="M13" s="25"/>
      <c r="N13" s="26"/>
      <c r="O13" s="29" t="s">
        <v>105</v>
      </c>
      <c r="R13" s="30">
        <f>SUM(D7,H35,D61,K35,N35,Q35,T35)</f>
        <v>103616.15599757365</v>
      </c>
    </row>
    <row r="14" spans="3:21" ht="15.75" customHeight="1">
      <c r="C14" s="19"/>
      <c r="E14" s="206">
        <f>-('корпоративный баланс энергии'!K30+'корпоративный баланс энергии'!K31+'корпоративный баланс энергии'!K32+'корпоративный баланс энергии'!K33+'корпоративный баланс энергии'!K61+'корпоративный баланс энергии'!K62+'корпоративный баланс энергии'!K63)</f>
        <v>300</v>
      </c>
      <c r="F14" s="21"/>
      <c r="J14" s="158" t="s">
        <v>245</v>
      </c>
      <c r="K14" s="24"/>
      <c r="L14" s="25"/>
      <c r="M14" s="25"/>
      <c r="N14" s="26"/>
      <c r="O14" s="29" t="s">
        <v>106</v>
      </c>
      <c r="R14" s="30">
        <f>SUM(D8,H36,D62,K36,N36,Q36,T36)</f>
        <v>3502.5803556988731</v>
      </c>
      <c r="S14" s="24"/>
      <c r="T14" s="161">
        <f>-G11-I11-J13-J15+F16-E18-F30-F36-E45-F54-F61-I60-J47-L47-M47-N47+P47-R47-T47-F48</f>
        <v>-1196</v>
      </c>
      <c r="U14" s="161">
        <f>R13-R12</f>
        <v>3502.5803556988685</v>
      </c>
    </row>
    <row r="15" spans="3:21">
      <c r="D15" s="41" t="s">
        <v>109</v>
      </c>
      <c r="E15" s="591">
        <f>-E14+D29+E18-F16</f>
        <v>0</v>
      </c>
      <c r="J15" s="27">
        <f>-'корпоративный баланс энергии'!K26</f>
        <v>2</v>
      </c>
      <c r="O15" s="38"/>
      <c r="P15" s="24"/>
      <c r="Q15" s="24"/>
      <c r="R15" s="38"/>
      <c r="U15" t="s">
        <v>1069</v>
      </c>
    </row>
    <row r="16" spans="3:21">
      <c r="F16" s="69">
        <f>'корпоративный баланс энергии'!K30+'корпоративный баланс энергии'!K31+'корпоративный баланс энергии'!K32+'корпоративный баланс энергии'!K62+'корпоративный баланс энергии'!K63</f>
        <v>-50</v>
      </c>
      <c r="O16" s="38"/>
    </row>
    <row r="17" spans="4:21" ht="13.5" thickBot="1">
      <c r="O17" s="38"/>
    </row>
    <row r="18" spans="4:21" ht="15">
      <c r="E18" s="51">
        <f>-('корпоративный баланс энергии'!K33+'корпоративный баланс энергии'!K61)</f>
        <v>250</v>
      </c>
      <c r="P18" s="863" t="s">
        <v>113</v>
      </c>
      <c r="Q18" s="864"/>
      <c r="R18" s="864"/>
      <c r="S18" s="864"/>
      <c r="T18" s="865"/>
      <c r="U18" s="866">
        <f>-O60</f>
        <v>492</v>
      </c>
    </row>
    <row r="19" spans="4:21" ht="14.25">
      <c r="F19" s="43"/>
      <c r="G19" s="1254" t="s">
        <v>110</v>
      </c>
      <c r="H19" s="1254"/>
      <c r="P19" s="867" t="s">
        <v>1070</v>
      </c>
      <c r="Q19" s="868"/>
      <c r="R19" s="868"/>
      <c r="S19" s="868"/>
      <c r="T19" s="869"/>
      <c r="U19" s="870">
        <f>SUM(U20:U21)</f>
        <v>-4628.5843274219378</v>
      </c>
    </row>
    <row r="20" spans="4:21" ht="15">
      <c r="D20" s="24"/>
      <c r="E20" s="1257" t="s">
        <v>111</v>
      </c>
      <c r="F20" s="1257"/>
      <c r="G20" s="1258" t="s">
        <v>112</v>
      </c>
      <c r="H20" s="1258"/>
      <c r="K20" s="1159">
        <v>5</v>
      </c>
      <c r="P20" s="871" t="s">
        <v>115</v>
      </c>
      <c r="Q20" s="868" t="s">
        <v>507</v>
      </c>
      <c r="R20" s="868"/>
      <c r="S20" s="868"/>
      <c r="T20" s="869"/>
      <c r="U20" s="870">
        <f>-N47</f>
        <v>-4708.5843274219378</v>
      </c>
    </row>
    <row r="21" spans="4:21" ht="13.5" thickBot="1">
      <c r="F21" s="44"/>
      <c r="G21" s="36" t="s">
        <v>29</v>
      </c>
      <c r="H21" s="45">
        <f>D6-F22</f>
        <v>10573.463827742264</v>
      </c>
      <c r="P21" s="872"/>
      <c r="Q21" s="873" t="s">
        <v>116</v>
      </c>
      <c r="R21" s="873"/>
      <c r="S21" s="873"/>
      <c r="T21" s="874"/>
      <c r="U21" s="875">
        <f>-M47</f>
        <v>80</v>
      </c>
    </row>
    <row r="22" spans="4:21" ht="15" thickBot="1">
      <c r="E22" s="36" t="s">
        <v>29</v>
      </c>
      <c r="F22" s="37">
        <f>'корпоративный баланс энергии'!J865</f>
        <v>713.26600000000008</v>
      </c>
      <c r="G22" s="36" t="s">
        <v>107</v>
      </c>
      <c r="H22" s="45">
        <f>D7-F23</f>
        <v>8996.4552846574461</v>
      </c>
      <c r="P22" s="860" t="s">
        <v>1068</v>
      </c>
      <c r="Q22" s="861"/>
      <c r="R22" s="861"/>
      <c r="S22" s="861"/>
      <c r="T22" s="861"/>
      <c r="U22" s="862">
        <f>'корпоративный баланс энергии'!K74</f>
        <v>70</v>
      </c>
    </row>
    <row r="23" spans="4:21" ht="15" thickBot="1">
      <c r="E23" s="36" t="s">
        <v>107</v>
      </c>
      <c r="F23" s="37">
        <f>'корпоративный баланс энергии'!L865</f>
        <v>463.26299999999998</v>
      </c>
      <c r="G23" s="36" t="s">
        <v>108</v>
      </c>
      <c r="H23" s="40">
        <f>H22-H21</f>
        <v>-1577.0085430848176</v>
      </c>
      <c r="P23" s="858" t="s">
        <v>1071</v>
      </c>
      <c r="Q23" s="876"/>
      <c r="R23" s="876"/>
      <c r="S23" s="876"/>
      <c r="T23" s="859"/>
      <c r="U23" s="875">
        <f>MIN(ABS(N48),ABS(P48))</f>
        <v>10</v>
      </c>
    </row>
    <row r="24" spans="4:21" ht="15" thickBot="1">
      <c r="E24" s="36" t="s">
        <v>108</v>
      </c>
      <c r="F24" s="46">
        <f>F23-F22</f>
        <v>-250.0030000000001</v>
      </c>
      <c r="G24" s="41" t="s">
        <v>109</v>
      </c>
      <c r="H24" s="40">
        <f>-H23+F16+K20-G11-G27-F30-I11-J13-J15</f>
        <v>8.5430848175747087E-3</v>
      </c>
      <c r="P24" s="877" t="s">
        <v>1072</v>
      </c>
      <c r="Q24" s="873"/>
      <c r="R24" s="873"/>
      <c r="S24" s="873"/>
      <c r="T24" s="874"/>
      <c r="U24" s="875">
        <f>MIN(ABS('корпоративный баланс энергии'!K54),ABS('корпоративный баланс энергии'!K80))</f>
        <v>0</v>
      </c>
    </row>
    <row r="25" spans="4:21" ht="15" thickBot="1">
      <c r="E25" s="41" t="s">
        <v>109</v>
      </c>
      <c r="F25" s="46">
        <f>-F24-E18</f>
        <v>3.0000000000995897E-3</v>
      </c>
      <c r="K25" s="1161">
        <v>50</v>
      </c>
      <c r="P25" s="878" t="s">
        <v>1073</v>
      </c>
      <c r="Q25" s="879"/>
      <c r="R25" s="879"/>
      <c r="S25" s="879"/>
      <c r="T25" s="880"/>
      <c r="U25" s="881">
        <f>ABS(U23)+ABS(U24)</f>
        <v>10</v>
      </c>
    </row>
    <row r="26" spans="4:21" ht="15" thickBot="1">
      <c r="P26" s="877" t="s">
        <v>1257</v>
      </c>
      <c r="Q26" s="873"/>
      <c r="R26" s="873"/>
      <c r="S26" s="873"/>
      <c r="T26" s="874"/>
      <c r="U26" s="875">
        <f>'корпоративный баланс энергии'!K79</f>
        <v>35</v>
      </c>
    </row>
    <row r="27" spans="4:21" ht="15" thickBot="1">
      <c r="G27" s="1159">
        <v>625</v>
      </c>
      <c r="P27" s="884" t="s">
        <v>1074</v>
      </c>
      <c r="Q27" s="885"/>
      <c r="R27" s="885"/>
      <c r="S27" s="885"/>
      <c r="T27" s="886"/>
      <c r="U27" s="887">
        <f>U22+U25+U26</f>
        <v>115</v>
      </c>
    </row>
    <row r="29" spans="4:21">
      <c r="D29" s="600">
        <v>0</v>
      </c>
      <c r="R29" s="52"/>
    </row>
    <row r="30" spans="4:21">
      <c r="F30" s="593">
        <f>-('корпоративный баланс энергии'!K34+'корпоративный баланс энергии'!K64)</f>
        <v>40</v>
      </c>
    </row>
    <row r="31" spans="4:21" ht="15">
      <c r="G31" s="21" t="s">
        <v>117</v>
      </c>
      <c r="J31" s="28" t="s">
        <v>118</v>
      </c>
      <c r="K31" s="15"/>
      <c r="M31" s="21" t="s">
        <v>117</v>
      </c>
      <c r="P31" s="21" t="s">
        <v>117</v>
      </c>
      <c r="Q31" s="53"/>
      <c r="S31" s="205" t="s">
        <v>117</v>
      </c>
    </row>
    <row r="32" spans="4:21" ht="15">
      <c r="G32" s="28" t="s">
        <v>119</v>
      </c>
      <c r="H32" s="15"/>
      <c r="J32" s="28" t="s">
        <v>120</v>
      </c>
      <c r="K32" s="15"/>
      <c r="M32" s="28" t="s">
        <v>121</v>
      </c>
      <c r="N32" s="15"/>
      <c r="P32" s="28" t="s">
        <v>122</v>
      </c>
      <c r="Q32" s="54"/>
      <c r="S32" s="28" t="s">
        <v>123</v>
      </c>
      <c r="T32" s="15"/>
    </row>
    <row r="33" spans="3:20" ht="14.25">
      <c r="C33" s="21" t="s">
        <v>124</v>
      </c>
    </row>
    <row r="34" spans="3:20" ht="14.25">
      <c r="D34" s="21" t="s">
        <v>125</v>
      </c>
      <c r="G34" s="36" t="s">
        <v>29</v>
      </c>
      <c r="H34" s="37">
        <f>'корпоративный баланс энергии'!J82</f>
        <v>23774.877649094473</v>
      </c>
      <c r="J34" s="36" t="s">
        <v>29</v>
      </c>
      <c r="K34" s="37">
        <f>'корпоративный баланс энергии'!J370</f>
        <v>10092.424861490257</v>
      </c>
      <c r="M34" s="36" t="s">
        <v>29</v>
      </c>
      <c r="N34" s="37">
        <f>'корпоративный баланс энергии'!J538</f>
        <v>25217.729560851341</v>
      </c>
      <c r="P34" s="36" t="s">
        <v>29</v>
      </c>
      <c r="Q34" s="37">
        <f>'корпоративный баланс энергии'!J1454</f>
        <v>20146.157581574418</v>
      </c>
      <c r="S34" s="36" t="s">
        <v>29</v>
      </c>
      <c r="T34" s="37">
        <f>'корпоративный баланс энергии'!J1674</f>
        <v>0</v>
      </c>
    </row>
    <row r="35" spans="3:20">
      <c r="E35" s="55">
        <f>-('корпоративный баланс энергии'!K34+'корпоративный баланс энергии'!K35+'корпоративный баланс энергии'!K36+'корпоративный баланс энергии'!K65)</f>
        <v>175</v>
      </c>
      <c r="G35" s="36" t="s">
        <v>107</v>
      </c>
      <c r="H35" s="37">
        <f>'корпоративный баланс энергии'!L82</f>
        <v>23404.876815453194</v>
      </c>
      <c r="J35" s="36" t="s">
        <v>107</v>
      </c>
      <c r="K35" s="37">
        <f>'корпоративный баланс энергии'!L370</f>
        <v>10517.417253454703</v>
      </c>
      <c r="M35" s="36" t="s">
        <v>107</v>
      </c>
      <c r="N35" s="37">
        <f>'корпоративный баланс энергии'!L538</f>
        <v>24972.740064476951</v>
      </c>
      <c r="P35" s="36" t="s">
        <v>107</v>
      </c>
      <c r="Q35" s="37">
        <f>'корпоративный баланс энергии'!L1454</f>
        <v>20718.794503496356</v>
      </c>
      <c r="S35" s="36" t="s">
        <v>107</v>
      </c>
      <c r="T35" s="37">
        <f>'корпоративный баланс энергии'!L1674</f>
        <v>4455.9474055000001</v>
      </c>
    </row>
    <row r="36" spans="3:20">
      <c r="C36" s="599">
        <v>0</v>
      </c>
      <c r="D36" s="41" t="s">
        <v>109</v>
      </c>
      <c r="E36" s="591">
        <f>-E35-D29+F30+F36</f>
        <v>0</v>
      </c>
      <c r="F36" s="594">
        <f>-('корпоративный баланс энергии'!K35+'корпоративный баланс энергии'!K36+'корпоративный баланс энергии'!K65)</f>
        <v>135</v>
      </c>
      <c r="G36" s="36" t="s">
        <v>108</v>
      </c>
      <c r="H36" s="46">
        <f>H35-H34</f>
        <v>-370.00083364127931</v>
      </c>
      <c r="I36" s="1160">
        <v>650</v>
      </c>
      <c r="J36" s="56" t="s">
        <v>108</v>
      </c>
      <c r="K36" s="46">
        <f>K35-K34</f>
        <v>424.99239196444614</v>
      </c>
      <c r="L36" s="1160">
        <v>-130</v>
      </c>
      <c r="M36" s="56" t="s">
        <v>108</v>
      </c>
      <c r="N36" s="57">
        <f>N35-N34</f>
        <v>-244.98949637439</v>
      </c>
      <c r="O36" s="1162">
        <v>130</v>
      </c>
      <c r="P36" s="56" t="s">
        <v>108</v>
      </c>
      <c r="Q36" s="46">
        <f>Q35-Q34</f>
        <v>572.63692192193776</v>
      </c>
      <c r="R36" s="58">
        <f>T34-T35-T47</f>
        <v>-4665.9474055000001</v>
      </c>
      <c r="S36" s="56" t="s">
        <v>108</v>
      </c>
      <c r="T36" s="46">
        <f>T35-T34</f>
        <v>4455.9474055000001</v>
      </c>
    </row>
    <row r="37" spans="3:20">
      <c r="G37" s="41" t="s">
        <v>109</v>
      </c>
      <c r="H37" s="46">
        <f>-H36-F36+G27+K25-I36-E45-G40</f>
        <v>8.3364127931417897E-4</v>
      </c>
      <c r="J37" s="41" t="s">
        <v>109</v>
      </c>
      <c r="K37" s="46">
        <f>-K36+I36-L36-L47-I42</f>
        <v>7.608035553857917E-3</v>
      </c>
      <c r="L37" s="44"/>
      <c r="M37" s="41" t="s">
        <v>109</v>
      </c>
      <c r="N37" s="57">
        <f>-N36+L36-O36-K20-K25-M47-N47</f>
        <v>-4698.5948310475478</v>
      </c>
      <c r="P37" s="41" t="s">
        <v>109</v>
      </c>
      <c r="Q37" s="40">
        <f>-Q36+O36+R36-R47+P47</f>
        <v>0</v>
      </c>
      <c r="R37" s="44"/>
      <c r="S37" s="41" t="s">
        <v>109</v>
      </c>
      <c r="T37" s="40">
        <f>-T36-R36-T47</f>
        <v>0</v>
      </c>
    </row>
    <row r="39" spans="3:20" ht="15">
      <c r="H39" s="160" t="s">
        <v>126</v>
      </c>
      <c r="N39" s="59"/>
      <c r="O39" s="24"/>
    </row>
    <row r="40" spans="3:20">
      <c r="G40" s="1161">
        <v>420</v>
      </c>
      <c r="H40" s="160" t="s">
        <v>127</v>
      </c>
      <c r="N40" s="60"/>
      <c r="O40" s="61"/>
    </row>
    <row r="41" spans="3:20" ht="15" customHeight="1">
      <c r="I41" s="160" t="s">
        <v>128</v>
      </c>
      <c r="N41" s="62"/>
      <c r="O41" s="61"/>
    </row>
    <row r="42" spans="3:20">
      <c r="G42" s="1259" t="s">
        <v>129</v>
      </c>
      <c r="H42" s="1259"/>
      <c r="I42" s="1161">
        <v>350</v>
      </c>
    </row>
    <row r="43" spans="3:20">
      <c r="G43" s="1262" t="s">
        <v>130</v>
      </c>
      <c r="H43" s="1262"/>
    </row>
    <row r="44" spans="3:20">
      <c r="E44" s="44"/>
      <c r="G44" s="36" t="s">
        <v>29</v>
      </c>
      <c r="H44" s="37">
        <f>'корпоративный баланс энергии'!J1122+'корпоративный баланс энергии'!J1089</f>
        <v>1931.3414082031247</v>
      </c>
      <c r="M44" s="160" t="s">
        <v>251</v>
      </c>
      <c r="N44" s="64"/>
      <c r="O44" s="160" t="s">
        <v>248</v>
      </c>
    </row>
    <row r="45" spans="3:20">
      <c r="E45" s="212">
        <f>-('корпоративный баланс энергии'!K37+'корпоративный баланс энергии'!K38+'корпоративный баланс энергии'!K39+'корпоративный баланс энергии'!K66+'корпоративный баланс энергии'!K67+'корпоративный баланс энергии'!K68)</f>
        <v>-160</v>
      </c>
      <c r="G45" s="36" t="s">
        <v>107</v>
      </c>
      <c r="H45" s="37">
        <f>'корпоративный баланс энергии'!L1122+'корпоративный баланс энергии'!L1089</f>
        <v>2043.3463228634141</v>
      </c>
      <c r="M45" s="160" t="s">
        <v>336</v>
      </c>
      <c r="O45" s="160" t="s">
        <v>249</v>
      </c>
    </row>
    <row r="46" spans="3:20" ht="14.25">
      <c r="G46" s="36" t="s">
        <v>108</v>
      </c>
      <c r="H46" s="46">
        <f>H45-H44</f>
        <v>112.00491466028939</v>
      </c>
      <c r="J46" s="160" t="s">
        <v>131</v>
      </c>
      <c r="O46" s="160" t="s">
        <v>250</v>
      </c>
      <c r="R46" s="65" t="s">
        <v>132</v>
      </c>
      <c r="T46" s="21" t="s">
        <v>133</v>
      </c>
    </row>
    <row r="47" spans="3:20">
      <c r="F47" s="29"/>
      <c r="G47" s="41" t="s">
        <v>109</v>
      </c>
      <c r="H47" s="46">
        <f>-H46+G40+I42-J47-F48-G49</f>
        <v>-4.9146602893870295E-3</v>
      </c>
      <c r="J47" s="207">
        <f>-('корпоративный баланс энергии'!K49+'корпоративный баланс энергии'!K50)</f>
        <v>8</v>
      </c>
      <c r="L47" s="208">
        <f>-('корпоративный баланс энергии'!K46+'корпоративный баланс энергии'!K47+'корпоративный баланс энергии'!K74)</f>
        <v>5</v>
      </c>
      <c r="M47" s="67">
        <f>-('корпоративный баланс энергии'!K48+'корпоративный баланс энергии'!K75)</f>
        <v>-80</v>
      </c>
      <c r="N47" s="42">
        <f>P62+P47</f>
        <v>4708.5843274219378</v>
      </c>
      <c r="O47" s="1177">
        <f>-'корпоративный баланс энергии'!L53</f>
        <v>15</v>
      </c>
      <c r="P47" s="42">
        <f>Q36-O36-R36+R47</f>
        <v>5133.5843274219378</v>
      </c>
      <c r="R47" s="27">
        <f>-('корпоративный баланс энергии'!K27+'корпоративный баланс энергии'!K28+'корпоративный баланс энергии'!K60)</f>
        <v>25</v>
      </c>
      <c r="T47" s="27">
        <f>-('корпоративный баланс энергии'!K29)</f>
        <v>210</v>
      </c>
    </row>
    <row r="48" spans="3:20">
      <c r="F48" s="592">
        <f>-('корпоративный баланс энергии'!K40)</f>
        <v>0</v>
      </c>
      <c r="N48" s="584">
        <f>-('корпоративный баланс энергии'!K51+'корпоративный баланс энергии'!K52+'корпоративный баланс энергии'!K76+'корпоративный баланс энергии'!K77)</f>
        <v>10</v>
      </c>
      <c r="P48" s="1165">
        <f>'корпоративный баланс энергии'!K53+'корпоративный баланс энергии'!K54+'корпоративный баланс энергии'!K55+'корпоративный баланс энергии'!K56+'корпоративный баланс энергии'!K78+'корпоративный баланс энергии'!K79+'корпоративный баланс энергии'!K80</f>
        <v>435</v>
      </c>
    </row>
    <row r="49" spans="2:19" ht="15.75">
      <c r="C49" s="22" t="s">
        <v>134</v>
      </c>
      <c r="F49" s="160" t="s">
        <v>135</v>
      </c>
      <c r="G49" s="1163">
        <v>650</v>
      </c>
      <c r="H49" s="160" t="s">
        <v>136</v>
      </c>
    </row>
    <row r="50" spans="2:19">
      <c r="D50" s="68" t="s">
        <v>137</v>
      </c>
      <c r="H50" s="160" t="s">
        <v>138</v>
      </c>
    </row>
    <row r="51" spans="2:19">
      <c r="E51" s="590">
        <f>-('корпоративный баланс энергии'!K37+'корпоративный баланс энергии'!K38+'корпоративный баланс энергии'!K39+'корпоративный баланс энергии'!K40+'корпоративный баланс энергии'!K41+'корпоративный баланс энергии'!K66+'корпоративный баланс энергии'!K67+'корпоративный баланс энергии'!K68+'корпоративный баланс энергии'!K69+'корпоративный баланс энергии'!K70)</f>
        <v>90</v>
      </c>
      <c r="H51" s="160" t="s">
        <v>508</v>
      </c>
    </row>
    <row r="52" spans="2:19" ht="14.25">
      <c r="C52" s="599">
        <v>0</v>
      </c>
      <c r="D52" s="41" t="s">
        <v>109</v>
      </c>
      <c r="E52" s="591">
        <f>-E51+E45+F48+F54-E54-C52</f>
        <v>0</v>
      </c>
      <c r="G52" s="28"/>
      <c r="H52" s="15"/>
      <c r="O52" s="70"/>
    </row>
    <row r="53" spans="2:19" ht="15">
      <c r="B53" s="581" t="s">
        <v>513</v>
      </c>
      <c r="G53" s="28" t="s">
        <v>890</v>
      </c>
      <c r="H53" s="15"/>
      <c r="I53" s="59"/>
      <c r="J53" s="24"/>
    </row>
    <row r="54" spans="2:19">
      <c r="B54" s="36" t="s">
        <v>29</v>
      </c>
      <c r="C54" s="157">
        <f>'корпоративный баланс энергии'!J1390</f>
        <v>830.46773389999998</v>
      </c>
      <c r="D54" s="47"/>
      <c r="E54" s="1019">
        <f>'корпоративный баланс энергии'!K70</f>
        <v>0</v>
      </c>
      <c r="F54" s="1176">
        <f>-('корпоративный баланс энергии'!K41+'корпоративный баланс энергии'!K69)</f>
        <v>250</v>
      </c>
      <c r="G54" s="1262" t="s">
        <v>889</v>
      </c>
      <c r="H54" s="1262"/>
      <c r="I54" s="60"/>
      <c r="J54" s="61"/>
      <c r="M54" s="44"/>
    </row>
    <row r="55" spans="2:19" ht="18.75">
      <c r="B55" s="36" t="s">
        <v>107</v>
      </c>
      <c r="C55" s="157">
        <f>'корпоративный баланс энергии'!L1390</f>
        <v>852.8480401488066</v>
      </c>
      <c r="G55" s="36" t="s">
        <v>29</v>
      </c>
      <c r="H55" s="37">
        <f>D60-C54-H44</f>
        <v>6833.8470190188982</v>
      </c>
      <c r="I55" s="62"/>
      <c r="J55" s="61"/>
      <c r="M55" s="221">
        <f>J47+L47+M47</f>
        <v>-67</v>
      </c>
    </row>
    <row r="56" spans="2:19">
      <c r="B56" s="36" t="s">
        <v>108</v>
      </c>
      <c r="C56" s="40">
        <f>C55-C54</f>
        <v>22.380306248806619</v>
      </c>
      <c r="D56" s="582" t="s">
        <v>511</v>
      </c>
      <c r="E56" s="580">
        <f>'корпоративный баланс энергии'!K1390</f>
        <v>22.380306248806619</v>
      </c>
      <c r="G56" s="36" t="s">
        <v>107</v>
      </c>
      <c r="H56" s="37">
        <f>D61-C55-H45</f>
        <v>7190.4673075227765</v>
      </c>
      <c r="I56" s="75"/>
      <c r="L56" s="29" t="s">
        <v>139</v>
      </c>
      <c r="M56" s="51">
        <f>-('корпоративный баланс энергии'!K46+'корпоративный баланс энергии'!K47+'корпоративный баланс энергии'!K48+'корпоративный баланс энергии'!K49+'корпоративный баланс энергии'!K50+'корпоративный баланс энергии'!K74+'корпоративный баланс энергии'!K75)</f>
        <v>-67</v>
      </c>
    </row>
    <row r="57" spans="2:19">
      <c r="B57" s="41" t="s">
        <v>109</v>
      </c>
      <c r="C57" s="40">
        <f>-C56+E54+E56</f>
        <v>0</v>
      </c>
      <c r="D57" s="583" t="s">
        <v>512</v>
      </c>
      <c r="G57" s="36" t="s">
        <v>108</v>
      </c>
      <c r="H57" s="46">
        <f>H56-H55</f>
        <v>356.62028850387833</v>
      </c>
      <c r="J57" s="76"/>
      <c r="L57" s="29" t="s">
        <v>140</v>
      </c>
      <c r="P57" s="77"/>
    </row>
    <row r="58" spans="2:19" ht="22.5" customHeight="1">
      <c r="D58"/>
      <c r="G58" s="41" t="s">
        <v>109</v>
      </c>
      <c r="H58" s="78">
        <f>-H57-F54+G49-I60-F61-E56</f>
        <v>-5.9475268494679767E-4</v>
      </c>
      <c r="I58" s="29"/>
      <c r="M58" s="79" t="s">
        <v>141</v>
      </c>
    </row>
    <row r="59" spans="2:19" ht="14.25">
      <c r="C59" s="32" t="s">
        <v>246</v>
      </c>
      <c r="D59" s="33"/>
    </row>
    <row r="60" spans="2:19">
      <c r="C60" s="36" t="s">
        <v>29</v>
      </c>
      <c r="D60" s="157">
        <f>'корпоративный баланс энергии'!J1082</f>
        <v>9595.6561611220222</v>
      </c>
      <c r="I60" s="80">
        <f>I65</f>
        <v>-5</v>
      </c>
      <c r="L60" s="81" t="s">
        <v>337</v>
      </c>
      <c r="M60" s="81"/>
      <c r="N60" s="81"/>
      <c r="O60" s="82">
        <f>J47+L47+M47+N47-P47</f>
        <v>-492</v>
      </c>
      <c r="P60" s="69">
        <f>-('корпоративный баланс энергии'!K46+'корпоративный баланс энергии'!K47+'корпоративный баланс энергии'!K48+'корпоративный баланс энергии'!K49+'корпоративный баланс энергии'!K50+'корпоративный баланс энергии'!K51+'корпоративный баланс энергии'!K52+'корпоративный баланс энергии'!K53+'корпоративный баланс энергии'!K54+'корпоративный баланс энергии'!K55+'корпоративный баланс энергии'!K56+'корпоративный баланс энергии'!K74+'корпоративный баланс энергии'!K75+'корпоративный баланс энергии'!K76+'корпоративный баланс энергии'!K77+'корпоративный баланс энергии'!K78+'корпоративный баланс энергии'!K79+'корпоративный баланс энергии'!K80)</f>
        <v>-492</v>
      </c>
      <c r="S60" s="161">
        <f>M56+P62</f>
        <v>-492</v>
      </c>
    </row>
    <row r="61" spans="2:19">
      <c r="C61" s="36" t="s">
        <v>107</v>
      </c>
      <c r="D61" s="157">
        <f>'корпоративный баланс энергии'!L1082</f>
        <v>10086.661670534997</v>
      </c>
      <c r="F61" s="80">
        <f>F65</f>
        <v>26</v>
      </c>
      <c r="H61" s="75"/>
      <c r="N61" s="83"/>
    </row>
    <row r="62" spans="2:19" ht="14.25">
      <c r="C62" s="36" t="s">
        <v>108</v>
      </c>
      <c r="D62" s="40">
        <f>D61-D60</f>
        <v>491.00550941297479</v>
      </c>
      <c r="E62" s="21"/>
      <c r="L62" s="209" t="s">
        <v>338</v>
      </c>
      <c r="N62" s="83"/>
      <c r="P62" s="69">
        <f>-('корпоративный баланс энергии'!K51+'корпоративный баланс энергии'!K52+'корпоративный баланс энергии'!K53+'корпоративный баланс энергии'!K54+'корпоративный баланс энергии'!K55+'корпоративный баланс энергии'!K56+'корпоративный баланс энергии'!K76+'корпоративный баланс энергии'!K77+'корпоративный баланс энергии'!K78+'корпоративный баланс энергии'!K79+'корпоративный баланс энергии'!K80)</f>
        <v>-425</v>
      </c>
      <c r="S62" s="161">
        <f>-(P47-N47)</f>
        <v>-425</v>
      </c>
    </row>
    <row r="63" spans="2:19">
      <c r="C63" s="41" t="s">
        <v>109</v>
      </c>
      <c r="D63" s="40">
        <f>-D62+G40+I42-J47-I60-F61-F54-F48</f>
        <v>-5.5094129747885745E-3</v>
      </c>
      <c r="K63" s="84"/>
      <c r="N63" s="13" t="s">
        <v>75</v>
      </c>
      <c r="O63" s="83" t="s">
        <v>142</v>
      </c>
    </row>
    <row r="64" spans="2:19">
      <c r="F64" s="162" t="s">
        <v>143</v>
      </c>
      <c r="I64" s="31" t="s">
        <v>144</v>
      </c>
      <c r="N64" s="13" t="s">
        <v>145</v>
      </c>
      <c r="O64" s="83" t="s">
        <v>146</v>
      </c>
    </row>
    <row r="65" spans="6:20">
      <c r="F65" s="85">
        <f>-('корпоративный баланс энергии'!K42+'корпоративный баланс энергии'!K44+'корпоративный баланс энергии'!K45+'корпоративный баланс энергии'!K72+'корпоративный баланс энергии'!K73)</f>
        <v>26</v>
      </c>
      <c r="I65" s="85">
        <f>-('корпоративный баланс энергии'!K43+'корпоративный баланс энергии'!K71)</f>
        <v>-5</v>
      </c>
    </row>
    <row r="72" spans="6:20" ht="14.25" hidden="1">
      <c r="K72" s="1260" t="s">
        <v>149</v>
      </c>
      <c r="L72" s="1261"/>
      <c r="N72" s="1260" t="s">
        <v>149</v>
      </c>
      <c r="O72" s="1261"/>
      <c r="Q72" s="1260" t="s">
        <v>149</v>
      </c>
      <c r="R72" s="1261"/>
    </row>
    <row r="73" spans="6:20" ht="15.75" hidden="1">
      <c r="G73" s="950"/>
      <c r="H73" s="950"/>
      <c r="I73" s="950"/>
      <c r="K73" s="1255" t="s">
        <v>154</v>
      </c>
      <c r="L73" s="1256"/>
      <c r="N73" s="1255" t="s">
        <v>153</v>
      </c>
      <c r="O73" s="1256"/>
      <c r="Q73" s="1255" t="s">
        <v>150</v>
      </c>
      <c r="R73" s="1256"/>
    </row>
    <row r="74" spans="6:20" ht="15.75" hidden="1">
      <c r="F74" s="1263" t="s">
        <v>156</v>
      </c>
      <c r="G74" s="1263"/>
      <c r="H74" s="1263"/>
      <c r="I74" s="1263"/>
      <c r="J74" s="102">
        <f>-L79-M74</f>
        <v>-5333.3093971331555</v>
      </c>
      <c r="K74" s="97" t="s">
        <v>29</v>
      </c>
      <c r="L74" s="98">
        <f>SUM(L75:L77)</f>
        <v>4734.0170821982692</v>
      </c>
      <c r="M74" s="100">
        <f>O76+P74</f>
        <v>4579.1264793314249</v>
      </c>
      <c r="N74" s="97" t="s">
        <v>29</v>
      </c>
      <c r="O74" s="98">
        <f>'корпоративный баланс энергии'!J1490</f>
        <v>654.31151375000002</v>
      </c>
      <c r="P74" s="100">
        <f>R76-S74</f>
        <v>4647.7205447492606</v>
      </c>
      <c r="Q74" s="97" t="s">
        <v>29</v>
      </c>
      <c r="R74" s="98">
        <f>'корпоративный баланс энергии'!J1508</f>
        <v>841.69878114620099</v>
      </c>
      <c r="S74" s="100">
        <f>R36</f>
        <v>-4665.9474055000001</v>
      </c>
      <c r="T74" s="9" t="s">
        <v>152</v>
      </c>
    </row>
    <row r="75" spans="6:20" hidden="1">
      <c r="J75"/>
      <c r="K75" s="97" t="s">
        <v>56</v>
      </c>
      <c r="L75" s="98">
        <f>'корпоративный баланс энергии'!J1528</f>
        <v>1454.1970000000001</v>
      </c>
      <c r="N75" s="97" t="s">
        <v>107</v>
      </c>
      <c r="O75" s="98">
        <f>'корпоративный баланс энергии'!L1490</f>
        <v>585.71744833216405</v>
      </c>
      <c r="Q75" s="97" t="s">
        <v>107</v>
      </c>
      <c r="R75" s="98">
        <f>'корпоративный баланс энергии'!L1508</f>
        <v>823.47192039546178</v>
      </c>
    </row>
    <row r="76" spans="6:20" hidden="1">
      <c r="J76"/>
      <c r="K76" s="97" t="s">
        <v>55</v>
      </c>
      <c r="L76" s="98">
        <f>'корпоративный баланс энергии'!J1529</f>
        <v>3204.1300451982688</v>
      </c>
      <c r="N76" s="97" t="s">
        <v>108</v>
      </c>
      <c r="O76" s="98">
        <f>O75-O74</f>
        <v>-68.594065417835964</v>
      </c>
      <c r="Q76" s="97" t="s">
        <v>108</v>
      </c>
      <c r="R76" s="98">
        <f>R75-R74</f>
        <v>-18.226860750739206</v>
      </c>
    </row>
    <row r="77" spans="6:20" ht="16.5" hidden="1" thickBot="1">
      <c r="I77" s="103" t="s">
        <v>157</v>
      </c>
      <c r="J77" s="102">
        <v>1265</v>
      </c>
      <c r="K77" s="97" t="s">
        <v>155</v>
      </c>
      <c r="L77" s="98">
        <f>'корпоративный баланс энергии'!J1530</f>
        <v>75.69003699999999</v>
      </c>
      <c r="N77" s="99" t="s">
        <v>151</v>
      </c>
      <c r="O77" s="101">
        <f>-O76-P74+M74</f>
        <v>0</v>
      </c>
      <c r="Q77" s="99" t="s">
        <v>151</v>
      </c>
      <c r="R77" s="101">
        <f>-R76+S74+P74</f>
        <v>0</v>
      </c>
    </row>
    <row r="78" spans="6:20" hidden="1">
      <c r="J78"/>
      <c r="K78" s="97" t="s">
        <v>107</v>
      </c>
      <c r="L78" s="98">
        <f>'корпоративный баланс энергии'!L1527</f>
        <v>5488.2</v>
      </c>
    </row>
    <row r="79" spans="6:20" ht="15.75" hidden="1">
      <c r="F79" s="1263" t="s">
        <v>158</v>
      </c>
      <c r="G79" s="1263"/>
      <c r="H79" s="1263"/>
      <c r="I79" s="1263"/>
      <c r="J79" s="102">
        <f>SUM(J85:J96)</f>
        <v>1323.8064822856613</v>
      </c>
      <c r="K79" s="97" t="s">
        <v>108</v>
      </c>
      <c r="L79" s="98">
        <f>L78-L74</f>
        <v>754.18291780173058</v>
      </c>
    </row>
    <row r="80" spans="6:20" ht="16.5" hidden="1" thickBot="1">
      <c r="F80" s="1263" t="s">
        <v>159</v>
      </c>
      <c r="G80" s="1263"/>
      <c r="H80" s="1263"/>
      <c r="I80" s="1263"/>
      <c r="J80" s="102">
        <f>L76+(J77-J74)+(L75-J79)</f>
        <v>9932.8299600457631</v>
      </c>
      <c r="K80" s="99" t="s">
        <v>151</v>
      </c>
      <c r="L80" s="101">
        <f>-L79-M74-J74</f>
        <v>0</v>
      </c>
    </row>
    <row r="81" spans="7:11" hidden="1">
      <c r="K81"/>
    </row>
    <row r="82" spans="7:11" hidden="1"/>
    <row r="83" spans="7:11" hidden="1"/>
    <row r="84" spans="7:11" hidden="1"/>
    <row r="85" spans="7:11" hidden="1">
      <c r="G85" s="104" t="s">
        <v>160</v>
      </c>
      <c r="J85" s="119">
        <v>69.875959999999992</v>
      </c>
    </row>
    <row r="86" spans="7:11" hidden="1">
      <c r="G86" s="104" t="s">
        <v>161</v>
      </c>
      <c r="J86" s="119">
        <v>10.86</v>
      </c>
    </row>
    <row r="87" spans="7:11" hidden="1">
      <c r="G87" s="104" t="s">
        <v>162</v>
      </c>
      <c r="J87" s="119">
        <v>160.529856</v>
      </c>
    </row>
    <row r="88" spans="7:11" hidden="1">
      <c r="G88" s="104" t="s">
        <v>163</v>
      </c>
      <c r="J88" s="119">
        <v>8.9</v>
      </c>
    </row>
    <row r="89" spans="7:11" hidden="1">
      <c r="G89" s="104" t="s">
        <v>164</v>
      </c>
      <c r="J89" s="119">
        <v>264.58170252452697</v>
      </c>
    </row>
    <row r="90" spans="7:11" hidden="1">
      <c r="G90" s="104" t="s">
        <v>165</v>
      </c>
      <c r="J90" s="119">
        <v>34.223999999999997</v>
      </c>
    </row>
    <row r="91" spans="7:11" hidden="1">
      <c r="G91" s="104" t="s">
        <v>166</v>
      </c>
      <c r="J91" s="119">
        <v>111.44652500000001</v>
      </c>
    </row>
    <row r="92" spans="7:11" hidden="1">
      <c r="G92" s="104" t="s">
        <v>167</v>
      </c>
      <c r="J92" s="119">
        <v>8.18</v>
      </c>
    </row>
    <row r="93" spans="7:11" hidden="1">
      <c r="G93" s="104" t="s">
        <v>168</v>
      </c>
      <c r="J93" s="119">
        <v>12.029999999999998</v>
      </c>
    </row>
    <row r="94" spans="7:11" hidden="1">
      <c r="G94" s="104" t="s">
        <v>61</v>
      </c>
      <c r="J94" s="119">
        <v>380.62017690000005</v>
      </c>
    </row>
    <row r="95" spans="7:11" hidden="1">
      <c r="G95" s="104" t="s">
        <v>62</v>
      </c>
      <c r="J95" s="119">
        <v>144.59326186113438</v>
      </c>
    </row>
    <row r="96" spans="7:11" hidden="1">
      <c r="G96" s="104" t="s">
        <v>63</v>
      </c>
      <c r="J96" s="119">
        <v>117.965</v>
      </c>
    </row>
    <row r="97" spans="7:7">
      <c r="G97" s="5"/>
    </row>
  </sheetData>
  <mergeCells count="18">
    <mergeCell ref="F79:I79"/>
    <mergeCell ref="F80:I80"/>
    <mergeCell ref="N73:O73"/>
    <mergeCell ref="N72:O72"/>
    <mergeCell ref="K72:L72"/>
    <mergeCell ref="K73:L73"/>
    <mergeCell ref="F74:I74"/>
    <mergeCell ref="L3:M3"/>
    <mergeCell ref="I4:N4"/>
    <mergeCell ref="D13:E13"/>
    <mergeCell ref="G19:H19"/>
    <mergeCell ref="Q73:R73"/>
    <mergeCell ref="E20:F20"/>
    <mergeCell ref="G20:H20"/>
    <mergeCell ref="G42:H42"/>
    <mergeCell ref="Q72:R72"/>
    <mergeCell ref="G43:H43"/>
    <mergeCell ref="G54:H54"/>
  </mergeCells>
  <phoneticPr fontId="20" type="noConversion"/>
  <conditionalFormatting sqref="G85:G96">
    <cfRule type="cellIs" dxfId="13" priority="1" stopIfTrue="1" operator="notEqual">
      <formula>G84</formula>
    </cfRule>
  </conditionalFormatting>
  <pageMargins left="0.82" right="0.17" top="0.25" bottom="0.19" header="0.17" footer="0.17"/>
  <pageSetup paperSize="9" scale="41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8"/>
  <dimension ref="B2:U96"/>
  <sheetViews>
    <sheetView view="pageBreakPreview" topLeftCell="A10" zoomScale="75" zoomScaleNormal="75" workbookViewId="0">
      <selection activeCell="Q50" sqref="Q50"/>
    </sheetView>
  </sheetViews>
  <sheetFormatPr defaultColWidth="10.6640625" defaultRowHeight="12.75"/>
  <cols>
    <col min="1" max="1" width="5.1640625" style="13" customWidth="1"/>
    <col min="2" max="2" width="11.33203125" style="13" customWidth="1"/>
    <col min="3" max="3" width="14.6640625" style="13" customWidth="1"/>
    <col min="4" max="4" width="12.1640625" style="13" customWidth="1"/>
    <col min="5" max="5" width="11.1640625" style="13" customWidth="1"/>
    <col min="6" max="7" width="13.33203125" style="13" bestFit="1" customWidth="1"/>
    <col min="8" max="8" width="12.5" style="13" customWidth="1"/>
    <col min="9" max="9" width="11.6640625" style="13" customWidth="1"/>
    <col min="10" max="10" width="12.33203125" style="13" customWidth="1"/>
    <col min="11" max="11" width="11.6640625" style="13" customWidth="1"/>
    <col min="12" max="12" width="13.6640625" style="13" customWidth="1"/>
    <col min="13" max="13" width="12.1640625" style="13" customWidth="1"/>
    <col min="14" max="14" width="15.1640625" style="13" customWidth="1"/>
    <col min="15" max="15" width="12.1640625" style="13" customWidth="1"/>
    <col min="16" max="16" width="14" style="13" bestFit="1" customWidth="1"/>
    <col min="17" max="17" width="12" style="13" bestFit="1" customWidth="1"/>
    <col min="18" max="18" width="13.33203125" style="13" customWidth="1"/>
    <col min="19" max="19" width="10.83203125" style="13" customWidth="1"/>
    <col min="20" max="20" width="13.33203125" style="13" bestFit="1" customWidth="1"/>
    <col min="21" max="21" width="13" style="13" bestFit="1" customWidth="1"/>
    <col min="22" max="16384" width="10.6640625" style="13"/>
  </cols>
  <sheetData>
    <row r="2" spans="3:21" ht="25.5">
      <c r="C2" s="11" t="s">
        <v>100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3:21" ht="22.5">
      <c r="C3" s="14"/>
      <c r="D3" s="15"/>
      <c r="E3" s="15"/>
      <c r="F3" s="15"/>
      <c r="G3" s="15"/>
      <c r="I3" s="16" t="s">
        <v>169</v>
      </c>
      <c r="J3" s="17"/>
      <c r="K3" s="17"/>
      <c r="L3" s="1251" t="s">
        <v>73</v>
      </c>
      <c r="M3" s="1251"/>
      <c r="N3" s="18">
        <f>Январь!N3</f>
        <v>2020</v>
      </c>
      <c r="O3" s="17"/>
      <c r="P3" s="15"/>
      <c r="Q3" s="15"/>
      <c r="R3" s="15"/>
      <c r="S3" s="15"/>
      <c r="T3" s="15"/>
    </row>
    <row r="4" spans="3:21" ht="20.25">
      <c r="C4" s="19"/>
      <c r="I4" s="1252" t="s">
        <v>147</v>
      </c>
      <c r="J4" s="1252"/>
      <c r="K4" s="1252"/>
      <c r="L4" s="1252"/>
      <c r="M4" s="1252"/>
      <c r="N4" s="1252"/>
      <c r="O4" s="20"/>
    </row>
    <row r="5" spans="3:21" ht="14.25" customHeight="1">
      <c r="C5" s="32" t="s">
        <v>104</v>
      </c>
      <c r="D5" s="33"/>
      <c r="F5" s="21"/>
      <c r="G5" s="22"/>
      <c r="I5" s="23"/>
      <c r="K5" s="24"/>
      <c r="L5" s="25"/>
      <c r="M5" s="25"/>
      <c r="N5" s="26"/>
      <c r="O5" s="20"/>
    </row>
    <row r="6" spans="3:21" ht="14.25" customHeight="1">
      <c r="C6" s="36" t="s">
        <v>29</v>
      </c>
      <c r="D6" s="37">
        <f>'корпоративный баланс энергии'!M849</f>
        <v>10082.934977160712</v>
      </c>
      <c r="F6" s="21"/>
      <c r="G6" s="22"/>
      <c r="I6" s="23"/>
      <c r="K6" s="24"/>
      <c r="L6" s="25"/>
      <c r="M6" s="25"/>
      <c r="N6" s="26"/>
      <c r="O6" s="20"/>
    </row>
    <row r="7" spans="3:21" ht="14.25" customHeight="1">
      <c r="C7" s="36" t="s">
        <v>107</v>
      </c>
      <c r="D7" s="37">
        <f>'корпоративный баланс энергии'!O849</f>
        <v>8815.936557092311</v>
      </c>
      <c r="F7" s="21"/>
      <c r="G7" s="22"/>
      <c r="I7" s="23"/>
      <c r="K7" s="24"/>
      <c r="L7" s="25"/>
      <c r="M7" s="25"/>
      <c r="N7" s="26"/>
      <c r="O7" s="20"/>
    </row>
    <row r="8" spans="3:21" ht="14.25" customHeight="1">
      <c r="C8" s="36" t="s">
        <v>108</v>
      </c>
      <c r="D8" s="40">
        <f>D7-D6</f>
        <v>-1266.9984200684012</v>
      </c>
      <c r="F8" s="21"/>
      <c r="G8" s="22"/>
      <c r="I8" s="23"/>
      <c r="K8" s="24"/>
      <c r="L8" s="25"/>
      <c r="M8" s="25"/>
      <c r="N8" s="26"/>
      <c r="O8" s="20"/>
    </row>
    <row r="9" spans="3:21" ht="14.25" customHeight="1">
      <c r="C9" s="41" t="s">
        <v>109</v>
      </c>
      <c r="D9" s="40">
        <f>-D8-G11-I11-J13-J15+F16-E18-F30-G27+K20</f>
        <v>-1.5799315988260787E-3</v>
      </c>
      <c r="F9" s="21"/>
      <c r="G9" s="22"/>
      <c r="I9" s="23"/>
      <c r="K9" s="24"/>
      <c r="L9" s="25"/>
      <c r="M9" s="25"/>
      <c r="N9" s="26"/>
      <c r="O9" s="20"/>
    </row>
    <row r="10" spans="3:21" ht="14.25" customHeight="1">
      <c r="C10" s="19"/>
      <c r="F10" s="21"/>
      <c r="G10" s="22" t="s">
        <v>101</v>
      </c>
      <c r="I10" s="158" t="s">
        <v>243</v>
      </c>
      <c r="K10" s="24"/>
      <c r="L10" s="25"/>
      <c r="M10" s="25"/>
      <c r="N10" s="26"/>
      <c r="O10" s="20"/>
    </row>
    <row r="11" spans="3:21" ht="15.75" customHeight="1">
      <c r="C11" s="19"/>
      <c r="F11" s="21"/>
      <c r="G11" s="69">
        <f>-('корпоративный баланс энергии'!N23+'корпоративный баланс энергии'!N59)</f>
        <v>600</v>
      </c>
      <c r="I11" s="27">
        <f>-'корпоративный баланс энергии'!N24</f>
        <v>30</v>
      </c>
      <c r="K11" s="24"/>
      <c r="L11" s="25"/>
      <c r="M11" s="25"/>
      <c r="N11" s="26"/>
      <c r="O11" s="20"/>
    </row>
    <row r="12" spans="3:21" ht="15.75" customHeight="1">
      <c r="C12" s="19"/>
      <c r="F12" s="21"/>
      <c r="J12" s="158" t="s">
        <v>244</v>
      </c>
      <c r="K12" s="15"/>
      <c r="L12" s="25"/>
      <c r="M12" s="25"/>
      <c r="N12" s="26"/>
      <c r="O12" s="29" t="s">
        <v>102</v>
      </c>
      <c r="R12" s="30">
        <f>SUM(D6,H34,D60,K34,N34,Q34,T34)</f>
        <v>97658.870222343918</v>
      </c>
    </row>
    <row r="13" spans="3:21" ht="15" customHeight="1">
      <c r="C13" s="19"/>
      <c r="D13" s="1253" t="s">
        <v>103</v>
      </c>
      <c r="E13" s="1253"/>
      <c r="F13" s="21"/>
      <c r="J13" s="27">
        <f>-'корпоративный баланс энергии'!N25</f>
        <v>50</v>
      </c>
      <c r="K13" s="15"/>
      <c r="L13" s="34"/>
      <c r="M13" s="25"/>
      <c r="N13" s="26"/>
      <c r="O13" s="29" t="s">
        <v>105</v>
      </c>
      <c r="R13" s="30">
        <f>SUM(D7,H35,D61,K35,N35,Q35,T35)</f>
        <v>96813.873348927911</v>
      </c>
    </row>
    <row r="14" spans="3:21" ht="15.75" customHeight="1">
      <c r="C14" s="19"/>
      <c r="E14" s="35">
        <f>-('корпоративный баланс энергии'!N30+'корпоративный баланс энергии'!N31+'корпоративный баланс энергии'!N32+'корпоративный баланс энергии'!N33+'корпоративный баланс энергии'!N61+'корпоративный баланс энергии'!N62+'корпоративный баланс энергии'!N63)</f>
        <v>280</v>
      </c>
      <c r="F14" s="21"/>
      <c r="J14" s="158" t="s">
        <v>245</v>
      </c>
      <c r="K14" s="24"/>
      <c r="L14" s="25"/>
      <c r="M14" s="25"/>
      <c r="N14" s="26"/>
      <c r="O14" s="29" t="s">
        <v>106</v>
      </c>
      <c r="R14" s="30">
        <f>SUM(D8,H36,D62,K36,N36,Q36,T36)</f>
        <v>-844.99687341600611</v>
      </c>
      <c r="S14" s="24"/>
      <c r="T14" s="161">
        <f>-G11-I11-J13-J15+F16-E18-F30-F36-E45-F54-F61-I60-J47-L47-M47-N47+P47-R47-T47-F48</f>
        <v>-845</v>
      </c>
      <c r="U14" s="161">
        <f>R13-R12</f>
        <v>-844.99687341600657</v>
      </c>
    </row>
    <row r="15" spans="3:21">
      <c r="D15" s="41" t="s">
        <v>109</v>
      </c>
      <c r="E15" s="591">
        <f>-E14+D29+E18-F16</f>
        <v>0</v>
      </c>
      <c r="J15" s="27">
        <f>-'корпоративный баланс энергии'!N26</f>
        <v>2</v>
      </c>
      <c r="O15" s="38"/>
      <c r="P15" s="24"/>
      <c r="Q15" s="24"/>
      <c r="R15" s="38"/>
    </row>
    <row r="16" spans="3:21">
      <c r="F16" s="69">
        <f>'корпоративный баланс энергии'!N30+'корпоративный баланс энергии'!N31+'корпоративный баланс энергии'!N32+'корпоративный баланс энергии'!N62+'корпоративный баланс энергии'!N63</f>
        <v>-80</v>
      </c>
      <c r="O16" s="38"/>
      <c r="P16" s="24"/>
      <c r="Q16" s="24"/>
      <c r="R16" s="38"/>
    </row>
    <row r="17" spans="4:21" ht="13.5" thickBot="1">
      <c r="O17" s="38"/>
      <c r="P17" s="24"/>
      <c r="Q17" s="24"/>
      <c r="R17" s="38"/>
    </row>
    <row r="18" spans="4:21" ht="15">
      <c r="E18" s="27">
        <f>-('корпоративный баланс энергии'!N33+'корпоративный баланс энергии'!N61)</f>
        <v>200</v>
      </c>
      <c r="P18" s="863" t="s">
        <v>113</v>
      </c>
      <c r="Q18" s="864"/>
      <c r="R18" s="864"/>
      <c r="S18" s="864"/>
      <c r="T18" s="865"/>
      <c r="U18" s="866">
        <f>-O60</f>
        <v>480</v>
      </c>
    </row>
    <row r="19" spans="4:21" ht="14.25">
      <c r="F19" s="43"/>
      <c r="G19" s="1258" t="s">
        <v>110</v>
      </c>
      <c r="H19" s="1258"/>
      <c r="P19" s="867" t="s">
        <v>1070</v>
      </c>
      <c r="Q19" s="868"/>
      <c r="R19" s="868"/>
      <c r="S19" s="868"/>
      <c r="T19" s="869"/>
      <c r="U19" s="870">
        <f>SUM(U20:U21)</f>
        <v>-15.004560278950976</v>
      </c>
    </row>
    <row r="20" spans="4:21" ht="15">
      <c r="D20" s="24"/>
      <c r="E20" s="1257" t="s">
        <v>111</v>
      </c>
      <c r="F20" s="1257"/>
      <c r="G20" s="1258" t="s">
        <v>112</v>
      </c>
      <c r="H20" s="1258"/>
      <c r="K20" s="1032">
        <v>5</v>
      </c>
      <c r="P20" s="871" t="s">
        <v>115</v>
      </c>
      <c r="Q20" s="868" t="s">
        <v>507</v>
      </c>
      <c r="R20" s="868"/>
      <c r="S20" s="868"/>
      <c r="T20" s="869"/>
      <c r="U20" s="870">
        <f>-N47</f>
        <v>-65.004560278950976</v>
      </c>
    </row>
    <row r="21" spans="4:21" ht="13.5" thickBot="1">
      <c r="F21" s="44"/>
      <c r="G21" s="36" t="s">
        <v>29</v>
      </c>
      <c r="H21" s="45">
        <f>D6-F22</f>
        <v>9453.9639771607126</v>
      </c>
      <c r="P21" s="872"/>
      <c r="Q21" s="873" t="s">
        <v>116</v>
      </c>
      <c r="R21" s="873"/>
      <c r="S21" s="873"/>
      <c r="T21" s="874"/>
      <c r="U21" s="875">
        <f>-M47</f>
        <v>50</v>
      </c>
    </row>
    <row r="22" spans="4:21" ht="15" thickBot="1">
      <c r="E22" s="36" t="s">
        <v>29</v>
      </c>
      <c r="F22" s="37">
        <f>'корпоративный баланс энергии'!M865</f>
        <v>628.97100000000012</v>
      </c>
      <c r="G22" s="36" t="s">
        <v>107</v>
      </c>
      <c r="H22" s="45">
        <f>D7-F23</f>
        <v>8386.9655570923114</v>
      </c>
      <c r="P22" s="860" t="s">
        <v>1068</v>
      </c>
      <c r="Q22" s="861"/>
      <c r="R22" s="861"/>
      <c r="S22" s="861"/>
      <c r="T22" s="861"/>
      <c r="U22" s="862">
        <f>'корпоративный баланс энергии'!N74</f>
        <v>80</v>
      </c>
    </row>
    <row r="23" spans="4:21" ht="15" thickBot="1">
      <c r="E23" s="36" t="s">
        <v>107</v>
      </c>
      <c r="F23" s="37">
        <f>'корпоративный баланс энергии'!O865</f>
        <v>428.97100000000006</v>
      </c>
      <c r="G23" s="36" t="s">
        <v>108</v>
      </c>
      <c r="H23" s="40">
        <f>H22-H21</f>
        <v>-1066.9984200684012</v>
      </c>
      <c r="P23" s="858" t="s">
        <v>1071</v>
      </c>
      <c r="Q23" s="876"/>
      <c r="R23" s="876"/>
      <c r="S23" s="876"/>
      <c r="T23" s="859"/>
      <c r="U23" s="875">
        <f>MIN(ABS(N48),ABS(P48))</f>
        <v>65</v>
      </c>
    </row>
    <row r="24" spans="4:21" ht="15" thickBot="1">
      <c r="E24" s="36" t="s">
        <v>108</v>
      </c>
      <c r="F24" s="46">
        <f>F23-F22</f>
        <v>-200.00000000000006</v>
      </c>
      <c r="G24" s="41" t="s">
        <v>109</v>
      </c>
      <c r="H24" s="40">
        <f>-H23+F16+K20-G11-I11-J13-J15-G27-F30</f>
        <v>-1.5799315988260787E-3</v>
      </c>
      <c r="P24" s="877" t="s">
        <v>1072</v>
      </c>
      <c r="Q24" s="873"/>
      <c r="R24" s="873"/>
      <c r="S24" s="873"/>
      <c r="T24" s="874"/>
      <c r="U24" s="875">
        <f>MIN(ABS('корпоративный баланс энергии'!N54),ABS('корпоративный баланс энергии'!N80))</f>
        <v>0</v>
      </c>
    </row>
    <row r="25" spans="4:21" ht="15" thickBot="1">
      <c r="E25" s="41" t="s">
        <v>109</v>
      </c>
      <c r="F25" s="46">
        <f>-F24-E18</f>
        <v>0</v>
      </c>
      <c r="K25" s="1024">
        <v>50</v>
      </c>
      <c r="P25" s="878" t="s">
        <v>1073</v>
      </c>
      <c r="Q25" s="879"/>
      <c r="R25" s="879"/>
      <c r="S25" s="879"/>
      <c r="T25" s="880"/>
      <c r="U25" s="881">
        <f>ABS(U23)+ABS(U24)</f>
        <v>65</v>
      </c>
    </row>
    <row r="26" spans="4:21" ht="15" thickBot="1">
      <c r="P26" s="877" t="s">
        <v>1257</v>
      </c>
      <c r="Q26" s="873"/>
      <c r="R26" s="873"/>
      <c r="S26" s="873"/>
      <c r="T26" s="874"/>
      <c r="U26" s="875">
        <f>'корпоративный баланс энергии'!N79</f>
        <v>41</v>
      </c>
    </row>
    <row r="27" spans="4:21" ht="15" thickBot="1">
      <c r="G27" s="1159">
        <v>300</v>
      </c>
      <c r="P27" s="884" t="s">
        <v>1074</v>
      </c>
      <c r="Q27" s="885"/>
      <c r="R27" s="885"/>
      <c r="S27" s="885"/>
      <c r="T27" s="886"/>
      <c r="U27" s="887">
        <f>U22+U25+U26</f>
        <v>186</v>
      </c>
    </row>
    <row r="28" spans="4:21">
      <c r="S28" s="48"/>
      <c r="T28" s="48"/>
      <c r="U28" s="48"/>
    </row>
    <row r="29" spans="4:21">
      <c r="D29" s="600">
        <v>0</v>
      </c>
      <c r="S29" s="48"/>
    </row>
    <row r="30" spans="4:21">
      <c r="F30" s="69">
        <f>-('корпоративный баланс энергии'!N34+'корпоративный баланс энергии'!N64)</f>
        <v>10</v>
      </c>
      <c r="R30" s="52"/>
    </row>
    <row r="31" spans="4:21" ht="14.25">
      <c r="G31" s="21" t="s">
        <v>117</v>
      </c>
      <c r="J31" s="28" t="s">
        <v>118</v>
      </c>
      <c r="K31" s="15"/>
      <c r="M31" s="21" t="s">
        <v>117</v>
      </c>
      <c r="P31" s="1258" t="s">
        <v>118</v>
      </c>
      <c r="Q31" s="1258"/>
      <c r="S31" s="21" t="s">
        <v>117</v>
      </c>
    </row>
    <row r="32" spans="4:21" ht="15" customHeight="1">
      <c r="G32" s="28" t="s">
        <v>119</v>
      </c>
      <c r="H32" s="15"/>
      <c r="J32" s="28" t="s">
        <v>120</v>
      </c>
      <c r="K32" s="15"/>
      <c r="M32" s="28" t="s">
        <v>121</v>
      </c>
      <c r="N32" s="15"/>
      <c r="P32" s="1258" t="s">
        <v>122</v>
      </c>
      <c r="Q32" s="1258"/>
      <c r="S32" s="28" t="s">
        <v>123</v>
      </c>
      <c r="T32" s="15"/>
    </row>
    <row r="33" spans="3:20" ht="15">
      <c r="C33" s="21" t="s">
        <v>124</v>
      </c>
      <c r="Q33" s="54"/>
    </row>
    <row r="34" spans="3:20" ht="14.25">
      <c r="D34" s="21" t="s">
        <v>125</v>
      </c>
      <c r="G34" s="36" t="s">
        <v>29</v>
      </c>
      <c r="H34" s="37">
        <f>'корпоративный баланс энергии'!M82</f>
        <v>22806.023241959629</v>
      </c>
      <c r="J34" s="36" t="s">
        <v>29</v>
      </c>
      <c r="K34" s="37">
        <f>'корпоративный баланс энергии'!M370</f>
        <v>9338.8327790494604</v>
      </c>
      <c r="M34" s="36" t="s">
        <v>29</v>
      </c>
      <c r="N34" s="37">
        <f>'корпоративный баланс энергии'!M538</f>
        <v>23798.145908362807</v>
      </c>
      <c r="P34" s="36" t="s">
        <v>29</v>
      </c>
      <c r="Q34" s="37">
        <f>'корпоративный баланс энергии'!M1454</f>
        <v>18664.278959473071</v>
      </c>
      <c r="S34" s="36" t="s">
        <v>29</v>
      </c>
      <c r="T34" s="37">
        <f>'корпоративный баланс энергии'!M1674</f>
        <v>4153.2139999999999</v>
      </c>
    </row>
    <row r="35" spans="3:20">
      <c r="E35" s="55">
        <f>-('корпоративный баланс энергии'!N34+'корпоративный баланс энергии'!N35+'корпоративный баланс энергии'!N36+'корпоративный баланс энергии'!N65)</f>
        <v>140</v>
      </c>
      <c r="G35" s="36" t="s">
        <v>107</v>
      </c>
      <c r="H35" s="37">
        <f>'корпоративный баланс энергии'!O82</f>
        <v>22116.014062138369</v>
      </c>
      <c r="J35" s="36" t="s">
        <v>107</v>
      </c>
      <c r="K35" s="37">
        <f>'корпоративный баланс энергии'!O370</f>
        <v>9704.8343065282352</v>
      </c>
      <c r="M35" s="36" t="s">
        <v>107</v>
      </c>
      <c r="N35" s="37">
        <f>'корпоративный баланс энергии'!O538</f>
        <v>23393.148793477278</v>
      </c>
      <c r="P35" s="36" t="s">
        <v>107</v>
      </c>
      <c r="Q35" s="37">
        <f>'корпоративный баланс энергии'!O1454</f>
        <v>19310.763006752022</v>
      </c>
      <c r="S35" s="36" t="s">
        <v>107</v>
      </c>
      <c r="T35" s="37">
        <f>'корпоративный баланс энергии'!O1674</f>
        <v>4024.7345129999999</v>
      </c>
    </row>
    <row r="36" spans="3:20">
      <c r="C36" s="599">
        <v>0</v>
      </c>
      <c r="D36" s="41" t="s">
        <v>109</v>
      </c>
      <c r="E36" s="591">
        <f>-E35-D29+F30+F36-C36</f>
        <v>0</v>
      </c>
      <c r="F36" s="69">
        <f>-('корпоративный баланс энергии'!N35+'корпоративный баланс энергии'!N36+'корпоративный баланс энергии'!N65)</f>
        <v>130</v>
      </c>
      <c r="G36" s="36" t="s">
        <v>108</v>
      </c>
      <c r="H36" s="46">
        <f>H35-H34</f>
        <v>-690.00917982125975</v>
      </c>
      <c r="I36" s="1160">
        <v>490</v>
      </c>
      <c r="J36" s="56" t="s">
        <v>108</v>
      </c>
      <c r="K36" s="46">
        <f>K35-K34</f>
        <v>366.00152747877473</v>
      </c>
      <c r="L36" s="1160">
        <v>-200</v>
      </c>
      <c r="M36" s="56" t="s">
        <v>108</v>
      </c>
      <c r="N36" s="57">
        <f>N35-N34</f>
        <v>-404.9971148855293</v>
      </c>
      <c r="O36" s="1031">
        <v>135</v>
      </c>
      <c r="P36" s="56" t="s">
        <v>108</v>
      </c>
      <c r="Q36" s="46">
        <f>Q35-Q34</f>
        <v>646.48404727895104</v>
      </c>
      <c r="R36" s="58">
        <f>T34-T35-T47</f>
        <v>28.479487000000063</v>
      </c>
      <c r="S36" s="56" t="s">
        <v>108</v>
      </c>
      <c r="T36" s="46">
        <f>T35-T34</f>
        <v>-128.47948700000006</v>
      </c>
    </row>
    <row r="37" spans="3:20">
      <c r="G37" s="41" t="s">
        <v>109</v>
      </c>
      <c r="H37" s="46">
        <f>-H36-F36+G27+K25-I36-E45-G40</f>
        <v>9.1798212597495876E-3</v>
      </c>
      <c r="J37" s="41" t="s">
        <v>109</v>
      </c>
      <c r="K37" s="46">
        <f>-K36+I36-L36-L47-I42</f>
        <v>-1.5274787747330265E-3</v>
      </c>
      <c r="L37" s="44"/>
      <c r="M37" s="41" t="s">
        <v>109</v>
      </c>
      <c r="N37" s="57">
        <f>-N36+L36-O36-K20-K25-M47-N47</f>
        <v>-7.4453934216762718E-3</v>
      </c>
      <c r="P37" s="41" t="s">
        <v>109</v>
      </c>
      <c r="Q37" s="40">
        <f>-Q36+O36+R36-R47+P47</f>
        <v>0</v>
      </c>
      <c r="S37" s="41" t="s">
        <v>109</v>
      </c>
      <c r="T37" s="40">
        <f>-T36-R36-T47</f>
        <v>0</v>
      </c>
    </row>
    <row r="38" spans="3:20">
      <c r="R38" s="44"/>
    </row>
    <row r="39" spans="3:20" ht="15">
      <c r="H39" s="160" t="s">
        <v>126</v>
      </c>
      <c r="N39" s="59"/>
      <c r="O39" s="24"/>
    </row>
    <row r="40" spans="3:20">
      <c r="G40" s="1161">
        <v>550</v>
      </c>
      <c r="H40" s="160" t="s">
        <v>127</v>
      </c>
      <c r="N40" s="60"/>
      <c r="O40" s="61"/>
    </row>
    <row r="41" spans="3:20" ht="15" customHeight="1">
      <c r="I41" s="160" t="s">
        <v>128</v>
      </c>
      <c r="N41" s="62"/>
      <c r="O41" s="61"/>
    </row>
    <row r="42" spans="3:20">
      <c r="G42" s="1259" t="s">
        <v>129</v>
      </c>
      <c r="H42" s="1259"/>
      <c r="I42" s="1161">
        <v>320</v>
      </c>
    </row>
    <row r="43" spans="3:20">
      <c r="G43" s="1262" t="s">
        <v>130</v>
      </c>
      <c r="H43" s="1262"/>
    </row>
    <row r="44" spans="3:20">
      <c r="E44" s="44"/>
      <c r="G44" s="36" t="s">
        <v>29</v>
      </c>
      <c r="H44" s="37">
        <f>'корпоративный баланс энергии'!M1122+'корпоративный баланс энергии'!M1089</f>
        <v>1765.3683623046877</v>
      </c>
      <c r="M44" s="160" t="s">
        <v>251</v>
      </c>
      <c r="N44" s="64"/>
      <c r="O44" s="160" t="s">
        <v>248</v>
      </c>
    </row>
    <row r="45" spans="3:20">
      <c r="E45" s="207">
        <f>-('корпоративный баланс энергии'!N37+'корпоративный баланс энергии'!N38+'корпоративный баланс энергии'!N39+'корпоративный баланс энергии'!N66+'корпоративный баланс энергии'!N67+'корпоративный баланс энергии'!N68)</f>
        <v>-130</v>
      </c>
      <c r="G45" s="36" t="s">
        <v>107</v>
      </c>
      <c r="H45" s="37">
        <f>'корпоративный баланс энергии'!O1122+'корпоративный баланс энергии'!O1089</f>
        <v>1948.3675315994683</v>
      </c>
      <c r="M45" s="160" t="s">
        <v>336</v>
      </c>
      <c r="O45" s="160" t="s">
        <v>249</v>
      </c>
    </row>
    <row r="46" spans="3:20" ht="14.25">
      <c r="G46" s="36" t="s">
        <v>108</v>
      </c>
      <c r="H46" s="46">
        <f>H45-H44</f>
        <v>182.99916929478059</v>
      </c>
      <c r="J46" s="160" t="s">
        <v>131</v>
      </c>
      <c r="O46" s="160" t="s">
        <v>250</v>
      </c>
      <c r="R46" s="65" t="s">
        <v>132</v>
      </c>
      <c r="T46" s="21" t="s">
        <v>133</v>
      </c>
    </row>
    <row r="47" spans="3:20">
      <c r="F47" s="29"/>
      <c r="G47" s="41" t="s">
        <v>109</v>
      </c>
      <c r="H47" s="46">
        <f>-H46+G40+I42-J47-F48-G49</f>
        <v>8.3070521941408515E-4</v>
      </c>
      <c r="J47" s="207">
        <f>-('корпоративный баланс энергии'!N49+'корпоративный баланс энергии'!N50)</f>
        <v>7</v>
      </c>
      <c r="L47" s="207">
        <f>-('корпоративный баланс энергии'!N46+'корпоративный баланс энергии'!N47+'корпоративный баланс энергии'!N74)</f>
        <v>4</v>
      </c>
      <c r="M47" s="66">
        <f>-('корпоративный баланс энергии'!N48+'корпоративный баланс энергии'!N75)</f>
        <v>-50</v>
      </c>
      <c r="N47" s="42">
        <f>P62+P47</f>
        <v>65.004560278950976</v>
      </c>
      <c r="O47" s="1177">
        <f>-'корпоративный баланс энергии'!O53</f>
        <v>14</v>
      </c>
      <c r="P47" s="42">
        <f>Q36-O36-R36+R47</f>
        <v>506.00456027895098</v>
      </c>
      <c r="R47" s="27">
        <f>-('корпоративный баланс энергии'!N27+'корпоративный баланс энергии'!N28+'корпоративный баланс энергии'!N60)</f>
        <v>23</v>
      </c>
      <c r="T47" s="27">
        <f>-('корпоративный баланс энергии'!N29)</f>
        <v>100</v>
      </c>
    </row>
    <row r="48" spans="3:20">
      <c r="F48" s="592">
        <f>-('корпоративный баланс энергии'!N40)</f>
        <v>0</v>
      </c>
      <c r="N48" s="584">
        <f>-('корпоративный баланс энергии'!N51+'корпоративный баланс энергии'!N52+'корпоративный баланс энергии'!N76+'корпоративный баланс энергии'!N77)</f>
        <v>65</v>
      </c>
      <c r="P48" s="584">
        <f>'корпоративный баланс энергии'!N53+'корпоративный баланс энергии'!N54+'корпоративный баланс энергии'!N55+'корпоративный баланс энергии'!N56+'корпоративный баланс энергии'!N78+'корпоративный баланс энергии'!N79+'корпоративный баланс энергии'!N80</f>
        <v>506</v>
      </c>
    </row>
    <row r="49" spans="2:19" ht="15.75">
      <c r="C49" s="22" t="s">
        <v>134</v>
      </c>
      <c r="F49" s="160" t="s">
        <v>135</v>
      </c>
      <c r="G49" s="1163">
        <v>680</v>
      </c>
      <c r="H49" s="160" t="s">
        <v>136</v>
      </c>
    </row>
    <row r="50" spans="2:19">
      <c r="D50" s="68" t="s">
        <v>137</v>
      </c>
      <c r="H50" s="160" t="s">
        <v>138</v>
      </c>
      <c r="P50" s="13" t="s">
        <v>90</v>
      </c>
    </row>
    <row r="51" spans="2:19">
      <c r="E51" s="55">
        <f>-('корпоративный баланс энергии'!N37+'корпоративный баланс энергии'!N38+'корпоративный баланс энергии'!N39+'корпоративный баланс энергии'!N40+'корпоративный баланс энергии'!N41+'корпоративный баланс энергии'!N66+'корпоративный баланс энергии'!N67+'корпоративный баланс энергии'!N68+'корпоративный баланс энергии'!N69+'корпоративный баланс энергии'!N70)</f>
        <v>90</v>
      </c>
      <c r="H51" s="160" t="s">
        <v>508</v>
      </c>
    </row>
    <row r="52" spans="2:19" ht="14.25">
      <c r="C52" s="599">
        <v>0</v>
      </c>
      <c r="D52" s="41" t="s">
        <v>109</v>
      </c>
      <c r="E52" s="591">
        <f>-E51+E45+F48+F54-E54-C52</f>
        <v>0</v>
      </c>
      <c r="G52" s="28"/>
      <c r="H52" s="15"/>
      <c r="O52" s="70"/>
    </row>
    <row r="53" spans="2:19" ht="15">
      <c r="B53" s="581" t="s">
        <v>513</v>
      </c>
      <c r="G53" s="28" t="s">
        <v>890</v>
      </c>
      <c r="H53" s="15"/>
      <c r="I53" s="59"/>
      <c r="J53" s="24"/>
    </row>
    <row r="54" spans="2:19">
      <c r="B54" s="36" t="s">
        <v>29</v>
      </c>
      <c r="C54" s="157">
        <f>'корпоративный баланс энергии'!M1390</f>
        <v>589.96795999999995</v>
      </c>
      <c r="E54" s="589">
        <f>'корпоративный баланс энергии'!N70</f>
        <v>0</v>
      </c>
      <c r="F54" s="207">
        <f>-('корпоративный баланс энергии'!N41+'корпоративный баланс энергии'!N69)</f>
        <v>220</v>
      </c>
      <c r="G54" s="1262" t="s">
        <v>889</v>
      </c>
      <c r="H54" s="1262"/>
      <c r="I54" s="60"/>
      <c r="J54" s="61"/>
      <c r="M54" s="44"/>
    </row>
    <row r="55" spans="2:19" ht="18.75">
      <c r="B55" s="36" t="s">
        <v>107</v>
      </c>
      <c r="C55" s="157">
        <f>'корпоративный баланс энергии'!O1390</f>
        <v>797.10335492447666</v>
      </c>
      <c r="G55" s="36" t="s">
        <v>29</v>
      </c>
      <c r="H55" s="37">
        <f>D60-C54-H44</f>
        <v>6460.1040340335567</v>
      </c>
      <c r="I55" s="62"/>
      <c r="J55" s="61"/>
      <c r="M55" s="221">
        <f>J47+L47+M47</f>
        <v>-39</v>
      </c>
    </row>
    <row r="56" spans="2:19">
      <c r="B56" s="36" t="s">
        <v>108</v>
      </c>
      <c r="C56" s="40">
        <f>C55-C54</f>
        <v>207.13539492447671</v>
      </c>
      <c r="D56" s="582" t="s">
        <v>511</v>
      </c>
      <c r="E56" s="588">
        <f>'корпоративный баланс энергии'!N1390</f>
        <v>207.13539492447671</v>
      </c>
      <c r="G56" s="36" t="s">
        <v>107</v>
      </c>
      <c r="H56" s="37">
        <f>D61-C55-H45</f>
        <v>6702.9712234157578</v>
      </c>
      <c r="I56" s="75"/>
      <c r="L56" s="29" t="s">
        <v>139</v>
      </c>
      <c r="M56" s="51">
        <f>-('корпоративный баланс энергии'!N46+'корпоративный баланс энергии'!N47+'корпоративный баланс энергии'!N48+'корпоративный баланс энергии'!N49+'корпоративный баланс энергии'!N50+'корпоративный баланс энергии'!N74+'корпоративный баланс энергии'!N75)</f>
        <v>-39</v>
      </c>
    </row>
    <row r="57" spans="2:19">
      <c r="B57" s="41" t="s">
        <v>109</v>
      </c>
      <c r="C57" s="40">
        <f>-C56+E54+E56</f>
        <v>0</v>
      </c>
      <c r="D57" s="583" t="s">
        <v>512</v>
      </c>
      <c r="G57" s="36" t="s">
        <v>108</v>
      </c>
      <c r="H57" s="46">
        <f>H56-H55</f>
        <v>242.8671893822011</v>
      </c>
      <c r="J57" s="76"/>
      <c r="L57" s="29" t="s">
        <v>140</v>
      </c>
    </row>
    <row r="58" spans="2:19" ht="20.25" customHeight="1">
      <c r="G58" s="41" t="s">
        <v>109</v>
      </c>
      <c r="H58" s="78">
        <f>-H57-F54+G49-I60-F61-E56</f>
        <v>-2.5843066778179491E-3</v>
      </c>
      <c r="I58" s="29"/>
      <c r="M58" s="79" t="s">
        <v>141</v>
      </c>
      <c r="P58" s="77"/>
    </row>
    <row r="59" spans="2:19" ht="14.25">
      <c r="C59" s="32" t="s">
        <v>246</v>
      </c>
      <c r="D59" s="33"/>
    </row>
    <row r="60" spans="2:19">
      <c r="C60" s="36" t="s">
        <v>29</v>
      </c>
      <c r="D60" s="157">
        <f>'корпоративный баланс энергии'!M1082</f>
        <v>8815.4403563382439</v>
      </c>
      <c r="I60" s="80">
        <f>I65</f>
        <v>-5</v>
      </c>
      <c r="L60" s="81" t="s">
        <v>337</v>
      </c>
      <c r="M60" s="81"/>
      <c r="N60" s="81"/>
      <c r="O60" s="82">
        <f>J47+L47+M47+N47-P47</f>
        <v>-480</v>
      </c>
      <c r="P60" s="69">
        <f>-('корпоративный баланс энергии'!N46+'корпоративный баланс энергии'!N47+'корпоративный баланс энергии'!N48+'корпоративный баланс энергии'!N49+'корпоративный баланс энергии'!N50+'корпоративный баланс энергии'!N51+'корпоративный баланс энергии'!N52+'корпоративный баланс энергии'!N53+'корпоративный баланс энергии'!N54+'корпоративный баланс энергии'!N55+'корпоративный баланс энергии'!N56+'корпоративный баланс энергии'!N74+'корпоративный баланс энергии'!N75+'корпоративный баланс энергии'!N76+'корпоративный баланс энергии'!N77+'корпоративный баланс энергии'!N78+'корпоративный баланс энергии'!N79+'корпоративный баланс энергии'!N80)</f>
        <v>-480</v>
      </c>
      <c r="S60" s="161">
        <f>M56+P62</f>
        <v>-480</v>
      </c>
    </row>
    <row r="61" spans="2:19">
      <c r="C61" s="36" t="s">
        <v>107</v>
      </c>
      <c r="D61" s="157">
        <f>'корпоративный баланс энергии'!O1082</f>
        <v>9448.4421099397023</v>
      </c>
      <c r="F61" s="80">
        <f>F65</f>
        <v>15</v>
      </c>
      <c r="H61" s="75"/>
      <c r="N61" s="83"/>
    </row>
    <row r="62" spans="2:19" ht="14.25">
      <c r="C62" s="36" t="s">
        <v>108</v>
      </c>
      <c r="D62" s="40">
        <f>D61-D60</f>
        <v>633.0017536014584</v>
      </c>
      <c r="E62" s="21"/>
      <c r="L62" s="209" t="s">
        <v>338</v>
      </c>
      <c r="N62" s="83"/>
      <c r="P62" s="69">
        <f>-('корпоративный баланс энергии'!N51+'корпоративный баланс энергии'!N52+'корпоративный баланс энергии'!N53+'корпоративный баланс энергии'!N54+'корпоративный баланс энергии'!N55+'корпоративный баланс энергии'!N56+'корпоративный баланс энергии'!N76+'корпоративный баланс энергии'!N77+'корпоративный баланс энергии'!N78+'корпоративный баланс энергии'!N79+'корпоративный баланс энергии'!N80)</f>
        <v>-441</v>
      </c>
      <c r="S62" s="161">
        <f>-(P47-N47)</f>
        <v>-441</v>
      </c>
    </row>
    <row r="63" spans="2:19">
      <c r="C63" s="41" t="s">
        <v>109</v>
      </c>
      <c r="D63" s="40">
        <f>-D62+G40+I42-J47-I60-F61-F54-F48</f>
        <v>-1.7536014584038639E-3</v>
      </c>
      <c r="K63" s="84"/>
      <c r="N63" s="13" t="s">
        <v>75</v>
      </c>
      <c r="O63" s="83" t="s">
        <v>142</v>
      </c>
    </row>
    <row r="64" spans="2:19">
      <c r="F64" s="162" t="s">
        <v>143</v>
      </c>
      <c r="I64" s="31" t="s">
        <v>144</v>
      </c>
      <c r="N64" s="13" t="s">
        <v>145</v>
      </c>
      <c r="O64" s="83" t="s">
        <v>146</v>
      </c>
    </row>
    <row r="65" spans="6:20">
      <c r="F65" s="85">
        <f>-('корпоративный баланс энергии'!N42+'корпоративный баланс энергии'!N44+'корпоративный баланс энергии'!N45+'корпоративный баланс энергии'!N72)</f>
        <v>15</v>
      </c>
      <c r="I65" s="85">
        <f>-('корпоративный баланс энергии'!N43+'корпоративный баланс энергии'!N71)</f>
        <v>-5</v>
      </c>
      <c r="O65" s="83"/>
    </row>
    <row r="66" spans="6:20">
      <c r="O66" s="83"/>
    </row>
    <row r="67" spans="6:20">
      <c r="O67" s="83"/>
    </row>
    <row r="68" spans="6:20">
      <c r="O68" s="83"/>
    </row>
    <row r="69" spans="6:20">
      <c r="O69" s="83"/>
    </row>
    <row r="70" spans="6:20">
      <c r="O70" s="83"/>
    </row>
    <row r="72" spans="6:20" ht="15" hidden="1" thickBot="1">
      <c r="K72" s="1260" t="s">
        <v>149</v>
      </c>
      <c r="L72" s="1261"/>
      <c r="N72" s="1260" t="s">
        <v>149</v>
      </c>
      <c r="O72" s="1261"/>
    </row>
    <row r="73" spans="6:20" ht="14.25" hidden="1">
      <c r="K73" s="1255" t="s">
        <v>154</v>
      </c>
      <c r="L73" s="1256"/>
      <c r="N73" s="1255" t="s">
        <v>153</v>
      </c>
      <c r="O73" s="1256"/>
      <c r="Q73" s="1260" t="s">
        <v>149</v>
      </c>
      <c r="R73" s="1261"/>
    </row>
    <row r="74" spans="6:20" ht="15.75" hidden="1">
      <c r="F74" s="1263" t="s">
        <v>156</v>
      </c>
      <c r="G74" s="1263"/>
      <c r="H74" s="1263"/>
      <c r="I74" s="1263"/>
      <c r="J74" s="102">
        <f>-L79-M74</f>
        <v>-545.54410798554409</v>
      </c>
      <c r="K74" s="97" t="s">
        <v>29</v>
      </c>
      <c r="L74" s="98">
        <f>SUM(L75:L77)</f>
        <v>4389.5105454386148</v>
      </c>
      <c r="M74" s="100">
        <f>O76+P75</f>
        <v>-165.54534657584145</v>
      </c>
      <c r="N74" s="97" t="s">
        <v>29</v>
      </c>
      <c r="O74" s="98">
        <f>'корпоративный баланс энергии'!M1490</f>
        <v>617.80845499999998</v>
      </c>
      <c r="Q74" s="1255" t="s">
        <v>150</v>
      </c>
      <c r="R74" s="1256"/>
      <c r="T74" s="9" t="s">
        <v>152</v>
      </c>
    </row>
    <row r="75" spans="6:20" hidden="1">
      <c r="J75"/>
      <c r="K75" s="97" t="s">
        <v>56</v>
      </c>
      <c r="L75" s="98">
        <f>'корпоративный баланс энергии'!M1528</f>
        <v>1422.202</v>
      </c>
      <c r="N75" s="97" t="s">
        <v>107</v>
      </c>
      <c r="O75" s="98">
        <f>'корпоративный баланс энергии'!O1490</f>
        <v>537.79889229128889</v>
      </c>
      <c r="P75" s="100">
        <f>R77-S75</f>
        <v>-85.535783867130363</v>
      </c>
      <c r="Q75" s="97" t="s">
        <v>29</v>
      </c>
      <c r="R75" s="98">
        <f>'корпоративный баланс энергии'!M1508</f>
        <v>798.259023649803</v>
      </c>
      <c r="S75" s="100">
        <f>R36</f>
        <v>28.479487000000063</v>
      </c>
    </row>
    <row r="76" spans="6:20" hidden="1">
      <c r="J76"/>
      <c r="K76" s="97" t="s">
        <v>55</v>
      </c>
      <c r="L76" s="98">
        <f>'корпоративный баланс энергии'!M1529</f>
        <v>2897.9296066079937</v>
      </c>
      <c r="N76" s="97" t="s">
        <v>108</v>
      </c>
      <c r="O76" s="98">
        <f>O75-O74</f>
        <v>-80.009562708711087</v>
      </c>
      <c r="Q76" s="97" t="s">
        <v>107</v>
      </c>
      <c r="R76" s="98">
        <f>'корпоративный баланс энергии'!O1508</f>
        <v>741.2027267826727</v>
      </c>
    </row>
    <row r="77" spans="6:20" ht="16.5" hidden="1" thickBot="1">
      <c r="I77" s="103" t="s">
        <v>157</v>
      </c>
      <c r="J77" s="102">
        <v>1140</v>
      </c>
      <c r="K77" s="97" t="s">
        <v>155</v>
      </c>
      <c r="L77" s="98">
        <f>'корпоративный баланс энергии'!M1530</f>
        <v>69.378938830621394</v>
      </c>
      <c r="N77" s="99" t="s">
        <v>151</v>
      </c>
      <c r="O77" s="101">
        <f>-O76-P75+M74</f>
        <v>0</v>
      </c>
      <c r="Q77" s="97" t="s">
        <v>108</v>
      </c>
      <c r="R77" s="98">
        <f>R76-R75</f>
        <v>-57.0562968671303</v>
      </c>
    </row>
    <row r="78" spans="6:20" ht="13.5" hidden="1" thickBot="1">
      <c r="J78"/>
      <c r="K78" s="97" t="s">
        <v>107</v>
      </c>
      <c r="L78" s="98">
        <f>'корпоративный баланс энергии'!O1527</f>
        <v>5100.6000000000004</v>
      </c>
      <c r="Q78" s="99" t="s">
        <v>151</v>
      </c>
      <c r="R78" s="101">
        <f>-R77+S75+P75</f>
        <v>0</v>
      </c>
    </row>
    <row r="79" spans="6:20" ht="15.75" hidden="1">
      <c r="F79" s="1263" t="s">
        <v>158</v>
      </c>
      <c r="G79" s="1263"/>
      <c r="H79" s="1263"/>
      <c r="I79" s="1263"/>
      <c r="J79" s="102">
        <f>SUM(J85:J96)</f>
        <v>1126.6134953999999</v>
      </c>
      <c r="K79" s="97" t="s">
        <v>108</v>
      </c>
      <c r="L79" s="98">
        <f>L78-L74</f>
        <v>711.08945456138554</v>
      </c>
    </row>
    <row r="80" spans="6:20" ht="16.5" hidden="1" thickBot="1">
      <c r="F80" s="1263" t="s">
        <v>159</v>
      </c>
      <c r="G80" s="1263"/>
      <c r="H80" s="1263"/>
      <c r="I80" s="1263"/>
      <c r="J80" s="102">
        <f>L76+(J77-J74)+(L75-J79)</f>
        <v>4879.0622191935381</v>
      </c>
      <c r="K80" s="99" t="s">
        <v>151</v>
      </c>
      <c r="L80" s="101">
        <f>-L79-M74-J74</f>
        <v>0</v>
      </c>
    </row>
    <row r="81" spans="7:11" hidden="1">
      <c r="K81"/>
    </row>
    <row r="82" spans="7:11" hidden="1"/>
    <row r="83" spans="7:11" hidden="1"/>
    <row r="84" spans="7:11" hidden="1"/>
    <row r="85" spans="7:11" hidden="1">
      <c r="G85" s="104" t="s">
        <v>160</v>
      </c>
      <c r="J85" s="119">
        <v>62.870040000000003</v>
      </c>
    </row>
    <row r="86" spans="7:11" hidden="1">
      <c r="G86" s="104" t="s">
        <v>161</v>
      </c>
      <c r="J86" s="119">
        <v>11.020000000000001</v>
      </c>
    </row>
    <row r="87" spans="7:11" hidden="1">
      <c r="G87" s="104" t="s">
        <v>162</v>
      </c>
      <c r="J87" s="119">
        <v>134.205084</v>
      </c>
    </row>
    <row r="88" spans="7:11" hidden="1">
      <c r="G88" s="104" t="s">
        <v>163</v>
      </c>
      <c r="J88" s="119">
        <v>8.06</v>
      </c>
    </row>
    <row r="89" spans="7:11" hidden="1">
      <c r="G89" s="104" t="s">
        <v>164</v>
      </c>
      <c r="J89" s="119">
        <v>220.246115</v>
      </c>
    </row>
    <row r="90" spans="7:11" hidden="1">
      <c r="G90" s="104" t="s">
        <v>165</v>
      </c>
      <c r="J90" s="119">
        <v>28.224</v>
      </c>
    </row>
    <row r="91" spans="7:11" hidden="1">
      <c r="G91" s="104" t="s">
        <v>166</v>
      </c>
      <c r="J91" s="119">
        <v>93.042853999999991</v>
      </c>
    </row>
    <row r="92" spans="7:11" hidden="1">
      <c r="G92" s="104" t="s">
        <v>167</v>
      </c>
      <c r="J92" s="119">
        <v>7.0928000000000004</v>
      </c>
    </row>
    <row r="93" spans="7:11" hidden="1">
      <c r="G93" s="104" t="s">
        <v>168</v>
      </c>
      <c r="J93" s="119">
        <v>10.63</v>
      </c>
    </row>
    <row r="94" spans="7:11" hidden="1">
      <c r="G94" s="104" t="s">
        <v>61</v>
      </c>
      <c r="J94" s="119">
        <v>328.51978640000004</v>
      </c>
    </row>
    <row r="95" spans="7:11" hidden="1">
      <c r="G95" s="104" t="s">
        <v>62</v>
      </c>
      <c r="J95" s="119">
        <v>128.51274703448277</v>
      </c>
    </row>
    <row r="96" spans="7:11" hidden="1">
      <c r="G96" s="104" t="s">
        <v>63</v>
      </c>
      <c r="J96" s="119">
        <v>94.190068965517241</v>
      </c>
    </row>
  </sheetData>
  <mergeCells count="20">
    <mergeCell ref="F80:I80"/>
    <mergeCell ref="F79:I79"/>
    <mergeCell ref="F74:I74"/>
    <mergeCell ref="P32:Q32"/>
    <mergeCell ref="P31:Q31"/>
    <mergeCell ref="Q73:R73"/>
    <mergeCell ref="K72:L72"/>
    <mergeCell ref="Q74:R74"/>
    <mergeCell ref="N72:O72"/>
    <mergeCell ref="G54:H54"/>
    <mergeCell ref="G43:H43"/>
    <mergeCell ref="K73:L73"/>
    <mergeCell ref="N73:O73"/>
    <mergeCell ref="E20:F20"/>
    <mergeCell ref="G20:H20"/>
    <mergeCell ref="G42:H42"/>
    <mergeCell ref="L3:M3"/>
    <mergeCell ref="I4:N4"/>
    <mergeCell ref="D13:E13"/>
    <mergeCell ref="G19:H19"/>
  </mergeCells>
  <phoneticPr fontId="20" type="noConversion"/>
  <conditionalFormatting sqref="G85:G96">
    <cfRule type="cellIs" dxfId="12" priority="1" stopIfTrue="1" operator="notEqual">
      <formula>G84</formula>
    </cfRule>
  </conditionalFormatting>
  <pageMargins left="1.07" right="0.17" top="0.19" bottom="0.19" header="0.17" footer="0.17"/>
  <pageSetup paperSize="9" scale="41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9"/>
  <dimension ref="B2:U97"/>
  <sheetViews>
    <sheetView view="pageBreakPreview" topLeftCell="A4" zoomScale="75" zoomScaleNormal="75" workbookViewId="0">
      <selection activeCell="O60" sqref="O60"/>
    </sheetView>
  </sheetViews>
  <sheetFormatPr defaultColWidth="10.6640625" defaultRowHeight="12.75"/>
  <cols>
    <col min="1" max="1" width="4.6640625" style="13" customWidth="1"/>
    <col min="2" max="2" width="10.6640625" style="13"/>
    <col min="3" max="3" width="14.6640625" style="13" customWidth="1"/>
    <col min="4" max="4" width="12.1640625" style="13" customWidth="1"/>
    <col min="5" max="5" width="11.1640625" style="13" customWidth="1"/>
    <col min="6" max="7" width="13.33203125" style="13" bestFit="1" customWidth="1"/>
    <col min="8" max="8" width="12.5" style="13" customWidth="1"/>
    <col min="9" max="9" width="11.6640625" style="13" customWidth="1"/>
    <col min="10" max="10" width="12.33203125" style="13" customWidth="1"/>
    <col min="11" max="11" width="11.6640625" style="13" customWidth="1"/>
    <col min="12" max="12" width="13.6640625" style="13" customWidth="1"/>
    <col min="13" max="13" width="12.1640625" style="13" customWidth="1"/>
    <col min="14" max="14" width="15.1640625" style="13" customWidth="1"/>
    <col min="15" max="15" width="12.1640625" style="13" customWidth="1"/>
    <col min="16" max="16" width="14" style="13" bestFit="1" customWidth="1"/>
    <col min="17" max="17" width="12" style="13" bestFit="1" customWidth="1"/>
    <col min="18" max="18" width="13.33203125" style="13" customWidth="1"/>
    <col min="19" max="19" width="10.83203125" style="13" customWidth="1"/>
    <col min="20" max="20" width="13.33203125" style="13" bestFit="1" customWidth="1"/>
    <col min="21" max="21" width="13" style="13" bestFit="1" customWidth="1"/>
    <col min="22" max="16384" width="10.6640625" style="13"/>
  </cols>
  <sheetData>
    <row r="2" spans="3:21" ht="25.5">
      <c r="C2" s="11" t="s">
        <v>100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3:21" ht="22.5">
      <c r="C3" s="14"/>
      <c r="D3" s="15"/>
      <c r="E3" s="15"/>
      <c r="F3" s="15"/>
      <c r="G3" s="15"/>
      <c r="I3" s="16" t="s">
        <v>169</v>
      </c>
      <c r="J3" s="17"/>
      <c r="K3" s="17"/>
      <c r="L3" s="1251" t="s">
        <v>74</v>
      </c>
      <c r="M3" s="1251"/>
      <c r="N3" s="18">
        <f>Январь!N3</f>
        <v>2020</v>
      </c>
      <c r="O3" s="17"/>
      <c r="P3" s="15"/>
      <c r="Q3" s="15"/>
      <c r="R3" s="15"/>
      <c r="S3" s="15"/>
      <c r="T3" s="15"/>
    </row>
    <row r="4" spans="3:21" ht="20.25">
      <c r="C4" s="19"/>
      <c r="I4" s="1252" t="s">
        <v>147</v>
      </c>
      <c r="J4" s="1252"/>
      <c r="K4" s="1252"/>
      <c r="L4" s="1252"/>
      <c r="M4" s="1252"/>
      <c r="N4" s="1252"/>
      <c r="O4" s="20"/>
    </row>
    <row r="5" spans="3:21" ht="14.25" customHeight="1">
      <c r="C5" s="32" t="s">
        <v>104</v>
      </c>
      <c r="D5" s="33"/>
      <c r="F5" s="21"/>
      <c r="G5" s="22"/>
      <c r="I5" s="23"/>
      <c r="K5" s="24"/>
      <c r="L5" s="25"/>
      <c r="M5" s="25"/>
      <c r="N5" s="26"/>
      <c r="O5" s="20"/>
    </row>
    <row r="6" spans="3:21" ht="14.25" customHeight="1">
      <c r="C6" s="36" t="s">
        <v>29</v>
      </c>
      <c r="D6" s="37">
        <f>'корпоративный баланс энергии'!P849</f>
        <v>10255.685065803224</v>
      </c>
      <c r="F6" s="21"/>
      <c r="G6" s="22"/>
      <c r="I6" s="23"/>
      <c r="K6" s="24"/>
      <c r="L6" s="25"/>
      <c r="M6" s="25"/>
      <c r="N6" s="26"/>
      <c r="O6" s="20"/>
    </row>
    <row r="7" spans="3:21" ht="14.25" customHeight="1">
      <c r="C7" s="36" t="s">
        <v>107</v>
      </c>
      <c r="D7" s="37">
        <f>'корпоративный баланс энергии'!R849</f>
        <v>8924.1880225152781</v>
      </c>
      <c r="F7" s="21"/>
      <c r="G7" s="22"/>
      <c r="I7" s="23"/>
      <c r="K7" s="24"/>
      <c r="L7" s="25"/>
      <c r="M7" s="25"/>
      <c r="N7" s="26"/>
      <c r="O7" s="20"/>
    </row>
    <row r="8" spans="3:21" ht="14.25" customHeight="1">
      <c r="C8" s="36" t="s">
        <v>108</v>
      </c>
      <c r="D8" s="40">
        <f>D7-D6</f>
        <v>-1331.4970432879454</v>
      </c>
      <c r="F8" s="21"/>
      <c r="G8" s="22"/>
      <c r="I8" s="23"/>
      <c r="K8" s="24"/>
      <c r="L8" s="25"/>
      <c r="M8" s="25"/>
      <c r="N8" s="26"/>
      <c r="O8" s="20"/>
    </row>
    <row r="9" spans="3:21" ht="14.25" customHeight="1">
      <c r="C9" s="41" t="s">
        <v>109</v>
      </c>
      <c r="D9" s="40">
        <f>-D8-G11-I11-J13-J15+F16-E18-F30-G27+K20</f>
        <v>-2.9567120545834769E-3</v>
      </c>
      <c r="F9" s="21"/>
      <c r="G9" s="22"/>
      <c r="I9" s="23"/>
      <c r="K9" s="24"/>
      <c r="L9" s="25"/>
      <c r="M9" s="25"/>
      <c r="N9" s="26"/>
      <c r="O9" s="20"/>
    </row>
    <row r="10" spans="3:21" ht="14.25" customHeight="1">
      <c r="C10" s="19"/>
      <c r="F10" s="21"/>
      <c r="G10" s="22" t="s">
        <v>101</v>
      </c>
      <c r="I10" s="158" t="s">
        <v>243</v>
      </c>
      <c r="K10" s="24"/>
      <c r="L10" s="25"/>
      <c r="M10" s="25"/>
      <c r="N10" s="26"/>
      <c r="O10" s="20"/>
    </row>
    <row r="11" spans="3:21" ht="15.75" customHeight="1">
      <c r="C11" s="19"/>
      <c r="F11" s="21"/>
      <c r="G11" s="27">
        <f>-('корпоративный баланс энергии'!Q23+'корпоративный баланс энергии'!Q59)</f>
        <v>640</v>
      </c>
      <c r="I11" s="27">
        <f>-'корпоративный баланс энергии'!Q24</f>
        <v>40</v>
      </c>
      <c r="K11" s="24"/>
      <c r="L11" s="25"/>
      <c r="M11" s="25"/>
      <c r="N11" s="26"/>
      <c r="O11" s="20"/>
    </row>
    <row r="12" spans="3:21" ht="15.75" customHeight="1">
      <c r="C12" s="19"/>
      <c r="F12" s="21"/>
      <c r="J12" s="158" t="s">
        <v>244</v>
      </c>
      <c r="K12" s="15"/>
      <c r="L12" s="25"/>
      <c r="M12" s="25"/>
      <c r="N12" s="26"/>
      <c r="O12" s="29" t="s">
        <v>102</v>
      </c>
      <c r="R12" s="30">
        <f>SUM(D6,H34,D60,K34,N34,Q34,T34)</f>
        <v>98647.063629720898</v>
      </c>
    </row>
    <row r="13" spans="3:21" ht="15" customHeight="1">
      <c r="C13" s="19"/>
      <c r="D13" s="1253" t="s">
        <v>103</v>
      </c>
      <c r="E13" s="1253"/>
      <c r="F13" s="21"/>
      <c r="J13" s="27">
        <f>-'корпоративный баланс энергии'!Q25</f>
        <v>55</v>
      </c>
      <c r="K13" s="15"/>
      <c r="L13" s="34"/>
      <c r="M13" s="25"/>
      <c r="N13" s="26"/>
      <c r="O13" s="29" t="s">
        <v>105</v>
      </c>
      <c r="R13" s="30">
        <f>SUM(D7,H35,D61,K35,N35,Q35,T35)</f>
        <v>97454.570298664243</v>
      </c>
    </row>
    <row r="14" spans="3:21" ht="15.75" customHeight="1">
      <c r="C14" s="19"/>
      <c r="E14" s="35">
        <f>-('корпоративный баланс энергии'!Q30+'корпоративный баланс энергии'!Q31+'корпоративный баланс энергии'!Q32+'корпоративный баланс энергии'!Q33+'корпоративный баланс энергии'!Q61+'корпоративный баланс энергии'!Q62+'корпоративный баланс энергии'!Q63)</f>
        <v>320</v>
      </c>
      <c r="F14" s="21"/>
      <c r="J14" s="158" t="s">
        <v>245</v>
      </c>
      <c r="K14" s="24"/>
      <c r="L14" s="25"/>
      <c r="M14" s="25"/>
      <c r="N14" s="26"/>
      <c r="O14" s="29" t="s">
        <v>106</v>
      </c>
      <c r="R14" s="30">
        <f>SUM(D8,H36,D62,K36,N36,Q36,T36)</f>
        <v>-1192.493331056663</v>
      </c>
      <c r="S14" s="24"/>
      <c r="T14" s="161">
        <f>-G11-I11-J13-J15+F16-E18-F30-F36-E45-F54-F61-I60-J47-L47-M47-N47+P47-R47-T47-F48</f>
        <v>-1192.5</v>
      </c>
      <c r="U14" s="161">
        <f>R13-R12</f>
        <v>-1192.4933310566557</v>
      </c>
    </row>
    <row r="15" spans="3:21">
      <c r="D15" s="41" t="s">
        <v>109</v>
      </c>
      <c r="E15" s="591">
        <f>-E14+D29+E18-F16</f>
        <v>0</v>
      </c>
      <c r="J15" s="27">
        <f>-'корпоративный баланс энергии'!Q26</f>
        <v>1.5</v>
      </c>
      <c r="O15" s="38"/>
      <c r="P15" s="24"/>
      <c r="Q15" s="24"/>
      <c r="R15" s="38"/>
    </row>
    <row r="16" spans="3:21">
      <c r="F16" s="69">
        <f>'корпоративный баланс энергии'!Q30+'корпоративный баланс энергии'!Q31+'корпоративный баланс энергии'!Q32+'корпоративный баланс энергии'!Q62+'корпоративный баланс энергии'!Q63</f>
        <v>-120</v>
      </c>
      <c r="O16" s="38"/>
      <c r="P16" s="24"/>
      <c r="Q16" s="24"/>
      <c r="R16" s="38"/>
    </row>
    <row r="17" spans="4:21" ht="13.5" thickBot="1">
      <c r="O17" s="38"/>
      <c r="P17" s="24"/>
      <c r="Q17" s="24"/>
      <c r="R17" s="38"/>
    </row>
    <row r="18" spans="4:21" ht="15">
      <c r="E18" s="210">
        <f>-('корпоративный баланс энергии'!Q33+'корпоративный баланс энергии'!Q61)</f>
        <v>200</v>
      </c>
      <c r="P18" s="863" t="s">
        <v>113</v>
      </c>
      <c r="Q18" s="864"/>
      <c r="R18" s="864"/>
      <c r="S18" s="864"/>
      <c r="T18" s="865"/>
      <c r="U18" s="866">
        <f>-O60</f>
        <v>434</v>
      </c>
    </row>
    <row r="19" spans="4:21" ht="14.25">
      <c r="F19" s="43"/>
      <c r="G19" s="1258" t="s">
        <v>110</v>
      </c>
      <c r="H19" s="1258"/>
      <c r="P19" s="867" t="s">
        <v>1070</v>
      </c>
      <c r="Q19" s="868"/>
      <c r="R19" s="868"/>
      <c r="S19" s="868"/>
      <c r="T19" s="869"/>
      <c r="U19" s="870">
        <f>SUM(U20:U21)</f>
        <v>17.995058392161809</v>
      </c>
    </row>
    <row r="20" spans="4:21" ht="15">
      <c r="D20" s="24"/>
      <c r="E20" s="1257" t="s">
        <v>111</v>
      </c>
      <c r="F20" s="1257"/>
      <c r="G20" s="1258" t="s">
        <v>112</v>
      </c>
      <c r="H20" s="1258"/>
      <c r="K20" s="1032">
        <v>5</v>
      </c>
      <c r="P20" s="871" t="s">
        <v>115</v>
      </c>
      <c r="Q20" s="868" t="s">
        <v>507</v>
      </c>
      <c r="R20" s="868"/>
      <c r="S20" s="868"/>
      <c r="T20" s="869"/>
      <c r="U20" s="870">
        <f>-N47</f>
        <v>-42.004941607838191</v>
      </c>
    </row>
    <row r="21" spans="4:21" ht="13.5" thickBot="1">
      <c r="F21" s="44"/>
      <c r="G21" s="36" t="s">
        <v>29</v>
      </c>
      <c r="H21" s="45">
        <f>D6-F22</f>
        <v>9617.8840658032241</v>
      </c>
      <c r="P21" s="872"/>
      <c r="Q21" s="873" t="s">
        <v>116</v>
      </c>
      <c r="R21" s="873"/>
      <c r="S21" s="873"/>
      <c r="T21" s="874"/>
      <c r="U21" s="875">
        <f>-M47</f>
        <v>60</v>
      </c>
    </row>
    <row r="22" spans="4:21" ht="15" thickBot="1">
      <c r="E22" s="36" t="s">
        <v>29</v>
      </c>
      <c r="F22" s="37">
        <f>'корпоративный баланс энергии'!P865</f>
        <v>637.80100000000004</v>
      </c>
      <c r="G22" s="36" t="s">
        <v>107</v>
      </c>
      <c r="H22" s="45">
        <f>D7-F23</f>
        <v>8486.3830225152778</v>
      </c>
      <c r="P22" s="860" t="s">
        <v>1068</v>
      </c>
      <c r="Q22" s="861"/>
      <c r="R22" s="861"/>
      <c r="S22" s="861"/>
      <c r="T22" s="861"/>
      <c r="U22" s="862">
        <f>'корпоративный баланс энергии'!Q74</f>
        <v>80</v>
      </c>
    </row>
    <row r="23" spans="4:21" ht="15" thickBot="1">
      <c r="E23" s="36" t="s">
        <v>107</v>
      </c>
      <c r="F23" s="37">
        <f>'корпоративный баланс энергии'!R865</f>
        <v>437.80500000000001</v>
      </c>
      <c r="G23" s="36" t="s">
        <v>108</v>
      </c>
      <c r="H23" s="40">
        <f>H22-H21</f>
        <v>-1131.5010432879462</v>
      </c>
      <c r="P23" s="858" t="s">
        <v>1071</v>
      </c>
      <c r="Q23" s="876"/>
      <c r="R23" s="876"/>
      <c r="S23" s="876"/>
      <c r="T23" s="859"/>
      <c r="U23" s="875">
        <f>MIN(ABS(N48),ABS(P48))</f>
        <v>42</v>
      </c>
    </row>
    <row r="24" spans="4:21" ht="15" thickBot="1">
      <c r="E24" s="36" t="s">
        <v>108</v>
      </c>
      <c r="F24" s="46">
        <f>F23-F22</f>
        <v>-199.99600000000004</v>
      </c>
      <c r="G24" s="41" t="s">
        <v>109</v>
      </c>
      <c r="H24" s="40">
        <f>-H23+F16+K20-G11-I11-J13-J15-G27-F30</f>
        <v>1.0432879462314304E-3</v>
      </c>
      <c r="P24" s="877" t="s">
        <v>1072</v>
      </c>
      <c r="Q24" s="873"/>
      <c r="R24" s="873"/>
      <c r="S24" s="873"/>
      <c r="T24" s="874"/>
      <c r="U24" s="875">
        <f>MIN(ABS('корпоративный баланс энергии'!Q54),ABS('корпоративный баланс энергии'!Q80))</f>
        <v>0</v>
      </c>
    </row>
    <row r="25" spans="4:21" ht="15" thickBot="1">
      <c r="E25" s="41" t="s">
        <v>109</v>
      </c>
      <c r="F25" s="46">
        <f>-F24-E18</f>
        <v>-3.999999999962256E-3</v>
      </c>
      <c r="K25" s="1024">
        <v>50</v>
      </c>
      <c r="P25" s="878" t="s">
        <v>1073</v>
      </c>
      <c r="Q25" s="879"/>
      <c r="R25" s="879"/>
      <c r="S25" s="879"/>
      <c r="T25" s="880"/>
      <c r="U25" s="881">
        <f>ABS(U23)+ABS(U24)</f>
        <v>42</v>
      </c>
    </row>
    <row r="26" spans="4:21" ht="15" thickBot="1">
      <c r="P26" s="877" t="s">
        <v>1257</v>
      </c>
      <c r="Q26" s="873"/>
      <c r="R26" s="873"/>
      <c r="S26" s="873"/>
      <c r="T26" s="874"/>
      <c r="U26" s="875">
        <f>'корпоративный баланс энергии'!Q79</f>
        <v>41</v>
      </c>
    </row>
    <row r="27" spans="4:21" ht="15" thickBot="1">
      <c r="G27" s="1159">
        <v>300</v>
      </c>
      <c r="P27" s="884" t="s">
        <v>1074</v>
      </c>
      <c r="Q27" s="885"/>
      <c r="R27" s="885"/>
      <c r="S27" s="885"/>
      <c r="T27" s="886"/>
      <c r="U27" s="887">
        <f>U22+U25+U26</f>
        <v>163</v>
      </c>
    </row>
    <row r="28" spans="4:21">
      <c r="S28" s="48"/>
      <c r="T28" s="48"/>
      <c r="U28" s="48"/>
    </row>
    <row r="29" spans="4:21">
      <c r="D29" s="600">
        <v>0</v>
      </c>
      <c r="S29" s="48"/>
    </row>
    <row r="30" spans="4:21">
      <c r="F30" s="69">
        <f>-('корпоративный баланс энергии'!Q34+'корпоративный баланс энергии'!Q64)</f>
        <v>-20</v>
      </c>
      <c r="R30" s="52"/>
    </row>
    <row r="31" spans="4:21" ht="15">
      <c r="G31" s="21" t="s">
        <v>117</v>
      </c>
      <c r="J31" s="28" t="s">
        <v>118</v>
      </c>
      <c r="K31" s="15"/>
      <c r="M31" s="21" t="s">
        <v>117</v>
      </c>
      <c r="P31" s="21" t="s">
        <v>117</v>
      </c>
      <c r="Q31" s="53"/>
    </row>
    <row r="32" spans="4:21" ht="15">
      <c r="G32" s="28" t="s">
        <v>119</v>
      </c>
      <c r="H32" s="15"/>
      <c r="J32" s="28" t="s">
        <v>120</v>
      </c>
      <c r="K32" s="15"/>
      <c r="M32" s="28" t="s">
        <v>121</v>
      </c>
      <c r="N32" s="15"/>
      <c r="P32" s="28" t="s">
        <v>122</v>
      </c>
      <c r="Q32" s="54"/>
      <c r="S32" s="21" t="s">
        <v>117</v>
      </c>
      <c r="T32" s="15"/>
    </row>
    <row r="33" spans="3:20" ht="14.25">
      <c r="C33" s="21" t="s">
        <v>124</v>
      </c>
      <c r="S33" s="28" t="s">
        <v>123</v>
      </c>
    </row>
    <row r="34" spans="3:20" ht="14.25">
      <c r="D34" s="21" t="s">
        <v>125</v>
      </c>
      <c r="G34" s="36" t="s">
        <v>29</v>
      </c>
      <c r="H34" s="37">
        <f>'корпоративный баланс энергии'!P82</f>
        <v>22723.438832563137</v>
      </c>
      <c r="J34" s="36" t="s">
        <v>29</v>
      </c>
      <c r="K34" s="37">
        <f>'корпоративный баланс энергии'!P370</f>
        <v>9683.1695741181538</v>
      </c>
      <c r="M34" s="36" t="s">
        <v>29</v>
      </c>
      <c r="N34" s="37">
        <f>'корпоративный баланс энергии'!P538</f>
        <v>24272.261567404261</v>
      </c>
      <c r="P34" s="36" t="s">
        <v>29</v>
      </c>
      <c r="Q34" s="37">
        <f>'корпоративный баланс энергии'!P1454</f>
        <v>18467.778032827071</v>
      </c>
      <c r="S34" s="36" t="s">
        <v>29</v>
      </c>
      <c r="T34" s="37">
        <f>'корпоративный баланс энергии'!P1674</f>
        <v>4153.7709999999997</v>
      </c>
    </row>
    <row r="35" spans="3:20">
      <c r="E35" s="55">
        <f>-('корпоративный баланс энергии'!Q34+'корпоративный баланс энергии'!Q35+'корпоративный баланс энергии'!Q36+'корпоративный баланс энергии'!Q65)</f>
        <v>75</v>
      </c>
      <c r="G35" s="36" t="s">
        <v>107</v>
      </c>
      <c r="H35" s="37">
        <f>'корпоративный баланс энергии'!R82</f>
        <v>22288.437853249245</v>
      </c>
      <c r="J35" s="36" t="s">
        <v>107</v>
      </c>
      <c r="K35" s="37">
        <f>'корпоративный баланс энергии'!R370</f>
        <v>10049.174663276102</v>
      </c>
      <c r="M35" s="36" t="s">
        <v>107</v>
      </c>
      <c r="N35" s="37">
        <f>'корпоративный баланс энергии'!R538</f>
        <v>23895.249887499638</v>
      </c>
      <c r="P35" s="36" t="s">
        <v>107</v>
      </c>
      <c r="Q35" s="37">
        <f>'корпоративный баланс энергии'!R1454</f>
        <v>19018.221839634909</v>
      </c>
      <c r="S35" s="36" t="s">
        <v>107</v>
      </c>
      <c r="T35" s="37">
        <f>'корпоративный баланс энергии'!R1674</f>
        <v>3884.3321347999999</v>
      </c>
    </row>
    <row r="36" spans="3:20">
      <c r="C36" s="599">
        <v>0</v>
      </c>
      <c r="D36" s="41" t="s">
        <v>109</v>
      </c>
      <c r="E36" s="591">
        <f>-E35-D29+F30+F36-C36</f>
        <v>-20</v>
      </c>
      <c r="F36" s="69">
        <f>-('корпоративный баланс энергии'!Q35+'корпоративный баланс энергии'!Q36+'корпоративный баланс энергии'!Q65)</f>
        <v>75</v>
      </c>
      <c r="G36" s="36" t="s">
        <v>108</v>
      </c>
      <c r="H36" s="46">
        <f>H35-H34</f>
        <v>-435.00097931389246</v>
      </c>
      <c r="I36" s="1160">
        <v>500</v>
      </c>
      <c r="J36" s="56" t="s">
        <v>108</v>
      </c>
      <c r="K36" s="46">
        <f>K35-K34</f>
        <v>366.00508915794853</v>
      </c>
      <c r="L36" s="1160">
        <v>-220</v>
      </c>
      <c r="M36" s="56" t="s">
        <v>108</v>
      </c>
      <c r="N36" s="57">
        <f>N35-N34</f>
        <v>-377.01167990462272</v>
      </c>
      <c r="O36" s="1162">
        <v>120</v>
      </c>
      <c r="P36" s="56" t="s">
        <v>108</v>
      </c>
      <c r="Q36" s="46">
        <f>Q35-Q34</f>
        <v>550.44380680783797</v>
      </c>
      <c r="R36" s="58">
        <f>T34-T35-T47</f>
        <v>29.438865199999782</v>
      </c>
      <c r="S36" s="56" t="s">
        <v>108</v>
      </c>
      <c r="T36" s="46">
        <f>T35-T34</f>
        <v>-269.43886519999978</v>
      </c>
    </row>
    <row r="37" spans="3:20">
      <c r="G37" s="41" t="s">
        <v>109</v>
      </c>
      <c r="H37" s="46">
        <f>-H36-F36+G27+K25-I36-E45-G40</f>
        <v>9.7931389245786704E-4</v>
      </c>
      <c r="J37" s="41" t="s">
        <v>109</v>
      </c>
      <c r="K37" s="46">
        <f>-K36+I36-L36-L47-I42</f>
        <v>-5.0891579485323746E-3</v>
      </c>
      <c r="L37" s="44"/>
      <c r="M37" s="41" t="s">
        <v>109</v>
      </c>
      <c r="N37" s="57">
        <f>-N36+L36-O36-K20-K25-M47-N47</f>
        <v>6.7382967845333042E-3</v>
      </c>
      <c r="P37" s="41" t="s">
        <v>109</v>
      </c>
      <c r="Q37" s="40">
        <f>-Q36+O36+R36-R47+P47</f>
        <v>0</v>
      </c>
      <c r="S37" s="41" t="s">
        <v>109</v>
      </c>
      <c r="T37" s="40">
        <f>-T36-R36-T47</f>
        <v>0</v>
      </c>
    </row>
    <row r="38" spans="3:20">
      <c r="R38" s="44"/>
    </row>
    <row r="39" spans="3:20" ht="15">
      <c r="H39" s="160" t="s">
        <v>126</v>
      </c>
      <c r="N39" s="59"/>
      <c r="O39" s="24"/>
    </row>
    <row r="40" spans="3:20">
      <c r="G40" s="1161">
        <v>280</v>
      </c>
      <c r="H40" s="160" t="s">
        <v>127</v>
      </c>
      <c r="N40" s="60"/>
      <c r="O40" s="61"/>
    </row>
    <row r="41" spans="3:20" ht="15" customHeight="1">
      <c r="I41" s="160" t="s">
        <v>128</v>
      </c>
      <c r="N41" s="62"/>
      <c r="O41" s="61"/>
    </row>
    <row r="42" spans="3:20">
      <c r="G42" s="1259" t="s">
        <v>129</v>
      </c>
      <c r="H42" s="1259"/>
      <c r="I42" s="1161">
        <v>350</v>
      </c>
    </row>
    <row r="43" spans="3:20">
      <c r="G43" s="1262" t="s">
        <v>130</v>
      </c>
      <c r="H43" s="1262"/>
    </row>
    <row r="44" spans="3:20">
      <c r="E44" s="44"/>
      <c r="G44" s="36" t="s">
        <v>29</v>
      </c>
      <c r="H44" s="37">
        <f>'корпоративный баланс энергии'!P1089+'корпоративный баланс энергии'!P1122</f>
        <v>1833.7918334960937</v>
      </c>
      <c r="M44" s="160" t="s">
        <v>251</v>
      </c>
      <c r="N44" s="64"/>
      <c r="O44" s="160" t="s">
        <v>248</v>
      </c>
    </row>
    <row r="45" spans="3:20">
      <c r="E45" s="69">
        <f>-('корпоративный баланс энергии'!Q37+'корпоративный баланс энергии'!Q38+'корпоративный баланс энергии'!Q39+'корпоративный баланс энергии'!Q66+'корпоративный баланс энергии'!Q67+'корпоративный баланс энергии'!Q68)</f>
        <v>-70</v>
      </c>
      <c r="G45" s="36" t="s">
        <v>107</v>
      </c>
      <c r="H45" s="37">
        <f>'корпоративный баланс энергии'!R1089+'корпоративный баланс энергии'!R1122</f>
        <v>1877.7941090345953</v>
      </c>
      <c r="M45" s="160" t="s">
        <v>336</v>
      </c>
      <c r="O45" s="160" t="s">
        <v>249</v>
      </c>
    </row>
    <row r="46" spans="3:20" ht="14.25">
      <c r="G46" s="36" t="s">
        <v>108</v>
      </c>
      <c r="H46" s="46">
        <f>H45-H44</f>
        <v>44.002275538501635</v>
      </c>
      <c r="J46" s="160" t="s">
        <v>131</v>
      </c>
      <c r="O46" s="160" t="s">
        <v>250</v>
      </c>
      <c r="R46" s="65" t="s">
        <v>132</v>
      </c>
      <c r="T46" s="21" t="s">
        <v>133</v>
      </c>
    </row>
    <row r="47" spans="3:20">
      <c r="F47" s="29"/>
      <c r="G47" s="41" t="s">
        <v>109</v>
      </c>
      <c r="H47" s="46">
        <f>-H46+G40+I42-J47-F48-G49</f>
        <v>-2.2755385016353102E-3</v>
      </c>
      <c r="J47" s="69">
        <f>-('корпоративный баланс энергии'!Q49+'корпоративный баланс энергии'!Q50)</f>
        <v>6</v>
      </c>
      <c r="L47" s="69">
        <f>-('корпоративный баланс энергии'!Q46+'корпоративный баланс энергии'!Q47+'корпоративный баланс энергии'!Q74)</f>
        <v>4</v>
      </c>
      <c r="M47" s="66">
        <f>-('корпоративный баланс энергии'!Q48+'корпоративный баланс энергии'!Q75)</f>
        <v>-60</v>
      </c>
      <c r="N47" s="42">
        <f>P62+P47</f>
        <v>42.004941607838191</v>
      </c>
      <c r="O47" s="1177">
        <f>-'корпоративный баланс энергии'!R53</f>
        <v>14</v>
      </c>
      <c r="P47" s="42">
        <f>Q36-O36-R36+R47</f>
        <v>426.00494160783819</v>
      </c>
      <c r="R47" s="27">
        <f>-('корпоративный баланс энергии'!Q27+'корпоративный баланс энергии'!Q28+'корпоративный баланс энергии'!Q60)</f>
        <v>25</v>
      </c>
      <c r="T47" s="27">
        <f>-('корпоративный баланс энергии'!Q29)</f>
        <v>240</v>
      </c>
    </row>
    <row r="48" spans="3:20">
      <c r="F48" s="51">
        <f>-('корпоративный баланс энергии'!Q40)</f>
        <v>0</v>
      </c>
      <c r="N48" s="584">
        <f>-('корпоративный баланс энергии'!Q51+'корпоративный баланс энергии'!Q52+'корпоративный баланс энергии'!Q76+'корпоративный баланс энергии'!Q77)</f>
        <v>42</v>
      </c>
      <c r="P48" s="584">
        <f>'корпоративный баланс энергии'!Q53+'корпоративный баланс энергии'!Q54+'корпоративный баланс энергии'!Q55+'корпоративный баланс энергии'!Q56+'корпоративный баланс энергии'!Q78+'корпоративный баланс энергии'!Q79+'корпоративный баланс энергии'!Q80</f>
        <v>426</v>
      </c>
    </row>
    <row r="49" spans="2:19" ht="15.75">
      <c r="C49" s="22" t="s">
        <v>134</v>
      </c>
      <c r="F49" s="160" t="s">
        <v>135</v>
      </c>
      <c r="G49" s="1163">
        <v>580</v>
      </c>
      <c r="H49" s="160" t="s">
        <v>136</v>
      </c>
    </row>
    <row r="50" spans="2:19">
      <c r="D50" s="68" t="s">
        <v>137</v>
      </c>
      <c r="H50" s="160" t="s">
        <v>138</v>
      </c>
      <c r="P50" s="13" t="s">
        <v>90</v>
      </c>
    </row>
    <row r="51" spans="2:19">
      <c r="E51" s="55">
        <f>-('корпоративный баланс энергии'!Q37+'корпоративный баланс энергии'!Q38+'корпоративный баланс энергии'!Q39+'корпоративный баланс энергии'!Q40+'корпоративный баланс энергии'!Q41+'корпоративный баланс энергии'!Q66+'корпоративный баланс энергии'!Q67+'корпоративный баланс энергии'!Q68+'корпоративный баланс энергии'!Q69+'корпоративный баланс энергии'!Q70)</f>
        <v>240</v>
      </c>
      <c r="H51" s="160" t="s">
        <v>508</v>
      </c>
    </row>
    <row r="52" spans="2:19" ht="14.25">
      <c r="C52" s="599">
        <v>0</v>
      </c>
      <c r="D52" s="41" t="s">
        <v>109</v>
      </c>
      <c r="E52" s="591">
        <f>-E51+E45+F48+F54-E54-C52</f>
        <v>0</v>
      </c>
      <c r="G52" s="28"/>
      <c r="H52" s="15"/>
      <c r="O52" s="70"/>
    </row>
    <row r="53" spans="2:19" ht="15">
      <c r="B53" s="581" t="s">
        <v>513</v>
      </c>
      <c r="G53" s="28" t="s">
        <v>890</v>
      </c>
      <c r="H53" s="15"/>
      <c r="I53" s="59"/>
      <c r="J53" s="24"/>
    </row>
    <row r="54" spans="2:19">
      <c r="B54" s="36" t="s">
        <v>29</v>
      </c>
      <c r="C54" s="157">
        <f>'корпоративный баланс энергии'!P1390</f>
        <v>536.70720030000007</v>
      </c>
      <c r="E54" s="51">
        <f>'корпоративный баланс энергии'!Q70</f>
        <v>0</v>
      </c>
      <c r="F54" s="69">
        <f>-('корпоративный баланс энергии'!Q41+'корпоративный баланс энергии'!Q69)</f>
        <v>310</v>
      </c>
      <c r="G54" s="1262" t="s">
        <v>889</v>
      </c>
      <c r="H54" s="1262"/>
      <c r="I54" s="60"/>
      <c r="J54" s="61"/>
      <c r="M54" s="44"/>
    </row>
    <row r="55" spans="2:19" ht="18.75">
      <c r="B55" s="36" t="s">
        <v>107</v>
      </c>
      <c r="C55" s="157">
        <f>'корпоративный баланс энергии'!R1390</f>
        <v>781.36434135612126</v>
      </c>
      <c r="G55" s="36" t="s">
        <v>29</v>
      </c>
      <c r="H55" s="37">
        <f>D60-C54-H44</f>
        <v>6720.4605232089671</v>
      </c>
      <c r="I55" s="62"/>
      <c r="J55" s="61"/>
      <c r="M55" s="221">
        <f>J47+L47+M47</f>
        <v>-50</v>
      </c>
    </row>
    <row r="56" spans="2:19">
      <c r="B56" s="36" t="s">
        <v>108</v>
      </c>
      <c r="C56" s="40">
        <f>C55-C54</f>
        <v>244.65714105612119</v>
      </c>
      <c r="D56" s="582" t="s">
        <v>511</v>
      </c>
      <c r="E56" s="588">
        <f>'корпоративный баланс энергии'!Q1390</f>
        <v>244.65714105612119</v>
      </c>
      <c r="G56" s="36" t="s">
        <v>107</v>
      </c>
      <c r="H56" s="37">
        <f>D61-C55-H45</f>
        <v>6735.8074472983535</v>
      </c>
      <c r="I56" s="75"/>
      <c r="L56" s="29" t="s">
        <v>139</v>
      </c>
      <c r="M56" s="51">
        <f>-('корпоративный баланс энергии'!Q46+'корпоративный баланс энергии'!Q47+'корпоративный баланс энергии'!Q48+'корпоративный баланс энергии'!Q49+'корпоративный баланс энергии'!Q50+'корпоративный баланс энергии'!Q74+'корпоративный баланс энергии'!Q75)</f>
        <v>-50</v>
      </c>
    </row>
    <row r="57" spans="2:19">
      <c r="B57" s="41" t="s">
        <v>109</v>
      </c>
      <c r="C57" s="40">
        <f>-C56+E54+E56</f>
        <v>0</v>
      </c>
      <c r="D57" s="583" t="s">
        <v>512</v>
      </c>
      <c r="G57" s="36" t="s">
        <v>108</v>
      </c>
      <c r="H57" s="46">
        <f>H56-H55</f>
        <v>15.346924089386448</v>
      </c>
      <c r="J57" s="76"/>
      <c r="L57" s="29" t="s">
        <v>140</v>
      </c>
    </row>
    <row r="58" spans="2:19" ht="20.25" customHeight="1">
      <c r="G58" s="41" t="s">
        <v>109</v>
      </c>
      <c r="H58" s="78">
        <f>-H57-F54+G49-I60-F61-E56</f>
        <v>-4.0651455076385901E-3</v>
      </c>
      <c r="I58" s="29"/>
      <c r="M58" s="79" t="s">
        <v>141</v>
      </c>
      <c r="P58" s="77"/>
    </row>
    <row r="59" spans="2:19" ht="14.25">
      <c r="C59" s="32" t="s">
        <v>246</v>
      </c>
      <c r="D59" s="33"/>
    </row>
    <row r="60" spans="2:19">
      <c r="C60" s="36" t="s">
        <v>29</v>
      </c>
      <c r="D60" s="157">
        <f>'корпоративный баланс энергии'!P1082</f>
        <v>9090.9595570050606</v>
      </c>
      <c r="I60" s="80">
        <f>I65</f>
        <v>-5</v>
      </c>
      <c r="L60" s="81" t="s">
        <v>337</v>
      </c>
      <c r="M60" s="81"/>
      <c r="N60" s="81"/>
      <c r="O60" s="82">
        <f>J47+L47+M47+N47-P47</f>
        <v>-434</v>
      </c>
      <c r="P60" s="69">
        <f>-('корпоративный баланс энергии'!Q46+'корпоративный баланс энергии'!Q47+'корпоративный баланс энергии'!Q48+'корпоративный баланс энергии'!Q49+'корпоративный баланс энергии'!Q50+'корпоративный баланс энергии'!Q51+'корпоративный баланс энергии'!Q52+'корпоративный баланс энергии'!Q53+'корпоративный баланс энергии'!Q54+'корпоративный баланс энергии'!Q55+'корпоративный баланс энергии'!Q56+'корпоративный баланс энергии'!Q74+'корпоративный баланс энергии'!Q75+'корпоративный баланс энергии'!Q76+'корпоративный баланс энергии'!Q77+'корпоративный баланс энергии'!Q78+'корпоративный баланс энергии'!Q79+'корпоративный баланс энергии'!Q80)</f>
        <v>-434</v>
      </c>
      <c r="S60" s="161">
        <f>M56+P62</f>
        <v>-434</v>
      </c>
    </row>
    <row r="61" spans="2:19">
      <c r="C61" s="36" t="s">
        <v>107</v>
      </c>
      <c r="D61" s="157">
        <f>'корпоративный баланс энергии'!R1082</f>
        <v>9394.9658976890714</v>
      </c>
      <c r="F61" s="80">
        <f>F65</f>
        <v>15</v>
      </c>
      <c r="H61" s="75"/>
      <c r="N61" s="83"/>
    </row>
    <row r="62" spans="2:19" ht="14.25">
      <c r="C62" s="36" t="s">
        <v>108</v>
      </c>
      <c r="D62" s="40">
        <f>D61-D60</f>
        <v>304.00634068401087</v>
      </c>
      <c r="E62" s="21"/>
      <c r="L62" s="209" t="s">
        <v>338</v>
      </c>
      <c r="N62" s="83"/>
      <c r="P62" s="69">
        <f>-('корпоративный баланс энергии'!Q51+'корпоративный баланс энергии'!Q52+'корпоративный баланс энергии'!Q53+'корпоративный баланс энергии'!Q54+'корпоративный баланс энергии'!Q55+'корпоративный баланс энергии'!Q56+'корпоративный баланс энергии'!Q76+'корпоративный баланс энергии'!Q77+'корпоративный баланс энергии'!Q78+'корпоративный баланс энергии'!Q79+'корпоративный баланс энергии'!Q80)</f>
        <v>-384</v>
      </c>
      <c r="S62" s="161">
        <f>-(P47-N47)</f>
        <v>-384</v>
      </c>
    </row>
    <row r="63" spans="2:19">
      <c r="C63" s="41" t="s">
        <v>109</v>
      </c>
      <c r="D63" s="40">
        <f>-D62+G40+I42-J47-I60-F61-F54-F48</f>
        <v>-6.340684010865516E-3</v>
      </c>
      <c r="K63" s="84"/>
      <c r="N63" s="13" t="s">
        <v>75</v>
      </c>
      <c r="O63" s="83" t="s">
        <v>142</v>
      </c>
    </row>
    <row r="64" spans="2:19">
      <c r="F64" s="162" t="s">
        <v>143</v>
      </c>
      <c r="I64" s="31" t="s">
        <v>144</v>
      </c>
      <c r="N64" s="13" t="s">
        <v>145</v>
      </c>
      <c r="O64" s="83" t="s">
        <v>146</v>
      </c>
    </row>
    <row r="65" spans="6:20">
      <c r="F65" s="85">
        <f>-('корпоративный баланс энергии'!Q42+'корпоративный баланс энергии'!Q44+'корпоративный баланс энергии'!Q45+'корпоративный баланс энергии'!Q72+'корпоративный баланс энергии'!Q73)</f>
        <v>15</v>
      </c>
      <c r="I65" s="85">
        <f>-('корпоративный баланс энергии'!Q43+'корпоративный баланс энергии'!Q71)</f>
        <v>-5</v>
      </c>
      <c r="O65" s="83"/>
    </row>
    <row r="66" spans="6:20">
      <c r="O66" s="83"/>
    </row>
    <row r="67" spans="6:20">
      <c r="O67" s="83"/>
    </row>
    <row r="68" spans="6:20">
      <c r="O68" s="83"/>
    </row>
    <row r="69" spans="6:20">
      <c r="O69" s="83"/>
    </row>
    <row r="70" spans="6:20">
      <c r="O70" s="83"/>
    </row>
    <row r="72" spans="6:20" ht="15" hidden="1" thickBot="1">
      <c r="K72" s="1260" t="s">
        <v>149</v>
      </c>
      <c r="L72" s="1261"/>
      <c r="N72" s="1260" t="s">
        <v>149</v>
      </c>
      <c r="O72" s="1261"/>
    </row>
    <row r="73" spans="6:20" ht="14.25" hidden="1">
      <c r="K73" s="1255" t="s">
        <v>154</v>
      </c>
      <c r="L73" s="1256"/>
      <c r="N73" s="1255" t="s">
        <v>153</v>
      </c>
      <c r="O73" s="1256"/>
      <c r="Q73" s="1260" t="s">
        <v>149</v>
      </c>
      <c r="R73" s="1261"/>
    </row>
    <row r="74" spans="6:20" ht="15.75" hidden="1">
      <c r="F74" s="1263" t="s">
        <v>156</v>
      </c>
      <c r="G74" s="1263"/>
      <c r="H74" s="1263"/>
      <c r="I74" s="1263"/>
      <c r="J74" s="102">
        <f>-L79-M74</f>
        <v>-446.37979283194909</v>
      </c>
      <c r="K74" s="97" t="s">
        <v>29</v>
      </c>
      <c r="L74" s="98">
        <f>SUM(L75:L77)</f>
        <v>4346.1853608028896</v>
      </c>
      <c r="M74" s="100">
        <f>O76+P75</f>
        <v>-146.63484636516114</v>
      </c>
      <c r="N74" s="97" t="s">
        <v>29</v>
      </c>
      <c r="O74" s="98">
        <f>'корпоративный баланс энергии'!P1490</f>
        <v>586.72150250000004</v>
      </c>
      <c r="Q74" s="1255" t="s">
        <v>150</v>
      </c>
      <c r="R74" s="1256"/>
      <c r="T74" s="9" t="s">
        <v>152</v>
      </c>
    </row>
    <row r="75" spans="6:20" hidden="1">
      <c r="J75"/>
      <c r="K75" s="97" t="s">
        <v>56</v>
      </c>
      <c r="L75" s="98">
        <f>'корпоративный баланс энергии'!P1528</f>
        <v>1177.155</v>
      </c>
      <c r="N75" s="97" t="s">
        <v>107</v>
      </c>
      <c r="O75" s="98">
        <f>'корпоративный баланс энергии'!R1490</f>
        <v>501.18261459190001</v>
      </c>
      <c r="P75" s="100">
        <f>R77-S75</f>
        <v>-61.095958457061101</v>
      </c>
      <c r="Q75" s="97" t="s">
        <v>29</v>
      </c>
      <c r="R75" s="98">
        <f>'корпоративный баланс энергии'!P1508</f>
        <v>773.03093186368108</v>
      </c>
      <c r="S75" s="100">
        <f>R36</f>
        <v>29.438865199999782</v>
      </c>
    </row>
    <row r="76" spans="6:20" hidden="1">
      <c r="J76"/>
      <c r="K76" s="97" t="s">
        <v>55</v>
      </c>
      <c r="L76" s="98">
        <f>'корпоративный баланс энергии'!P1529</f>
        <v>3090.6780468028901</v>
      </c>
      <c r="N76" s="97" t="s">
        <v>108</v>
      </c>
      <c r="O76" s="98">
        <f>O75-O74</f>
        <v>-85.538887908100037</v>
      </c>
      <c r="Q76" s="97" t="s">
        <v>107</v>
      </c>
      <c r="R76" s="98">
        <f>'корпоративный баланс энергии'!R1508</f>
        <v>741.37383860661976</v>
      </c>
    </row>
    <row r="77" spans="6:20" ht="16.5" hidden="1" thickBot="1">
      <c r="I77" s="103" t="s">
        <v>157</v>
      </c>
      <c r="J77" s="102">
        <v>1265</v>
      </c>
      <c r="K77" s="97" t="s">
        <v>155</v>
      </c>
      <c r="L77" s="98">
        <f>'корпоративный баланс энергии'!P1530</f>
        <v>78.352314000000007</v>
      </c>
      <c r="N77" s="99" t="s">
        <v>151</v>
      </c>
      <c r="O77" s="101">
        <f>-O76-P75+M74</f>
        <v>0</v>
      </c>
      <c r="Q77" s="97" t="s">
        <v>108</v>
      </c>
      <c r="R77" s="98">
        <f>R76-R75</f>
        <v>-31.657093257061319</v>
      </c>
    </row>
    <row r="78" spans="6:20" ht="13.5" hidden="1" thickBot="1">
      <c r="J78"/>
      <c r="K78" s="97" t="s">
        <v>107</v>
      </c>
      <c r="L78" s="98">
        <f>'корпоративный баланс энергии'!R1527</f>
        <v>4939.2</v>
      </c>
      <c r="Q78" s="99" t="s">
        <v>151</v>
      </c>
      <c r="R78" s="101">
        <f>-R77+S75+P75</f>
        <v>0</v>
      </c>
    </row>
    <row r="79" spans="6:20" ht="15.75" hidden="1">
      <c r="F79" s="1263" t="s">
        <v>158</v>
      </c>
      <c r="G79" s="1263"/>
      <c r="H79" s="1263"/>
      <c r="I79" s="1263"/>
      <c r="J79" s="102">
        <f>SUM(J85:J96)</f>
        <v>1011.4942080000001</v>
      </c>
      <c r="K79" s="97" t="s">
        <v>108</v>
      </c>
      <c r="L79" s="98">
        <f>L78-L74</f>
        <v>593.01463919711023</v>
      </c>
    </row>
    <row r="80" spans="6:20" ht="16.5" hidden="1" thickBot="1">
      <c r="F80" s="1263" t="s">
        <v>159</v>
      </c>
      <c r="G80" s="1263"/>
      <c r="H80" s="1263"/>
      <c r="I80" s="1263"/>
      <c r="J80" s="102">
        <f>L76+(J77-J74)+(L75-J79)</f>
        <v>4967.7186316348389</v>
      </c>
      <c r="K80" s="99" t="s">
        <v>151</v>
      </c>
      <c r="L80" s="101">
        <f>-L79-M74-J74</f>
        <v>0</v>
      </c>
    </row>
    <row r="81" spans="7:11" hidden="1">
      <c r="K81"/>
    </row>
    <row r="82" spans="7:11" hidden="1"/>
    <row r="83" spans="7:11" hidden="1"/>
    <row r="84" spans="7:11" hidden="1"/>
    <row r="85" spans="7:11" hidden="1">
      <c r="G85" s="104" t="s">
        <v>160</v>
      </c>
      <c r="H85" s="24"/>
      <c r="J85" s="119">
        <v>56.960840000000005</v>
      </c>
    </row>
    <row r="86" spans="7:11" hidden="1">
      <c r="G86" s="104" t="s">
        <v>161</v>
      </c>
      <c r="H86" s="24"/>
      <c r="J86" s="119">
        <v>9.39</v>
      </c>
    </row>
    <row r="87" spans="7:11" hidden="1">
      <c r="G87" s="104" t="s">
        <v>162</v>
      </c>
      <c r="H87" s="24"/>
      <c r="J87" s="119">
        <v>128.23250799999997</v>
      </c>
    </row>
    <row r="88" spans="7:11" hidden="1">
      <c r="G88" s="104" t="s">
        <v>163</v>
      </c>
      <c r="H88" s="24"/>
      <c r="J88" s="119">
        <v>8.9</v>
      </c>
    </row>
    <row r="89" spans="7:11" hidden="1">
      <c r="G89" s="104" t="s">
        <v>164</v>
      </c>
      <c r="H89" s="24"/>
      <c r="J89" s="119">
        <v>205.42745759999997</v>
      </c>
    </row>
    <row r="90" spans="7:11" hidden="1">
      <c r="G90" s="104" t="s">
        <v>165</v>
      </c>
      <c r="H90" s="24"/>
      <c r="J90" s="119">
        <v>29.76</v>
      </c>
    </row>
    <row r="91" spans="7:11" hidden="1">
      <c r="G91" s="104" t="s">
        <v>166</v>
      </c>
      <c r="H91" s="24"/>
      <c r="J91" s="119">
        <v>75.144306</v>
      </c>
    </row>
    <row r="92" spans="7:11" hidden="1">
      <c r="G92" s="104" t="s">
        <v>167</v>
      </c>
      <c r="H92" s="24"/>
      <c r="J92" s="119">
        <v>7.2465600000000006</v>
      </c>
    </row>
    <row r="93" spans="7:11" hidden="1">
      <c r="G93" s="104" t="s">
        <v>168</v>
      </c>
      <c r="H93" s="24"/>
      <c r="J93" s="119">
        <v>9.6999999999999993</v>
      </c>
    </row>
    <row r="94" spans="7:11" hidden="1">
      <c r="G94" s="104" t="s">
        <v>61</v>
      </c>
      <c r="H94" s="24"/>
      <c r="J94" s="119">
        <v>286.52215040000004</v>
      </c>
    </row>
    <row r="95" spans="7:11" hidden="1">
      <c r="G95" s="104" t="s">
        <v>62</v>
      </c>
      <c r="H95" s="24"/>
      <c r="J95" s="119">
        <v>107.059386</v>
      </c>
    </row>
    <row r="96" spans="7:11" hidden="1">
      <c r="G96" s="104" t="s">
        <v>63</v>
      </c>
      <c r="H96" s="24"/>
      <c r="J96" s="119">
        <v>87.150999999999996</v>
      </c>
    </row>
    <row r="97" spans="7:7">
      <c r="G97" s="5"/>
    </row>
  </sheetData>
  <mergeCells count="18">
    <mergeCell ref="F80:I80"/>
    <mergeCell ref="K72:L72"/>
    <mergeCell ref="F79:I79"/>
    <mergeCell ref="Q73:R73"/>
    <mergeCell ref="K73:L73"/>
    <mergeCell ref="N73:O73"/>
    <mergeCell ref="Q74:R74"/>
    <mergeCell ref="N72:O72"/>
    <mergeCell ref="E20:F20"/>
    <mergeCell ref="G20:H20"/>
    <mergeCell ref="G42:H42"/>
    <mergeCell ref="F74:I74"/>
    <mergeCell ref="L3:M3"/>
    <mergeCell ref="I4:N4"/>
    <mergeCell ref="D13:E13"/>
    <mergeCell ref="G19:H19"/>
    <mergeCell ref="G43:H43"/>
    <mergeCell ref="G54:H54"/>
  </mergeCells>
  <phoneticPr fontId="20" type="noConversion"/>
  <conditionalFormatting sqref="G85:G96">
    <cfRule type="cellIs" dxfId="11" priority="1" stopIfTrue="1" operator="notEqual">
      <formula>G84</formula>
    </cfRule>
  </conditionalFormatting>
  <pageMargins left="1.1000000000000001" right="0.17" top="0.2" bottom="0.21" header="0.17" footer="0.17"/>
  <pageSetup paperSize="9" scale="51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B2:U96"/>
  <sheetViews>
    <sheetView view="pageBreakPreview" topLeftCell="A4" zoomScale="75" zoomScaleNormal="75" zoomScaleSheetLayoutView="75" workbookViewId="0">
      <selection activeCell="P60" sqref="P60"/>
    </sheetView>
  </sheetViews>
  <sheetFormatPr defaultColWidth="10.6640625" defaultRowHeight="12.75"/>
  <cols>
    <col min="1" max="1" width="5.33203125" style="13" customWidth="1"/>
    <col min="2" max="2" width="10.6640625" style="13"/>
    <col min="3" max="3" width="14.6640625" style="13" customWidth="1"/>
    <col min="4" max="4" width="12.1640625" style="13" customWidth="1"/>
    <col min="5" max="5" width="11.1640625" style="13" customWidth="1"/>
    <col min="6" max="6" width="13.33203125" style="13" bestFit="1" customWidth="1"/>
    <col min="7" max="7" width="12.1640625" style="13" bestFit="1" customWidth="1"/>
    <col min="8" max="8" width="12.5" style="13" customWidth="1"/>
    <col min="9" max="9" width="11.6640625" style="13" customWidth="1"/>
    <col min="10" max="10" width="12.33203125" style="13" customWidth="1"/>
    <col min="11" max="11" width="11.6640625" style="13" customWidth="1"/>
    <col min="12" max="12" width="13.6640625" style="13" customWidth="1"/>
    <col min="13" max="13" width="12.1640625" style="13" customWidth="1"/>
    <col min="14" max="14" width="15.1640625" style="13" customWidth="1"/>
    <col min="15" max="15" width="12.1640625" style="13" customWidth="1"/>
    <col min="16" max="16" width="14" style="13" bestFit="1" customWidth="1"/>
    <col min="17" max="17" width="12" style="13" bestFit="1" customWidth="1"/>
    <col min="18" max="18" width="13.33203125" style="13" customWidth="1"/>
    <col min="19" max="19" width="10.83203125" style="13" customWidth="1"/>
    <col min="20" max="20" width="13.33203125" style="13" bestFit="1" customWidth="1"/>
    <col min="21" max="21" width="12.1640625" style="13" bestFit="1" customWidth="1"/>
    <col min="22" max="16384" width="10.6640625" style="13"/>
  </cols>
  <sheetData>
    <row r="2" spans="3:21" ht="25.5">
      <c r="C2" s="11" t="s">
        <v>100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3:21" ht="22.5">
      <c r="C3" s="14"/>
      <c r="D3" s="15"/>
      <c r="E3" s="15"/>
      <c r="F3" s="15"/>
      <c r="G3" s="15"/>
      <c r="I3" s="16" t="s">
        <v>169</v>
      </c>
      <c r="J3" s="17"/>
      <c r="K3" s="17"/>
      <c r="L3" s="1251" t="s">
        <v>76</v>
      </c>
      <c r="M3" s="1251"/>
      <c r="N3" s="18">
        <f>Январь!N3</f>
        <v>2020</v>
      </c>
      <c r="O3" s="17"/>
      <c r="P3" s="15"/>
      <c r="Q3" s="15"/>
      <c r="R3" s="15"/>
      <c r="S3" s="15"/>
      <c r="T3" s="15"/>
    </row>
    <row r="4" spans="3:21" ht="18" customHeight="1">
      <c r="C4" s="19"/>
      <c r="F4" s="21"/>
      <c r="G4" s="22"/>
      <c r="I4" s="23" t="s">
        <v>147</v>
      </c>
      <c r="K4" s="24"/>
      <c r="L4" s="25"/>
      <c r="M4" s="25"/>
      <c r="N4" s="26"/>
      <c r="O4" s="20"/>
    </row>
    <row r="5" spans="3:21" ht="14.25" customHeight="1">
      <c r="C5" s="32" t="s">
        <v>104</v>
      </c>
      <c r="D5" s="33"/>
      <c r="F5" s="21"/>
      <c r="G5" s="22"/>
      <c r="I5" s="23"/>
      <c r="K5" s="24"/>
      <c r="L5" s="25"/>
      <c r="M5" s="25"/>
      <c r="N5" s="26"/>
      <c r="O5" s="20"/>
    </row>
    <row r="6" spans="3:21" ht="14.25" customHeight="1">
      <c r="C6" s="36" t="s">
        <v>29</v>
      </c>
      <c r="D6" s="37">
        <f>'корпоративный баланс энергии'!S849</f>
        <v>8927.382538227539</v>
      </c>
      <c r="F6" s="21"/>
      <c r="G6" s="22"/>
      <c r="I6" s="23"/>
      <c r="K6" s="24"/>
      <c r="L6" s="25"/>
      <c r="M6" s="25"/>
      <c r="N6" s="26"/>
      <c r="O6" s="20"/>
    </row>
    <row r="7" spans="3:21" ht="14.25" customHeight="1">
      <c r="C7" s="36" t="s">
        <v>107</v>
      </c>
      <c r="D7" s="37">
        <f>'корпоративный баланс энергии'!U849</f>
        <v>7918.8802917336761</v>
      </c>
      <c r="F7" s="21"/>
      <c r="G7" s="22"/>
      <c r="I7" s="23"/>
      <c r="K7" s="24"/>
      <c r="L7" s="25"/>
      <c r="M7" s="25"/>
      <c r="N7" s="26"/>
      <c r="O7" s="20"/>
    </row>
    <row r="8" spans="3:21" ht="14.25" customHeight="1">
      <c r="C8" s="36" t="s">
        <v>108</v>
      </c>
      <c r="D8" s="40">
        <f>D7-D6</f>
        <v>-1008.5022464938629</v>
      </c>
      <c r="F8" s="21"/>
      <c r="G8" s="22"/>
      <c r="I8" s="23"/>
      <c r="K8" s="24"/>
      <c r="L8" s="25"/>
      <c r="M8" s="25"/>
      <c r="N8" s="26"/>
      <c r="O8" s="20"/>
    </row>
    <row r="9" spans="3:21" ht="14.25" customHeight="1">
      <c r="C9" s="41" t="s">
        <v>109</v>
      </c>
      <c r="D9" s="40">
        <f>-D8-G11-I11-J13-J15+F16-E18-F30-G27+K20</f>
        <v>2.2464938629127573E-3</v>
      </c>
      <c r="F9" s="21"/>
      <c r="G9" s="22"/>
      <c r="I9" s="23"/>
      <c r="K9" s="24"/>
      <c r="L9" s="25"/>
      <c r="M9" s="25"/>
      <c r="N9" s="26"/>
      <c r="O9" s="20"/>
    </row>
    <row r="10" spans="3:21" ht="14.25" customHeight="1">
      <c r="C10" s="19"/>
      <c r="F10" s="21"/>
      <c r="G10" s="22" t="s">
        <v>101</v>
      </c>
      <c r="I10" s="158" t="s">
        <v>243</v>
      </c>
      <c r="K10" s="24"/>
      <c r="L10" s="25"/>
      <c r="M10" s="25"/>
      <c r="N10" s="26"/>
      <c r="O10" s="20"/>
    </row>
    <row r="11" spans="3:21" ht="15.75" customHeight="1">
      <c r="C11" s="19"/>
      <c r="F11" s="21"/>
      <c r="G11" s="27">
        <f>-('корпоративный баланс энергии'!T23+'корпоративный баланс энергии'!T59)</f>
        <v>465</v>
      </c>
      <c r="I11" s="27">
        <f>-'корпоративный баланс энергии'!T24</f>
        <v>30</v>
      </c>
      <c r="K11" s="24"/>
      <c r="L11" s="25"/>
      <c r="M11" s="25"/>
      <c r="N11" s="26"/>
      <c r="O11" s="20"/>
    </row>
    <row r="12" spans="3:21" ht="15.75" customHeight="1">
      <c r="C12" s="19"/>
      <c r="F12" s="21"/>
      <c r="J12" s="158" t="s">
        <v>244</v>
      </c>
      <c r="K12" s="15"/>
      <c r="L12" s="25"/>
      <c r="M12" s="25"/>
      <c r="N12" s="26"/>
      <c r="O12" s="29" t="s">
        <v>102</v>
      </c>
      <c r="R12" s="30">
        <f>SUM(D6,H34,D60,K34,N34,Q34,T34)</f>
        <v>87526.108832568745</v>
      </c>
    </row>
    <row r="13" spans="3:21" ht="15" customHeight="1">
      <c r="C13" s="19"/>
      <c r="D13" s="1253" t="s">
        <v>103</v>
      </c>
      <c r="E13" s="1253"/>
      <c r="F13" s="21"/>
      <c r="J13" s="27">
        <f>-'корпоративный баланс энергии'!T25</f>
        <v>45</v>
      </c>
      <c r="K13" s="15"/>
      <c r="L13" s="34"/>
      <c r="M13" s="25"/>
      <c r="N13" s="26"/>
      <c r="O13" s="29" t="s">
        <v>105</v>
      </c>
      <c r="R13" s="30">
        <f>SUM(D7,H35,D61,K35,N35,Q35,T35)</f>
        <v>87006.596869906542</v>
      </c>
    </row>
    <row r="14" spans="3:21" ht="15.75" customHeight="1">
      <c r="C14" s="19"/>
      <c r="E14" s="35">
        <f>-('корпоративный баланс энергии'!T30+'корпоративный баланс энергии'!T31+'корпоративный баланс энергии'!T32+'корпоративный баланс энергии'!T33+'корпоративный баланс энергии'!T61+'корпоративный баланс энергии'!T62+'корпоративный баланс энергии'!T63)</f>
        <v>230</v>
      </c>
      <c r="F14" s="21"/>
      <c r="J14" s="158" t="s">
        <v>245</v>
      </c>
      <c r="K14" s="24"/>
      <c r="L14" s="25"/>
      <c r="M14" s="25"/>
      <c r="N14" s="26"/>
      <c r="O14" s="29" t="s">
        <v>106</v>
      </c>
      <c r="R14" s="30">
        <f>SUM(D8,H36,D62,K36,N36,Q36,T36)</f>
        <v>-519.51196266222678</v>
      </c>
      <c r="S14" s="24"/>
      <c r="T14" s="161">
        <f>-G11-I11-J13-J15+F16-E18-F30-F36-E45-F54-F61-I60-J47-L47-M47-N47+P47-R47-T47-F48</f>
        <v>-519.5</v>
      </c>
      <c r="U14" s="161">
        <f>R13-R12</f>
        <v>-519.51196266220359</v>
      </c>
    </row>
    <row r="15" spans="3:21">
      <c r="D15" s="41" t="s">
        <v>109</v>
      </c>
      <c r="E15" s="591">
        <f>-E14+D29+E18-F16</f>
        <v>0</v>
      </c>
      <c r="J15" s="27">
        <f>-'корпоративный баланс энергии'!T26</f>
        <v>1.5</v>
      </c>
      <c r="O15" s="38"/>
      <c r="P15" s="24"/>
      <c r="Q15" s="24"/>
      <c r="R15" s="38"/>
    </row>
    <row r="16" spans="3:21">
      <c r="F16" s="69">
        <f>'корпоративный баланс энергии'!T30+'корпоративный баланс энергии'!T31+'корпоративный баланс энергии'!T32+'корпоративный баланс энергии'!T62+'корпоративный баланс энергии'!T63</f>
        <v>-80</v>
      </c>
      <c r="O16" s="38"/>
      <c r="P16" s="24"/>
      <c r="Q16" s="24"/>
      <c r="R16" s="38"/>
    </row>
    <row r="17" spans="4:21" ht="13.5" thickBot="1">
      <c r="O17" s="38"/>
      <c r="P17" s="24"/>
      <c r="Q17" s="24"/>
      <c r="R17" s="38"/>
    </row>
    <row r="18" spans="4:21" ht="15">
      <c r="E18" s="210">
        <f>-('корпоративный баланс энергии'!T33+'корпоративный баланс энергии'!T61)</f>
        <v>150</v>
      </c>
      <c r="P18" s="863" t="s">
        <v>113</v>
      </c>
      <c r="Q18" s="864"/>
      <c r="R18" s="864"/>
      <c r="S18" s="864"/>
      <c r="T18" s="865"/>
      <c r="U18" s="866">
        <f>-O60</f>
        <v>636</v>
      </c>
    </row>
    <row r="19" spans="4:21" ht="14.25">
      <c r="F19" s="43"/>
      <c r="G19" s="1258" t="s">
        <v>110</v>
      </c>
      <c r="H19" s="1258"/>
      <c r="P19" s="867" t="s">
        <v>1070</v>
      </c>
      <c r="Q19" s="868"/>
      <c r="R19" s="868"/>
      <c r="S19" s="868"/>
      <c r="T19" s="869"/>
      <c r="U19" s="870">
        <f>SUM(U20:U21)</f>
        <v>260.00395401087326</v>
      </c>
    </row>
    <row r="20" spans="4:21" ht="15">
      <c r="D20" s="24"/>
      <c r="E20" s="1257" t="s">
        <v>111</v>
      </c>
      <c r="F20" s="1257"/>
      <c r="G20" s="1258" t="s">
        <v>112</v>
      </c>
      <c r="H20" s="1258"/>
      <c r="K20" s="1032">
        <v>3</v>
      </c>
      <c r="P20" s="871" t="s">
        <v>115</v>
      </c>
      <c r="Q20" s="868" t="s">
        <v>507</v>
      </c>
      <c r="R20" s="868"/>
      <c r="S20" s="868"/>
      <c r="T20" s="869"/>
      <c r="U20" s="870">
        <f>-N47</f>
        <v>180.00395401087326</v>
      </c>
    </row>
    <row r="21" spans="4:21" ht="13.5" thickBot="1">
      <c r="F21" s="44"/>
      <c r="G21" s="36" t="s">
        <v>29</v>
      </c>
      <c r="H21" s="45">
        <f>D6-F22</f>
        <v>8411.6935382275387</v>
      </c>
      <c r="P21" s="872"/>
      <c r="Q21" s="873" t="s">
        <v>116</v>
      </c>
      <c r="R21" s="873"/>
      <c r="S21" s="873"/>
      <c r="T21" s="874"/>
      <c r="U21" s="875">
        <f>-M47</f>
        <v>80</v>
      </c>
    </row>
    <row r="22" spans="4:21" ht="15" thickBot="1">
      <c r="E22" s="36" t="s">
        <v>29</v>
      </c>
      <c r="F22" s="37">
        <f>'корпоративный баланс энергии'!S865</f>
        <v>515.68899999999996</v>
      </c>
      <c r="G22" s="36" t="s">
        <v>107</v>
      </c>
      <c r="H22" s="45">
        <f>D7-F23</f>
        <v>7553.1932917336762</v>
      </c>
      <c r="P22" s="860" t="s">
        <v>1068</v>
      </c>
      <c r="Q22" s="861"/>
      <c r="R22" s="861"/>
      <c r="S22" s="861"/>
      <c r="T22" s="861"/>
      <c r="U22" s="862">
        <f>'корпоративный баланс энергии'!T74</f>
        <v>90</v>
      </c>
    </row>
    <row r="23" spans="4:21" ht="15" thickBot="1">
      <c r="E23" s="36" t="s">
        <v>107</v>
      </c>
      <c r="F23" s="37">
        <f>'корпоративный баланс энергии'!U865</f>
        <v>365.68700000000001</v>
      </c>
      <c r="G23" s="36" t="s">
        <v>108</v>
      </c>
      <c r="H23" s="40">
        <f>H22-H21</f>
        <v>-858.50024649386251</v>
      </c>
      <c r="P23" s="858" t="s">
        <v>1071</v>
      </c>
      <c r="Q23" s="876"/>
      <c r="R23" s="876"/>
      <c r="S23" s="876"/>
      <c r="T23" s="859"/>
      <c r="U23" s="875">
        <f>MIN(ABS(N48),ABS(P48))</f>
        <v>180</v>
      </c>
    </row>
    <row r="24" spans="4:21" ht="15" thickBot="1">
      <c r="E24" s="36" t="s">
        <v>108</v>
      </c>
      <c r="F24" s="46">
        <f>F23-F22</f>
        <v>-150.00199999999995</v>
      </c>
      <c r="G24" s="41" t="s">
        <v>109</v>
      </c>
      <c r="H24" s="40">
        <f>-H23+F16+K20-G11-I11-J13-J15-G27-F30</f>
        <v>2.464938625053037E-4</v>
      </c>
      <c r="P24" s="877" t="s">
        <v>1072</v>
      </c>
      <c r="Q24" s="873"/>
      <c r="R24" s="873"/>
      <c r="S24" s="873"/>
      <c r="T24" s="874"/>
      <c r="U24" s="875">
        <f>MIN(ABS('корпоративный баланс энергии'!T54),ABS('корпоративный баланс энергии'!T80))</f>
        <v>0</v>
      </c>
    </row>
    <row r="25" spans="4:21" ht="15" thickBot="1">
      <c r="E25" s="41" t="s">
        <v>109</v>
      </c>
      <c r="F25" s="46">
        <f>-F24-E18</f>
        <v>1.9999999999527063E-3</v>
      </c>
      <c r="K25" s="1024">
        <v>50</v>
      </c>
      <c r="P25" s="878" t="s">
        <v>1073</v>
      </c>
      <c r="Q25" s="879"/>
      <c r="R25" s="879"/>
      <c r="S25" s="879"/>
      <c r="T25" s="880"/>
      <c r="U25" s="881">
        <f>ABS(U23)+ABS(U24)</f>
        <v>180</v>
      </c>
    </row>
    <row r="26" spans="4:21" ht="15" thickBot="1">
      <c r="P26" s="877" t="s">
        <v>1257</v>
      </c>
      <c r="Q26" s="873"/>
      <c r="R26" s="873"/>
      <c r="S26" s="873"/>
      <c r="T26" s="874"/>
      <c r="U26" s="875">
        <f>'корпоративный баланс энергии'!T79</f>
        <v>21</v>
      </c>
    </row>
    <row r="27" spans="4:21" ht="15" thickBot="1">
      <c r="G27" s="1032">
        <v>250</v>
      </c>
      <c r="N27" s="86"/>
      <c r="P27" s="884" t="s">
        <v>1074</v>
      </c>
      <c r="Q27" s="885"/>
      <c r="R27" s="885"/>
      <c r="S27" s="885"/>
      <c r="T27" s="886"/>
      <c r="U27" s="887">
        <f>U22+U25+U26</f>
        <v>291</v>
      </c>
    </row>
    <row r="28" spans="4:21" ht="18.75">
      <c r="N28" s="87"/>
      <c r="S28" s="48"/>
      <c r="T28" s="48"/>
      <c r="U28" s="48"/>
    </row>
    <row r="29" spans="4:21">
      <c r="D29" s="600">
        <v>0</v>
      </c>
      <c r="S29" s="48"/>
    </row>
    <row r="30" spans="4:21">
      <c r="F30" s="69">
        <f>-('корпоративный баланс энергии'!T34+'корпоративный баланс энергии'!T64)</f>
        <v>-10</v>
      </c>
      <c r="R30" s="52"/>
    </row>
    <row r="31" spans="4:21" ht="15">
      <c r="G31" s="21" t="s">
        <v>117</v>
      </c>
      <c r="J31" s="28" t="s">
        <v>118</v>
      </c>
      <c r="K31" s="15"/>
      <c r="M31" s="21" t="s">
        <v>117</v>
      </c>
      <c r="P31" s="21" t="s">
        <v>117</v>
      </c>
      <c r="Q31" s="53"/>
    </row>
    <row r="32" spans="4:21" ht="15">
      <c r="G32" s="28" t="s">
        <v>119</v>
      </c>
      <c r="H32" s="15"/>
      <c r="J32" s="28" t="s">
        <v>120</v>
      </c>
      <c r="K32" s="15"/>
      <c r="M32" s="28" t="s">
        <v>121</v>
      </c>
      <c r="N32" s="15"/>
      <c r="P32" s="28" t="s">
        <v>122</v>
      </c>
      <c r="Q32" s="54"/>
      <c r="S32" s="21" t="s">
        <v>117</v>
      </c>
      <c r="T32" s="15"/>
    </row>
    <row r="33" spans="3:20" ht="14.25">
      <c r="C33" s="21" t="s">
        <v>124</v>
      </c>
      <c r="S33" s="28" t="s">
        <v>123</v>
      </c>
    </row>
    <row r="34" spans="3:20" ht="14.25">
      <c r="D34" s="21" t="s">
        <v>125</v>
      </c>
      <c r="G34" s="36" t="s">
        <v>29</v>
      </c>
      <c r="H34" s="37">
        <f>'корпоративный баланс энергии'!S82</f>
        <v>18746.414515125762</v>
      </c>
      <c r="J34" s="36" t="s">
        <v>29</v>
      </c>
      <c r="K34" s="37">
        <f>'корпоративный баланс энергии'!S370</f>
        <v>9253.6253414283583</v>
      </c>
      <c r="M34" s="36" t="s">
        <v>29</v>
      </c>
      <c r="N34" s="37">
        <f>'корпоративный баланс энергии'!S538</f>
        <v>21279.6460635736</v>
      </c>
      <c r="P34" s="36" t="s">
        <v>29</v>
      </c>
      <c r="Q34" s="37">
        <f>'корпоративный баланс энергии'!S1454</f>
        <v>16928.483053847835</v>
      </c>
      <c r="S34" s="36" t="s">
        <v>29</v>
      </c>
      <c r="T34" s="37">
        <f>'корпоративный баланс энергии'!S1674</f>
        <v>3517.2309999999998</v>
      </c>
    </row>
    <row r="35" spans="3:20">
      <c r="E35" s="55">
        <f>-('корпоративный баланс энергии'!T34+'корпоративный баланс энергии'!T35+'корпоративный баланс энергии'!T36+'корпоративный баланс энергии'!T65)</f>
        <v>70</v>
      </c>
      <c r="G35" s="36" t="s">
        <v>107</v>
      </c>
      <c r="H35" s="37">
        <f>'корпоративный баланс энергии'!U82</f>
        <v>19701.407806559291</v>
      </c>
      <c r="J35" s="36" t="s">
        <v>107</v>
      </c>
      <c r="K35" s="37">
        <f>'корпоративный баланс энергии'!U370</f>
        <v>8899.6198775711782</v>
      </c>
      <c r="M35" s="36" t="s">
        <v>107</v>
      </c>
      <c r="N35" s="37">
        <f>'корпоративный баланс энергии'!U538</f>
        <v>21736.661028485585</v>
      </c>
      <c r="P35" s="36" t="s">
        <v>107</v>
      </c>
      <c r="Q35" s="37">
        <f>'корпоративный баланс энергии'!U1454</f>
        <v>17366.398851136961</v>
      </c>
      <c r="S35" s="36" t="s">
        <v>107</v>
      </c>
      <c r="T35" s="37">
        <f>'корпоративный баланс энергии'!U1674</f>
        <v>3291.3112487000003</v>
      </c>
    </row>
    <row r="36" spans="3:20">
      <c r="C36" s="599">
        <v>0</v>
      </c>
      <c r="D36" s="41" t="s">
        <v>109</v>
      </c>
      <c r="E36" s="591">
        <f>-E35-D29+F30+F36-C36</f>
        <v>-10</v>
      </c>
      <c r="F36" s="69">
        <f>-('корпоративный баланс энергии'!T35+'корпоративный баланс энергии'!T36+'корпоративный баланс энергии'!T65)</f>
        <v>70</v>
      </c>
      <c r="G36" s="36" t="s">
        <v>108</v>
      </c>
      <c r="H36" s="46">
        <f>H35-H34</f>
        <v>954.99329143352952</v>
      </c>
      <c r="I36" s="1160">
        <v>100</v>
      </c>
      <c r="J36" s="56" t="s">
        <v>108</v>
      </c>
      <c r="K36" s="46">
        <f>K35-K34</f>
        <v>-354.00546385718008</v>
      </c>
      <c r="L36" s="1160">
        <v>300</v>
      </c>
      <c r="M36" s="56" t="s">
        <v>108</v>
      </c>
      <c r="N36" s="57">
        <f>N35-N34</f>
        <v>457.01496491198486</v>
      </c>
      <c r="O36" s="1162">
        <v>50</v>
      </c>
      <c r="P36" s="56" t="s">
        <v>108</v>
      </c>
      <c r="Q36" s="46">
        <f>Q35-Q34</f>
        <v>437.9157972891262</v>
      </c>
      <c r="R36" s="58">
        <f>T34-T35-T47</f>
        <v>25.919751299999461</v>
      </c>
      <c r="S36" s="56" t="s">
        <v>108</v>
      </c>
      <c r="T36" s="46">
        <f>T35-T34</f>
        <v>-225.91975129999946</v>
      </c>
    </row>
    <row r="37" spans="3:20">
      <c r="G37" s="41" t="s">
        <v>109</v>
      </c>
      <c r="H37" s="46">
        <f>-H36-F36+G27+K25-I36-E45-G40</f>
        <v>6.708566470479127E-3</v>
      </c>
      <c r="J37" s="41" t="s">
        <v>109</v>
      </c>
      <c r="K37" s="46">
        <f>-K36+I36-L36-L47-I42</f>
        <v>5.4638571800751379E-3</v>
      </c>
      <c r="L37" s="44"/>
      <c r="M37" s="41" t="s">
        <v>109</v>
      </c>
      <c r="N37" s="57">
        <f>-N36+L36-O36-K20-K25-M47-N47</f>
        <v>-1.1010901111603744E-2</v>
      </c>
      <c r="P37" s="41" t="s">
        <v>109</v>
      </c>
      <c r="Q37" s="40">
        <f>-Q36+O36+R36-R47+P47</f>
        <v>0</v>
      </c>
      <c r="S37" s="41" t="s">
        <v>109</v>
      </c>
      <c r="T37" s="40">
        <f>-T36-R36-T47</f>
        <v>0</v>
      </c>
    </row>
    <row r="38" spans="3:20">
      <c r="R38" s="44"/>
    </row>
    <row r="39" spans="3:20" ht="15">
      <c r="H39" s="160" t="s">
        <v>126</v>
      </c>
      <c r="N39" s="71"/>
    </row>
    <row r="40" spans="3:20">
      <c r="G40" s="1161">
        <v>-735</v>
      </c>
      <c r="H40" s="160" t="s">
        <v>127</v>
      </c>
      <c r="N40" s="60"/>
      <c r="O40" s="73"/>
    </row>
    <row r="41" spans="3:20" ht="18.75">
      <c r="I41" s="160" t="s">
        <v>128</v>
      </c>
      <c r="N41" s="62"/>
      <c r="O41" s="73"/>
    </row>
    <row r="42" spans="3:20">
      <c r="G42" s="1259" t="s">
        <v>129</v>
      </c>
      <c r="H42" s="1259"/>
      <c r="I42" s="1161">
        <v>150</v>
      </c>
    </row>
    <row r="43" spans="3:20">
      <c r="G43" s="1262" t="s">
        <v>130</v>
      </c>
      <c r="H43" s="1262"/>
      <c r="M43" s="160"/>
    </row>
    <row r="44" spans="3:20">
      <c r="E44" s="44"/>
      <c r="G44" s="36" t="s">
        <v>29</v>
      </c>
      <c r="H44" s="37">
        <f>'корпоративный баланс энергии'!S1089+'корпоративный баланс энергии'!S1122</f>
        <v>1780.0945781250002</v>
      </c>
      <c r="M44" s="160" t="s">
        <v>251</v>
      </c>
      <c r="N44" s="64"/>
      <c r="O44" s="160" t="s">
        <v>248</v>
      </c>
    </row>
    <row r="45" spans="3:20">
      <c r="E45" s="69">
        <f>-('корпоративный баланс энергии'!T37+'корпоративный баланс энергии'!T38+'корпоративный баланс энергии'!T39+'корпоративный баланс энергии'!T66+'корпоративный баланс энергии'!T67+'корпоративный баланс энергии'!T68)</f>
        <v>-90</v>
      </c>
      <c r="G45" s="36" t="s">
        <v>107</v>
      </c>
      <c r="H45" s="37">
        <f>'корпоративный баланс энергии'!U1089+'корпоративный баланс энергии'!U1122</f>
        <v>1639.0898141390917</v>
      </c>
      <c r="M45" s="160" t="s">
        <v>336</v>
      </c>
      <c r="O45" s="160" t="s">
        <v>249</v>
      </c>
    </row>
    <row r="46" spans="3:20" ht="14.25">
      <c r="G46" s="36" t="s">
        <v>108</v>
      </c>
      <c r="H46" s="46">
        <f>H45-H44</f>
        <v>-141.00476398590854</v>
      </c>
      <c r="J46" s="160" t="s">
        <v>131</v>
      </c>
      <c r="O46" s="160" t="s">
        <v>250</v>
      </c>
      <c r="R46" s="65" t="s">
        <v>132</v>
      </c>
      <c r="T46" s="21" t="s">
        <v>133</v>
      </c>
    </row>
    <row r="47" spans="3:20">
      <c r="F47" s="29"/>
      <c r="G47" s="41" t="s">
        <v>109</v>
      </c>
      <c r="H47" s="46">
        <f>-H46+G40+I42-J47-F48-G49</f>
        <v>4.7639859085393255E-3</v>
      </c>
      <c r="J47" s="69">
        <f>-('корпоративный баланс энергии'!T49+'корпоративный баланс энергии'!T50)</f>
        <v>6</v>
      </c>
      <c r="L47" s="69">
        <f>-('корпоративный баланс энергии'!T46+'корпоративный баланс энергии'!T47+'корпоративный баланс энергии'!T74)</f>
        <v>4</v>
      </c>
      <c r="M47" s="66">
        <f>-('корпоративный баланс энергии'!T48+'корпоративный баланс энергии'!T75)</f>
        <v>-80</v>
      </c>
      <c r="N47" s="42">
        <f>P62+P47</f>
        <v>-180.00395401087326</v>
      </c>
      <c r="O47" s="1177">
        <f>-'корпоративный баланс энергии'!U53</f>
        <v>14</v>
      </c>
      <c r="P47" s="42">
        <f>Q36-O36-R36+R47</f>
        <v>385.99604598912674</v>
      </c>
      <c r="R47" s="27">
        <f>-('корпоративный баланс энергии'!T27+'корпоративный баланс энергии'!T28+'корпоративный баланс энергии'!T60)</f>
        <v>24</v>
      </c>
      <c r="T47" s="27">
        <f>-'корпоративный баланс энергии'!T29</f>
        <v>200</v>
      </c>
    </row>
    <row r="48" spans="3:20">
      <c r="F48" s="51">
        <f>-('корпоративный баланс энергии'!T40)</f>
        <v>0</v>
      </c>
      <c r="N48" s="584">
        <f>-('корпоративный баланс энергии'!T51+'корпоративный баланс энергии'!T52+'корпоративный баланс энергии'!T76+'корпоративный баланс энергии'!T77)</f>
        <v>-180</v>
      </c>
      <c r="P48" s="584">
        <f>'корпоративный баланс энергии'!T53+'корпоративный баланс энергии'!T54+'корпоративный баланс энергии'!T55+'корпоративный баланс энергии'!T56+'корпоративный баланс энергии'!T78+'корпоративный баланс энергии'!T79+'корпоративный баланс энергии'!T80</f>
        <v>386</v>
      </c>
      <c r="R48" s="211"/>
    </row>
    <row r="49" spans="2:19" ht="15.75">
      <c r="C49" s="22" t="s">
        <v>134</v>
      </c>
      <c r="F49" s="160" t="s">
        <v>135</v>
      </c>
      <c r="G49" s="1163">
        <v>-450</v>
      </c>
      <c r="H49" s="160" t="s">
        <v>136</v>
      </c>
    </row>
    <row r="50" spans="2:19">
      <c r="D50" s="68" t="s">
        <v>137</v>
      </c>
      <c r="H50" s="160" t="s">
        <v>138</v>
      </c>
      <c r="P50" s="13" t="s">
        <v>90</v>
      </c>
    </row>
    <row r="51" spans="2:19">
      <c r="E51" s="55">
        <f>-('корпоративный баланс энергии'!T37+'корпоративный баланс энергии'!T38+'корпоративный баланс энергии'!T39+'корпоративный баланс энергии'!T40+'корпоративный баланс энергии'!T41+'корпоративный баланс энергии'!T66+'корпоративный баланс энергии'!T67+'корпоративный баланс энергии'!T68+'корпоративный баланс энергии'!T69+'корпоративный баланс энергии'!T70)</f>
        <v>110</v>
      </c>
      <c r="H51" s="160" t="s">
        <v>508</v>
      </c>
    </row>
    <row r="52" spans="2:19" ht="14.25">
      <c r="C52" s="599">
        <v>0</v>
      </c>
      <c r="D52" s="41" t="s">
        <v>109</v>
      </c>
      <c r="E52" s="591">
        <f>-E51+E45+F48+F54-E54-C52</f>
        <v>0</v>
      </c>
      <c r="G52" s="28"/>
      <c r="H52" s="15"/>
      <c r="O52" s="70"/>
    </row>
    <row r="53" spans="2:19" ht="15">
      <c r="B53" s="581" t="s">
        <v>513</v>
      </c>
      <c r="G53" s="28" t="s">
        <v>890</v>
      </c>
      <c r="H53" s="15"/>
      <c r="I53" s="59"/>
      <c r="J53" s="24"/>
    </row>
    <row r="54" spans="2:19">
      <c r="B54" s="36" t="s">
        <v>29</v>
      </c>
      <c r="C54" s="157">
        <f>'корпоративный баланс энергии'!S1390</f>
        <v>484.83574768</v>
      </c>
      <c r="E54" s="51">
        <f>'корпоративный баланс энергии'!T70</f>
        <v>0</v>
      </c>
      <c r="F54" s="69">
        <f>-('корпоративный баланс энергии'!T41+'корпоративный баланс энергии'!T69)</f>
        <v>200</v>
      </c>
      <c r="G54" s="1262" t="s">
        <v>889</v>
      </c>
      <c r="H54" s="1262"/>
      <c r="I54" s="60"/>
      <c r="J54" s="61"/>
      <c r="M54" s="44"/>
    </row>
    <row r="55" spans="2:19" ht="18.75">
      <c r="B55" s="36" t="s">
        <v>107</v>
      </c>
      <c r="C55" s="157">
        <f>'корпоративный баланс энергии'!U1390</f>
        <v>645.53735737976979</v>
      </c>
      <c r="G55" s="36" t="s">
        <v>29</v>
      </c>
      <c r="H55" s="37">
        <f>D60-C54-H44</f>
        <v>6608.3959945606612</v>
      </c>
      <c r="I55" s="62"/>
      <c r="J55" s="61"/>
      <c r="M55" s="221">
        <f>J47+L47+M47</f>
        <v>-70</v>
      </c>
    </row>
    <row r="56" spans="2:19">
      <c r="B56" s="36" t="s">
        <v>108</v>
      </c>
      <c r="C56" s="40">
        <f>C55-C54</f>
        <v>160.70160969976979</v>
      </c>
      <c r="D56" s="582" t="s">
        <v>511</v>
      </c>
      <c r="E56" s="588">
        <f>'корпоративный баланс энергии'!T1390</f>
        <v>160.70160969976979</v>
      </c>
      <c r="G56" s="36" t="s">
        <v>107</v>
      </c>
      <c r="H56" s="37">
        <f>D61-C55-H45</f>
        <v>5807.6905942009744</v>
      </c>
      <c r="I56" s="75"/>
      <c r="L56" s="29" t="s">
        <v>139</v>
      </c>
      <c r="M56" s="51">
        <f>-('корпоративный баланс энергии'!T46+'корпоративный баланс энергии'!T47+'корпоративный баланс энергии'!T48+'корпоративный баланс энергии'!T49+'корпоративный баланс энергии'!T50+'корпоративный баланс энергии'!T74+'корпоративный баланс энергии'!T75)</f>
        <v>-70</v>
      </c>
    </row>
    <row r="57" spans="2:19">
      <c r="B57" s="41" t="s">
        <v>109</v>
      </c>
      <c r="C57" s="40">
        <f>-C56+E54+E56</f>
        <v>0</v>
      </c>
      <c r="D57" s="583" t="s">
        <v>512</v>
      </c>
      <c r="G57" s="36" t="s">
        <v>108</v>
      </c>
      <c r="H57" s="46">
        <f>H56-H55</f>
        <v>-800.70540035968679</v>
      </c>
      <c r="J57" s="76"/>
      <c r="L57" s="29" t="s">
        <v>140</v>
      </c>
    </row>
    <row r="58" spans="2:19" ht="20.25" customHeight="1">
      <c r="G58" s="41" t="s">
        <v>109</v>
      </c>
      <c r="H58" s="78">
        <f>-H57-F54+G49-I60-F61-E56</f>
        <v>3.7906599170014488E-3</v>
      </c>
      <c r="I58" s="29"/>
      <c r="M58" s="79" t="s">
        <v>141</v>
      </c>
      <c r="P58" s="77"/>
    </row>
    <row r="59" spans="2:19" ht="14.25">
      <c r="C59" s="32" t="s">
        <v>246</v>
      </c>
      <c r="D59" s="33"/>
    </row>
    <row r="60" spans="2:19">
      <c r="C60" s="36" t="s">
        <v>29</v>
      </c>
      <c r="D60" s="157">
        <f>'корпоративный баланс энергии'!S1082</f>
        <v>8873.3263203656606</v>
      </c>
      <c r="I60" s="80">
        <f>I65</f>
        <v>-5</v>
      </c>
      <c r="L60" s="81" t="s">
        <v>337</v>
      </c>
      <c r="M60" s="81"/>
      <c r="N60" s="81"/>
      <c r="O60" s="82">
        <f>J47+L47+M47+N47-P47</f>
        <v>-636</v>
      </c>
      <c r="P60" s="69">
        <f>-('корпоративный баланс энергии'!T46+'корпоративный баланс энергии'!T47+'корпоративный баланс энергии'!T48+'корпоративный баланс энергии'!T49+'корпоративный баланс энергии'!T50+'корпоративный баланс энергии'!T51+'корпоративный баланс энергии'!T52+'корпоративный баланс энергии'!T53+'корпоративный баланс энергии'!T54+'корпоративный баланс энергии'!T55+'корпоративный баланс энергии'!T56+'корпоративный баланс энергии'!T74+'корпоративный баланс энергии'!T75+'корпоративный баланс энергии'!T76+'корпоративный баланс энергии'!T77+'корпоративный баланс энергии'!T78+'корпоративный баланс энергии'!T79+'корпоративный баланс энергии'!T80)</f>
        <v>-636</v>
      </c>
      <c r="S60" s="161">
        <f>M56+P62</f>
        <v>-636</v>
      </c>
    </row>
    <row r="61" spans="2:19">
      <c r="C61" s="36" t="s">
        <v>107</v>
      </c>
      <c r="D61" s="157">
        <f>'корпоративный баланс энергии'!U1082</f>
        <v>8092.3177657198357</v>
      </c>
      <c r="F61" s="80">
        <f>F65</f>
        <v>-5</v>
      </c>
      <c r="H61" s="75"/>
      <c r="N61" s="83"/>
    </row>
    <row r="62" spans="2:19" ht="14.25">
      <c r="C62" s="36" t="s">
        <v>108</v>
      </c>
      <c r="D62" s="40">
        <f>D61-D60</f>
        <v>-781.00855464582492</v>
      </c>
      <c r="E62" s="21"/>
      <c r="L62" s="209" t="s">
        <v>338</v>
      </c>
      <c r="N62" s="83"/>
      <c r="P62" s="69">
        <f>-('корпоративный баланс энергии'!T51+'корпоративный баланс энергии'!T52+'корпоративный баланс энергии'!T53+'корпоративный баланс энергии'!T54+'корпоративный баланс энергии'!T55+'корпоративный баланс энергии'!T56+'корпоративный баланс энергии'!T76+'корпоративный баланс энергии'!T77+'корпоративный баланс энергии'!T78+'корпоративный баланс энергии'!T79+'корпоративный баланс энергии'!T80)</f>
        <v>-566</v>
      </c>
      <c r="S62" s="161">
        <f>-(P47-N47)</f>
        <v>-566</v>
      </c>
    </row>
    <row r="63" spans="2:19">
      <c r="C63" s="41" t="s">
        <v>109</v>
      </c>
      <c r="D63" s="40">
        <f>-D62+G40+I42-J47-I60-F61-F54-F48</f>
        <v>8.5546458249154966E-3</v>
      </c>
      <c r="K63" s="84"/>
      <c r="N63" s="13" t="s">
        <v>75</v>
      </c>
      <c r="O63" s="83" t="s">
        <v>142</v>
      </c>
    </row>
    <row r="64" spans="2:19">
      <c r="F64" s="162" t="s">
        <v>143</v>
      </c>
      <c r="I64" s="31" t="s">
        <v>144</v>
      </c>
      <c r="N64" s="13" t="s">
        <v>145</v>
      </c>
      <c r="O64" s="83" t="s">
        <v>146</v>
      </c>
    </row>
    <row r="65" spans="6:20">
      <c r="F65" s="85">
        <f>-('корпоративный баланс энергии'!T42+'корпоративный баланс энергии'!T44+'корпоративный баланс энергии'!T45+'корпоративный баланс энергии'!T72+'корпоративный баланс энергии'!T73)</f>
        <v>-5</v>
      </c>
      <c r="I65" s="85">
        <f>-('корпоративный баланс энергии'!T43+'корпоративный баланс энергии'!T71)</f>
        <v>-5</v>
      </c>
      <c r="O65" s="83"/>
    </row>
    <row r="66" spans="6:20">
      <c r="O66" s="83"/>
    </row>
    <row r="67" spans="6:20">
      <c r="O67" s="83"/>
    </row>
    <row r="68" spans="6:20">
      <c r="O68" s="83"/>
    </row>
    <row r="69" spans="6:20">
      <c r="O69" s="83"/>
    </row>
    <row r="70" spans="6:20">
      <c r="O70" s="83"/>
    </row>
    <row r="72" spans="6:20" ht="15" hidden="1" thickBot="1">
      <c r="K72" s="1260" t="s">
        <v>149</v>
      </c>
      <c r="L72" s="1261"/>
      <c r="N72" s="1260" t="s">
        <v>149</v>
      </c>
      <c r="O72" s="1261"/>
    </row>
    <row r="73" spans="6:20" ht="14.25" hidden="1">
      <c r="K73" s="1255" t="s">
        <v>154</v>
      </c>
      <c r="L73" s="1256"/>
      <c r="N73" s="1255" t="s">
        <v>153</v>
      </c>
      <c r="O73" s="1256"/>
      <c r="Q73" s="1260" t="s">
        <v>149</v>
      </c>
      <c r="R73" s="1261"/>
    </row>
    <row r="74" spans="6:20" ht="15.75" hidden="1">
      <c r="F74" s="1263" t="s">
        <v>156</v>
      </c>
      <c r="G74" s="1263"/>
      <c r="H74" s="1263"/>
      <c r="I74" s="1263"/>
      <c r="J74" s="102">
        <f>-L79-M74</f>
        <v>-211.83895975472188</v>
      </c>
      <c r="K74" s="97" t="s">
        <v>29</v>
      </c>
      <c r="L74" s="98">
        <f>SUM(L75:L77)</f>
        <v>4096.7642577613969</v>
      </c>
      <c r="M74" s="100">
        <f>O76+P75</f>
        <v>-126.2967824838808</v>
      </c>
      <c r="N74" s="97" t="s">
        <v>29</v>
      </c>
      <c r="O74" s="98">
        <f>'корпоративный баланс энергии'!S1490</f>
        <v>535.50142500000004</v>
      </c>
      <c r="Q74" s="1255" t="s">
        <v>150</v>
      </c>
      <c r="R74" s="1256"/>
      <c r="T74" s="9" t="s">
        <v>152</v>
      </c>
    </row>
    <row r="75" spans="6:20" hidden="1">
      <c r="J75"/>
      <c r="K75" s="97" t="s">
        <v>56</v>
      </c>
      <c r="L75" s="98">
        <f>'корпоративный баланс энергии'!S1528</f>
        <v>1060.9809999999995</v>
      </c>
      <c r="N75" s="97" t="s">
        <v>107</v>
      </c>
      <c r="O75" s="98">
        <f>'корпоративный баланс энергии'!U1490</f>
        <v>449.18837436881682</v>
      </c>
      <c r="P75" s="100">
        <f>R77-S75</f>
        <v>-39.983731852697588</v>
      </c>
      <c r="Q75" s="97" t="s">
        <v>29</v>
      </c>
      <c r="R75" s="98">
        <f>'корпоративный баланс энергии'!S1508</f>
        <v>689.02289025504115</v>
      </c>
      <c r="S75" s="100">
        <f>R36</f>
        <v>25.919751299999461</v>
      </c>
    </row>
    <row r="76" spans="6:20" hidden="1">
      <c r="J76"/>
      <c r="K76" s="97" t="s">
        <v>55</v>
      </c>
      <c r="L76" s="98">
        <f>'корпоративный баланс энергии'!S1529</f>
        <v>2957.8127967613973</v>
      </c>
      <c r="N76" s="97" t="s">
        <v>108</v>
      </c>
      <c r="O76" s="98">
        <f>O75-O74</f>
        <v>-86.313050631183216</v>
      </c>
      <c r="Q76" s="97" t="s">
        <v>107</v>
      </c>
      <c r="R76" s="98">
        <f>'корпоративный баланс энергии'!U1508</f>
        <v>674.95890970234302</v>
      </c>
    </row>
    <row r="77" spans="6:20" ht="16.5" hidden="1" thickBot="1">
      <c r="I77" s="103" t="s">
        <v>157</v>
      </c>
      <c r="J77" s="102">
        <v>1224</v>
      </c>
      <c r="K77" s="97" t="s">
        <v>155</v>
      </c>
      <c r="L77" s="98">
        <f>'корпоративный баланс энергии'!S1530</f>
        <v>77.970461</v>
      </c>
      <c r="N77" s="99" t="s">
        <v>151</v>
      </c>
      <c r="O77" s="101">
        <f>-O76-P75+M74</f>
        <v>0</v>
      </c>
      <c r="Q77" s="97" t="s">
        <v>108</v>
      </c>
      <c r="R77" s="98">
        <f>R76-R75</f>
        <v>-14.063980552698126</v>
      </c>
    </row>
    <row r="78" spans="6:20" ht="13.5" hidden="1" thickBot="1">
      <c r="J78"/>
      <c r="K78" s="97" t="s">
        <v>107</v>
      </c>
      <c r="L78" s="98">
        <f>'корпоративный баланс энергии'!U1527</f>
        <v>4434.8999999999996</v>
      </c>
      <c r="Q78" s="99" t="s">
        <v>151</v>
      </c>
      <c r="R78" s="101">
        <f>-R77+S75+P75</f>
        <v>0</v>
      </c>
    </row>
    <row r="79" spans="6:20" ht="15.75" hidden="1">
      <c r="F79" s="1263" t="s">
        <v>158</v>
      </c>
      <c r="G79" s="1263"/>
      <c r="H79" s="1263"/>
      <c r="I79" s="1263"/>
      <c r="J79" s="102">
        <f>SUM(J85:J96)</f>
        <v>794.60114699999986</v>
      </c>
      <c r="K79" s="97" t="s">
        <v>108</v>
      </c>
      <c r="L79" s="98">
        <f>L78-L74</f>
        <v>338.13574223860269</v>
      </c>
    </row>
    <row r="80" spans="6:20" ht="16.5" hidden="1" thickBot="1">
      <c r="F80" s="1263" t="s">
        <v>159</v>
      </c>
      <c r="G80" s="1263"/>
      <c r="H80" s="1263"/>
      <c r="I80" s="1263"/>
      <c r="J80" s="102">
        <f>L76+(J77-J74)+(L75-J79)</f>
        <v>4660.0316095161188</v>
      </c>
      <c r="K80" s="99" t="s">
        <v>151</v>
      </c>
      <c r="L80" s="101">
        <f>-L79-M74-J74</f>
        <v>0</v>
      </c>
    </row>
    <row r="81" spans="7:11" hidden="1">
      <c r="K81"/>
    </row>
    <row r="82" spans="7:11" hidden="1"/>
    <row r="83" spans="7:11" hidden="1"/>
    <row r="84" spans="7:11" hidden="1"/>
    <row r="85" spans="7:11" hidden="1">
      <c r="G85" s="104" t="s">
        <v>160</v>
      </c>
      <c r="H85" s="24"/>
      <c r="J85" s="119">
        <v>38.341200000000001</v>
      </c>
    </row>
    <row r="86" spans="7:11" hidden="1">
      <c r="G86" s="104" t="s">
        <v>161</v>
      </c>
      <c r="H86" s="24"/>
      <c r="J86" s="119">
        <v>6.43</v>
      </c>
    </row>
    <row r="87" spans="7:11" hidden="1">
      <c r="G87" s="104" t="s">
        <v>162</v>
      </c>
      <c r="H87" s="24"/>
      <c r="J87" s="119">
        <v>103.40930299999999</v>
      </c>
    </row>
    <row r="88" spans="7:11" hidden="1">
      <c r="G88" s="104" t="s">
        <v>163</v>
      </c>
      <c r="H88" s="24"/>
      <c r="J88" s="119">
        <v>8.51</v>
      </c>
    </row>
    <row r="89" spans="7:11" hidden="1">
      <c r="G89" s="104" t="s">
        <v>164</v>
      </c>
      <c r="H89" s="24"/>
      <c r="J89" s="119">
        <v>153.09407199999998</v>
      </c>
    </row>
    <row r="90" spans="7:11" hidden="1">
      <c r="G90" s="104" t="s">
        <v>165</v>
      </c>
      <c r="H90" s="24"/>
      <c r="J90" s="119">
        <v>27.36</v>
      </c>
    </row>
    <row r="91" spans="7:11" hidden="1">
      <c r="G91" s="104" t="s">
        <v>166</v>
      </c>
      <c r="H91" s="24"/>
      <c r="J91" s="119">
        <v>56.983263999999998</v>
      </c>
    </row>
    <row r="92" spans="7:11" hidden="1">
      <c r="G92" s="104" t="s">
        <v>167</v>
      </c>
      <c r="H92" s="24"/>
      <c r="J92" s="119">
        <v>6.12</v>
      </c>
    </row>
    <row r="93" spans="7:11" hidden="1">
      <c r="G93" s="104" t="s">
        <v>168</v>
      </c>
      <c r="H93" s="24"/>
      <c r="J93" s="119">
        <v>6.84</v>
      </c>
    </row>
    <row r="94" spans="7:11" hidden="1">
      <c r="G94" s="104" t="s">
        <v>61</v>
      </c>
      <c r="H94" s="24"/>
      <c r="J94" s="119">
        <v>231.93880799999999</v>
      </c>
    </row>
    <row r="95" spans="7:11" hidden="1">
      <c r="G95" s="104" t="s">
        <v>62</v>
      </c>
      <c r="H95" s="24"/>
      <c r="J95" s="119">
        <v>83.4435</v>
      </c>
    </row>
    <row r="96" spans="7:11" hidden="1">
      <c r="G96" s="104" t="s">
        <v>63</v>
      </c>
      <c r="H96" s="24"/>
      <c r="J96" s="119">
        <v>72.131</v>
      </c>
    </row>
  </sheetData>
  <mergeCells count="17">
    <mergeCell ref="F80:I80"/>
    <mergeCell ref="K72:L72"/>
    <mergeCell ref="F79:I79"/>
    <mergeCell ref="Q73:R73"/>
    <mergeCell ref="K73:L73"/>
    <mergeCell ref="N73:O73"/>
    <mergeCell ref="Q74:R74"/>
    <mergeCell ref="N72:O72"/>
    <mergeCell ref="E20:F20"/>
    <mergeCell ref="G20:H20"/>
    <mergeCell ref="G42:H42"/>
    <mergeCell ref="F74:I74"/>
    <mergeCell ref="L3:M3"/>
    <mergeCell ref="D13:E13"/>
    <mergeCell ref="G19:H19"/>
    <mergeCell ref="G54:H54"/>
    <mergeCell ref="G43:H43"/>
  </mergeCells>
  <phoneticPr fontId="20" type="noConversion"/>
  <conditionalFormatting sqref="G85:G96">
    <cfRule type="cellIs" dxfId="10" priority="1" stopIfTrue="1" operator="notEqual">
      <formula>G84</formula>
    </cfRule>
  </conditionalFormatting>
  <pageMargins left="0.94" right="0.17" top="0.19" bottom="0.21" header="0.17" footer="0.17"/>
  <pageSetup paperSize="9" scale="51" orientation="landscape" r:id="rId1"/>
  <headerFooter alignWithMargins="0"/>
  <rowBreaks count="1" manualBreakCount="1">
    <brk id="7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0AB4573435ABC4A950AF9A9BE4FDCAD" ma:contentTypeVersion="12" ma:contentTypeDescription="Создание документа." ma:contentTypeScope="" ma:versionID="295b759a9b5949f10bb7b0c1206a14c4">
  <xsd:schema xmlns:xsd="http://www.w3.org/2001/XMLSchema" xmlns:xs="http://www.w3.org/2001/XMLSchema" xmlns:p="http://schemas.microsoft.com/office/2006/metadata/properties" xmlns:ns2="5dbcc54c-052f-4584-9fc2-34eb8567400a" xmlns:ns3="8e7233b4-5965-433d-8056-65ca843b7609" targetNamespace="http://schemas.microsoft.com/office/2006/metadata/properties" ma:root="true" ma:fieldsID="cd74d75c5ca910a694377cde67046279" ns2:_="" ns3:_="">
    <xsd:import namespace="5dbcc54c-052f-4584-9fc2-34eb8567400a"/>
    <xsd:import namespace="8e7233b4-5965-433d-8056-65ca843b7609"/>
    <xsd:element name="properties">
      <xsd:complexType>
        <xsd:sequence>
          <xsd:element name="documentManagement">
            <xsd:complexType>
              <xsd:all>
                <xsd:element ref="ns2:_x0414__x0430__x0442__x0430_" minOccurs="0"/>
                <xsd:element ref="ns3:_dlc_DocId" minOccurs="0"/>
                <xsd:element ref="ns3:_dlc_DocIdPersistId" minOccurs="0"/>
                <xsd:element ref="ns3:_dlc_DocId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cc54c-052f-4584-9fc2-34eb8567400a" elementFormDefault="qualified">
    <xsd:import namespace="http://schemas.microsoft.com/office/2006/documentManagement/types"/>
    <xsd:import namespace="http://schemas.microsoft.com/office/infopath/2007/PartnerControls"/>
    <xsd:element name="_x0414__x0430__x0442__x0430_" ma:index="8" nillable="true" ma:displayName="Дата" ma:format="DateOnly" ma:internalName="_x0414__x0430__x0442__x0430_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233b4-5965-433d-8056-65ca843b7609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  <xsd:element name="_dlc_DocIdUrl" ma:index="11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4__x0430__x0442__x0430_ xmlns="5dbcc54c-052f-4584-9fc2-34eb8567400a" xsi:nil="true"/>
    <_dlc_DocId xmlns="8e7233b4-5965-433d-8056-65ca843b7609">ADCXMQC75VVE-2809-6421</_dlc_DocId>
    <_dlc_DocIdUrl xmlns="8e7233b4-5965-433d-8056-65ca843b7609">
      <Url>http://portal.cdu.so/ia/RazEESRus/_layouts/DocIdRedir.aspx?ID=ADCXMQC75VVE-2809-6421</Url>
      <Description>ADCXMQC75VVE-2809-6421</Description>
    </_dlc_DocIdUrl>
  </documentManagement>
</p:properties>
</file>

<file path=customXml/itemProps1.xml><?xml version="1.0" encoding="utf-8"?>
<ds:datastoreItem xmlns:ds="http://schemas.openxmlformats.org/officeDocument/2006/customXml" ds:itemID="{AA6EB404-040E-4334-AEB1-3CA6E2D0DDBC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58268D2-D998-49FD-91CA-B506A1130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bcc54c-052f-4584-9fc2-34eb8567400a"/>
    <ds:schemaRef ds:uri="8e7233b4-5965-433d-8056-65ca843b76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09E248-6C82-471C-B672-49D4ACD18883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8A91782D-18BD-423B-9DD0-5428E8C90EC5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2C446CBB-35FB-4EAD-B0DD-A8E9D0D6F057}">
  <ds:schemaRefs>
    <ds:schemaRef ds:uri="http://schemas.microsoft.com/office/2006/metadata/properties"/>
    <ds:schemaRef ds:uri="http://schemas.microsoft.com/office/2006/documentManagement/types"/>
    <ds:schemaRef ds:uri="8e7233b4-5965-433d-8056-65ca843b7609"/>
    <ds:schemaRef ds:uri="http://purl.org/dc/terms/"/>
    <ds:schemaRef ds:uri="http://purl.org/dc/dcmitype/"/>
    <ds:schemaRef ds:uri="5dbcc54c-052f-4584-9fc2-34eb8567400a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19</vt:i4>
      </vt:variant>
      <vt:variant>
        <vt:lpstr>Именованные диапазоны</vt:lpstr>
      </vt:variant>
      <vt:variant>
        <vt:i4>16</vt:i4>
      </vt:variant>
    </vt:vector>
  </HeadingPairs>
  <TitlesOfParts>
    <vt:vector size="35" baseType="lpstr">
      <vt:lpstr>Потребление</vt:lpstr>
      <vt:lpstr>АЭС</vt:lpstr>
      <vt:lpstr>ГЭС</vt:lpstr>
      <vt:lpstr>корпоративный баланс энергии</vt:lpstr>
      <vt:lpstr>Квартальное планирование</vt:lpstr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Год</vt:lpstr>
      <vt:lpstr>Факт Прошлого Года</vt:lpstr>
      <vt:lpstr>'корпоративный баланс энергии'!Заголовки_для_печати</vt:lpstr>
      <vt:lpstr>Август!Область_печати</vt:lpstr>
      <vt:lpstr>Апрель!Область_печати</vt:lpstr>
      <vt:lpstr>Год!Область_печати</vt:lpstr>
      <vt:lpstr>Декабрь!Область_печати</vt:lpstr>
      <vt:lpstr>Июль!Область_печати</vt:lpstr>
      <vt:lpstr>Июнь!Область_печати</vt:lpstr>
      <vt:lpstr>'корпоративный баланс энергии'!Область_печати</vt:lpstr>
      <vt:lpstr>Май!Область_печати</vt:lpstr>
      <vt:lpstr>Март!Область_печати</vt:lpstr>
      <vt:lpstr>Ноябрь!Область_печати</vt:lpstr>
      <vt:lpstr>Октябрь!Область_печати</vt:lpstr>
      <vt:lpstr>Сентябрь!Область_печати</vt:lpstr>
      <vt:lpstr>'Факт Прошлого Года'!Область_печати</vt:lpstr>
      <vt:lpstr>Февраль!Область_печати</vt:lpstr>
      <vt:lpstr>Январь!Область_печати</vt:lpstr>
    </vt:vector>
  </TitlesOfParts>
  <Company>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sharonov</dc:creator>
  <cp:lastModifiedBy>Полушина Екатерина Игоревна</cp:lastModifiedBy>
  <cp:lastPrinted>2019-07-08T11:07:19Z</cp:lastPrinted>
  <dcterms:created xsi:type="dcterms:W3CDTF">2010-02-26T11:36:20Z</dcterms:created>
  <dcterms:modified xsi:type="dcterms:W3CDTF">2021-01-12T15:49:49Z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Шаронов Алексей Евгеньевич</vt:lpwstr>
  </property>
  <property fmtid="{D5CDD505-2E9C-101B-9397-08002B2CF9AE}" pid="3" name="display_urn:schemas-microsoft-com:office:office#Author">
    <vt:lpwstr>Шаронов Алексей Евгеньевич</vt:lpwstr>
  </property>
  <property fmtid="{D5CDD505-2E9C-101B-9397-08002B2CF9AE}" pid="4" name="_dlc_DocId">
    <vt:lpwstr>ADCXMQC75VVE-2809-3838</vt:lpwstr>
  </property>
  <property fmtid="{D5CDD505-2E9C-101B-9397-08002B2CF9AE}" pid="5" name="_dlc_DocIdItemGuid">
    <vt:lpwstr>bcaa7f55-63f4-4503-9ed7-8d513a170c80</vt:lpwstr>
  </property>
  <property fmtid="{D5CDD505-2E9C-101B-9397-08002B2CF9AE}" pid="6" name="_dlc_DocIdUrl">
    <vt:lpwstr>http://portal.cdu.so/ia/RazEESRus/_layouts/DocIdRedir.aspx?ID=ADCXMQC75VVE-2809-3838, ADCXMQC75VVE-2809-3838</vt:lpwstr>
  </property>
  <property fmtid="{D5CDD505-2E9C-101B-9397-08002B2CF9AE}" pid="7" name="ContentTypeId">
    <vt:lpwstr>0x01010060AB4573435ABC4A950AF9A9BE4FDCAD</vt:lpwstr>
  </property>
</Properties>
</file>